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andat 13 -Récits de vie\"/>
    </mc:Choice>
  </mc:AlternateContent>
  <bookViews>
    <workbookView xWindow="120" yWindow="210" windowWidth="13440" windowHeight="14085" tabRatio="930"/>
  </bookViews>
  <sheets>
    <sheet name="Sommaire" sheetId="1" r:id="rId1"/>
    <sheet name="Tableau prél-bén_tranche de vie" sheetId="25" r:id="rId2"/>
    <sheet name="Calculs source" sheetId="3" r:id="rId3"/>
    <sheet name="Attrributs fiscaux" sheetId="22" state="hidden" r:id="rId4"/>
    <sheet name="Détail impôt" sheetId="23" r:id="rId5"/>
    <sheet name="Allocation famille" sheetId="24" r:id="rId6"/>
    <sheet name="Taxes consommation- sommaire" sheetId="4" r:id="rId7"/>
    <sheet name="Taxes consommation - détail" sheetId="10" state="hidden" r:id="rId8"/>
    <sheet name="Calculs revenus retraite" sheetId="8" r:id="rId9"/>
    <sheet name="Crédit maintien à domicile" sheetId="21" r:id="rId10"/>
    <sheet name="Schéma" sheetId="20" state="hidden" r:id="rId11"/>
    <sheet name="Hypothèses de base" sheetId="17" r:id="rId12"/>
    <sheet name="Paramètres Indexation" sheetId="5" r:id="rId13"/>
    <sheet name="Questions soulevées" sheetId="2" state="hidden" r:id="rId14"/>
    <sheet name="Calcul pension alimentaire" sheetId="16" r:id="rId15"/>
    <sheet name="Hyp. revenus des conjoints" sheetId="9" r:id="rId16"/>
    <sheet name="B.P. Coût place garderie" sheetId="11" r:id="rId17"/>
    <sheet name="B.P. Cout ecole" sheetId="15" r:id="rId18"/>
    <sheet name="B.P. Soins de santé" sheetId="6" r:id="rId19"/>
    <sheet name="RQAP" sheetId="19" state="hidden" r:id="rId20"/>
    <sheet name="Valid. hyp. cons p. seule" sheetId="7" state="hidden" r:id="rId21"/>
    <sheet name="Valid. couple sans enfant" sheetId="13" state="hidden" r:id="rId22"/>
    <sheet name="Valid. hyp. cons. famille" sheetId="12" state="hidden" r:id="rId23"/>
    <sheet name="Valid. hyp. mono" sheetId="14" state="hidden" r:id="rId24"/>
    <sheet name="Valid. 3e quintile" sheetId="18" state="hidden" r:id="rId25"/>
  </sheets>
  <externalReferences>
    <externalReference r:id="rId26"/>
    <externalReference r:id="rId27"/>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T85" i="1" l="1"/>
  <c r="BN85" i="1" l="1"/>
  <c r="BT30" i="1"/>
  <c r="AG144" i="1" l="1"/>
  <c r="AF144" i="1"/>
  <c r="AE144" i="1"/>
  <c r="Z144" i="1"/>
  <c r="U144" i="1"/>
  <c r="Q144" i="1"/>
  <c r="P144" i="1"/>
  <c r="AC139" i="1"/>
  <c r="X139" i="1"/>
  <c r="S139" i="1"/>
  <c r="O139" i="1"/>
  <c r="N139" i="1"/>
  <c r="F102" i="25" l="1"/>
  <c r="F101" i="25"/>
  <c r="F100" i="25"/>
  <c r="F99" i="25"/>
  <c r="F98" i="25"/>
  <c r="F94" i="25"/>
  <c r="F93" i="25"/>
  <c r="F92" i="25"/>
  <c r="F91" i="25"/>
  <c r="F90" i="25"/>
  <c r="F89" i="25"/>
  <c r="F88" i="25"/>
  <c r="F87" i="25"/>
  <c r="F86" i="25"/>
  <c r="F82" i="25"/>
  <c r="F81" i="25"/>
  <c r="F80" i="25"/>
  <c r="F79" i="25"/>
  <c r="F78" i="25"/>
  <c r="F77" i="25"/>
  <c r="F76" i="25"/>
  <c r="F75" i="25"/>
  <c r="F74" i="25"/>
  <c r="F73" i="25"/>
  <c r="F71" i="25"/>
  <c r="E102" i="25"/>
  <c r="E101" i="25"/>
  <c r="E100" i="25"/>
  <c r="E99" i="25"/>
  <c r="E98" i="25"/>
  <c r="E94" i="25"/>
  <c r="E93" i="25"/>
  <c r="E92" i="25"/>
  <c r="E91" i="25"/>
  <c r="E90" i="25"/>
  <c r="E89" i="25"/>
  <c r="E88" i="25"/>
  <c r="E87" i="25"/>
  <c r="E86" i="25"/>
  <c r="E82" i="25"/>
  <c r="E81" i="25"/>
  <c r="E80" i="25"/>
  <c r="E79" i="25"/>
  <c r="E78" i="25"/>
  <c r="E77" i="25"/>
  <c r="E76" i="25"/>
  <c r="E75" i="25"/>
  <c r="E74" i="25"/>
  <c r="E73" i="25"/>
  <c r="E71" i="25"/>
  <c r="D102" i="25"/>
  <c r="D101" i="25"/>
  <c r="D100" i="25"/>
  <c r="D99" i="25"/>
  <c r="D98" i="25"/>
  <c r="D94" i="25"/>
  <c r="D93" i="25"/>
  <c r="D92" i="25"/>
  <c r="D91" i="25"/>
  <c r="D90" i="25"/>
  <c r="D89" i="25"/>
  <c r="D88" i="25"/>
  <c r="D87" i="25"/>
  <c r="D86" i="25"/>
  <c r="D82" i="25"/>
  <c r="D81" i="25"/>
  <c r="D80" i="25"/>
  <c r="D79" i="25"/>
  <c r="D78" i="25"/>
  <c r="D77" i="25"/>
  <c r="D76" i="25"/>
  <c r="D75" i="25"/>
  <c r="D74" i="25"/>
  <c r="D73" i="25"/>
  <c r="D71" i="25"/>
  <c r="C102" i="25"/>
  <c r="C101" i="25"/>
  <c r="C100" i="25"/>
  <c r="C99" i="25"/>
  <c r="C98" i="25"/>
  <c r="C94" i="25"/>
  <c r="C93" i="25"/>
  <c r="C92" i="25"/>
  <c r="C91" i="25"/>
  <c r="C90" i="25"/>
  <c r="C89" i="25"/>
  <c r="C88" i="25"/>
  <c r="C87" i="25"/>
  <c r="C86" i="25"/>
  <c r="C82" i="25"/>
  <c r="C81" i="25"/>
  <c r="C80" i="25"/>
  <c r="C79" i="25"/>
  <c r="C78" i="25"/>
  <c r="C77" i="25"/>
  <c r="C76" i="25"/>
  <c r="C75" i="25"/>
  <c r="C74" i="25"/>
  <c r="C73" i="25"/>
  <c r="C71" i="25"/>
  <c r="F63" i="25"/>
  <c r="F62" i="25"/>
  <c r="F61" i="25"/>
  <c r="F60" i="25"/>
  <c r="F59" i="25"/>
  <c r="F55" i="25"/>
  <c r="F54" i="25"/>
  <c r="F53" i="25"/>
  <c r="F52" i="25"/>
  <c r="F51" i="25"/>
  <c r="F50" i="25"/>
  <c r="F49" i="25"/>
  <c r="F48" i="25"/>
  <c r="F47" i="25"/>
  <c r="E63" i="25"/>
  <c r="E62" i="25"/>
  <c r="E61" i="25"/>
  <c r="E60" i="25"/>
  <c r="E59" i="25"/>
  <c r="E55" i="25"/>
  <c r="E54" i="25"/>
  <c r="E53" i="25"/>
  <c r="E52" i="25"/>
  <c r="E51" i="25"/>
  <c r="E50" i="25"/>
  <c r="E49" i="25"/>
  <c r="E48" i="25"/>
  <c r="E47" i="25"/>
  <c r="D63" i="25"/>
  <c r="D62" i="25"/>
  <c r="D61" i="25"/>
  <c r="D60" i="25"/>
  <c r="D59" i="25"/>
  <c r="D55" i="25"/>
  <c r="D54" i="25"/>
  <c r="D53" i="25"/>
  <c r="D52" i="25"/>
  <c r="D51" i="25"/>
  <c r="D50" i="25"/>
  <c r="D49" i="25"/>
  <c r="D48" i="25"/>
  <c r="D47" i="25"/>
  <c r="F43" i="25"/>
  <c r="F42" i="25"/>
  <c r="F41" i="25"/>
  <c r="F40" i="25"/>
  <c r="F39" i="25"/>
  <c r="F38" i="25"/>
  <c r="F37" i="25"/>
  <c r="F36" i="25"/>
  <c r="F35" i="25"/>
  <c r="F34" i="25"/>
  <c r="E43" i="25"/>
  <c r="E42" i="25"/>
  <c r="E41" i="25"/>
  <c r="E40" i="25"/>
  <c r="E39" i="25"/>
  <c r="E38" i="25"/>
  <c r="E37" i="25"/>
  <c r="E36" i="25"/>
  <c r="E35" i="25"/>
  <c r="E34" i="25"/>
  <c r="D43" i="25"/>
  <c r="D42" i="25"/>
  <c r="D41" i="25"/>
  <c r="D40" i="25"/>
  <c r="D39" i="25"/>
  <c r="D38" i="25"/>
  <c r="D37" i="25"/>
  <c r="D36" i="25"/>
  <c r="D35" i="25"/>
  <c r="D34" i="25"/>
  <c r="C63" i="25"/>
  <c r="C62" i="25"/>
  <c r="C61" i="25"/>
  <c r="C60" i="25"/>
  <c r="C59" i="25"/>
  <c r="C55" i="25"/>
  <c r="C54" i="25"/>
  <c r="C53" i="25"/>
  <c r="C52" i="25"/>
  <c r="C51" i="25"/>
  <c r="C50" i="25"/>
  <c r="C49" i="25"/>
  <c r="C48" i="25"/>
  <c r="C47" i="25"/>
  <c r="C43" i="25"/>
  <c r="C42" i="25"/>
  <c r="C41" i="25"/>
  <c r="C40" i="25"/>
  <c r="C39" i="25"/>
  <c r="C38" i="25"/>
  <c r="C37" i="25"/>
  <c r="C36" i="25"/>
  <c r="C35" i="25"/>
  <c r="C34" i="25"/>
  <c r="F32" i="25"/>
  <c r="E32" i="25"/>
  <c r="D32" i="25"/>
  <c r="C32" i="25"/>
  <c r="E24" i="25" l="1"/>
  <c r="E8" i="25"/>
  <c r="E6" i="25"/>
  <c r="D25" i="25"/>
  <c r="D24" i="25"/>
  <c r="D20" i="25"/>
  <c r="D19" i="25"/>
  <c r="D18" i="25"/>
  <c r="D10" i="25"/>
  <c r="D9" i="25"/>
  <c r="C25" i="25"/>
  <c r="C20" i="25"/>
  <c r="C19" i="25"/>
  <c r="C18" i="25"/>
  <c r="C10" i="25"/>
  <c r="C9" i="25"/>
  <c r="C8" i="25"/>
  <c r="C7" i="25"/>
  <c r="C6" i="25"/>
  <c r="AR10" i="1" l="1"/>
  <c r="AR45" i="1" s="1"/>
  <c r="AQ10" i="1"/>
  <c r="AQ45" i="1" s="1"/>
  <c r="AP10" i="1"/>
  <c r="AP45" i="1" s="1"/>
  <c r="AO10" i="1"/>
  <c r="AO45" i="1" s="1"/>
  <c r="AN10" i="1"/>
  <c r="AN45" i="1" s="1"/>
  <c r="AM10" i="1"/>
  <c r="AM45" i="1" s="1"/>
  <c r="AL10" i="1"/>
  <c r="AL45" i="1" s="1"/>
  <c r="AK10" i="1"/>
  <c r="AK45" i="1" s="1"/>
  <c r="AJ10" i="1"/>
  <c r="AJ45" i="1" s="1"/>
  <c r="AI10" i="1"/>
  <c r="AI45" i="1" s="1"/>
  <c r="AH10" i="1"/>
  <c r="AH45" i="1" s="1"/>
  <c r="AG10" i="1"/>
  <c r="AG45" i="1" s="1"/>
  <c r="AF10" i="1"/>
  <c r="AF45" i="1" s="1"/>
  <c r="AE10" i="1"/>
  <c r="AE45" i="1" s="1"/>
  <c r="AD10" i="1"/>
  <c r="AD45" i="1" s="1"/>
  <c r="AC10" i="1"/>
  <c r="AC45" i="1" s="1"/>
  <c r="AB10" i="1"/>
  <c r="AB45" i="1" s="1"/>
  <c r="AA10" i="1"/>
  <c r="AA45" i="1" s="1"/>
  <c r="Z10" i="1"/>
  <c r="Z45" i="1" s="1"/>
  <c r="Y10" i="1"/>
  <c r="Y45" i="1" s="1"/>
  <c r="X10" i="1"/>
  <c r="X45" i="1" s="1"/>
  <c r="W10" i="1"/>
  <c r="W45" i="1" s="1"/>
  <c r="V10" i="1"/>
  <c r="V45" i="1" s="1"/>
  <c r="U10" i="1"/>
  <c r="U45" i="1" s="1"/>
  <c r="T10" i="1"/>
  <c r="T45" i="1" s="1"/>
  <c r="S10" i="1"/>
  <c r="S45" i="1" s="1"/>
  <c r="R10" i="1"/>
  <c r="R45" i="1" s="1"/>
  <c r="Q10" i="1"/>
  <c r="Q45" i="1" s="1"/>
  <c r="P10" i="1"/>
  <c r="P45" i="1" s="1"/>
  <c r="O10" i="1"/>
  <c r="O45" i="1" s="1"/>
  <c r="N10" i="1"/>
  <c r="N45" i="1" s="1"/>
  <c r="M10" i="1"/>
  <c r="M45" i="1" s="1"/>
  <c r="L10" i="1"/>
  <c r="L45" i="1" s="1"/>
  <c r="K10" i="1"/>
  <c r="K45" i="1" s="1"/>
  <c r="J10" i="1"/>
  <c r="J45" i="1" s="1"/>
  <c r="I10" i="1"/>
  <c r="I45" i="1" s="1"/>
  <c r="H10" i="1"/>
  <c r="H45" i="1" s="1"/>
  <c r="G10" i="1"/>
  <c r="G45" i="1" s="1"/>
  <c r="F10" i="1"/>
  <c r="D2" i="25" l="1"/>
  <c r="F45" i="1"/>
  <c r="AW92" i="23"/>
  <c r="AV92" i="23"/>
  <c r="AW91" i="23"/>
  <c r="AV91" i="23"/>
  <c r="AW71" i="23"/>
  <c r="AV71" i="23"/>
  <c r="AU91" i="23"/>
  <c r="N157" i="1"/>
  <c r="AG211" i="1"/>
  <c r="AH211" i="1" s="1"/>
  <c r="X12" i="3"/>
  <c r="AH76" i="4"/>
  <c r="AD76" i="4"/>
  <c r="Y76" i="4"/>
  <c r="O76" i="4"/>
  <c r="T76" i="4"/>
  <c r="Q76" i="4"/>
  <c r="C127" i="1"/>
  <c r="Y72" i="4"/>
  <c r="X72" i="4"/>
  <c r="W72" i="4"/>
  <c r="V72" i="4"/>
  <c r="U72" i="4"/>
  <c r="T72" i="4"/>
  <c r="S72" i="4"/>
  <c r="R72" i="4"/>
  <c r="Q72" i="4"/>
  <c r="P72" i="4"/>
  <c r="O72" i="4"/>
  <c r="X95" i="4"/>
  <c r="W95" i="4"/>
  <c r="V95" i="4"/>
  <c r="U95" i="4"/>
  <c r="T95" i="4"/>
  <c r="S95" i="4"/>
  <c r="R95" i="4"/>
  <c r="Q95" i="4"/>
  <c r="P95" i="4"/>
  <c r="O95" i="4"/>
  <c r="L78" i="11"/>
  <c r="K78" i="11"/>
  <c r="J78" i="11"/>
  <c r="I78" i="11"/>
  <c r="H78" i="11"/>
  <c r="G78" i="11"/>
  <c r="F78" i="11"/>
  <c r="E78" i="11"/>
  <c r="D78" i="11"/>
  <c r="C78" i="11"/>
  <c r="M62" i="11"/>
  <c r="L62" i="11"/>
  <c r="K62" i="11"/>
  <c r="J62" i="11"/>
  <c r="I62" i="11"/>
  <c r="H62" i="11"/>
  <c r="G62" i="11"/>
  <c r="F62" i="11"/>
  <c r="E62" i="11"/>
  <c r="D62" i="11"/>
  <c r="C62" i="11"/>
  <c r="AF99" i="4"/>
  <c r="E8" i="4"/>
  <c r="P70" i="4"/>
  <c r="AG99" i="4"/>
  <c r="AH99" i="4"/>
  <c r="AD99" i="4"/>
  <c r="Y99" i="4"/>
  <c r="BM76" i="4"/>
  <c r="BH76" i="4"/>
  <c r="BC76" i="4"/>
  <c r="AX76" i="4"/>
  <c r="AU76" i="4"/>
  <c r="AS76" i="4"/>
  <c r="AN76" i="4"/>
  <c r="AK76" i="4"/>
  <c r="AI76" i="4"/>
  <c r="AE76" i="4"/>
  <c r="P76" i="4"/>
  <c r="N76" i="4"/>
  <c r="L76" i="4"/>
  <c r="BR14" i="4"/>
  <c r="BM14" i="4"/>
  <c r="BH14" i="4"/>
  <c r="BC14" i="4"/>
  <c r="AX14" i="4"/>
  <c r="AS14" i="4"/>
  <c r="AN14" i="4"/>
  <c r="AI14" i="4"/>
  <c r="AD14" i="4"/>
  <c r="Y14" i="4"/>
  <c r="T14" i="4"/>
  <c r="O14" i="4"/>
  <c r="J14" i="4"/>
  <c r="F14" i="4"/>
  <c r="E14" i="4"/>
  <c r="D14" i="4"/>
  <c r="C14" i="4"/>
  <c r="AG98" i="4"/>
  <c r="AH98" i="4"/>
  <c r="BT13" i="4"/>
  <c r="BS13" i="4"/>
  <c r="BO13" i="4"/>
  <c r="BP13" i="4"/>
  <c r="BQ13" i="4"/>
  <c r="BN13" i="4"/>
  <c r="BJ13" i="4"/>
  <c r="BK13" i="4"/>
  <c r="BL13" i="4"/>
  <c r="BI13" i="4"/>
  <c r="BE13" i="4"/>
  <c r="BF13" i="4"/>
  <c r="BG13" i="4"/>
  <c r="BD13" i="4"/>
  <c r="AZ13" i="4"/>
  <c r="BA13" i="4"/>
  <c r="BB13" i="4"/>
  <c r="AY13" i="4"/>
  <c r="AU13" i="4"/>
  <c r="AV13" i="4"/>
  <c r="AW13" i="4"/>
  <c r="AT13" i="4"/>
  <c r="AP13" i="4"/>
  <c r="AQ13" i="4"/>
  <c r="AR13" i="4"/>
  <c r="AO13" i="4"/>
  <c r="AK13" i="4"/>
  <c r="AL13" i="4"/>
  <c r="AM13" i="4"/>
  <c r="AJ13" i="4"/>
  <c r="AF13" i="4"/>
  <c r="AG13" i="4"/>
  <c r="AH13" i="4"/>
  <c r="AE13" i="4"/>
  <c r="AB13" i="4"/>
  <c r="AC13" i="4"/>
  <c r="AA13" i="4"/>
  <c r="Z13" i="4"/>
  <c r="V13" i="4"/>
  <c r="W13" i="4"/>
  <c r="X13" i="4"/>
  <c r="U13" i="4"/>
  <c r="Q13" i="4"/>
  <c r="R13" i="4"/>
  <c r="S13" i="4"/>
  <c r="P13" i="4"/>
  <c r="L13" i="4"/>
  <c r="M13" i="4"/>
  <c r="N13" i="4"/>
  <c r="K13" i="4"/>
  <c r="H13" i="4"/>
  <c r="I13" i="4"/>
  <c r="G13" i="4"/>
  <c r="BT99" i="4"/>
  <c r="BT102" i="4"/>
  <c r="BR99" i="4"/>
  <c r="BR102" i="4"/>
  <c r="BQ99" i="4"/>
  <c r="BQ103" i="4"/>
  <c r="BP99" i="4"/>
  <c r="BP103" i="4"/>
  <c r="BM99" i="4"/>
  <c r="BM103" i="4"/>
  <c r="BL99" i="4"/>
  <c r="BI99" i="4"/>
  <c r="BH99" i="4"/>
  <c r="BD99" i="4"/>
  <c r="BD103" i="4"/>
  <c r="BC99" i="4"/>
  <c r="BA99" i="4"/>
  <c r="AZ99" i="4"/>
  <c r="AZ103" i="4"/>
  <c r="AX99" i="4"/>
  <c r="AV99" i="4"/>
  <c r="AV102" i="4"/>
  <c r="AS99" i="4"/>
  <c r="AS102" i="4"/>
  <c r="AN99" i="4"/>
  <c r="AN102" i="4"/>
  <c r="AI99" i="4"/>
  <c r="AE99" i="4"/>
  <c r="Z99" i="4"/>
  <c r="T99" i="4"/>
  <c r="T103" i="4"/>
  <c r="Q99" i="4"/>
  <c r="Q103" i="4"/>
  <c r="P99" i="4"/>
  <c r="P103" i="4"/>
  <c r="O99" i="4"/>
  <c r="O102" i="4"/>
  <c r="N99" i="4"/>
  <c r="L99" i="4"/>
  <c r="L102" i="4"/>
  <c r="BT98" i="4"/>
  <c r="BS98" i="4"/>
  <c r="BR98" i="4"/>
  <c r="BQ98" i="4"/>
  <c r="BP98" i="4"/>
  <c r="BO98" i="4"/>
  <c r="BN98" i="4"/>
  <c r="BM98" i="4"/>
  <c r="BL98" i="4"/>
  <c r="BK98" i="4"/>
  <c r="BJ98" i="4"/>
  <c r="BI98" i="4"/>
  <c r="BH98" i="4"/>
  <c r="BG98" i="4"/>
  <c r="BF98" i="4"/>
  <c r="BE98" i="4"/>
  <c r="BD98" i="4"/>
  <c r="BC98" i="4"/>
  <c r="BB98" i="4"/>
  <c r="BA98" i="4"/>
  <c r="AZ98" i="4"/>
  <c r="AY98" i="4"/>
  <c r="AX98" i="4"/>
  <c r="AW98" i="4"/>
  <c r="AV98" i="4"/>
  <c r="AU98" i="4"/>
  <c r="AT98" i="4"/>
  <c r="AS98" i="4"/>
  <c r="AR98" i="4"/>
  <c r="AQ98" i="4"/>
  <c r="AP98" i="4"/>
  <c r="AO98" i="4"/>
  <c r="AN98" i="4"/>
  <c r="AM98" i="4"/>
  <c r="AL98" i="4"/>
  <c r="AK98" i="4"/>
  <c r="AJ98" i="4"/>
  <c r="AI98" i="4"/>
  <c r="AE98" i="4"/>
  <c r="Z98" i="4"/>
  <c r="AA98" i="4"/>
  <c r="AB98" i="4"/>
  <c r="AC98" i="4"/>
  <c r="T98" i="4"/>
  <c r="P98" i="4"/>
  <c r="O98" i="4"/>
  <c r="N98" i="4"/>
  <c r="L98" i="4"/>
  <c r="BT103" i="4"/>
  <c r="BR103" i="4"/>
  <c r="BL103" i="4"/>
  <c r="BI103" i="4"/>
  <c r="BH103" i="4"/>
  <c r="BC103" i="4"/>
  <c r="BA103" i="4"/>
  <c r="AX103" i="4"/>
  <c r="AV103" i="4"/>
  <c r="AS103" i="4"/>
  <c r="AN103" i="4"/>
  <c r="AI103" i="4"/>
  <c r="AF103" i="4"/>
  <c r="AE103" i="4"/>
  <c r="AD103" i="4"/>
  <c r="Y103" i="4"/>
  <c r="N103" i="4"/>
  <c r="BQ102" i="4"/>
  <c r="BP102" i="4"/>
  <c r="BM102" i="4"/>
  <c r="BL102" i="4"/>
  <c r="BI102" i="4"/>
  <c r="BH102" i="4"/>
  <c r="BC102" i="4"/>
  <c r="BA102" i="4"/>
  <c r="AZ102" i="4"/>
  <c r="AX102" i="4"/>
  <c r="AI102" i="4"/>
  <c r="AF102" i="4"/>
  <c r="AE102" i="4"/>
  <c r="AD102" i="4"/>
  <c r="Y102" i="4"/>
  <c r="P102" i="4"/>
  <c r="N102" i="4"/>
  <c r="L103" i="4"/>
  <c r="AH71" i="4"/>
  <c r="AG71" i="4"/>
  <c r="BC73" i="4"/>
  <c r="BM73" i="4"/>
  <c r="BH73" i="4"/>
  <c r="AX73" i="4"/>
  <c r="AU73" i="4"/>
  <c r="AT73" i="4"/>
  <c r="AS73" i="4"/>
  <c r="AN73" i="4"/>
  <c r="AK73" i="4"/>
  <c r="AI73" i="4"/>
  <c r="AI70" i="4"/>
  <c r="AE73" i="4"/>
  <c r="AE70" i="4"/>
  <c r="AD73" i="4"/>
  <c r="Y73" i="4"/>
  <c r="T73" i="4"/>
  <c r="P73" i="4"/>
  <c r="O73" i="4"/>
  <c r="N73" i="4"/>
  <c r="L73" i="4"/>
  <c r="BM80" i="4"/>
  <c r="BH80" i="4"/>
  <c r="AX80" i="4"/>
  <c r="AV80" i="4"/>
  <c r="AU80" i="4"/>
  <c r="AT80" i="4"/>
  <c r="AS80" i="4"/>
  <c r="AR80" i="4"/>
  <c r="AO80" i="4"/>
  <c r="AN80" i="4"/>
  <c r="AK80" i="4"/>
  <c r="AI80" i="4"/>
  <c r="AE80" i="4"/>
  <c r="AD80" i="4"/>
  <c r="Y80" i="4"/>
  <c r="T80" i="4"/>
  <c r="Q80" i="4"/>
  <c r="P80" i="4"/>
  <c r="O80" i="4"/>
  <c r="N80" i="4"/>
  <c r="BN79" i="4"/>
  <c r="BM79" i="4"/>
  <c r="BH79" i="4"/>
  <c r="AX79" i="4"/>
  <c r="AU79" i="4"/>
  <c r="AS79" i="4"/>
  <c r="AP79" i="4"/>
  <c r="AO79" i="4"/>
  <c r="AN79" i="4"/>
  <c r="AK79" i="4"/>
  <c r="AI79" i="4"/>
  <c r="AE79" i="4"/>
  <c r="AD79" i="4"/>
  <c r="Y79" i="4"/>
  <c r="T79" i="4"/>
  <c r="Q79" i="4"/>
  <c r="P79" i="4"/>
  <c r="O79" i="4"/>
  <c r="N79" i="4"/>
  <c r="L80" i="4"/>
  <c r="L79" i="4"/>
  <c r="BR76" i="4"/>
  <c r="BR80" i="4"/>
  <c r="BQ76" i="4"/>
  <c r="BQ80" i="4"/>
  <c r="BN76" i="4"/>
  <c r="BN80" i="4"/>
  <c r="BI76" i="4"/>
  <c r="BJ76" i="4"/>
  <c r="BK76" i="4"/>
  <c r="BL76" i="4"/>
  <c r="BL80" i="4"/>
  <c r="AY76" i="4"/>
  <c r="AZ76" i="4"/>
  <c r="BA76" i="4"/>
  <c r="BB76" i="4"/>
  <c r="AV76" i="4"/>
  <c r="AW76" i="4"/>
  <c r="AW79" i="4"/>
  <c r="AT76" i="4"/>
  <c r="AT79" i="4"/>
  <c r="AO76" i="4"/>
  <c r="AP76" i="4"/>
  <c r="AQ76" i="4"/>
  <c r="AR76" i="4"/>
  <c r="AR79" i="4"/>
  <c r="AL76" i="4"/>
  <c r="AM76" i="4"/>
  <c r="AM79" i="4"/>
  <c r="AJ76" i="4"/>
  <c r="AJ80" i="4"/>
  <c r="AF76" i="4"/>
  <c r="AG76" i="4"/>
  <c r="AH79" i="4"/>
  <c r="Z76" i="4"/>
  <c r="AA76" i="4"/>
  <c r="AB76" i="4"/>
  <c r="AC76" i="4"/>
  <c r="AC79" i="4"/>
  <c r="U76" i="4"/>
  <c r="V76" i="4"/>
  <c r="W76" i="4"/>
  <c r="X76" i="4"/>
  <c r="X80" i="4"/>
  <c r="R76" i="4"/>
  <c r="S76" i="4"/>
  <c r="S99" i="4"/>
  <c r="M76" i="4"/>
  <c r="M80" i="4"/>
  <c r="BT75" i="4"/>
  <c r="BS75" i="4"/>
  <c r="BR75" i="4"/>
  <c r="BQ75" i="4"/>
  <c r="BP75" i="4"/>
  <c r="BO75" i="4"/>
  <c r="BN75" i="4"/>
  <c r="BI75" i="4"/>
  <c r="BJ75" i="4"/>
  <c r="BK75" i="4"/>
  <c r="BL75" i="4"/>
  <c r="BD75" i="4"/>
  <c r="BE75" i="4"/>
  <c r="BF75" i="4"/>
  <c r="BG75" i="4"/>
  <c r="AY75" i="4"/>
  <c r="AZ75" i="4"/>
  <c r="BA75" i="4"/>
  <c r="BB75" i="4"/>
  <c r="AV75" i="4"/>
  <c r="AW75" i="4"/>
  <c r="AW73" i="4"/>
  <c r="AT75" i="4"/>
  <c r="AO75" i="4"/>
  <c r="AO73" i="4"/>
  <c r="AL75" i="4"/>
  <c r="AM75" i="4"/>
  <c r="AM73" i="4"/>
  <c r="AJ75" i="4"/>
  <c r="AJ73" i="4"/>
  <c r="AF75" i="4"/>
  <c r="AG75" i="4"/>
  <c r="Z75" i="4"/>
  <c r="Z73" i="4"/>
  <c r="U75" i="4"/>
  <c r="U98" i="4"/>
  <c r="R75" i="4"/>
  <c r="S75" i="4"/>
  <c r="S98" i="4"/>
  <c r="M75" i="4"/>
  <c r="M98" i="4"/>
  <c r="BR11" i="4"/>
  <c r="BP11" i="4"/>
  <c r="BO11" i="4"/>
  <c r="BM11" i="4"/>
  <c r="BJ11" i="4"/>
  <c r="BI11" i="4"/>
  <c r="BH11" i="4"/>
  <c r="BD11" i="4"/>
  <c r="BC11" i="4"/>
  <c r="AZ11" i="4"/>
  <c r="AY11" i="4"/>
  <c r="AX11" i="4"/>
  <c r="AT11" i="4"/>
  <c r="AS11" i="4"/>
  <c r="AQ11" i="4"/>
  <c r="AN11" i="4"/>
  <c r="AI11" i="4"/>
  <c r="AE11" i="4"/>
  <c r="AD11" i="4"/>
  <c r="AA11" i="4"/>
  <c r="Y11" i="4"/>
  <c r="W11" i="4"/>
  <c r="T11" i="4"/>
  <c r="S11" i="4"/>
  <c r="O11" i="4"/>
  <c r="M11" i="4"/>
  <c r="L11" i="4"/>
  <c r="K11" i="4"/>
  <c r="J11" i="4"/>
  <c r="F11" i="4"/>
  <c r="E11" i="4"/>
  <c r="D11" i="4"/>
  <c r="C11" i="4"/>
  <c r="BR18" i="4"/>
  <c r="BQ18" i="4"/>
  <c r="BN18" i="4"/>
  <c r="BM18" i="4"/>
  <c r="BK18" i="4"/>
  <c r="BJ18" i="4"/>
  <c r="BI18" i="4"/>
  <c r="BH18" i="4"/>
  <c r="BG18" i="4"/>
  <c r="BC18" i="4"/>
  <c r="BA18" i="4"/>
  <c r="AZ18" i="4"/>
  <c r="AX18" i="4"/>
  <c r="AT18" i="4"/>
  <c r="AS18" i="4"/>
  <c r="AP18" i="4"/>
  <c r="AN18" i="4"/>
  <c r="AI18" i="4"/>
  <c r="AG18" i="4"/>
  <c r="AD18" i="4"/>
  <c r="AB18" i="4"/>
  <c r="Y18" i="4"/>
  <c r="W18" i="4"/>
  <c r="T18" i="4"/>
  <c r="R18" i="4"/>
  <c r="O18" i="4"/>
  <c r="M18" i="4"/>
  <c r="L18" i="4"/>
  <c r="K18" i="4"/>
  <c r="J18" i="4"/>
  <c r="F18" i="4"/>
  <c r="E18" i="4"/>
  <c r="D18" i="4"/>
  <c r="BR17" i="4"/>
  <c r="BO17" i="4"/>
  <c r="BN17" i="4"/>
  <c r="BM17" i="4"/>
  <c r="BL17" i="4"/>
  <c r="BK17" i="4"/>
  <c r="BI17" i="4"/>
  <c r="BH17" i="4"/>
  <c r="BD17" i="4"/>
  <c r="BC17" i="4"/>
  <c r="AZ17" i="4"/>
  <c r="AY17" i="4"/>
  <c r="AX17" i="4"/>
  <c r="AV17" i="4"/>
  <c r="AS17" i="4"/>
  <c r="AQ17" i="4"/>
  <c r="AN17" i="4"/>
  <c r="AI17" i="4"/>
  <c r="AG17" i="4"/>
  <c r="AD17" i="4"/>
  <c r="AA17" i="4"/>
  <c r="Y17" i="4"/>
  <c r="U17" i="4"/>
  <c r="T17" i="4"/>
  <c r="S17" i="4"/>
  <c r="P17" i="4"/>
  <c r="O17" i="4"/>
  <c r="N17" i="4"/>
  <c r="M17" i="4"/>
  <c r="K17" i="4"/>
  <c r="J17" i="4"/>
  <c r="F17" i="4"/>
  <c r="E17" i="4"/>
  <c r="D17" i="4"/>
  <c r="BS14" i="4"/>
  <c r="BT14" i="4"/>
  <c r="BT11" i="4"/>
  <c r="BN14" i="4"/>
  <c r="BO14" i="4"/>
  <c r="BP14" i="4"/>
  <c r="BQ14" i="4"/>
  <c r="BQ17" i="4"/>
  <c r="BI14" i="4"/>
  <c r="BJ14" i="4"/>
  <c r="BK14" i="4"/>
  <c r="BL14" i="4"/>
  <c r="BL11" i="4"/>
  <c r="BD14" i="4"/>
  <c r="BE14" i="4"/>
  <c r="BF14" i="4"/>
  <c r="BG14" i="4"/>
  <c r="BG99" i="4"/>
  <c r="AY14" i="4"/>
  <c r="AZ14" i="4"/>
  <c r="BA14" i="4"/>
  <c r="BB14" i="4"/>
  <c r="BB11" i="4"/>
  <c r="AT14" i="4"/>
  <c r="AU14" i="4"/>
  <c r="AV14" i="4"/>
  <c r="AW14" i="4"/>
  <c r="AW11" i="4"/>
  <c r="AO14" i="4"/>
  <c r="AP14" i="4"/>
  <c r="AQ14" i="4"/>
  <c r="AR14" i="4"/>
  <c r="AR18" i="4"/>
  <c r="AJ14" i="4"/>
  <c r="AK14" i="4"/>
  <c r="AL14" i="4"/>
  <c r="AM14" i="4"/>
  <c r="AM99" i="4"/>
  <c r="AE14" i="4"/>
  <c r="AF14" i="4"/>
  <c r="AG14" i="4"/>
  <c r="AH14" i="4"/>
  <c r="AH11" i="4"/>
  <c r="Z14" i="4"/>
  <c r="AA14" i="4"/>
  <c r="AB14" i="4"/>
  <c r="AC14" i="4"/>
  <c r="AC11" i="4"/>
  <c r="U14" i="4"/>
  <c r="V14" i="4"/>
  <c r="W14" i="4"/>
  <c r="X14" i="4"/>
  <c r="X17" i="4"/>
  <c r="P14" i="4"/>
  <c r="Q14" i="4"/>
  <c r="R14" i="4"/>
  <c r="S14" i="4"/>
  <c r="S18" i="4"/>
  <c r="K14" i="4"/>
  <c r="L14" i="4"/>
  <c r="M14" i="4"/>
  <c r="N14" i="4"/>
  <c r="N11" i="4"/>
  <c r="G14" i="4"/>
  <c r="H14" i="4"/>
  <c r="I14" i="4"/>
  <c r="I18" i="4"/>
  <c r="C18" i="4"/>
  <c r="C17" i="4"/>
  <c r="AG80" i="4"/>
  <c r="Y70" i="4"/>
  <c r="O70" i="4"/>
  <c r="S79" i="4"/>
  <c r="S80" i="4"/>
  <c r="Q102" i="4"/>
  <c r="R99" i="4"/>
  <c r="R98" i="4"/>
  <c r="V79" i="4"/>
  <c r="X79" i="4"/>
  <c r="W80" i="4"/>
  <c r="T70" i="4"/>
  <c r="U99" i="4"/>
  <c r="X99" i="4"/>
  <c r="X103" i="4"/>
  <c r="W79" i="4"/>
  <c r="U80" i="4"/>
  <c r="W99" i="4"/>
  <c r="W103" i="4"/>
  <c r="BN73" i="4"/>
  <c r="BL79" i="4"/>
  <c r="BJ80" i="4"/>
  <c r="BJ79" i="4"/>
  <c r="BL73" i="4"/>
  <c r="BK79" i="4"/>
  <c r="BI80" i="4"/>
  <c r="BI79" i="4"/>
  <c r="BK80" i="4"/>
  <c r="AV79" i="4"/>
  <c r="AW80" i="4"/>
  <c r="AQ79" i="4"/>
  <c r="AP80" i="4"/>
  <c r="AQ80" i="4"/>
  <c r="AL80" i="4"/>
  <c r="AL79" i="4"/>
  <c r="AM80" i="4"/>
  <c r="AL73" i="4"/>
  <c r="AJ79" i="4"/>
  <c r="AJ70" i="4"/>
  <c r="AF79" i="4"/>
  <c r="AH80" i="4"/>
  <c r="AG79" i="4"/>
  <c r="AF80" i="4"/>
  <c r="AD70" i="4"/>
  <c r="AA79" i="4"/>
  <c r="AC80" i="4"/>
  <c r="AB79" i="4"/>
  <c r="Z80" i="4"/>
  <c r="AA80" i="4"/>
  <c r="Z79" i="4"/>
  <c r="Z70" i="4"/>
  <c r="AB80" i="4"/>
  <c r="W102" i="4"/>
  <c r="T102" i="4"/>
  <c r="U79" i="4"/>
  <c r="V80" i="4"/>
  <c r="V99" i="4"/>
  <c r="S102" i="4"/>
  <c r="S103" i="4"/>
  <c r="R79" i="4"/>
  <c r="R80" i="4"/>
  <c r="S73" i="4"/>
  <c r="S70" i="4"/>
  <c r="O103" i="4"/>
  <c r="N70" i="4"/>
  <c r="L70" i="4"/>
  <c r="M99" i="4"/>
  <c r="M79" i="4"/>
  <c r="BS18" i="4"/>
  <c r="BS11" i="4"/>
  <c r="BS76" i="4"/>
  <c r="BS17" i="4"/>
  <c r="BT18" i="4"/>
  <c r="BT76" i="4"/>
  <c r="BR79" i="4"/>
  <c r="BT17" i="4"/>
  <c r="BR73" i="4"/>
  <c r="BS99" i="4"/>
  <c r="BQ79" i="4"/>
  <c r="BP17" i="4"/>
  <c r="BO18" i="4"/>
  <c r="BQ11" i="4"/>
  <c r="BO76" i="4"/>
  <c r="BN99" i="4"/>
  <c r="BQ73" i="4"/>
  <c r="BP18" i="4"/>
  <c r="BN11" i="4"/>
  <c r="BO73" i="4"/>
  <c r="BP76" i="4"/>
  <c r="BO99" i="4"/>
  <c r="BK11" i="4"/>
  <c r="BJ99" i="4"/>
  <c r="BJ17" i="4"/>
  <c r="BL18" i="4"/>
  <c r="BK99" i="4"/>
  <c r="BG103" i="4"/>
  <c r="BG102" i="4"/>
  <c r="BE17" i="4"/>
  <c r="BD18" i="4"/>
  <c r="BE11" i="4"/>
  <c r="BD102" i="4"/>
  <c r="BE99" i="4"/>
  <c r="BF17" i="4"/>
  <c r="BE18" i="4"/>
  <c r="BF11" i="4"/>
  <c r="BF99" i="4"/>
  <c r="BG17" i="4"/>
  <c r="BF18" i="4"/>
  <c r="BG11" i="4"/>
  <c r="BA17" i="4"/>
  <c r="BB18" i="4"/>
  <c r="BA11" i="4"/>
  <c r="BB99" i="4"/>
  <c r="BB17" i="4"/>
  <c r="AY18" i="4"/>
  <c r="AY99" i="4"/>
  <c r="AU11" i="4"/>
  <c r="AW99" i="4"/>
  <c r="AT17" i="4"/>
  <c r="AV18" i="4"/>
  <c r="AV11" i="4"/>
  <c r="AT99" i="4"/>
  <c r="AW17" i="4"/>
  <c r="AU18" i="4"/>
  <c r="AU17" i="4"/>
  <c r="AW18" i="4"/>
  <c r="AU99" i="4"/>
  <c r="AR99" i="4"/>
  <c r="AR17" i="4"/>
  <c r="AQ18" i="4"/>
  <c r="AR11" i="4"/>
  <c r="AO99" i="4"/>
  <c r="AO11" i="4"/>
  <c r="AP99" i="4"/>
  <c r="AO17" i="4"/>
  <c r="AP17" i="4"/>
  <c r="AO18" i="4"/>
  <c r="AP11" i="4"/>
  <c r="AQ99" i="4"/>
  <c r="AM103" i="4"/>
  <c r="AM102" i="4"/>
  <c r="AK17" i="4"/>
  <c r="AJ18" i="4"/>
  <c r="AK11" i="4"/>
  <c r="AL99" i="4"/>
  <c r="AM17" i="4"/>
  <c r="AL18" i="4"/>
  <c r="AM11" i="4"/>
  <c r="AJ99" i="4"/>
  <c r="AJ17" i="4"/>
  <c r="AM18" i="4"/>
  <c r="AJ11" i="4"/>
  <c r="AK99" i="4"/>
  <c r="AL17" i="4"/>
  <c r="AK18" i="4"/>
  <c r="AL11" i="4"/>
  <c r="AH17" i="4"/>
  <c r="AH18" i="4"/>
  <c r="AF11" i="4"/>
  <c r="AE17" i="4"/>
  <c r="AE18" i="4"/>
  <c r="AG11" i="4"/>
  <c r="AF17" i="4"/>
  <c r="AF18" i="4"/>
  <c r="AC18" i="4"/>
  <c r="AB11" i="4"/>
  <c r="AB17" i="4"/>
  <c r="AC17" i="4"/>
  <c r="Z18" i="4"/>
  <c r="Z17" i="4"/>
  <c r="AA18" i="4"/>
  <c r="Z11" i="4"/>
  <c r="X18" i="4"/>
  <c r="W17" i="4"/>
  <c r="U18" i="4"/>
  <c r="U11" i="4"/>
  <c r="V17" i="4"/>
  <c r="X11" i="4"/>
  <c r="V18" i="4"/>
  <c r="V11" i="4"/>
  <c r="P11" i="4"/>
  <c r="Q17" i="4"/>
  <c r="P18" i="4"/>
  <c r="Q11" i="4"/>
  <c r="R17" i="4"/>
  <c r="Q18" i="4"/>
  <c r="R11" i="4"/>
  <c r="L17" i="4"/>
  <c r="N18" i="4"/>
  <c r="G17" i="4"/>
  <c r="H17" i="4"/>
  <c r="G18" i="4"/>
  <c r="H11" i="4"/>
  <c r="I17" i="4"/>
  <c r="H18" i="4"/>
  <c r="I11" i="4"/>
  <c r="G11" i="4"/>
  <c r="C8" i="4"/>
  <c r="BK73" i="4"/>
  <c r="BI73" i="4"/>
  <c r="BJ73" i="4"/>
  <c r="AV73" i="4"/>
  <c r="AP75" i="4"/>
  <c r="AH73" i="4"/>
  <c r="AH70" i="4"/>
  <c r="AG73" i="4"/>
  <c r="AG70" i="4"/>
  <c r="AF73" i="4"/>
  <c r="AA75" i="4"/>
  <c r="V75" i="4"/>
  <c r="U73" i="4"/>
  <c r="U70" i="4"/>
  <c r="Q73" i="4"/>
  <c r="Q70" i="4"/>
  <c r="R73" i="4"/>
  <c r="R70" i="4"/>
  <c r="Q98" i="4"/>
  <c r="M73" i="4"/>
  <c r="M70" i="4"/>
  <c r="AA99" i="4"/>
  <c r="Z103" i="4"/>
  <c r="Z102" i="4"/>
  <c r="AG103" i="4"/>
  <c r="AG102" i="4"/>
  <c r="BB73" i="4"/>
  <c r="BD76" i="4"/>
  <c r="BC79" i="4"/>
  <c r="BC80" i="4"/>
  <c r="AY79" i="4"/>
  <c r="BA79" i="4"/>
  <c r="AY80" i="4"/>
  <c r="BA80" i="4"/>
  <c r="AY73" i="4"/>
  <c r="BA73" i="4"/>
  <c r="AZ79" i="4"/>
  <c r="BB79" i="4"/>
  <c r="AZ80" i="4"/>
  <c r="BB80" i="4"/>
  <c r="AZ73" i="4"/>
  <c r="X102" i="4"/>
  <c r="R103" i="4"/>
  <c r="R102" i="4"/>
  <c r="U102" i="4"/>
  <c r="U103" i="4"/>
  <c r="AF70" i="4"/>
  <c r="V103" i="4"/>
  <c r="V102" i="4"/>
  <c r="M102" i="4"/>
  <c r="M103" i="4"/>
  <c r="BS103" i="4"/>
  <c r="BS102" i="4"/>
  <c r="BT80" i="4"/>
  <c r="BT79" i="4"/>
  <c r="BT73" i="4"/>
  <c r="BS80" i="4"/>
  <c r="BS79" i="4"/>
  <c r="BS73" i="4"/>
  <c r="BO79" i="4"/>
  <c r="BO80" i="4"/>
  <c r="BP80" i="4"/>
  <c r="BP79" i="4"/>
  <c r="BN103" i="4"/>
  <c r="BN102" i="4"/>
  <c r="BO102" i="4"/>
  <c r="BO103" i="4"/>
  <c r="BP73" i="4"/>
  <c r="BJ103" i="4"/>
  <c r="BJ102" i="4"/>
  <c r="BK103" i="4"/>
  <c r="BK102" i="4"/>
  <c r="BF103" i="4"/>
  <c r="BF102" i="4"/>
  <c r="BE103" i="4"/>
  <c r="BE102" i="4"/>
  <c r="BB102" i="4"/>
  <c r="BB103" i="4"/>
  <c r="AY102" i="4"/>
  <c r="AY103" i="4"/>
  <c r="AU103" i="4"/>
  <c r="AU102" i="4"/>
  <c r="AT103" i="4"/>
  <c r="AT102" i="4"/>
  <c r="AW102" i="4"/>
  <c r="AW103" i="4"/>
  <c r="AQ103" i="4"/>
  <c r="AQ102" i="4"/>
  <c r="AP103" i="4"/>
  <c r="AP102" i="4"/>
  <c r="AO102" i="4"/>
  <c r="AO103" i="4"/>
  <c r="AR102" i="4"/>
  <c r="AR103" i="4"/>
  <c r="AK102" i="4"/>
  <c r="AK103" i="4"/>
  <c r="AJ103" i="4"/>
  <c r="AJ102" i="4"/>
  <c r="AL102" i="4"/>
  <c r="AL103" i="4"/>
  <c r="AQ75" i="4"/>
  <c r="AP73" i="4"/>
  <c r="AB75" i="4"/>
  <c r="AA73" i="4"/>
  <c r="AA70" i="4"/>
  <c r="W75" i="4"/>
  <c r="V98" i="4"/>
  <c r="V73" i="4"/>
  <c r="V70" i="4"/>
  <c r="AH103" i="4"/>
  <c r="AH102" i="4"/>
  <c r="AB99" i="4"/>
  <c r="AA103" i="4"/>
  <c r="AA102" i="4"/>
  <c r="BE76" i="4"/>
  <c r="BD73" i="4"/>
  <c r="BD80" i="4"/>
  <c r="BD79" i="4"/>
  <c r="AR75" i="4"/>
  <c r="AR73" i="4"/>
  <c r="AQ73" i="4"/>
  <c r="AC75" i="4"/>
  <c r="AC73" i="4"/>
  <c r="AC70" i="4"/>
  <c r="AB73" i="4"/>
  <c r="AB70" i="4"/>
  <c r="X75" i="4"/>
  <c r="W98" i="4"/>
  <c r="W73" i="4"/>
  <c r="W70" i="4"/>
  <c r="AC99" i="4"/>
  <c r="AB103" i="4"/>
  <c r="AB102" i="4"/>
  <c r="BF76" i="4"/>
  <c r="BE73" i="4"/>
  <c r="BE80" i="4"/>
  <c r="BE79" i="4"/>
  <c r="X98" i="4"/>
  <c r="X73" i="4"/>
  <c r="X70" i="4"/>
  <c r="AC103" i="4"/>
  <c r="AC102" i="4"/>
  <c r="BG76" i="4"/>
  <c r="BF73" i="4"/>
  <c r="BF80" i="4"/>
  <c r="BF79" i="4"/>
  <c r="BG73" i="4"/>
  <c r="BG80" i="4"/>
  <c r="BG79" i="4"/>
  <c r="AT23" i="1"/>
  <c r="AS23" i="1"/>
  <c r="F23" i="1"/>
  <c r="F6" i="4" s="1"/>
  <c r="D25" i="1"/>
  <c r="E25" i="1" s="1"/>
  <c r="E77" i="1" s="1"/>
  <c r="E162" i="1" s="1"/>
  <c r="C23" i="1"/>
  <c r="W125" i="3"/>
  <c r="W126" i="3" s="1"/>
  <c r="W127" i="3" s="1"/>
  <c r="X121" i="3"/>
  <c r="X122" i="3" s="1"/>
  <c r="X123" i="3" s="1"/>
  <c r="Y121" i="3"/>
  <c r="Y122" i="3" s="1"/>
  <c r="Y123" i="3" s="1"/>
  <c r="H117" i="3"/>
  <c r="AT91" i="23"/>
  <c r="AV87" i="23"/>
  <c r="AV93" i="23"/>
  <c r="AU87" i="23"/>
  <c r="AU93" i="23"/>
  <c r="AV79" i="23"/>
  <c r="AV83" i="23"/>
  <c r="AU79" i="23"/>
  <c r="AU83" i="23"/>
  <c r="AV65" i="23"/>
  <c r="AV72" i="23"/>
  <c r="AU65" i="23"/>
  <c r="AU72" i="23"/>
  <c r="AV54" i="23"/>
  <c r="AV59" i="23"/>
  <c r="AU54" i="23"/>
  <c r="AU59" i="23"/>
  <c r="AV53" i="23"/>
  <c r="AU53" i="23"/>
  <c r="AW93" i="23"/>
  <c r="AT93" i="23"/>
  <c r="AS93" i="23"/>
  <c r="AW87" i="23"/>
  <c r="AU73" i="23"/>
  <c r="AU74" i="23"/>
  <c r="AU94" i="23"/>
  <c r="AU95" i="23"/>
  <c r="AV73" i="23"/>
  <c r="AV74" i="23"/>
  <c r="AV94" i="23"/>
  <c r="AV95" i="23"/>
  <c r="C18" i="21"/>
  <c r="BN91" i="23"/>
  <c r="BM91" i="23"/>
  <c r="BL91" i="23"/>
  <c r="BK91" i="23"/>
  <c r="BJ91" i="23"/>
  <c r="BI91" i="23"/>
  <c r="BH91" i="23"/>
  <c r="BG91" i="23"/>
  <c r="BF91" i="23"/>
  <c r="BE91" i="23"/>
  <c r="BD91" i="23"/>
  <c r="BC91" i="23"/>
  <c r="BB91" i="23"/>
  <c r="BA91" i="23"/>
  <c r="AZ91" i="23"/>
  <c r="AY91" i="23"/>
  <c r="BN87" i="23"/>
  <c r="BN93" i="23"/>
  <c r="BM87" i="23"/>
  <c r="BM93" i="23"/>
  <c r="BL87" i="23"/>
  <c r="BL93" i="23"/>
  <c r="BK87" i="23"/>
  <c r="BK93" i="23"/>
  <c r="BJ87" i="23"/>
  <c r="BJ93" i="23"/>
  <c r="BI87" i="23"/>
  <c r="BI93" i="23"/>
  <c r="BH87" i="23"/>
  <c r="BH93" i="23"/>
  <c r="BG87" i="23"/>
  <c r="BG93" i="23"/>
  <c r="BF87" i="23"/>
  <c r="BF93" i="23"/>
  <c r="BE87" i="23"/>
  <c r="BE93" i="23"/>
  <c r="BD87" i="23"/>
  <c r="BD93" i="23"/>
  <c r="BC87" i="23"/>
  <c r="BC93" i="23"/>
  <c r="BB87" i="23"/>
  <c r="BB93" i="23"/>
  <c r="BA87" i="23"/>
  <c r="BA93" i="23"/>
  <c r="AZ87" i="23"/>
  <c r="AZ93" i="23"/>
  <c r="AY87" i="23"/>
  <c r="AY93" i="23"/>
  <c r="BN79" i="23"/>
  <c r="BN83" i="23"/>
  <c r="BM79" i="23"/>
  <c r="BM83" i="23"/>
  <c r="BL79" i="23"/>
  <c r="BL83" i="23"/>
  <c r="BK79" i="23"/>
  <c r="BK83" i="23"/>
  <c r="BJ79" i="23"/>
  <c r="BJ83" i="23"/>
  <c r="BI79" i="23"/>
  <c r="BI83" i="23"/>
  <c r="BH79" i="23"/>
  <c r="BH83" i="23"/>
  <c r="BG79" i="23"/>
  <c r="BG83" i="23"/>
  <c r="BF79" i="23"/>
  <c r="BF83" i="23"/>
  <c r="BE79" i="23"/>
  <c r="BE83" i="23"/>
  <c r="BD79" i="23"/>
  <c r="BD83" i="23"/>
  <c r="BC79" i="23"/>
  <c r="BC83" i="23"/>
  <c r="BB79" i="23"/>
  <c r="BB83" i="23"/>
  <c r="BA79" i="23"/>
  <c r="BA83" i="23"/>
  <c r="AZ79" i="23"/>
  <c r="AZ83" i="23"/>
  <c r="AY79" i="23"/>
  <c r="AY83" i="23"/>
  <c r="BN65" i="23"/>
  <c r="BN72" i="23"/>
  <c r="BM65" i="23"/>
  <c r="BM72" i="23"/>
  <c r="BL65" i="23"/>
  <c r="BL72" i="23"/>
  <c r="BK65" i="23"/>
  <c r="BK72" i="23"/>
  <c r="BJ65" i="23"/>
  <c r="BJ72" i="23"/>
  <c r="BI65" i="23"/>
  <c r="BI72" i="23"/>
  <c r="BH65" i="23"/>
  <c r="BH72" i="23"/>
  <c r="BG65" i="23"/>
  <c r="BG72" i="23"/>
  <c r="BF65" i="23"/>
  <c r="BF72" i="23"/>
  <c r="BE65" i="23"/>
  <c r="BE72" i="23"/>
  <c r="BD65" i="23"/>
  <c r="BD72" i="23"/>
  <c r="BC65" i="23"/>
  <c r="BC72" i="23"/>
  <c r="BB65" i="23"/>
  <c r="BB72" i="23"/>
  <c r="BA65" i="23"/>
  <c r="BA72" i="23"/>
  <c r="AZ65" i="23"/>
  <c r="AZ72" i="23"/>
  <c r="AY65" i="23"/>
  <c r="AY72" i="23"/>
  <c r="BN54" i="23"/>
  <c r="BN59" i="23"/>
  <c r="BM54" i="23"/>
  <c r="BM59" i="23"/>
  <c r="BL54" i="23"/>
  <c r="BL59" i="23"/>
  <c r="BK54" i="23"/>
  <c r="BK59" i="23"/>
  <c r="BJ54" i="23"/>
  <c r="BJ59" i="23"/>
  <c r="BI54" i="23"/>
  <c r="BI59" i="23"/>
  <c r="BH54" i="23"/>
  <c r="BH59" i="23"/>
  <c r="BG54" i="23"/>
  <c r="BG59" i="23"/>
  <c r="BF54" i="23"/>
  <c r="BF59" i="23"/>
  <c r="BE54" i="23"/>
  <c r="BE59" i="23"/>
  <c r="BD54" i="23"/>
  <c r="BD59" i="23"/>
  <c r="BC54" i="23"/>
  <c r="BC59" i="23"/>
  <c r="BB54" i="23"/>
  <c r="BB59" i="23"/>
  <c r="BA54" i="23"/>
  <c r="BA59" i="23"/>
  <c r="AZ54" i="23"/>
  <c r="AZ59" i="23"/>
  <c r="AY54" i="23"/>
  <c r="AY59" i="23"/>
  <c r="BN53" i="23"/>
  <c r="BM53" i="23"/>
  <c r="BL53" i="23"/>
  <c r="BK53" i="23"/>
  <c r="BJ53" i="23"/>
  <c r="BI53" i="23"/>
  <c r="BH53" i="23"/>
  <c r="BG53" i="23"/>
  <c r="BF53" i="23"/>
  <c r="BE53" i="23"/>
  <c r="BD53" i="23"/>
  <c r="BC53" i="23"/>
  <c r="BB53" i="23"/>
  <c r="BA53" i="23"/>
  <c r="AZ53" i="23"/>
  <c r="AY53" i="23"/>
  <c r="AX87" i="23"/>
  <c r="AX93" i="23"/>
  <c r="AX91" i="23"/>
  <c r="AX59" i="23"/>
  <c r="AX65" i="23"/>
  <c r="AX79" i="23"/>
  <c r="AX54" i="23"/>
  <c r="AW79" i="23"/>
  <c r="AW83" i="23"/>
  <c r="AW65" i="23"/>
  <c r="AW72" i="23"/>
  <c r="AW54" i="23"/>
  <c r="AW59" i="23"/>
  <c r="AW53" i="23"/>
  <c r="AS72" i="1"/>
  <c r="AT72" i="1" s="1"/>
  <c r="AU72" i="1" s="1"/>
  <c r="AV72" i="1" s="1"/>
  <c r="AW72" i="1" s="1"/>
  <c r="AS79" i="23"/>
  <c r="AS54" i="23"/>
  <c r="BT54" i="23"/>
  <c r="BS54" i="23"/>
  <c r="BR54" i="23"/>
  <c r="BQ54" i="23"/>
  <c r="BP54" i="23"/>
  <c r="BO54" i="23"/>
  <c r="BS72" i="23"/>
  <c r="BS73" i="23"/>
  <c r="BQ72" i="23"/>
  <c r="BQ73" i="23"/>
  <c r="BT65" i="23"/>
  <c r="BT72" i="23"/>
  <c r="BS65" i="23"/>
  <c r="BR65" i="23"/>
  <c r="BR72" i="23"/>
  <c r="BQ65" i="23"/>
  <c r="BP65" i="23"/>
  <c r="BP72" i="23"/>
  <c r="BO65" i="23"/>
  <c r="AW23" i="23"/>
  <c r="AW28" i="23"/>
  <c r="AV23" i="23"/>
  <c r="AV28" i="23"/>
  <c r="AV29" i="23"/>
  <c r="AU23" i="23"/>
  <c r="AU28" i="23"/>
  <c r="AV18" i="23"/>
  <c r="AW15" i="23"/>
  <c r="AW18" i="23"/>
  <c r="AV15" i="23"/>
  <c r="AU15" i="23"/>
  <c r="AU18" i="23"/>
  <c r="AT15" i="23"/>
  <c r="BT29" i="23"/>
  <c r="BT30" i="23"/>
  <c r="BS29" i="23"/>
  <c r="BS30" i="23"/>
  <c r="BR29" i="23"/>
  <c r="BR30" i="23"/>
  <c r="BQ29" i="23"/>
  <c r="BQ30" i="23"/>
  <c r="BP29" i="23"/>
  <c r="BP30" i="23"/>
  <c r="BO29" i="23"/>
  <c r="BO30" i="23"/>
  <c r="BN29" i="23"/>
  <c r="BN30" i="23"/>
  <c r="BM29" i="23"/>
  <c r="BM30" i="23"/>
  <c r="BL29" i="23"/>
  <c r="BL30" i="23"/>
  <c r="BK29" i="23"/>
  <c r="BK30" i="23"/>
  <c r="BJ29" i="23"/>
  <c r="BJ30" i="23"/>
  <c r="BI29" i="23"/>
  <c r="BI30" i="23"/>
  <c r="BH29" i="23"/>
  <c r="BH30" i="23"/>
  <c r="BG29" i="23"/>
  <c r="BG30" i="23"/>
  <c r="BF29" i="23"/>
  <c r="BF30" i="23"/>
  <c r="BE29" i="23"/>
  <c r="BE30" i="23"/>
  <c r="BD29" i="23"/>
  <c r="BD30" i="23"/>
  <c r="BC29" i="23"/>
  <c r="BC30" i="23"/>
  <c r="BB29" i="23"/>
  <c r="BB30" i="23"/>
  <c r="BA29" i="23"/>
  <c r="BA30" i="23"/>
  <c r="AZ29" i="23"/>
  <c r="AZ30" i="23"/>
  <c r="AY29" i="23"/>
  <c r="AY30" i="23"/>
  <c r="BT23" i="23"/>
  <c r="BS23" i="23"/>
  <c r="BR23" i="23"/>
  <c r="BQ23" i="23"/>
  <c r="BP23" i="23"/>
  <c r="BO23" i="23"/>
  <c r="BN23" i="23"/>
  <c r="BM23" i="23"/>
  <c r="BL23" i="23"/>
  <c r="BK23" i="23"/>
  <c r="BJ23" i="23"/>
  <c r="BI23" i="23"/>
  <c r="BH23" i="23"/>
  <c r="BG23" i="23"/>
  <c r="BF23" i="23"/>
  <c r="BE23" i="23"/>
  <c r="BD23" i="23"/>
  <c r="BC23" i="23"/>
  <c r="BB23" i="23"/>
  <c r="BA23" i="23"/>
  <c r="AZ23" i="23"/>
  <c r="AY23" i="23"/>
  <c r="BT15" i="23"/>
  <c r="BT18" i="23"/>
  <c r="BS15" i="23"/>
  <c r="BS18" i="23"/>
  <c r="BR15" i="23"/>
  <c r="BR18" i="23"/>
  <c r="BQ15" i="23"/>
  <c r="BQ18" i="23"/>
  <c r="BP15" i="23"/>
  <c r="BP18" i="23"/>
  <c r="BO15" i="23"/>
  <c r="BO18" i="23"/>
  <c r="BN15" i="23"/>
  <c r="BN18" i="23"/>
  <c r="BM15" i="23"/>
  <c r="BM18" i="23"/>
  <c r="BL15" i="23"/>
  <c r="BL18" i="23"/>
  <c r="BK15" i="23"/>
  <c r="BK18" i="23"/>
  <c r="BJ15" i="23"/>
  <c r="BJ18" i="23"/>
  <c r="BI15" i="23"/>
  <c r="BI18" i="23"/>
  <c r="BH15" i="23"/>
  <c r="BH18" i="23"/>
  <c r="BG15" i="23"/>
  <c r="BG18" i="23"/>
  <c r="BF15" i="23"/>
  <c r="BF18" i="23"/>
  <c r="BE15" i="23"/>
  <c r="BE18" i="23"/>
  <c r="BD15" i="23"/>
  <c r="BD18" i="23"/>
  <c r="BC15" i="23"/>
  <c r="BC18" i="23"/>
  <c r="BB15" i="23"/>
  <c r="BB18" i="23"/>
  <c r="BA15" i="23"/>
  <c r="BA18" i="23"/>
  <c r="AZ15" i="23"/>
  <c r="AZ18" i="23"/>
  <c r="AY15" i="23"/>
  <c r="AY18" i="23"/>
  <c r="AX23" i="23"/>
  <c r="AX15" i="23"/>
  <c r="G118" i="3"/>
  <c r="G119" i="3" s="1"/>
  <c r="J115" i="3" s="1"/>
  <c r="J117" i="3" s="1"/>
  <c r="AY74" i="23"/>
  <c r="AY73" i="23"/>
  <c r="BA74" i="23"/>
  <c r="BA73" i="23"/>
  <c r="BC74" i="23"/>
  <c r="BC73" i="23"/>
  <c r="BE74" i="23"/>
  <c r="BE73" i="23"/>
  <c r="BG74" i="23"/>
  <c r="BG73" i="23"/>
  <c r="BI74" i="23"/>
  <c r="BI73" i="23"/>
  <c r="BK74" i="23"/>
  <c r="BK73" i="23"/>
  <c r="BM74" i="23"/>
  <c r="BM73" i="23"/>
  <c r="AY95" i="23"/>
  <c r="AY94" i="23"/>
  <c r="BA95" i="23"/>
  <c r="BA94" i="23"/>
  <c r="BC95" i="23"/>
  <c r="BC94" i="23"/>
  <c r="BE95" i="23"/>
  <c r="BE94" i="23"/>
  <c r="BG95" i="23"/>
  <c r="BG94" i="23"/>
  <c r="BI94" i="23"/>
  <c r="BI95" i="23"/>
  <c r="BK94" i="23"/>
  <c r="BK95" i="23"/>
  <c r="BM94" i="23"/>
  <c r="BM95" i="23"/>
  <c r="AZ73" i="23"/>
  <c r="AZ74" i="23"/>
  <c r="BB73" i="23"/>
  <c r="BB74" i="23"/>
  <c r="BD73" i="23"/>
  <c r="BD74" i="23"/>
  <c r="BF73" i="23"/>
  <c r="BF74" i="23"/>
  <c r="BH73" i="23"/>
  <c r="BH74" i="23"/>
  <c r="BJ73" i="23"/>
  <c r="BJ74" i="23"/>
  <c r="BL73" i="23"/>
  <c r="BL74" i="23"/>
  <c r="BN73" i="23"/>
  <c r="BN74" i="23"/>
  <c r="AZ94" i="23"/>
  <c r="AZ95" i="23"/>
  <c r="BB94" i="23"/>
  <c r="BB95" i="23"/>
  <c r="BD94" i="23"/>
  <c r="BD95" i="23"/>
  <c r="BF94" i="23"/>
  <c r="BF95" i="23"/>
  <c r="BH94" i="23"/>
  <c r="BH95" i="23"/>
  <c r="BJ94" i="23"/>
  <c r="BJ95" i="23"/>
  <c r="BL94" i="23"/>
  <c r="BL95" i="23"/>
  <c r="BN94" i="23"/>
  <c r="BN95" i="23"/>
  <c r="AW73" i="23"/>
  <c r="AW74" i="23"/>
  <c r="AW94" i="23"/>
  <c r="AW95" i="23"/>
  <c r="BP73" i="23"/>
  <c r="BP74" i="23"/>
  <c r="BR74" i="23"/>
  <c r="BR73" i="23"/>
  <c r="BT74" i="23"/>
  <c r="BT73" i="23"/>
  <c r="BQ74" i="23"/>
  <c r="BS74" i="23"/>
  <c r="AW29" i="23"/>
  <c r="AW30" i="23"/>
  <c r="AU29" i="23"/>
  <c r="AU30" i="23"/>
  <c r="AV30" i="23"/>
  <c r="J27" i="5"/>
  <c r="AE156" i="1"/>
  <c r="AD156" i="1"/>
  <c r="AC156" i="1"/>
  <c r="AB156" i="1"/>
  <c r="AA156" i="1"/>
  <c r="Z156" i="1"/>
  <c r="Y156" i="1"/>
  <c r="BN65" i="1"/>
  <c r="BH65" i="1"/>
  <c r="BF65" i="1"/>
  <c r="AZ65" i="1"/>
  <c r="BO72" i="23"/>
  <c r="BO73" i="23"/>
  <c r="BO53" i="23"/>
  <c r="BP53" i="23"/>
  <c r="BN97" i="23"/>
  <c r="BL97" i="23"/>
  <c r="BL65" i="1"/>
  <c r="BK97" i="23"/>
  <c r="BK65" i="1"/>
  <c r="BJ97" i="23"/>
  <c r="BJ65" i="1"/>
  <c r="BH97" i="23"/>
  <c r="BG97" i="23"/>
  <c r="BG65" i="1"/>
  <c r="BF97" i="23"/>
  <c r="BD97" i="23"/>
  <c r="BD65" i="1"/>
  <c r="BC97" i="23"/>
  <c r="BC65" i="1"/>
  <c r="BB97" i="23"/>
  <c r="BB65" i="1"/>
  <c r="AZ97" i="23"/>
  <c r="AY97" i="23"/>
  <c r="AY65" i="1"/>
  <c r="AX83" i="23"/>
  <c r="AX72" i="23"/>
  <c r="AX73" i="23"/>
  <c r="AX53" i="23"/>
  <c r="AX72" i="1"/>
  <c r="AY72" i="1" s="1"/>
  <c r="AZ72" i="1" s="1"/>
  <c r="BA72" i="1" s="1"/>
  <c r="BB72" i="1" s="1"/>
  <c r="BC72" i="1" s="1"/>
  <c r="BD72" i="1" s="1"/>
  <c r="BE72" i="1" s="1"/>
  <c r="BF72" i="1" s="1"/>
  <c r="BG72" i="1" s="1"/>
  <c r="BH72" i="1" s="1"/>
  <c r="BI72" i="1" s="1"/>
  <c r="BJ72" i="1" s="1"/>
  <c r="BK72" i="1" s="1"/>
  <c r="BL72" i="1" s="1"/>
  <c r="BM72" i="1" s="1"/>
  <c r="BN72" i="1" s="1"/>
  <c r="AW97" i="23"/>
  <c r="AW65" i="1"/>
  <c r="AV97" i="23"/>
  <c r="AV65" i="1"/>
  <c r="BM97" i="23"/>
  <c r="BM65" i="1"/>
  <c r="BI97" i="23"/>
  <c r="BI65" i="1"/>
  <c r="BE97" i="23"/>
  <c r="BE65" i="1"/>
  <c r="BA97" i="23"/>
  <c r="BA65" i="1"/>
  <c r="AT87" i="23"/>
  <c r="AT83" i="23"/>
  <c r="AT79" i="23"/>
  <c r="AT72" i="23"/>
  <c r="AT65" i="23"/>
  <c r="AT59" i="23"/>
  <c r="AT97" i="23"/>
  <c r="AT65" i="1"/>
  <c r="AT53" i="23"/>
  <c r="AS72" i="23"/>
  <c r="AS73" i="23"/>
  <c r="AS74" i="23"/>
  <c r="AS69" i="23"/>
  <c r="AS94" i="23"/>
  <c r="AS87" i="23"/>
  <c r="AS65" i="23"/>
  <c r="AS59" i="23"/>
  <c r="AS97" i="23"/>
  <c r="AS65" i="1"/>
  <c r="AS53" i="23"/>
  <c r="BQ53" i="23"/>
  <c r="BP59" i="23"/>
  <c r="BP97" i="23"/>
  <c r="BP65" i="1"/>
  <c r="BO59" i="23"/>
  <c r="BO97" i="23"/>
  <c r="BO65" i="1"/>
  <c r="AX97" i="23"/>
  <c r="AX65" i="1"/>
  <c r="AX94" i="23"/>
  <c r="AX95" i="23"/>
  <c r="AX98" i="23"/>
  <c r="AX66" i="1"/>
  <c r="AX74" i="23"/>
  <c r="AU97" i="23"/>
  <c r="AU65" i="1"/>
  <c r="AT94" i="23"/>
  <c r="AT95" i="23"/>
  <c r="AT73" i="23"/>
  <c r="AT74" i="23"/>
  <c r="AS98" i="23"/>
  <c r="AS66" i="1"/>
  <c r="AS95" i="23"/>
  <c r="BP98" i="23"/>
  <c r="BP66" i="1"/>
  <c r="BR98" i="23"/>
  <c r="BR66" i="1"/>
  <c r="BT98" i="23"/>
  <c r="BT66" i="1"/>
  <c r="BQ98" i="23"/>
  <c r="BQ66" i="1"/>
  <c r="BS98" i="23"/>
  <c r="BS66" i="1"/>
  <c r="BO74" i="23"/>
  <c r="BO98" i="23"/>
  <c r="BO66" i="1"/>
  <c r="AY98" i="23"/>
  <c r="AY66" i="1"/>
  <c r="BK98" i="23"/>
  <c r="BK66" i="1"/>
  <c r="BC98" i="23"/>
  <c r="BC66" i="1"/>
  <c r="BG98" i="23"/>
  <c r="BG66" i="1"/>
  <c r="BL98" i="23"/>
  <c r="BL66" i="1"/>
  <c r="BI98" i="23"/>
  <c r="BI66" i="1"/>
  <c r="AR66" i="1"/>
  <c r="AQ66" i="1"/>
  <c r="AP66" i="1"/>
  <c r="AO66" i="1"/>
  <c r="AN66" i="1"/>
  <c r="AM66" i="1"/>
  <c r="AL66" i="1"/>
  <c r="AK66" i="1"/>
  <c r="AJ66" i="1"/>
  <c r="AI66" i="1"/>
  <c r="AH66" i="1"/>
  <c r="AG66" i="1"/>
  <c r="AF66" i="1"/>
  <c r="AE66" i="1"/>
  <c r="AD66" i="1"/>
  <c r="AC66" i="1"/>
  <c r="AB66" i="1"/>
  <c r="AA66" i="1"/>
  <c r="Z66" i="1"/>
  <c r="Y66" i="1"/>
  <c r="X66" i="1"/>
  <c r="W66" i="1"/>
  <c r="V66" i="1"/>
  <c r="U66" i="1"/>
  <c r="T66" i="1"/>
  <c r="S66" i="1"/>
  <c r="R66" i="1"/>
  <c r="Q66" i="1"/>
  <c r="P66" i="1"/>
  <c r="O66" i="1"/>
  <c r="O151" i="1" s="1"/>
  <c r="N66" i="1"/>
  <c r="N151" i="1" s="1"/>
  <c r="M66" i="1"/>
  <c r="M151" i="1" s="1"/>
  <c r="L66" i="1"/>
  <c r="L151" i="1" s="1"/>
  <c r="L88" i="23"/>
  <c r="L67" i="23"/>
  <c r="L72" i="23"/>
  <c r="L73" i="23"/>
  <c r="L74" i="23"/>
  <c r="M88" i="23"/>
  <c r="M93" i="23"/>
  <c r="M67" i="23"/>
  <c r="M53" i="23"/>
  <c r="L53" i="23"/>
  <c r="N80" i="1"/>
  <c r="N81" i="1"/>
  <c r="N166" i="1" s="1"/>
  <c r="N89" i="23"/>
  <c r="M89" i="23"/>
  <c r="L89" i="23"/>
  <c r="N88" i="23"/>
  <c r="N72" i="23"/>
  <c r="N73" i="23"/>
  <c r="N74" i="23"/>
  <c r="M72" i="23"/>
  <c r="M73" i="23"/>
  <c r="M74" i="23"/>
  <c r="N67" i="23"/>
  <c r="N53" i="23"/>
  <c r="O98" i="23"/>
  <c r="O93" i="23"/>
  <c r="N93" i="23"/>
  <c r="L93" i="23"/>
  <c r="O89" i="23"/>
  <c r="O88" i="23"/>
  <c r="O87" i="23"/>
  <c r="N87" i="23"/>
  <c r="M87" i="23"/>
  <c r="L87" i="23"/>
  <c r="O83" i="23"/>
  <c r="N83" i="23"/>
  <c r="M83" i="23"/>
  <c r="L83" i="23"/>
  <c r="O79" i="23"/>
  <c r="N79" i="23"/>
  <c r="M79" i="23"/>
  <c r="L79" i="23"/>
  <c r="O73" i="23"/>
  <c r="O74" i="23"/>
  <c r="O72" i="23"/>
  <c r="N68" i="23"/>
  <c r="M68" i="23"/>
  <c r="L68" i="23"/>
  <c r="O68" i="23"/>
  <c r="O67" i="23"/>
  <c r="O65" i="23"/>
  <c r="N65" i="23"/>
  <c r="M65" i="23"/>
  <c r="L65" i="23"/>
  <c r="O53" i="23"/>
  <c r="AJ90" i="23"/>
  <c r="AJ81" i="23"/>
  <c r="AJ80" i="23"/>
  <c r="AI90" i="23"/>
  <c r="AI80" i="23"/>
  <c r="AH90" i="23"/>
  <c r="AH93" i="23"/>
  <c r="AH81" i="23"/>
  <c r="AH80" i="23"/>
  <c r="AG90" i="23"/>
  <c r="AG80" i="23"/>
  <c r="AR93" i="23"/>
  <c r="AQ93" i="23"/>
  <c r="AP93" i="23"/>
  <c r="AO93" i="23"/>
  <c r="AN93" i="23"/>
  <c r="AM93" i="23"/>
  <c r="AL93" i="23"/>
  <c r="AK93" i="23"/>
  <c r="AJ93" i="23"/>
  <c r="AI93" i="23"/>
  <c r="AG93" i="23"/>
  <c r="AF93" i="23"/>
  <c r="AF90" i="23"/>
  <c r="AR83" i="23"/>
  <c r="AQ83" i="23"/>
  <c r="AP83" i="23"/>
  <c r="AO83" i="23"/>
  <c r="AN83" i="23"/>
  <c r="AM83" i="23"/>
  <c r="AL83" i="23"/>
  <c r="AK83" i="23"/>
  <c r="AI83" i="23"/>
  <c r="AG83" i="23"/>
  <c r="AF83" i="23"/>
  <c r="AF81" i="23"/>
  <c r="AF80" i="23"/>
  <c r="AE93" i="23"/>
  <c r="AE90" i="23"/>
  <c r="AE83" i="23"/>
  <c r="AE80" i="23"/>
  <c r="Z80" i="1"/>
  <c r="AA80" i="1" s="1"/>
  <c r="AB80" i="1" s="1"/>
  <c r="AC80" i="1" s="1"/>
  <c r="AD80" i="1" s="1"/>
  <c r="AE80" i="1" s="1"/>
  <c r="AR88" i="23"/>
  <c r="AQ88" i="23"/>
  <c r="AP88" i="23"/>
  <c r="AO88" i="23"/>
  <c r="AN88" i="23"/>
  <c r="AM88" i="23"/>
  <c r="AL88" i="23"/>
  <c r="AK88" i="23"/>
  <c r="AJ88" i="23"/>
  <c r="AI88" i="23"/>
  <c r="AH88" i="23"/>
  <c r="AG88" i="23"/>
  <c r="AF88" i="23"/>
  <c r="AE88" i="23"/>
  <c r="AD88" i="23"/>
  <c r="AC88" i="23"/>
  <c r="AB88" i="23"/>
  <c r="AA88" i="23"/>
  <c r="Z88" i="23"/>
  <c r="Y88" i="23"/>
  <c r="X88" i="23"/>
  <c r="W88" i="23"/>
  <c r="AT98" i="23"/>
  <c r="AT66" i="1"/>
  <c r="BR53" i="23"/>
  <c r="BQ59" i="23"/>
  <c r="BQ97" i="23"/>
  <c r="BQ65" i="1"/>
  <c r="AU98" i="23"/>
  <c r="AU66" i="1"/>
  <c r="BB98" i="23"/>
  <c r="BB66" i="1"/>
  <c r="BA98" i="23"/>
  <c r="BA66" i="1"/>
  <c r="BH98" i="23"/>
  <c r="BH66" i="1"/>
  <c r="BN98" i="23"/>
  <c r="BN66" i="1"/>
  <c r="BJ98" i="23"/>
  <c r="BJ66" i="1"/>
  <c r="BF98" i="23"/>
  <c r="BF66" i="1"/>
  <c r="BD98" i="23"/>
  <c r="BD66" i="1"/>
  <c r="AZ98" i="23"/>
  <c r="AZ66" i="1"/>
  <c r="BE98" i="23"/>
  <c r="BE66" i="1"/>
  <c r="BM98" i="23"/>
  <c r="BM66" i="1"/>
  <c r="AW98" i="23"/>
  <c r="AW66" i="1"/>
  <c r="AV98" i="23"/>
  <c r="AV66" i="1"/>
  <c r="M94" i="23"/>
  <c r="M95" i="23"/>
  <c r="M98" i="23"/>
  <c r="O94" i="23"/>
  <c r="O95" i="23"/>
  <c r="L94" i="23"/>
  <c r="L95" i="23"/>
  <c r="L98" i="23"/>
  <c r="N94" i="23"/>
  <c r="N95" i="23"/>
  <c r="N98" i="23"/>
  <c r="AJ83" i="23"/>
  <c r="AH83" i="23"/>
  <c r="BS53" i="23"/>
  <c r="BR59" i="23"/>
  <c r="BR97" i="23"/>
  <c r="BR65" i="1"/>
  <c r="V80" i="1"/>
  <c r="V88" i="23"/>
  <c r="U88" i="23"/>
  <c r="R10" i="24"/>
  <c r="Q10" i="24"/>
  <c r="P10" i="24"/>
  <c r="O10" i="24"/>
  <c r="N10" i="24"/>
  <c r="M10" i="24"/>
  <c r="L10" i="24"/>
  <c r="K10" i="24"/>
  <c r="J10" i="24"/>
  <c r="I10" i="24"/>
  <c r="H10" i="24"/>
  <c r="G10" i="24"/>
  <c r="F10" i="24"/>
  <c r="E10" i="24"/>
  <c r="D10" i="24"/>
  <c r="R7" i="24"/>
  <c r="Q7" i="24"/>
  <c r="P7" i="24"/>
  <c r="O7" i="24"/>
  <c r="N7" i="24"/>
  <c r="M7" i="24"/>
  <c r="L7" i="24"/>
  <c r="K7" i="24"/>
  <c r="J7" i="24"/>
  <c r="I7" i="24"/>
  <c r="H7" i="24"/>
  <c r="G7" i="24"/>
  <c r="F7" i="24"/>
  <c r="E7" i="24"/>
  <c r="D7" i="24"/>
  <c r="C10" i="24"/>
  <c r="C7" i="24"/>
  <c r="T88" i="23"/>
  <c r="S88" i="23"/>
  <c r="R88" i="23"/>
  <c r="AR89" i="23"/>
  <c r="AR94" i="23"/>
  <c r="AR95" i="23"/>
  <c r="AQ89" i="23"/>
  <c r="AQ94" i="23"/>
  <c r="AQ95" i="23"/>
  <c r="AP89" i="23"/>
  <c r="AP94" i="23"/>
  <c r="AP95" i="23"/>
  <c r="AO89" i="23"/>
  <c r="AO94" i="23"/>
  <c r="AO95" i="23"/>
  <c r="AN89" i="23"/>
  <c r="AN94" i="23"/>
  <c r="AN95" i="23"/>
  <c r="AM89" i="23"/>
  <c r="AM94" i="23"/>
  <c r="AM95" i="23"/>
  <c r="AL89" i="23"/>
  <c r="AL94" i="23"/>
  <c r="AL95" i="23"/>
  <c r="AK89" i="23"/>
  <c r="AK94" i="23"/>
  <c r="AK95" i="23"/>
  <c r="AJ89" i="23"/>
  <c r="AJ94" i="23"/>
  <c r="AJ95" i="23"/>
  <c r="AI89" i="23"/>
  <c r="AI94" i="23"/>
  <c r="AI95" i="23"/>
  <c r="AH89" i="23"/>
  <c r="AH94" i="23"/>
  <c r="AH95" i="23"/>
  <c r="AG89" i="23"/>
  <c r="AG94" i="23"/>
  <c r="AG95" i="23"/>
  <c r="AF89" i="23"/>
  <c r="AF94" i="23"/>
  <c r="AF95" i="23"/>
  <c r="AE89" i="23"/>
  <c r="AE94" i="23"/>
  <c r="AE95" i="23"/>
  <c r="AD89" i="23"/>
  <c r="AD93" i="23"/>
  <c r="AD94" i="23"/>
  <c r="AD95" i="23"/>
  <c r="AC89" i="23"/>
  <c r="AC93" i="23"/>
  <c r="AC94" i="23"/>
  <c r="AC95" i="23"/>
  <c r="AB89" i="23"/>
  <c r="AB93" i="23"/>
  <c r="AB94" i="23"/>
  <c r="AB95" i="23"/>
  <c r="AA89" i="23"/>
  <c r="AA93" i="23"/>
  <c r="AA94" i="23"/>
  <c r="AA95" i="23"/>
  <c r="Z89" i="23"/>
  <c r="Z93" i="23"/>
  <c r="Z94" i="23"/>
  <c r="Z95" i="23"/>
  <c r="Y89" i="23"/>
  <c r="Y93" i="23"/>
  <c r="Y94" i="23"/>
  <c r="Y95" i="23"/>
  <c r="X89" i="23"/>
  <c r="X93" i="23"/>
  <c r="X94" i="23"/>
  <c r="X95" i="23"/>
  <c r="W89" i="23"/>
  <c r="W93" i="23"/>
  <c r="W94" i="23"/>
  <c r="W95" i="23"/>
  <c r="V89" i="23"/>
  <c r="U89" i="23"/>
  <c r="U93" i="23"/>
  <c r="U94" i="23"/>
  <c r="U95" i="23"/>
  <c r="T89" i="23"/>
  <c r="T93" i="23"/>
  <c r="T94" i="23"/>
  <c r="T95" i="23"/>
  <c r="S89" i="23"/>
  <c r="S93" i="23"/>
  <c r="S94" i="23"/>
  <c r="S95" i="23"/>
  <c r="R89" i="23"/>
  <c r="R93" i="23"/>
  <c r="R94" i="23"/>
  <c r="R95" i="23"/>
  <c r="Q89" i="23"/>
  <c r="Q93" i="23"/>
  <c r="Q94" i="23"/>
  <c r="Q95" i="23"/>
  <c r="Q88" i="23"/>
  <c r="AR87" i="23"/>
  <c r="AQ87" i="23"/>
  <c r="AP87" i="23"/>
  <c r="AO87" i="23"/>
  <c r="AN87" i="23"/>
  <c r="AM87" i="23"/>
  <c r="AL87" i="23"/>
  <c r="AK87" i="23"/>
  <c r="AJ87" i="23"/>
  <c r="AI87" i="23"/>
  <c r="AH87" i="23"/>
  <c r="AG87" i="23"/>
  <c r="AF87" i="23"/>
  <c r="AE87" i="23"/>
  <c r="AD87" i="23"/>
  <c r="AC87" i="23"/>
  <c r="AB87" i="23"/>
  <c r="AA87" i="23"/>
  <c r="Z87" i="23"/>
  <c r="Y87" i="23"/>
  <c r="X87" i="23"/>
  <c r="W87" i="23"/>
  <c r="V87" i="23"/>
  <c r="U87" i="23"/>
  <c r="T87" i="23"/>
  <c r="S87" i="23"/>
  <c r="R87" i="23"/>
  <c r="Q87" i="23"/>
  <c r="AR79" i="23"/>
  <c r="AQ79" i="23"/>
  <c r="AP79" i="23"/>
  <c r="AO79" i="23"/>
  <c r="AN79" i="23"/>
  <c r="AM79" i="23"/>
  <c r="AL79" i="23"/>
  <c r="AK79" i="23"/>
  <c r="AJ79" i="23"/>
  <c r="AI79" i="23"/>
  <c r="AH79" i="23"/>
  <c r="AG79" i="23"/>
  <c r="AF79" i="23"/>
  <c r="AE79" i="23"/>
  <c r="AD79" i="23"/>
  <c r="AD83" i="23"/>
  <c r="AC79" i="23"/>
  <c r="AC83" i="23"/>
  <c r="AB79" i="23"/>
  <c r="AB83" i="23"/>
  <c r="AA79" i="23"/>
  <c r="AA83" i="23"/>
  <c r="Z79" i="23"/>
  <c r="Z83" i="23"/>
  <c r="Y79" i="23"/>
  <c r="Y83" i="23"/>
  <c r="X79" i="23"/>
  <c r="X83" i="23"/>
  <c r="W79" i="23"/>
  <c r="W83" i="23"/>
  <c r="V79" i="23"/>
  <c r="V83" i="23"/>
  <c r="U79" i="23"/>
  <c r="U83" i="23"/>
  <c r="T79" i="23"/>
  <c r="T83" i="23"/>
  <c r="S79" i="23"/>
  <c r="S83" i="23"/>
  <c r="R79" i="23"/>
  <c r="R83" i="23"/>
  <c r="Q79" i="23"/>
  <c r="Q83" i="23"/>
  <c r="AR68" i="23"/>
  <c r="AR72" i="23"/>
  <c r="AQ68" i="23"/>
  <c r="AQ72" i="23"/>
  <c r="AP68" i="23"/>
  <c r="AP72" i="23"/>
  <c r="AO68" i="23"/>
  <c r="AO72" i="23"/>
  <c r="AN68" i="23"/>
  <c r="AN72" i="23"/>
  <c r="AM68" i="23"/>
  <c r="AM72" i="23"/>
  <c r="AL68" i="23"/>
  <c r="AL72" i="23"/>
  <c r="AK68" i="23"/>
  <c r="AK72" i="23"/>
  <c r="AJ68" i="23"/>
  <c r="AJ72" i="23"/>
  <c r="AI68" i="23"/>
  <c r="AI72" i="23"/>
  <c r="AH68" i="23"/>
  <c r="AH72" i="23"/>
  <c r="AG68" i="23"/>
  <c r="AG72" i="23"/>
  <c r="AF68" i="23"/>
  <c r="AF72" i="23"/>
  <c r="AE68" i="23"/>
  <c r="AE72" i="23"/>
  <c r="AD68" i="23"/>
  <c r="AD72" i="23"/>
  <c r="AD73" i="23"/>
  <c r="AC68" i="23"/>
  <c r="AC72" i="23"/>
  <c r="AB68" i="23"/>
  <c r="AB72" i="23"/>
  <c r="AB73" i="23"/>
  <c r="AA68" i="23"/>
  <c r="AA72" i="23"/>
  <c r="AA73" i="23"/>
  <c r="AA74" i="23"/>
  <c r="Z68" i="23"/>
  <c r="Z72" i="23"/>
  <c r="Z73" i="23"/>
  <c r="Y68" i="23"/>
  <c r="Y72" i="23"/>
  <c r="Y73" i="23"/>
  <c r="Y74" i="23"/>
  <c r="X68" i="23"/>
  <c r="X72" i="23"/>
  <c r="X73" i="23"/>
  <c r="W68" i="23"/>
  <c r="W72" i="23"/>
  <c r="W73" i="23"/>
  <c r="W74" i="23"/>
  <c r="V68" i="23"/>
  <c r="V72" i="23"/>
  <c r="V73" i="23"/>
  <c r="U68" i="23"/>
  <c r="U72" i="23"/>
  <c r="U73" i="23"/>
  <c r="U74" i="23"/>
  <c r="T68" i="23"/>
  <c r="T72" i="23"/>
  <c r="T73" i="23"/>
  <c r="S68" i="23"/>
  <c r="S72" i="23"/>
  <c r="S73" i="23"/>
  <c r="S74" i="23"/>
  <c r="R68" i="23"/>
  <c r="R72" i="23"/>
  <c r="AR67" i="23"/>
  <c r="AQ67" i="23"/>
  <c r="AP67" i="23"/>
  <c r="AO67" i="23"/>
  <c r="AN67" i="23"/>
  <c r="AM67" i="23"/>
  <c r="AL67" i="23"/>
  <c r="AK67" i="23"/>
  <c r="AJ67" i="23"/>
  <c r="AI67" i="23"/>
  <c r="AH67" i="23"/>
  <c r="AG67" i="23"/>
  <c r="AF67" i="23"/>
  <c r="AE67" i="23"/>
  <c r="AD67" i="23"/>
  <c r="AC67" i="23"/>
  <c r="AB67" i="23"/>
  <c r="AA67" i="23"/>
  <c r="Z67" i="23"/>
  <c r="Y67" i="23"/>
  <c r="X67" i="23"/>
  <c r="W67" i="23"/>
  <c r="V67" i="23"/>
  <c r="U67" i="23"/>
  <c r="T67" i="23"/>
  <c r="S67" i="23"/>
  <c r="R67" i="23"/>
  <c r="Q68" i="23"/>
  <c r="Q72" i="23"/>
  <c r="Q73" i="23"/>
  <c r="Q74" i="23"/>
  <c r="Q98" i="23"/>
  <c r="Q67" i="23"/>
  <c r="AR65" i="23"/>
  <c r="AQ65" i="23"/>
  <c r="AP65" i="23"/>
  <c r="AO65" i="23"/>
  <c r="AN65" i="23"/>
  <c r="AM65" i="23"/>
  <c r="AL65" i="23"/>
  <c r="AK65" i="23"/>
  <c r="AJ65" i="23"/>
  <c r="AI65" i="23"/>
  <c r="AH65" i="23"/>
  <c r="AG65" i="23"/>
  <c r="AF65" i="23"/>
  <c r="AE65" i="23"/>
  <c r="AD65" i="23"/>
  <c r="AC65" i="23"/>
  <c r="AB65" i="23"/>
  <c r="AA65" i="23"/>
  <c r="Z65" i="23"/>
  <c r="Y65" i="23"/>
  <c r="X65" i="23"/>
  <c r="W65" i="23"/>
  <c r="V65" i="23"/>
  <c r="U65" i="23"/>
  <c r="T65" i="23"/>
  <c r="S65" i="23"/>
  <c r="R65" i="23"/>
  <c r="Q65" i="23"/>
  <c r="AR53" i="23"/>
  <c r="AQ53" i="23"/>
  <c r="AP53" i="23"/>
  <c r="AO53" i="23"/>
  <c r="AN53" i="23"/>
  <c r="AM53" i="23"/>
  <c r="AL53" i="23"/>
  <c r="AK53" i="23"/>
  <c r="AJ53" i="23"/>
  <c r="AI53" i="23"/>
  <c r="AH53" i="23"/>
  <c r="AG53" i="23"/>
  <c r="AF53" i="23"/>
  <c r="AE53" i="23"/>
  <c r="AD53" i="23"/>
  <c r="AC53" i="23"/>
  <c r="AB53" i="23"/>
  <c r="AA53" i="23"/>
  <c r="Z53" i="23"/>
  <c r="Y53" i="23"/>
  <c r="X53" i="23"/>
  <c r="W53" i="23"/>
  <c r="V53" i="23"/>
  <c r="U53" i="23"/>
  <c r="T53" i="23"/>
  <c r="S53" i="23"/>
  <c r="R53" i="23"/>
  <c r="Q53" i="23"/>
  <c r="P53" i="23"/>
  <c r="P68" i="23"/>
  <c r="P72" i="23"/>
  <c r="P67" i="23"/>
  <c r="P65" i="23"/>
  <c r="Z64" i="23"/>
  <c r="Y64" i="23"/>
  <c r="X64" i="23"/>
  <c r="W64" i="23"/>
  <c r="V64" i="23"/>
  <c r="U64" i="23"/>
  <c r="T64" i="23"/>
  <c r="S64" i="23"/>
  <c r="R64" i="23"/>
  <c r="Q64" i="23"/>
  <c r="O64" i="23"/>
  <c r="P64" i="23"/>
  <c r="P89" i="23"/>
  <c r="P88" i="23"/>
  <c r="P87" i="23"/>
  <c r="P79" i="23"/>
  <c r="P83" i="23"/>
  <c r="N70" i="1"/>
  <c r="N69" i="1"/>
  <c r="N68" i="1"/>
  <c r="N153" i="1" s="1"/>
  <c r="P69" i="1"/>
  <c r="P70" i="1"/>
  <c r="P68" i="1"/>
  <c r="AT47" i="23"/>
  <c r="AS47" i="23"/>
  <c r="AW39" i="23"/>
  <c r="AV39" i="23"/>
  <c r="AU39" i="23"/>
  <c r="AT39" i="23"/>
  <c r="AS39" i="23"/>
  <c r="P43" i="23"/>
  <c r="P34" i="23"/>
  <c r="AR33" i="23"/>
  <c r="AQ33" i="23"/>
  <c r="AP33" i="23"/>
  <c r="AO33" i="23"/>
  <c r="AN33" i="23"/>
  <c r="AM33" i="23"/>
  <c r="AL33" i="23"/>
  <c r="AK33" i="23"/>
  <c r="AJ33" i="23"/>
  <c r="AI33" i="23"/>
  <c r="AH33" i="23"/>
  <c r="AG33" i="23"/>
  <c r="AF33" i="23"/>
  <c r="AE33" i="23"/>
  <c r="R3" i="24" s="1"/>
  <c r="AD33" i="23"/>
  <c r="Q3" i="24" s="1"/>
  <c r="AC33" i="23"/>
  <c r="P3" i="24" s="1"/>
  <c r="AB33" i="23"/>
  <c r="O3" i="24" s="1"/>
  <c r="AA33" i="23"/>
  <c r="N3" i="24" s="1"/>
  <c r="Z33" i="23"/>
  <c r="M3" i="24" s="1"/>
  <c r="Y33" i="23"/>
  <c r="L3" i="24" s="1"/>
  <c r="X33" i="23"/>
  <c r="K3" i="24" s="1"/>
  <c r="W33" i="23"/>
  <c r="J3" i="24" s="1"/>
  <c r="V33" i="23"/>
  <c r="I3" i="24" s="1"/>
  <c r="U33" i="23"/>
  <c r="H3" i="24" s="1"/>
  <c r="T33" i="23"/>
  <c r="G3" i="24" s="1"/>
  <c r="S33" i="23"/>
  <c r="F3" i="24" s="1"/>
  <c r="R33" i="23"/>
  <c r="E3" i="24" s="1"/>
  <c r="Q33" i="23"/>
  <c r="D3" i="24" s="1"/>
  <c r="O33" i="23"/>
  <c r="M33" i="23"/>
  <c r="N34" i="23"/>
  <c r="N43" i="23"/>
  <c r="P44" i="23"/>
  <c r="N44" i="23"/>
  <c r="N86" i="23" s="1"/>
  <c r="L44" i="23"/>
  <c r="L33" i="23"/>
  <c r="BT53" i="23"/>
  <c r="BT59" i="23"/>
  <c r="BT97" i="23"/>
  <c r="BT65" i="1"/>
  <c r="BT64" i="1" s="1"/>
  <c r="BS59" i="23"/>
  <c r="BS97" i="23"/>
  <c r="BS65" i="1"/>
  <c r="R73" i="23"/>
  <c r="R74" i="23"/>
  <c r="R98" i="23"/>
  <c r="AF73" i="23"/>
  <c r="AF74" i="23"/>
  <c r="AF98" i="23"/>
  <c r="AH74" i="23"/>
  <c r="AH73" i="23"/>
  <c r="AJ74" i="23"/>
  <c r="AJ73" i="23"/>
  <c r="AL74" i="23"/>
  <c r="AL73" i="23"/>
  <c r="AN74" i="23"/>
  <c r="AN73" i="23"/>
  <c r="AP74" i="23"/>
  <c r="AP73" i="23"/>
  <c r="AR74" i="23"/>
  <c r="AR73" i="23"/>
  <c r="P93" i="23"/>
  <c r="P73" i="23"/>
  <c r="P74" i="23"/>
  <c r="AC73" i="23"/>
  <c r="AC74" i="23"/>
  <c r="AC98" i="23"/>
  <c r="AE73" i="23"/>
  <c r="AE74" i="23"/>
  <c r="AG73" i="23"/>
  <c r="AG74" i="23"/>
  <c r="AG98" i="23"/>
  <c r="AI73" i="23"/>
  <c r="AI74" i="23"/>
  <c r="AK73" i="23"/>
  <c r="AK74" i="23"/>
  <c r="AK98" i="23"/>
  <c r="AM73" i="23"/>
  <c r="AM74" i="23"/>
  <c r="AO73" i="23"/>
  <c r="AO74" i="23"/>
  <c r="AO98" i="23"/>
  <c r="AQ73" i="23"/>
  <c r="AQ74" i="23"/>
  <c r="V93" i="23"/>
  <c r="V94" i="23"/>
  <c r="V95" i="23"/>
  <c r="AB74" i="23"/>
  <c r="AD74" i="23"/>
  <c r="AE98" i="23"/>
  <c r="AI98" i="23"/>
  <c r="AM98" i="23"/>
  <c r="AQ98" i="23"/>
  <c r="AD98" i="23"/>
  <c r="AH98" i="23"/>
  <c r="AJ98" i="23"/>
  <c r="AL98" i="23"/>
  <c r="AN98" i="23"/>
  <c r="AP98" i="23"/>
  <c r="AR98" i="23"/>
  <c r="Z74" i="23"/>
  <c r="V74" i="23"/>
  <c r="V98" i="23"/>
  <c r="X74" i="23"/>
  <c r="W98" i="23"/>
  <c r="AA98" i="23"/>
  <c r="X98" i="23"/>
  <c r="Z98" i="23"/>
  <c r="AB98" i="23"/>
  <c r="U98" i="23"/>
  <c r="Y98" i="23"/>
  <c r="T74" i="23"/>
  <c r="T98" i="23"/>
  <c r="S98" i="23"/>
  <c r="X148" i="23"/>
  <c r="X154" i="1"/>
  <c r="W148" i="23"/>
  <c r="W154" i="1"/>
  <c r="V148" i="23"/>
  <c r="V154" i="1"/>
  <c r="U148" i="23"/>
  <c r="U154" i="1"/>
  <c r="T148" i="23"/>
  <c r="T154" i="1"/>
  <c r="X153" i="1"/>
  <c r="W153" i="1"/>
  <c r="V153" i="1"/>
  <c r="U153" i="1"/>
  <c r="T155" i="1"/>
  <c r="T153" i="1"/>
  <c r="S148" i="23"/>
  <c r="S154" i="1"/>
  <c r="S153" i="1"/>
  <c r="R148" i="23"/>
  <c r="R154" i="1"/>
  <c r="R153" i="1"/>
  <c r="X149" i="23"/>
  <c r="W149" i="23"/>
  <c r="W151" i="23"/>
  <c r="W152" i="23"/>
  <c r="V149" i="23"/>
  <c r="V151" i="23"/>
  <c r="V152" i="23"/>
  <c r="V153" i="23"/>
  <c r="U149" i="23"/>
  <c r="U151" i="23"/>
  <c r="U152" i="23"/>
  <c r="T149" i="23"/>
  <c r="T151" i="23"/>
  <c r="S149" i="23"/>
  <c r="S151" i="23"/>
  <c r="R149" i="23"/>
  <c r="R151" i="23"/>
  <c r="Q149" i="23"/>
  <c r="Q151" i="23"/>
  <c r="Q148" i="23"/>
  <c r="X147" i="23"/>
  <c r="W147" i="23"/>
  <c r="V147" i="23"/>
  <c r="U147" i="23"/>
  <c r="T147" i="23"/>
  <c r="S147" i="23"/>
  <c r="R147" i="23"/>
  <c r="Q147" i="23"/>
  <c r="X141" i="23"/>
  <c r="X143" i="23"/>
  <c r="W141" i="23"/>
  <c r="W143" i="23"/>
  <c r="V141" i="23"/>
  <c r="V143" i="23"/>
  <c r="U141" i="23"/>
  <c r="U143" i="23"/>
  <c r="T141" i="23"/>
  <c r="T143" i="23"/>
  <c r="T155" i="23"/>
  <c r="T150" i="1"/>
  <c r="S141" i="23"/>
  <c r="S143" i="23"/>
  <c r="R141" i="23"/>
  <c r="R143" i="23"/>
  <c r="Q141" i="23"/>
  <c r="Q143" i="23"/>
  <c r="X129" i="23"/>
  <c r="W129" i="23"/>
  <c r="V129" i="23"/>
  <c r="U129" i="23"/>
  <c r="T129" i="23"/>
  <c r="S129" i="23"/>
  <c r="R129" i="23"/>
  <c r="Q129" i="23"/>
  <c r="X128" i="23"/>
  <c r="W128" i="23"/>
  <c r="V128" i="23"/>
  <c r="U128" i="23"/>
  <c r="T128" i="23"/>
  <c r="S128" i="23"/>
  <c r="R128" i="23"/>
  <c r="Q128" i="23"/>
  <c r="X126" i="23"/>
  <c r="X132" i="23"/>
  <c r="W126" i="23"/>
  <c r="W132" i="23"/>
  <c r="V126" i="23"/>
  <c r="V132" i="23"/>
  <c r="U126" i="23"/>
  <c r="U132" i="23"/>
  <c r="T126" i="23"/>
  <c r="T132" i="23"/>
  <c r="S126" i="23"/>
  <c r="S132" i="23"/>
  <c r="S133" i="23"/>
  <c r="R126" i="23"/>
  <c r="R132" i="23"/>
  <c r="Q126" i="23"/>
  <c r="Q132" i="23"/>
  <c r="X125" i="23"/>
  <c r="W125" i="23"/>
  <c r="V125" i="23"/>
  <c r="U125" i="23"/>
  <c r="T125" i="23"/>
  <c r="S125" i="23"/>
  <c r="R125" i="23"/>
  <c r="Q125" i="23"/>
  <c r="P125" i="23"/>
  <c r="X119" i="23"/>
  <c r="X120" i="23"/>
  <c r="X155" i="23"/>
  <c r="X150" i="1"/>
  <c r="W119" i="23"/>
  <c r="V119" i="23"/>
  <c r="U119" i="23"/>
  <c r="T119" i="23"/>
  <c r="S119" i="23"/>
  <c r="R119" i="23"/>
  <c r="X114" i="23"/>
  <c r="W114" i="23"/>
  <c r="V114" i="23"/>
  <c r="U114" i="23"/>
  <c r="T114" i="23"/>
  <c r="S114" i="23"/>
  <c r="R114" i="23"/>
  <c r="X117" i="23"/>
  <c r="W117" i="23"/>
  <c r="V117" i="23"/>
  <c r="U117" i="23"/>
  <c r="T117" i="23"/>
  <c r="S117" i="23"/>
  <c r="R117" i="23"/>
  <c r="T120" i="23"/>
  <c r="Q119" i="23"/>
  <c r="Q117" i="23"/>
  <c r="Q120" i="23"/>
  <c r="Q155" i="23"/>
  <c r="Q150" i="1"/>
  <c r="Q114" i="23"/>
  <c r="X155" i="1"/>
  <c r="W155" i="1"/>
  <c r="V155" i="1"/>
  <c r="U155" i="1"/>
  <c r="S155" i="1"/>
  <c r="R155" i="1"/>
  <c r="Q155" i="1"/>
  <c r="Q154" i="1"/>
  <c r="Q153" i="1"/>
  <c r="P149" i="23"/>
  <c r="P148" i="23"/>
  <c r="P147" i="23"/>
  <c r="P146" i="23"/>
  <c r="P141" i="23"/>
  <c r="P143" i="23"/>
  <c r="P155" i="1"/>
  <c r="P154" i="1"/>
  <c r="P153" i="1"/>
  <c r="P128" i="23"/>
  <c r="P126" i="23"/>
  <c r="P129" i="23"/>
  <c r="P114" i="23"/>
  <c r="D74" i="11"/>
  <c r="D71" i="11"/>
  <c r="D65" i="11"/>
  <c r="P108" i="23"/>
  <c r="G25" i="1"/>
  <c r="AG131" i="23"/>
  <c r="AH131" i="23"/>
  <c r="AG119" i="23"/>
  <c r="AH119" i="23"/>
  <c r="AG118" i="23"/>
  <c r="AH118" i="23"/>
  <c r="AF116" i="23"/>
  <c r="AG116" i="23"/>
  <c r="AH116" i="23"/>
  <c r="AF115" i="23"/>
  <c r="AG115" i="23"/>
  <c r="AH115" i="23"/>
  <c r="AE130" i="23"/>
  <c r="AF130" i="23"/>
  <c r="AG130" i="23"/>
  <c r="AH130" i="23"/>
  <c r="AE116" i="23"/>
  <c r="AE166" i="1"/>
  <c r="Q133" i="23"/>
  <c r="Q134" i="23"/>
  <c r="Q152" i="23"/>
  <c r="Q153" i="23"/>
  <c r="R120" i="23"/>
  <c r="R155" i="23"/>
  <c r="R150" i="1"/>
  <c r="V120" i="23"/>
  <c r="V155" i="23"/>
  <c r="V150" i="1"/>
  <c r="P151" i="23"/>
  <c r="X151" i="23"/>
  <c r="X152" i="23"/>
  <c r="X153" i="23"/>
  <c r="P95" i="23"/>
  <c r="P98" i="23"/>
  <c r="P94" i="23"/>
  <c r="W153" i="23"/>
  <c r="U153" i="23"/>
  <c r="T152" i="23"/>
  <c r="T153" i="23"/>
  <c r="U133" i="23"/>
  <c r="U134" i="23"/>
  <c r="W133" i="23"/>
  <c r="W134" i="23"/>
  <c r="W156" i="23"/>
  <c r="W151" i="1"/>
  <c r="T133" i="23"/>
  <c r="T134" i="23"/>
  <c r="V133" i="23"/>
  <c r="V134" i="23"/>
  <c r="V156" i="23"/>
  <c r="V151" i="1"/>
  <c r="X133" i="23"/>
  <c r="X134" i="23"/>
  <c r="X156" i="23"/>
  <c r="X151" i="1"/>
  <c r="S134" i="23"/>
  <c r="S152" i="23"/>
  <c r="S153" i="23"/>
  <c r="R152" i="23"/>
  <c r="R153" i="23"/>
  <c r="R133" i="23"/>
  <c r="R134" i="23"/>
  <c r="R156" i="23"/>
  <c r="R151" i="1"/>
  <c r="P152" i="23"/>
  <c r="P153" i="23"/>
  <c r="S120" i="23"/>
  <c r="S155" i="23"/>
  <c r="S150" i="1"/>
  <c r="U120" i="23"/>
  <c r="U155" i="23"/>
  <c r="U150" i="1"/>
  <c r="W120" i="23"/>
  <c r="W155" i="23"/>
  <c r="W150" i="1"/>
  <c r="P132" i="23"/>
  <c r="P133" i="23"/>
  <c r="P134" i="23"/>
  <c r="P156" i="23"/>
  <c r="P151" i="1"/>
  <c r="Q156" i="23"/>
  <c r="Q151" i="1"/>
  <c r="U156" i="23"/>
  <c r="U151" i="1"/>
  <c r="T156" i="23"/>
  <c r="T151" i="1"/>
  <c r="S156" i="23"/>
  <c r="S151" i="1"/>
  <c r="AE127" i="23"/>
  <c r="AD127" i="23"/>
  <c r="AC127" i="23"/>
  <c r="AB127" i="23"/>
  <c r="AA127" i="23"/>
  <c r="Z127" i="23"/>
  <c r="Y127" i="23"/>
  <c r="AH114" i="23"/>
  <c r="AG114" i="23"/>
  <c r="AF114" i="23"/>
  <c r="AE114" i="23"/>
  <c r="AD114" i="23"/>
  <c r="AC114" i="23"/>
  <c r="AB114" i="23"/>
  <c r="AA114" i="23"/>
  <c r="Z114" i="23"/>
  <c r="AH112" i="23"/>
  <c r="AG112" i="23"/>
  <c r="AF112" i="23"/>
  <c r="AE112" i="23"/>
  <c r="AD112" i="23"/>
  <c r="AC112" i="23"/>
  <c r="AB112" i="23"/>
  <c r="AA112" i="23"/>
  <c r="Z112" i="23"/>
  <c r="Y114" i="23"/>
  <c r="Y112" i="23"/>
  <c r="AX18" i="23"/>
  <c r="AX14" i="1"/>
  <c r="BT14" i="1"/>
  <c r="BT150" i="1" s="1"/>
  <c r="BS14" i="1"/>
  <c r="BS150" i="1" s="1"/>
  <c r="BR14" i="1"/>
  <c r="BR150" i="1" s="1"/>
  <c r="BQ14" i="1"/>
  <c r="BP14" i="1"/>
  <c r="BP150" i="1" s="1"/>
  <c r="BO14" i="1"/>
  <c r="BO150" i="1" s="1"/>
  <c r="BN14" i="1"/>
  <c r="BN150" i="1" s="1"/>
  <c r="BM14" i="1"/>
  <c r="BM150" i="1" s="1"/>
  <c r="BL14" i="1"/>
  <c r="BL150" i="1" s="1"/>
  <c r="BK14" i="1"/>
  <c r="BK150" i="1" s="1"/>
  <c r="BJ14" i="1"/>
  <c r="BJ150" i="1" s="1"/>
  <c r="BI14" i="1"/>
  <c r="BI150" i="1" s="1"/>
  <c r="BH14" i="1"/>
  <c r="BH150" i="1" s="1"/>
  <c r="BG14" i="1"/>
  <c r="BG150" i="1" s="1"/>
  <c r="BF14" i="1"/>
  <c r="BF150" i="1" s="1"/>
  <c r="BE14" i="1"/>
  <c r="BE150" i="1" s="1"/>
  <c r="BD14" i="1"/>
  <c r="BD150" i="1" s="1"/>
  <c r="BC14" i="1"/>
  <c r="BC150" i="1" s="1"/>
  <c r="BB14" i="1"/>
  <c r="BB150" i="1" s="1"/>
  <c r="BA14" i="1"/>
  <c r="BA150" i="1" s="1"/>
  <c r="AZ14" i="1"/>
  <c r="AY14" i="1"/>
  <c r="AY150" i="1" s="1"/>
  <c r="AT18" i="23"/>
  <c r="AT14" i="1"/>
  <c r="AS15" i="23"/>
  <c r="AS18" i="23"/>
  <c r="AS14" i="1"/>
  <c r="AT23" i="23"/>
  <c r="AT28" i="23"/>
  <c r="AS23" i="23"/>
  <c r="AS28" i="23"/>
  <c r="N15" i="23"/>
  <c r="M15" i="23"/>
  <c r="L15" i="23"/>
  <c r="K15" i="23"/>
  <c r="J15" i="23"/>
  <c r="I15" i="23"/>
  <c r="H15" i="23"/>
  <c r="G15" i="23"/>
  <c r="AR25" i="23"/>
  <c r="AQ25" i="23"/>
  <c r="AP25" i="23"/>
  <c r="AO25" i="23"/>
  <c r="AN25" i="23"/>
  <c r="AM25" i="23"/>
  <c r="AL25" i="23"/>
  <c r="AK25" i="23"/>
  <c r="AJ25" i="23"/>
  <c r="AI25" i="23"/>
  <c r="AH25" i="23"/>
  <c r="AH129" i="23"/>
  <c r="AG25" i="23"/>
  <c r="AG129" i="23"/>
  <c r="AF25" i="23"/>
  <c r="AF129" i="23"/>
  <c r="AE25" i="23"/>
  <c r="AE129" i="23"/>
  <c r="AD25" i="23"/>
  <c r="AD129" i="23"/>
  <c r="AC25" i="23"/>
  <c r="AC129" i="23"/>
  <c r="AB25" i="23"/>
  <c r="AB129" i="23"/>
  <c r="AA25" i="23"/>
  <c r="AA129" i="23"/>
  <c r="Z25" i="23"/>
  <c r="Z129" i="23"/>
  <c r="Y25" i="23"/>
  <c r="Y129" i="23"/>
  <c r="X25" i="23"/>
  <c r="W25" i="23"/>
  <c r="V25" i="23"/>
  <c r="U25" i="23"/>
  <c r="T25" i="23"/>
  <c r="S25" i="23"/>
  <c r="R25" i="23"/>
  <c r="Q25" i="23"/>
  <c r="P25" i="23"/>
  <c r="O25" i="23"/>
  <c r="N25" i="23"/>
  <c r="M25" i="23"/>
  <c r="L25" i="23"/>
  <c r="K25" i="23"/>
  <c r="J25" i="23"/>
  <c r="I25" i="23"/>
  <c r="H25" i="23"/>
  <c r="G25" i="23"/>
  <c r="Q24" i="23"/>
  <c r="Q28" i="23" s="1"/>
  <c r="Q29" i="23" s="1"/>
  <c r="Q30" i="23" s="1"/>
  <c r="Q15" i="1" s="1"/>
  <c r="P24" i="23"/>
  <c r="O24" i="23"/>
  <c r="O28" i="23" s="1"/>
  <c r="O29" i="23" s="1"/>
  <c r="O30" i="23" s="1"/>
  <c r="O15" i="1" s="1"/>
  <c r="N24" i="23"/>
  <c r="N28" i="23" s="1"/>
  <c r="M24" i="23"/>
  <c r="M28" i="23" s="1"/>
  <c r="M29" i="23" s="1"/>
  <c r="M30" i="23" s="1"/>
  <c r="M15" i="1" s="1"/>
  <c r="L24" i="23"/>
  <c r="L28" i="23" s="1"/>
  <c r="L29" i="23" s="1"/>
  <c r="L30" i="23" s="1"/>
  <c r="L15" i="1" s="1"/>
  <c r="K24" i="23"/>
  <c r="K28" i="23" s="1"/>
  <c r="K29" i="23" s="1"/>
  <c r="K30" i="23" s="1"/>
  <c r="K15" i="1" s="1"/>
  <c r="K66" i="1" s="1"/>
  <c r="K151" i="1" s="1"/>
  <c r="J24" i="23"/>
  <c r="J28" i="23" s="1"/>
  <c r="I24" i="23"/>
  <c r="I28" i="23" s="1"/>
  <c r="I29" i="23" s="1"/>
  <c r="I30" i="23" s="1"/>
  <c r="I15" i="1" s="1"/>
  <c r="I66" i="1" s="1"/>
  <c r="I151" i="1" s="1"/>
  <c r="H24" i="23"/>
  <c r="H28" i="23" s="1"/>
  <c r="H29" i="23" s="1"/>
  <c r="G24" i="23"/>
  <c r="G28" i="23" s="1"/>
  <c r="G29" i="23" s="1"/>
  <c r="G30" i="23" s="1"/>
  <c r="G15" i="1" s="1"/>
  <c r="G66" i="1" s="1"/>
  <c r="G151" i="1" s="1"/>
  <c r="AR23" i="23"/>
  <c r="AQ23" i="23"/>
  <c r="AP23" i="23"/>
  <c r="AO23" i="23"/>
  <c r="AN23" i="23"/>
  <c r="AM23" i="23"/>
  <c r="AL23" i="23"/>
  <c r="AK23" i="23"/>
  <c r="AJ23" i="23"/>
  <c r="AI23" i="23"/>
  <c r="AH23" i="23"/>
  <c r="AG23" i="23"/>
  <c r="AG126" i="23"/>
  <c r="AF23" i="23"/>
  <c r="AE23" i="23"/>
  <c r="AE126" i="23"/>
  <c r="AD23" i="23"/>
  <c r="AC23" i="23"/>
  <c r="AC126" i="23"/>
  <c r="AB23" i="23"/>
  <c r="AA23" i="23"/>
  <c r="AA126" i="23"/>
  <c r="Z23" i="23"/>
  <c r="Y23" i="23"/>
  <c r="Y126" i="23"/>
  <c r="X23" i="23"/>
  <c r="W23" i="23"/>
  <c r="V23" i="23"/>
  <c r="U23" i="23"/>
  <c r="T23" i="23"/>
  <c r="S23" i="23"/>
  <c r="R23" i="23"/>
  <c r="Q23" i="23"/>
  <c r="P23" i="23"/>
  <c r="P28" i="23"/>
  <c r="P29" i="23" s="1"/>
  <c r="P30" i="23" s="1"/>
  <c r="P15" i="1" s="1"/>
  <c r="O23" i="23"/>
  <c r="N23" i="23"/>
  <c r="M23" i="23"/>
  <c r="L23" i="23"/>
  <c r="K23" i="23"/>
  <c r="J23" i="23"/>
  <c r="I23" i="23"/>
  <c r="H23" i="23"/>
  <c r="G23" i="23"/>
  <c r="E30" i="23"/>
  <c r="E15" i="1"/>
  <c r="D30" i="23"/>
  <c r="D15" i="1"/>
  <c r="D66" i="1" s="1"/>
  <c r="D151" i="1" s="1"/>
  <c r="C30" i="23"/>
  <c r="C15" i="1"/>
  <c r="E14" i="1"/>
  <c r="E65" i="1" s="1"/>
  <c r="E150" i="1" s="1"/>
  <c r="D14" i="1"/>
  <c r="C14" i="1"/>
  <c r="F25" i="23"/>
  <c r="F24" i="23"/>
  <c r="F28" i="23" s="1"/>
  <c r="F29" i="23" s="1"/>
  <c r="F30" i="23" s="1"/>
  <c r="F15" i="1" s="1"/>
  <c r="F23" i="23"/>
  <c r="F15" i="23"/>
  <c r="E25" i="23"/>
  <c r="D25" i="23"/>
  <c r="E24" i="23"/>
  <c r="D24" i="23"/>
  <c r="E23" i="23"/>
  <c r="D23" i="23"/>
  <c r="C24" i="23"/>
  <c r="C23" i="23"/>
  <c r="C25" i="23"/>
  <c r="AR3" i="23"/>
  <c r="AQ3" i="23"/>
  <c r="AP3" i="23"/>
  <c r="AO3" i="23"/>
  <c r="AN3" i="23"/>
  <c r="AM3" i="23"/>
  <c r="AL3" i="23"/>
  <c r="AK3" i="23"/>
  <c r="AJ3" i="23"/>
  <c r="AI3" i="23"/>
  <c r="AH3" i="23"/>
  <c r="AH103" i="23" s="1"/>
  <c r="AG3" i="23"/>
  <c r="AG103" i="23" s="1"/>
  <c r="AF3" i="23"/>
  <c r="AF103" i="23" s="1"/>
  <c r="AE3" i="23"/>
  <c r="AE103" i="23" s="1"/>
  <c r="AD3" i="23"/>
  <c r="AD103" i="23" s="1"/>
  <c r="AC3" i="23"/>
  <c r="AC103" i="23" s="1"/>
  <c r="AB3" i="23"/>
  <c r="AB103" i="23" s="1"/>
  <c r="AA3" i="23"/>
  <c r="AA103" i="23" s="1"/>
  <c r="Z3" i="23"/>
  <c r="Z103" i="23" s="1"/>
  <c r="Y3" i="23"/>
  <c r="Y103" i="23" s="1"/>
  <c r="X3" i="23"/>
  <c r="X103" i="23" s="1"/>
  <c r="W3" i="23"/>
  <c r="W103" i="23" s="1"/>
  <c r="V3" i="23"/>
  <c r="V103" i="23" s="1"/>
  <c r="U3" i="23"/>
  <c r="U103" i="23" s="1"/>
  <c r="T3" i="23"/>
  <c r="T103" i="23" s="1"/>
  <c r="S3" i="23"/>
  <c r="S103" i="23" s="1"/>
  <c r="R3" i="23"/>
  <c r="R103" i="23" s="1"/>
  <c r="Q3" i="23"/>
  <c r="Q103" i="23" s="1"/>
  <c r="P3" i="23"/>
  <c r="P103" i="23" s="1"/>
  <c r="O3" i="23"/>
  <c r="N3" i="23"/>
  <c r="M3" i="23"/>
  <c r="L3" i="23"/>
  <c r="K3" i="23"/>
  <c r="J3" i="23"/>
  <c r="I3" i="23"/>
  <c r="H3" i="23"/>
  <c r="G3" i="23"/>
  <c r="F3" i="23"/>
  <c r="Z126" i="23"/>
  <c r="AB126" i="23"/>
  <c r="AD126" i="23"/>
  <c r="AF126" i="23"/>
  <c r="AH126" i="23"/>
  <c r="AS29" i="23"/>
  <c r="AS30" i="23"/>
  <c r="AS15" i="1"/>
  <c r="AY15" i="1"/>
  <c r="AY151" i="1" s="1"/>
  <c r="BA15" i="1"/>
  <c r="BA151" i="1" s="1"/>
  <c r="BC15" i="1"/>
  <c r="BC151" i="1" s="1"/>
  <c r="BE15" i="1"/>
  <c r="BE151" i="1" s="1"/>
  <c r="BG15" i="1"/>
  <c r="BG151" i="1" s="1"/>
  <c r="BI15" i="1"/>
  <c r="BI151" i="1" s="1"/>
  <c r="BK15" i="1"/>
  <c r="BK151" i="1" s="1"/>
  <c r="BM15" i="1"/>
  <c r="BM151" i="1" s="1"/>
  <c r="BO15" i="1"/>
  <c r="BO151" i="1" s="1"/>
  <c r="BQ15" i="1"/>
  <c r="BQ151" i="1" s="1"/>
  <c r="BS15" i="1"/>
  <c r="BS151" i="1" s="1"/>
  <c r="AT29" i="23"/>
  <c r="AT30" i="23"/>
  <c r="AT15" i="1"/>
  <c r="AU15" i="1" s="1"/>
  <c r="AU151" i="1" s="1"/>
  <c r="AX29" i="23"/>
  <c r="AX30" i="23"/>
  <c r="AX15" i="1"/>
  <c r="AX151" i="1" s="1"/>
  <c r="AZ15" i="1"/>
  <c r="AZ151" i="1" s="1"/>
  <c r="BB15" i="1"/>
  <c r="BB151" i="1" s="1"/>
  <c r="BD15" i="1"/>
  <c r="BD151" i="1" s="1"/>
  <c r="BF15" i="1"/>
  <c r="BF151" i="1" s="1"/>
  <c r="BH15" i="1"/>
  <c r="BH151" i="1" s="1"/>
  <c r="BJ15" i="1"/>
  <c r="BJ151" i="1" s="1"/>
  <c r="BL15" i="1"/>
  <c r="BL151" i="1" s="1"/>
  <c r="BN15" i="1"/>
  <c r="BN151" i="1" s="1"/>
  <c r="BP15" i="1"/>
  <c r="BP151" i="1" s="1"/>
  <c r="BR15" i="1"/>
  <c r="BR151" i="1" s="1"/>
  <c r="BT15" i="1"/>
  <c r="BT151" i="1" s="1"/>
  <c r="AR6" i="1"/>
  <c r="AR4" i="23" s="1"/>
  <c r="AQ6" i="1"/>
  <c r="AQ4" i="23" s="1"/>
  <c r="AQ35" i="23" s="1"/>
  <c r="AP6" i="1"/>
  <c r="AP4" i="23" s="1"/>
  <c r="AP13" i="23" s="1"/>
  <c r="AO6" i="1"/>
  <c r="AO4" i="23" s="1"/>
  <c r="AO21" i="23" s="1"/>
  <c r="AN6" i="1"/>
  <c r="AN4" i="23" s="1"/>
  <c r="AM6" i="1"/>
  <c r="AM4" i="23" s="1"/>
  <c r="AL6" i="1"/>
  <c r="AL4" i="23" s="1"/>
  <c r="AK6" i="1"/>
  <c r="AK4" i="23" s="1"/>
  <c r="AJ6" i="1"/>
  <c r="AJ4" i="23" s="1"/>
  <c r="AI6" i="1"/>
  <c r="AI4" i="23" s="1"/>
  <c r="AI35" i="23" s="1"/>
  <c r="AH6" i="1"/>
  <c r="AG6" i="1"/>
  <c r="AG4" i="23" s="1"/>
  <c r="AG35" i="23" s="1"/>
  <c r="AF6" i="1"/>
  <c r="AE6" i="1"/>
  <c r="AE4" i="23" s="1"/>
  <c r="AE104" i="23" s="1"/>
  <c r="AD6" i="1"/>
  <c r="AD4" i="23" s="1"/>
  <c r="AC6" i="1"/>
  <c r="AC4" i="23" s="1"/>
  <c r="AC104" i="23" s="1"/>
  <c r="AB6" i="1"/>
  <c r="AA6" i="1"/>
  <c r="AA4" i="23" s="1"/>
  <c r="AA104" i="23" s="1"/>
  <c r="Z6" i="1"/>
  <c r="Z4" i="23" s="1"/>
  <c r="Y6" i="1"/>
  <c r="Y4" i="23" s="1"/>
  <c r="Y13" i="23" s="1"/>
  <c r="Y113" i="23" s="1"/>
  <c r="X6" i="1"/>
  <c r="X4" i="23" s="1"/>
  <c r="W6" i="1"/>
  <c r="W4" i="23" s="1"/>
  <c r="V6" i="1"/>
  <c r="V4" i="23" s="1"/>
  <c r="U6" i="1"/>
  <c r="U4" i="23" s="1"/>
  <c r="T6" i="1"/>
  <c r="T4" i="23" s="1"/>
  <c r="S6" i="1"/>
  <c r="R6" i="1"/>
  <c r="Q6" i="1"/>
  <c r="Q4" i="23" s="1"/>
  <c r="P6" i="1"/>
  <c r="P4" i="23" s="1"/>
  <c r="O6" i="1"/>
  <c r="O4" i="23" s="1"/>
  <c r="N6" i="1"/>
  <c r="M6" i="1"/>
  <c r="L6" i="1"/>
  <c r="K6" i="1"/>
  <c r="K4" i="23" s="1"/>
  <c r="J6" i="1"/>
  <c r="I6" i="1"/>
  <c r="I4" i="23" s="1"/>
  <c r="H6" i="1"/>
  <c r="G6" i="1"/>
  <c r="G4" i="23" s="1"/>
  <c r="F6" i="1"/>
  <c r="L77" i="11"/>
  <c r="K77" i="11"/>
  <c r="J77" i="11"/>
  <c r="I77" i="11"/>
  <c r="H77" i="11"/>
  <c r="G77" i="11"/>
  <c r="F77" i="11"/>
  <c r="E77" i="11"/>
  <c r="D77" i="11"/>
  <c r="C77" i="11"/>
  <c r="F75" i="11"/>
  <c r="E75" i="11"/>
  <c r="D75" i="11"/>
  <c r="C75" i="11"/>
  <c r="I61" i="11"/>
  <c r="G61" i="11"/>
  <c r="F61" i="11"/>
  <c r="E61" i="11"/>
  <c r="D61" i="11"/>
  <c r="C61" i="11"/>
  <c r="H59" i="11"/>
  <c r="G59" i="11"/>
  <c r="F59" i="11"/>
  <c r="E59" i="11"/>
  <c r="D59" i="11"/>
  <c r="C59" i="11"/>
  <c r="L76" i="11"/>
  <c r="K76" i="11"/>
  <c r="J76" i="11"/>
  <c r="I76" i="11"/>
  <c r="H76" i="11"/>
  <c r="G76" i="11"/>
  <c r="M60" i="11"/>
  <c r="M61" i="11"/>
  <c r="L60" i="11"/>
  <c r="L61" i="11"/>
  <c r="K60" i="11"/>
  <c r="K61" i="11"/>
  <c r="J60" i="11"/>
  <c r="J61" i="11"/>
  <c r="I60" i="11"/>
  <c r="H60" i="11"/>
  <c r="H61" i="11"/>
  <c r="G60" i="11"/>
  <c r="R152" i="1"/>
  <c r="Q152" i="1"/>
  <c r="P152" i="1"/>
  <c r="O152" i="1"/>
  <c r="F74" i="11"/>
  <c r="E74" i="11"/>
  <c r="D55" i="11"/>
  <c r="H58" i="11"/>
  <c r="T67" i="1"/>
  <c r="G58" i="11"/>
  <c r="S67" i="1"/>
  <c r="F58" i="11"/>
  <c r="R67" i="1"/>
  <c r="E58" i="11"/>
  <c r="Q67" i="1"/>
  <c r="D58" i="11"/>
  <c r="P67" i="1"/>
  <c r="P60" i="1"/>
  <c r="N60" i="1"/>
  <c r="N35" i="23" s="1"/>
  <c r="N62" i="23" s="1"/>
  <c r="H49" i="11"/>
  <c r="G49" i="11"/>
  <c r="F49" i="11"/>
  <c r="E49" i="11"/>
  <c r="C58" i="11"/>
  <c r="C49" i="11"/>
  <c r="O67" i="1"/>
  <c r="C74" i="11"/>
  <c r="AG86" i="1"/>
  <c r="AE86" i="1"/>
  <c r="C8" i="21"/>
  <c r="B8" i="21"/>
  <c r="B7" i="21"/>
  <c r="C7" i="21"/>
  <c r="W18" i="21"/>
  <c r="Y19" i="21"/>
  <c r="X19" i="21"/>
  <c r="W19" i="21"/>
  <c r="C6" i="21"/>
  <c r="B6" i="21"/>
  <c r="BP77" i="1"/>
  <c r="BQ77" i="1" s="1"/>
  <c r="BR77" i="1" s="1"/>
  <c r="BS77" i="1" s="1"/>
  <c r="BT77" i="1" s="1"/>
  <c r="AX73" i="1"/>
  <c r="AY73" i="1" s="1"/>
  <c r="AZ73" i="1" s="1"/>
  <c r="BA73" i="1" s="1"/>
  <c r="BB73" i="1" s="1"/>
  <c r="BC73" i="1" s="1"/>
  <c r="BD73" i="1" s="1"/>
  <c r="BE73" i="1" s="1"/>
  <c r="BF73" i="1" s="1"/>
  <c r="BG73" i="1" s="1"/>
  <c r="BH73" i="1" s="1"/>
  <c r="BI73" i="1" s="1"/>
  <c r="BJ73" i="1" s="1"/>
  <c r="BK73" i="1" s="1"/>
  <c r="BL73" i="1" s="1"/>
  <c r="BM73" i="1" s="1"/>
  <c r="BN73" i="1" s="1"/>
  <c r="AS73" i="1"/>
  <c r="S88" i="1"/>
  <c r="BT70" i="1"/>
  <c r="BS70" i="1"/>
  <c r="BR70" i="1"/>
  <c r="BQ70" i="1"/>
  <c r="BP70" i="1"/>
  <c r="BO70" i="1"/>
  <c r="BN70" i="1"/>
  <c r="BM70" i="1"/>
  <c r="BL70" i="1"/>
  <c r="BK70" i="1"/>
  <c r="BJ70" i="1"/>
  <c r="BI70" i="1"/>
  <c r="BH70" i="1"/>
  <c r="BG70" i="1"/>
  <c r="BF70" i="1"/>
  <c r="BE70" i="1"/>
  <c r="BD70" i="1"/>
  <c r="BC70" i="1"/>
  <c r="BB70" i="1"/>
  <c r="BA70" i="1"/>
  <c r="AZ70" i="1"/>
  <c r="AY70" i="1"/>
  <c r="AX70" i="1"/>
  <c r="AW70" i="1"/>
  <c r="AV70" i="1"/>
  <c r="AU70" i="1"/>
  <c r="AT70" i="1"/>
  <c r="AS70" i="1"/>
  <c r="Q70" i="1"/>
  <c r="AS69" i="1"/>
  <c r="Q69" i="1"/>
  <c r="BT68" i="1"/>
  <c r="BS68" i="1"/>
  <c r="BR68" i="1"/>
  <c r="BQ68" i="1"/>
  <c r="BP68" i="1"/>
  <c r="BO68" i="1"/>
  <c r="BN68" i="1"/>
  <c r="BM68" i="1"/>
  <c r="BL68" i="1"/>
  <c r="BK68" i="1"/>
  <c r="BJ68" i="1"/>
  <c r="BI68" i="1"/>
  <c r="BH68" i="1"/>
  <c r="BG68" i="1"/>
  <c r="BF68" i="1"/>
  <c r="BE68" i="1"/>
  <c r="BD68" i="1"/>
  <c r="BC68" i="1"/>
  <c r="BB68" i="1"/>
  <c r="BA68" i="1"/>
  <c r="AZ68" i="1"/>
  <c r="AY68" i="1"/>
  <c r="AX68" i="1"/>
  <c r="AW68" i="1"/>
  <c r="AV68" i="1"/>
  <c r="AU68" i="1"/>
  <c r="AT68" i="1"/>
  <c r="AS68" i="1"/>
  <c r="Q68" i="1"/>
  <c r="BN128" i="1"/>
  <c r="BN46" i="23" s="1"/>
  <c r="BM128" i="1"/>
  <c r="BM46" i="23" s="1"/>
  <c r="BL128" i="1"/>
  <c r="BL46" i="23" s="1"/>
  <c r="BK128" i="1"/>
  <c r="BK46" i="23" s="1"/>
  <c r="BJ128" i="1"/>
  <c r="BJ46" i="23" s="1"/>
  <c r="BI128" i="1"/>
  <c r="BI46" i="23" s="1"/>
  <c r="BH128" i="1"/>
  <c r="BH46" i="23" s="1"/>
  <c r="BG128" i="1"/>
  <c r="BG46" i="23" s="1"/>
  <c r="BF128" i="1"/>
  <c r="BF46" i="23" s="1"/>
  <c r="BE128" i="1"/>
  <c r="BE46" i="23" s="1"/>
  <c r="BD128" i="1"/>
  <c r="BD46" i="23" s="1"/>
  <c r="BC128" i="1"/>
  <c r="BC46" i="23" s="1"/>
  <c r="BB128" i="1"/>
  <c r="BB46" i="23" s="1"/>
  <c r="BA128" i="1"/>
  <c r="BA46" i="23" s="1"/>
  <c r="AZ128" i="1"/>
  <c r="AZ46" i="23" s="1"/>
  <c r="AY128" i="1"/>
  <c r="AY46" i="23" s="1"/>
  <c r="AX128" i="1"/>
  <c r="AX46" i="23" s="1"/>
  <c r="AW128" i="1"/>
  <c r="AW46" i="23" s="1"/>
  <c r="AV128" i="1"/>
  <c r="AV46" i="23" s="1"/>
  <c r="G57" i="8"/>
  <c r="I57" i="8" s="1"/>
  <c r="J57" i="8" s="1"/>
  <c r="K57" i="8" s="1"/>
  <c r="G196" i="3"/>
  <c r="G194" i="3"/>
  <c r="O70" i="1"/>
  <c r="O155" i="1" s="1"/>
  <c r="O69" i="1"/>
  <c r="O154" i="1" s="1"/>
  <c r="O68" i="1"/>
  <c r="O153" i="1" s="1"/>
  <c r="G178" i="3"/>
  <c r="G176" i="3"/>
  <c r="M70" i="1"/>
  <c r="M155" i="1" s="1"/>
  <c r="L70" i="1"/>
  <c r="L155" i="1" s="1"/>
  <c r="BN127" i="1"/>
  <c r="BM127" i="1"/>
  <c r="BL127" i="1"/>
  <c r="BK127" i="1"/>
  <c r="BJ127" i="1"/>
  <c r="BI127" i="1"/>
  <c r="BH127" i="1"/>
  <c r="BG127" i="1"/>
  <c r="BF127" i="1"/>
  <c r="BE127" i="1"/>
  <c r="BD127" i="1"/>
  <c r="BC127" i="1"/>
  <c r="BB127" i="1"/>
  <c r="BA127" i="1"/>
  <c r="AZ127" i="1"/>
  <c r="AY127" i="1"/>
  <c r="AX127" i="1"/>
  <c r="AW127" i="1"/>
  <c r="AV127" i="1"/>
  <c r="AU127" i="1"/>
  <c r="AT127" i="1"/>
  <c r="AS127" i="1"/>
  <c r="AG161" i="1"/>
  <c r="AH161" i="1" s="1"/>
  <c r="AH160" i="1" s="1"/>
  <c r="G24" i="1"/>
  <c r="G23" i="1" s="1"/>
  <c r="G6" i="4" s="1"/>
  <c r="D24" i="1"/>
  <c r="D76" i="1" s="1"/>
  <c r="D161" i="1" s="1"/>
  <c r="Y211" i="1"/>
  <c r="Z211" i="1" s="1"/>
  <c r="AA211" i="1" s="1"/>
  <c r="AB211" i="1" s="1"/>
  <c r="AC211" i="1" s="1"/>
  <c r="AD211" i="1" s="1"/>
  <c r="AE211" i="1" s="1"/>
  <c r="J24" i="5"/>
  <c r="K75" i="4"/>
  <c r="J75" i="4"/>
  <c r="I75" i="4"/>
  <c r="H75" i="4"/>
  <c r="G75" i="4"/>
  <c r="F75" i="4"/>
  <c r="K99" i="4"/>
  <c r="I99" i="4"/>
  <c r="K76" i="4"/>
  <c r="J76" i="4"/>
  <c r="J99" i="4"/>
  <c r="I76" i="4"/>
  <c r="F76" i="4"/>
  <c r="F99" i="4"/>
  <c r="BT92" i="4"/>
  <c r="BS92" i="4"/>
  <c r="BR92" i="4"/>
  <c r="BQ92" i="4"/>
  <c r="BP92" i="4"/>
  <c r="BO92" i="4"/>
  <c r="BN92" i="4"/>
  <c r="BM92" i="4"/>
  <c r="BL92" i="4"/>
  <c r="BK92" i="4"/>
  <c r="BJ92" i="4"/>
  <c r="BI92" i="4"/>
  <c r="BH92" i="4"/>
  <c r="BG92" i="4"/>
  <c r="BF92" i="4"/>
  <c r="BE92" i="4"/>
  <c r="BD92" i="4"/>
  <c r="BC92" i="4"/>
  <c r="BB92" i="4"/>
  <c r="BA92" i="4"/>
  <c r="AZ92" i="4"/>
  <c r="AY92" i="4"/>
  <c r="AX92" i="4"/>
  <c r="AW92" i="4"/>
  <c r="AV92" i="4"/>
  <c r="AU92" i="4"/>
  <c r="AT92" i="4"/>
  <c r="AS92" i="4"/>
  <c r="AR92" i="4"/>
  <c r="AQ92" i="4"/>
  <c r="AP92" i="4"/>
  <c r="AO92" i="4"/>
  <c r="AN92" i="4"/>
  <c r="AM92" i="4"/>
  <c r="AL92" i="4"/>
  <c r="AK92" i="4"/>
  <c r="AJ92" i="4"/>
  <c r="AF96" i="4"/>
  <c r="AF93" i="4"/>
  <c r="AE96" i="4"/>
  <c r="AE93" i="4"/>
  <c r="AD96" i="4"/>
  <c r="AD93" i="4"/>
  <c r="AC96" i="4"/>
  <c r="AC93" i="4"/>
  <c r="AB96" i="4"/>
  <c r="AB93" i="4"/>
  <c r="AA96" i="4"/>
  <c r="AA93" i="4"/>
  <c r="Z96" i="4"/>
  <c r="Z93" i="4"/>
  <c r="AG96" i="4"/>
  <c r="AG93" i="4"/>
  <c r="AF156" i="1"/>
  <c r="Y96" i="4"/>
  <c r="Y93" i="4"/>
  <c r="K98" i="4"/>
  <c r="K73" i="4"/>
  <c r="J98" i="4"/>
  <c r="J73" i="4"/>
  <c r="H98" i="4"/>
  <c r="I98" i="4"/>
  <c r="I73" i="4"/>
  <c r="G98" i="4"/>
  <c r="F98" i="4"/>
  <c r="F73" i="4"/>
  <c r="AG156" i="1"/>
  <c r="AH96" i="4"/>
  <c r="AH93" i="4"/>
  <c r="AH156" i="1"/>
  <c r="G76" i="4"/>
  <c r="E76" i="4"/>
  <c r="E73" i="4"/>
  <c r="D76" i="4"/>
  <c r="C76" i="4"/>
  <c r="C73" i="4"/>
  <c r="G99" i="4"/>
  <c r="G73" i="4"/>
  <c r="C99" i="4"/>
  <c r="E99" i="4"/>
  <c r="D99" i="4"/>
  <c r="D73" i="4"/>
  <c r="H76" i="4"/>
  <c r="K177" i="1"/>
  <c r="J177" i="1"/>
  <c r="I177" i="1"/>
  <c r="I175" i="1" s="1"/>
  <c r="C154" i="1"/>
  <c r="C70" i="1"/>
  <c r="C155" i="1" s="1"/>
  <c r="C69" i="1"/>
  <c r="H99" i="4"/>
  <c r="H73" i="4"/>
  <c r="D16" i="16"/>
  <c r="G8" i="3"/>
  <c r="G10" i="3"/>
  <c r="G9" i="3"/>
  <c r="C13" i="21"/>
  <c r="C14" i="21"/>
  <c r="B13" i="21"/>
  <c r="B11" i="21"/>
  <c r="C11" i="21"/>
  <c r="H97" i="3"/>
  <c r="AH97" i="4"/>
  <c r="AJ74" i="4"/>
  <c r="G117" i="3"/>
  <c r="G40" i="3"/>
  <c r="X40" i="3"/>
  <c r="G39" i="3"/>
  <c r="X39" i="3"/>
  <c r="T173" i="1"/>
  <c r="U173" i="1" s="1"/>
  <c r="V173" i="1" s="1"/>
  <c r="W173" i="1" s="1"/>
  <c r="X173" i="1" s="1"/>
  <c r="U88" i="1"/>
  <c r="V88" i="1" s="1"/>
  <c r="W88" i="1" s="1"/>
  <c r="X88" i="1" s="1"/>
  <c r="Y88" i="1"/>
  <c r="E31" i="1"/>
  <c r="E86" i="1" s="1"/>
  <c r="E171" i="1" s="1"/>
  <c r="D31" i="1"/>
  <c r="D86" i="1" s="1"/>
  <c r="D171" i="1" s="1"/>
  <c r="C31" i="1"/>
  <c r="G15" i="8"/>
  <c r="E15" i="8"/>
  <c r="E14" i="8"/>
  <c r="E13" i="8"/>
  <c r="E12" i="8"/>
  <c r="E11" i="8"/>
  <c r="BP73" i="1"/>
  <c r="BQ73" i="1" s="1"/>
  <c r="BR73" i="1" s="1"/>
  <c r="BS73" i="1" s="1"/>
  <c r="BT73" i="1" s="1"/>
  <c r="BP72" i="1"/>
  <c r="BQ72" i="1" s="1"/>
  <c r="BR72" i="1" s="1"/>
  <c r="BS72" i="1" s="1"/>
  <c r="BT72" i="1" s="1"/>
  <c r="AT73" i="1"/>
  <c r="AU73" i="1" s="1"/>
  <c r="AV73" i="1" s="1"/>
  <c r="AW73" i="1" s="1"/>
  <c r="AX162" i="1"/>
  <c r="AX161" i="1"/>
  <c r="AS162" i="1"/>
  <c r="AS161" i="1"/>
  <c r="AX157" i="1"/>
  <c r="AS158" i="1"/>
  <c r="AY25" i="1"/>
  <c r="AY162" i="1" s="1"/>
  <c r="AY24" i="1"/>
  <c r="AY161" i="1" s="1"/>
  <c r="AY20" i="1"/>
  <c r="AZ20" i="1" s="1"/>
  <c r="AT162" i="1"/>
  <c r="AT161" i="1"/>
  <c r="AT21" i="1"/>
  <c r="AS20" i="1"/>
  <c r="AS157" i="1"/>
  <c r="Z161" i="1"/>
  <c r="AA161" i="1" s="1"/>
  <c r="AB161" i="1" s="1"/>
  <c r="Z166" i="1"/>
  <c r="AA166" i="1" s="1"/>
  <c r="AB166" i="1" s="1"/>
  <c r="AC166" i="1" s="1"/>
  <c r="AD166" i="1" s="1"/>
  <c r="AH175" i="1"/>
  <c r="AG175" i="1"/>
  <c r="AF175" i="1"/>
  <c r="AE175" i="1"/>
  <c r="AD175" i="1"/>
  <c r="AC175" i="1"/>
  <c r="AB175" i="1"/>
  <c r="AA175" i="1"/>
  <c r="Z175" i="1"/>
  <c r="Y175" i="1"/>
  <c r="X175" i="1"/>
  <c r="W175" i="1"/>
  <c r="V175" i="1"/>
  <c r="U175" i="1"/>
  <c r="T175" i="1"/>
  <c r="S175" i="1"/>
  <c r="R175" i="1"/>
  <c r="Q175" i="1"/>
  <c r="P175" i="1"/>
  <c r="O175" i="1"/>
  <c r="M175" i="1"/>
  <c r="L175" i="1"/>
  <c r="K175" i="1"/>
  <c r="J175" i="1"/>
  <c r="E155" i="1"/>
  <c r="D155" i="1"/>
  <c r="E154" i="1"/>
  <c r="D154" i="1"/>
  <c r="AU25" i="1"/>
  <c r="AY157" i="1"/>
  <c r="Z162" i="1"/>
  <c r="AA162" i="1" s="1"/>
  <c r="AB162" i="1" s="1"/>
  <c r="AC162" i="1" s="1"/>
  <c r="AD162" i="1" s="1"/>
  <c r="AE162" i="1" s="1"/>
  <c r="AT20" i="1"/>
  <c r="AU24" i="1"/>
  <c r="AG81" i="1"/>
  <c r="AG80" i="1"/>
  <c r="B143" i="17"/>
  <c r="BT74" i="4"/>
  <c r="BS74" i="4"/>
  <c r="BR74" i="4"/>
  <c r="BQ74" i="4"/>
  <c r="BP74" i="4"/>
  <c r="BO74" i="4"/>
  <c r="O166" i="1"/>
  <c r="O165" i="1"/>
  <c r="O162" i="1"/>
  <c r="O161" i="1"/>
  <c r="N161" i="1"/>
  <c r="N155" i="1"/>
  <c r="N154" i="1"/>
  <c r="AT75" i="1"/>
  <c r="AS75" i="1"/>
  <c r="AR75" i="1"/>
  <c r="AQ75" i="1"/>
  <c r="AP75" i="1"/>
  <c r="AO75" i="1"/>
  <c r="AN75" i="1"/>
  <c r="AM75" i="1"/>
  <c r="AL75" i="1"/>
  <c r="AK75" i="1"/>
  <c r="AJ75" i="1"/>
  <c r="AI75" i="1"/>
  <c r="AH75" i="1"/>
  <c r="M75" i="1"/>
  <c r="L75" i="1"/>
  <c r="AR32" i="1"/>
  <c r="AQ32" i="1"/>
  <c r="AP32" i="1"/>
  <c r="AO32" i="1"/>
  <c r="AN32" i="1"/>
  <c r="AM32" i="1"/>
  <c r="AL32" i="1"/>
  <c r="AK32" i="1"/>
  <c r="AJ32" i="1"/>
  <c r="AI32" i="1"/>
  <c r="AH32" i="1"/>
  <c r="AG32" i="1"/>
  <c r="AF32" i="1"/>
  <c r="AE32" i="1"/>
  <c r="AD32" i="1"/>
  <c r="AC32" i="1"/>
  <c r="AB32" i="1"/>
  <c r="AA32" i="1"/>
  <c r="Z32" i="1"/>
  <c r="Y32" i="1"/>
  <c r="X32" i="1"/>
  <c r="W32" i="1"/>
  <c r="V32" i="1"/>
  <c r="U32" i="1"/>
  <c r="T32" i="1"/>
  <c r="S32" i="1"/>
  <c r="R32" i="1"/>
  <c r="Q32" i="1"/>
  <c r="P32" i="1"/>
  <c r="O32" i="1"/>
  <c r="N32" i="1"/>
  <c r="M32" i="1"/>
  <c r="L32" i="1"/>
  <c r="K32" i="1"/>
  <c r="J32" i="1"/>
  <c r="I32" i="1"/>
  <c r="H32" i="1"/>
  <c r="G32" i="1"/>
  <c r="E32" i="1"/>
  <c r="D32" i="1"/>
  <c r="C32" i="1"/>
  <c r="F32" i="1"/>
  <c r="F70" i="1"/>
  <c r="F155" i="1" s="1"/>
  <c r="F68" i="1"/>
  <c r="F153" i="1" s="1"/>
  <c r="F69" i="1"/>
  <c r="F154" i="1"/>
  <c r="G68" i="1"/>
  <c r="G153" i="1" s="1"/>
  <c r="G69" i="1"/>
  <c r="G154" i="1"/>
  <c r="G70" i="1"/>
  <c r="G155" i="1" s="1"/>
  <c r="H70" i="1"/>
  <c r="H155" i="1" s="1"/>
  <c r="H68" i="1"/>
  <c r="H153" i="1" s="1"/>
  <c r="H69" i="1"/>
  <c r="H154" i="1" s="1"/>
  <c r="I70" i="1"/>
  <c r="I155" i="1" s="1"/>
  <c r="I68" i="1"/>
  <c r="I153" i="1"/>
  <c r="I69" i="1"/>
  <c r="I154" i="1" s="1"/>
  <c r="J70" i="1"/>
  <c r="J155" i="1"/>
  <c r="J68" i="1"/>
  <c r="J153" i="1" s="1"/>
  <c r="J69" i="1"/>
  <c r="J154" i="1" s="1"/>
  <c r="K69" i="1"/>
  <c r="K154" i="1" s="1"/>
  <c r="K68" i="1"/>
  <c r="K153" i="1" s="1"/>
  <c r="L68" i="1"/>
  <c r="L153" i="1" s="1"/>
  <c r="L69" i="1"/>
  <c r="M69" i="1"/>
  <c r="M154" i="1" s="1"/>
  <c r="M68" i="1"/>
  <c r="M153" i="1" s="1"/>
  <c r="R18" i="1"/>
  <c r="R16" i="1"/>
  <c r="S16" i="1" s="1"/>
  <c r="AH148" i="1"/>
  <c r="AH189" i="1" s="1"/>
  <c r="AG148" i="1"/>
  <c r="AG189" i="1" s="1"/>
  <c r="AF148" i="1"/>
  <c r="AF189" i="1" s="1"/>
  <c r="K57" i="2"/>
  <c r="D17" i="19"/>
  <c r="E17" i="19"/>
  <c r="F17" i="19"/>
  <c r="G17" i="19"/>
  <c r="H17" i="19"/>
  <c r="I17" i="19"/>
  <c r="J17" i="19"/>
  <c r="K17" i="19"/>
  <c r="L17" i="19"/>
  <c r="M17" i="19"/>
  <c r="N17" i="19"/>
  <c r="O17" i="19"/>
  <c r="P17" i="19"/>
  <c r="Q17" i="19"/>
  <c r="R17" i="19"/>
  <c r="S17" i="19"/>
  <c r="T17" i="19"/>
  <c r="U17" i="19"/>
  <c r="V17" i="19"/>
  <c r="W17" i="19"/>
  <c r="X17" i="19"/>
  <c r="Y17" i="19"/>
  <c r="Z17" i="19"/>
  <c r="AA17" i="19"/>
  <c r="AB17" i="19"/>
  <c r="AC17" i="19"/>
  <c r="AD17" i="19"/>
  <c r="AE17" i="19"/>
  <c r="AF17" i="19"/>
  <c r="AG17" i="19"/>
  <c r="AH17" i="19"/>
  <c r="AI17" i="19"/>
  <c r="AJ17" i="19"/>
  <c r="AK17" i="19"/>
  <c r="AL17" i="19"/>
  <c r="AM17" i="19"/>
  <c r="AN17" i="19"/>
  <c r="AO17" i="19"/>
  <c r="AP17" i="19"/>
  <c r="AQ17" i="19"/>
  <c r="AR17" i="19"/>
  <c r="AS17" i="19"/>
  <c r="AT17" i="19"/>
  <c r="AU17" i="19"/>
  <c r="AV17" i="19"/>
  <c r="AW17" i="19"/>
  <c r="AX17" i="19"/>
  <c r="AY17" i="19"/>
  <c r="AZ17" i="19"/>
  <c r="BA17" i="19"/>
  <c r="BB17" i="19"/>
  <c r="BC17" i="19"/>
  <c r="BD17" i="19"/>
  <c r="BE17" i="19"/>
  <c r="BF17" i="19"/>
  <c r="BG17" i="19"/>
  <c r="BH17" i="19"/>
  <c r="BI17" i="19"/>
  <c r="BJ17" i="19"/>
  <c r="BK17" i="19"/>
  <c r="BL17" i="19"/>
  <c r="BM17" i="19"/>
  <c r="BN17" i="19"/>
  <c r="BO17" i="19"/>
  <c r="BP17" i="19"/>
  <c r="BQ17" i="19"/>
  <c r="BR17" i="19"/>
  <c r="BS17" i="19"/>
  <c r="BT17" i="19"/>
  <c r="C17" i="19"/>
  <c r="D12" i="19"/>
  <c r="E12" i="19"/>
  <c r="F12" i="19"/>
  <c r="G12" i="19"/>
  <c r="H12" i="19"/>
  <c r="I12" i="19"/>
  <c r="J12" i="19"/>
  <c r="K12" i="19"/>
  <c r="L12" i="19"/>
  <c r="M12" i="19"/>
  <c r="N12" i="19"/>
  <c r="O12" i="19"/>
  <c r="P12" i="19"/>
  <c r="Q12" i="19"/>
  <c r="R12" i="19"/>
  <c r="S12" i="19"/>
  <c r="T12" i="19"/>
  <c r="U12" i="19"/>
  <c r="V12" i="19"/>
  <c r="W12" i="19"/>
  <c r="X12" i="19"/>
  <c r="Y12" i="19"/>
  <c r="Z12" i="19"/>
  <c r="AA12" i="19"/>
  <c r="AB12" i="19"/>
  <c r="AC12" i="19"/>
  <c r="AD12" i="19"/>
  <c r="AE12" i="19"/>
  <c r="AF12" i="19"/>
  <c r="AG12" i="19"/>
  <c r="AH12" i="19"/>
  <c r="AI12" i="19"/>
  <c r="AJ12" i="19"/>
  <c r="AK12" i="19"/>
  <c r="AL12" i="19"/>
  <c r="AM12" i="19"/>
  <c r="AN12" i="19"/>
  <c r="AO12" i="19"/>
  <c r="AP12" i="19"/>
  <c r="AQ12" i="19"/>
  <c r="AR12" i="19"/>
  <c r="AS12" i="19"/>
  <c r="AT12" i="19"/>
  <c r="AU12" i="19"/>
  <c r="AV12" i="19"/>
  <c r="AW12" i="19"/>
  <c r="AX12" i="19"/>
  <c r="AY12" i="19"/>
  <c r="AZ12" i="19"/>
  <c r="BA12" i="19"/>
  <c r="BB12" i="19"/>
  <c r="BC12" i="19"/>
  <c r="BD12" i="19"/>
  <c r="BE12" i="19"/>
  <c r="BF12" i="19"/>
  <c r="BG12" i="19"/>
  <c r="BH12" i="19"/>
  <c r="BI12" i="19"/>
  <c r="BJ12" i="19"/>
  <c r="BK12" i="19"/>
  <c r="BL12" i="19"/>
  <c r="BM12" i="19"/>
  <c r="BN12" i="19"/>
  <c r="BO12" i="19"/>
  <c r="BP12" i="19"/>
  <c r="BQ12" i="19"/>
  <c r="BR12" i="19"/>
  <c r="BS12" i="19"/>
  <c r="BT12" i="19"/>
  <c r="C12" i="19"/>
  <c r="F7" i="19"/>
  <c r="G7" i="19"/>
  <c r="H7" i="19"/>
  <c r="I7" i="19"/>
  <c r="J7" i="19"/>
  <c r="K7" i="19"/>
  <c r="L7" i="19"/>
  <c r="M7" i="19"/>
  <c r="N7" i="19"/>
  <c r="O7" i="19"/>
  <c r="P7" i="19"/>
  <c r="Q7" i="19"/>
  <c r="R7" i="19"/>
  <c r="R17" i="1"/>
  <c r="S7" i="19"/>
  <c r="S17" i="1"/>
  <c r="T7" i="19"/>
  <c r="T17" i="1"/>
  <c r="U7" i="19"/>
  <c r="U17" i="1"/>
  <c r="V7" i="19"/>
  <c r="V17" i="1"/>
  <c r="W7" i="19"/>
  <c r="W17" i="1"/>
  <c r="X7" i="19"/>
  <c r="X17" i="1"/>
  <c r="Y7" i="19"/>
  <c r="Y17" i="1"/>
  <c r="Z7" i="19"/>
  <c r="Z17" i="1"/>
  <c r="AA17" i="1" s="1"/>
  <c r="AA7" i="19"/>
  <c r="AB7" i="19"/>
  <c r="AB17" i="1"/>
  <c r="AC17" i="1" s="1"/>
  <c r="AC7" i="19"/>
  <c r="AD7" i="19"/>
  <c r="AE7" i="19"/>
  <c r="AF7" i="19"/>
  <c r="AG7" i="19"/>
  <c r="AH7" i="19"/>
  <c r="AI7" i="19"/>
  <c r="AI17" i="1"/>
  <c r="AJ17" i="1" s="1"/>
  <c r="AJ7" i="19"/>
  <c r="AK7" i="19"/>
  <c r="AL7" i="19"/>
  <c r="AM7" i="19"/>
  <c r="AN7" i="19"/>
  <c r="AO7" i="19"/>
  <c r="AP7" i="19"/>
  <c r="AP17" i="1"/>
  <c r="AQ7" i="19"/>
  <c r="AQ17" i="1"/>
  <c r="AR7" i="19"/>
  <c r="AR17" i="1"/>
  <c r="AS7" i="19"/>
  <c r="AT7" i="19"/>
  <c r="AT17" i="1"/>
  <c r="AU7" i="19"/>
  <c r="AU17" i="1"/>
  <c r="AU69" i="1" s="1"/>
  <c r="AV7" i="19"/>
  <c r="AV17" i="1"/>
  <c r="AV69" i="1" s="1"/>
  <c r="AW7" i="19"/>
  <c r="AW17" i="1"/>
  <c r="AW69" i="1" s="1"/>
  <c r="AX7" i="19"/>
  <c r="AX17" i="1"/>
  <c r="AX69" i="1" s="1"/>
  <c r="AY7" i="19"/>
  <c r="AY17" i="1"/>
  <c r="AY69" i="1" s="1"/>
  <c r="AZ7" i="19"/>
  <c r="AZ17" i="1"/>
  <c r="AZ69" i="1" s="1"/>
  <c r="BA7" i="19"/>
  <c r="BA17" i="1"/>
  <c r="BA69" i="1" s="1"/>
  <c r="BB7" i="19"/>
  <c r="BB17" i="1"/>
  <c r="BB69" i="1" s="1"/>
  <c r="BC7" i="19"/>
  <c r="BC17" i="1"/>
  <c r="BC69" i="1" s="1"/>
  <c r="BD7" i="19"/>
  <c r="BD17" i="1"/>
  <c r="BD69" i="1" s="1"/>
  <c r="BE7" i="19"/>
  <c r="BE17" i="1"/>
  <c r="BE69" i="1" s="1"/>
  <c r="BF7" i="19"/>
  <c r="BF17" i="1"/>
  <c r="BF69" i="1" s="1"/>
  <c r="BG7" i="19"/>
  <c r="BG17" i="1"/>
  <c r="BG69" i="1" s="1"/>
  <c r="BH7" i="19"/>
  <c r="BH17" i="1"/>
  <c r="BH69" i="1" s="1"/>
  <c r="BI7" i="19"/>
  <c r="BI17" i="1"/>
  <c r="BI69" i="1" s="1"/>
  <c r="BJ7" i="19"/>
  <c r="BJ17" i="1"/>
  <c r="BJ69" i="1" s="1"/>
  <c r="BK7" i="19"/>
  <c r="BK17" i="1"/>
  <c r="BK69" i="1" s="1"/>
  <c r="BL7" i="19"/>
  <c r="BL17" i="1"/>
  <c r="BL69" i="1" s="1"/>
  <c r="BM7" i="19"/>
  <c r="BM17" i="1"/>
  <c r="BM69" i="1" s="1"/>
  <c r="BN7" i="19"/>
  <c r="BN17" i="1"/>
  <c r="BN69" i="1" s="1"/>
  <c r="BO7" i="19"/>
  <c r="BO17" i="1"/>
  <c r="BO69" i="1" s="1"/>
  <c r="BP7" i="19"/>
  <c r="BP17" i="1"/>
  <c r="BP69" i="1" s="1"/>
  <c r="BQ7" i="19"/>
  <c r="BQ17" i="1"/>
  <c r="BQ69" i="1" s="1"/>
  <c r="BR7" i="19"/>
  <c r="BR17" i="1"/>
  <c r="BR69" i="1" s="1"/>
  <c r="BS7" i="19"/>
  <c r="BS17" i="1"/>
  <c r="BS69" i="1" s="1"/>
  <c r="BT7" i="19"/>
  <c r="BT17" i="1"/>
  <c r="BT69" i="1" s="1"/>
  <c r="J4" i="19"/>
  <c r="J5" i="19" s="1"/>
  <c r="K4" i="19"/>
  <c r="K5" i="19" s="1"/>
  <c r="L4" i="19"/>
  <c r="L5" i="19" s="1"/>
  <c r="M4" i="19"/>
  <c r="M5" i="19" s="1"/>
  <c r="N4" i="19"/>
  <c r="N5" i="19" s="1"/>
  <c r="O4" i="19"/>
  <c r="O5" i="19" s="1"/>
  <c r="P4" i="19"/>
  <c r="P5" i="19" s="1"/>
  <c r="Q4" i="19"/>
  <c r="Q5" i="19" s="1"/>
  <c r="R4" i="19"/>
  <c r="R5" i="19" s="1"/>
  <c r="S4" i="19"/>
  <c r="S5" i="19" s="1"/>
  <c r="T4" i="19"/>
  <c r="T5" i="19" s="1"/>
  <c r="U4" i="19"/>
  <c r="U5" i="19" s="1"/>
  <c r="V4" i="19"/>
  <c r="V5" i="19" s="1"/>
  <c r="W4" i="19"/>
  <c r="W5" i="19" s="1"/>
  <c r="X4" i="19"/>
  <c r="X5" i="19" s="1"/>
  <c r="Y4" i="19"/>
  <c r="Y5" i="19" s="1"/>
  <c r="Z4" i="19"/>
  <c r="Z5" i="19" s="1"/>
  <c r="AA4" i="19"/>
  <c r="AA5" i="19" s="1"/>
  <c r="AB4" i="19"/>
  <c r="AB5" i="19" s="1"/>
  <c r="AC4" i="19"/>
  <c r="AC5" i="19" s="1"/>
  <c r="AD4" i="19"/>
  <c r="AD5" i="19" s="1"/>
  <c r="AE4" i="19"/>
  <c r="AE5" i="19" s="1"/>
  <c r="AF4" i="19"/>
  <c r="AF5" i="19" s="1"/>
  <c r="AG4" i="19"/>
  <c r="AG5" i="19" s="1"/>
  <c r="AH4" i="19"/>
  <c r="AH5" i="19" s="1"/>
  <c r="AI4" i="19"/>
  <c r="AI5" i="19" s="1"/>
  <c r="AJ4" i="19"/>
  <c r="AJ5" i="19" s="1"/>
  <c r="AK4" i="19"/>
  <c r="AK5" i="19" s="1"/>
  <c r="AL4" i="19"/>
  <c r="AL5" i="19" s="1"/>
  <c r="AM4" i="19"/>
  <c r="AM5" i="19" s="1"/>
  <c r="AN4" i="19"/>
  <c r="AN5" i="19" s="1"/>
  <c r="AO4" i="19"/>
  <c r="AO5" i="19" s="1"/>
  <c r="AP4" i="19"/>
  <c r="AP5" i="19" s="1"/>
  <c r="AQ4" i="19"/>
  <c r="AQ5" i="19" s="1"/>
  <c r="AR4" i="19"/>
  <c r="AR5" i="19" s="1"/>
  <c r="AS4" i="19"/>
  <c r="AS5" i="19" s="1"/>
  <c r="AT4" i="19"/>
  <c r="AT5" i="19" s="1"/>
  <c r="AU4" i="19"/>
  <c r="AU5" i="19" s="1"/>
  <c r="AV4" i="19"/>
  <c r="AV5" i="19" s="1"/>
  <c r="AW4" i="19"/>
  <c r="AW5" i="19" s="1"/>
  <c r="AX4" i="19"/>
  <c r="AX5" i="19" s="1"/>
  <c r="AY4" i="19"/>
  <c r="AY5" i="19" s="1"/>
  <c r="AZ4" i="19"/>
  <c r="AZ5" i="19" s="1"/>
  <c r="BA4" i="19"/>
  <c r="BA5" i="19" s="1"/>
  <c r="BB4" i="19"/>
  <c r="BB5" i="19" s="1"/>
  <c r="BC4" i="19"/>
  <c r="BC5" i="19" s="1"/>
  <c r="BD4" i="19"/>
  <c r="BD5" i="19" s="1"/>
  <c r="BE4" i="19"/>
  <c r="BE5" i="19" s="1"/>
  <c r="BF4" i="19"/>
  <c r="BF5" i="19" s="1"/>
  <c r="BG4" i="19"/>
  <c r="BG5" i="19" s="1"/>
  <c r="BH4" i="19"/>
  <c r="BH5" i="19" s="1"/>
  <c r="BI4" i="19"/>
  <c r="BI5" i="19" s="1"/>
  <c r="BJ4" i="19"/>
  <c r="BJ5" i="19" s="1"/>
  <c r="BK4" i="19"/>
  <c r="BK5" i="19" s="1"/>
  <c r="BL4" i="19"/>
  <c r="BL5" i="19" s="1"/>
  <c r="BM4" i="19"/>
  <c r="BM5" i="19" s="1"/>
  <c r="BN4" i="19"/>
  <c r="BN5" i="19" s="1"/>
  <c r="BO4" i="19"/>
  <c r="BO5" i="19" s="1"/>
  <c r="BP4" i="19"/>
  <c r="BP5" i="19" s="1"/>
  <c r="BQ4" i="19"/>
  <c r="BQ5" i="19" s="1"/>
  <c r="BR4" i="19"/>
  <c r="BR5" i="19" s="1"/>
  <c r="BS4" i="19"/>
  <c r="BS5" i="19" s="1"/>
  <c r="BT4" i="19"/>
  <c r="BT5" i="19" s="1"/>
  <c r="G4" i="19"/>
  <c r="G5" i="19" s="1"/>
  <c r="H4" i="19"/>
  <c r="H5" i="19" s="1"/>
  <c r="I4" i="19"/>
  <c r="I5" i="19" s="1"/>
  <c r="F4" i="19"/>
  <c r="F5" i="19" s="1"/>
  <c r="G136" i="3"/>
  <c r="N55" i="1"/>
  <c r="N33" i="23" s="1"/>
  <c r="P55" i="1"/>
  <c r="D178" i="3"/>
  <c r="G193" i="3"/>
  <c r="P91" i="1"/>
  <c r="P69" i="4" s="1"/>
  <c r="D196" i="3"/>
  <c r="G175" i="3"/>
  <c r="N91" i="1"/>
  <c r="N176" i="1" s="1"/>
  <c r="N175" i="1" s="1"/>
  <c r="S6" i="18"/>
  <c r="T6" i="18"/>
  <c r="R6" i="18"/>
  <c r="Q6" i="14"/>
  <c r="P6" i="14"/>
  <c r="Q6" i="12"/>
  <c r="R6" i="12"/>
  <c r="P6" i="12"/>
  <c r="Q6" i="13"/>
  <c r="P6" i="13"/>
  <c r="P6" i="7"/>
  <c r="G63" i="3"/>
  <c r="L12" i="10"/>
  <c r="L11" i="10"/>
  <c r="L10" i="10"/>
  <c r="L9" i="10"/>
  <c r="L8" i="10"/>
  <c r="L7" i="10"/>
  <c r="L6" i="10"/>
  <c r="J12" i="10"/>
  <c r="J11" i="10"/>
  <c r="J10" i="10"/>
  <c r="J9" i="10"/>
  <c r="J8" i="10"/>
  <c r="J7" i="10"/>
  <c r="J6" i="10"/>
  <c r="I12" i="10"/>
  <c r="I11" i="10"/>
  <c r="I10" i="10"/>
  <c r="I9" i="10"/>
  <c r="I8" i="10"/>
  <c r="I7" i="10"/>
  <c r="I6" i="10"/>
  <c r="H12" i="10"/>
  <c r="H11" i="10"/>
  <c r="H10" i="10"/>
  <c r="H9" i="10"/>
  <c r="H8" i="10"/>
  <c r="H7" i="10"/>
  <c r="H6" i="10"/>
  <c r="G12" i="10"/>
  <c r="G11" i="10"/>
  <c r="G10" i="10"/>
  <c r="G9" i="10"/>
  <c r="G8" i="10"/>
  <c r="G7" i="10"/>
  <c r="G6" i="10"/>
  <c r="F12" i="10"/>
  <c r="F11" i="10"/>
  <c r="F10" i="10"/>
  <c r="F8" i="10"/>
  <c r="F9" i="10"/>
  <c r="F7" i="10"/>
  <c r="F6" i="10"/>
  <c r="E12" i="10"/>
  <c r="E11" i="10"/>
  <c r="E10" i="10"/>
  <c r="E9" i="10"/>
  <c r="E8" i="10"/>
  <c r="E7" i="10"/>
  <c r="E6" i="10"/>
  <c r="B12" i="10"/>
  <c r="B11" i="10"/>
  <c r="B10" i="10"/>
  <c r="B9" i="10"/>
  <c r="B8" i="10"/>
  <c r="B7" i="10"/>
  <c r="B6" i="10"/>
  <c r="R6" i="13"/>
  <c r="M24" i="4"/>
  <c r="R6" i="14"/>
  <c r="N23" i="4"/>
  <c r="Q6" i="7"/>
  <c r="M26" i="4"/>
  <c r="AU128" i="1"/>
  <c r="AU46" i="23" s="1"/>
  <c r="AT128" i="1"/>
  <c r="AT46" i="23" s="1"/>
  <c r="AS128" i="1"/>
  <c r="AS46" i="23" s="1"/>
  <c r="H47" i="8"/>
  <c r="H46" i="8"/>
  <c r="H107" i="8"/>
  <c r="C107" i="8"/>
  <c r="G107" i="8" s="1"/>
  <c r="H106" i="8"/>
  <c r="C106" i="8"/>
  <c r="G106" i="8" s="1"/>
  <c r="H105" i="8"/>
  <c r="C105" i="8"/>
  <c r="G105" i="8"/>
  <c r="H104" i="8"/>
  <c r="C104" i="8"/>
  <c r="G104" i="8"/>
  <c r="H103" i="8"/>
  <c r="C103" i="8"/>
  <c r="G103" i="8"/>
  <c r="H102" i="8"/>
  <c r="C102" i="8"/>
  <c r="G102" i="8" s="1"/>
  <c r="H101" i="8"/>
  <c r="C101" i="8"/>
  <c r="G101" i="8"/>
  <c r="H100" i="8"/>
  <c r="C100" i="8"/>
  <c r="G100" i="8"/>
  <c r="H99" i="8"/>
  <c r="C99" i="8"/>
  <c r="G99" i="8"/>
  <c r="H98" i="8"/>
  <c r="C98" i="8"/>
  <c r="G98" i="8" s="1"/>
  <c r="H97" i="8"/>
  <c r="C97" i="8"/>
  <c r="G97" i="8"/>
  <c r="H96" i="8"/>
  <c r="C96" i="8"/>
  <c r="G96" i="8"/>
  <c r="H95" i="8"/>
  <c r="C95" i="8"/>
  <c r="G95" i="8"/>
  <c r="H94" i="8"/>
  <c r="C94" i="8"/>
  <c r="G94" i="8" s="1"/>
  <c r="H93" i="8"/>
  <c r="C93" i="8"/>
  <c r="G93" i="8"/>
  <c r="H92" i="8"/>
  <c r="C92" i="8"/>
  <c r="G92" i="8"/>
  <c r="H91" i="8"/>
  <c r="C91" i="8"/>
  <c r="G91" i="8"/>
  <c r="H90" i="8"/>
  <c r="C90" i="8"/>
  <c r="G90" i="8" s="1"/>
  <c r="H89" i="8"/>
  <c r="C89" i="8"/>
  <c r="G89" i="8"/>
  <c r="H88" i="8"/>
  <c r="C88" i="8"/>
  <c r="G88" i="8"/>
  <c r="H87" i="8"/>
  <c r="C87" i="8"/>
  <c r="G87" i="8"/>
  <c r="H86" i="8"/>
  <c r="C86" i="8"/>
  <c r="G86" i="8" s="1"/>
  <c r="H85" i="8"/>
  <c r="C85" i="8"/>
  <c r="H84" i="8"/>
  <c r="C84" i="8"/>
  <c r="H83" i="8"/>
  <c r="C83" i="8"/>
  <c r="H82" i="8"/>
  <c r="C82" i="8"/>
  <c r="H81" i="8"/>
  <c r="C81" i="8"/>
  <c r="H80" i="8"/>
  <c r="C80" i="8"/>
  <c r="H79" i="8"/>
  <c r="C79" i="8"/>
  <c r="H78" i="8"/>
  <c r="C78" i="8"/>
  <c r="H77" i="8"/>
  <c r="C77" i="8"/>
  <c r="H76" i="8"/>
  <c r="C76" i="8"/>
  <c r="H75" i="8"/>
  <c r="C75" i="8"/>
  <c r="H74" i="8"/>
  <c r="C74" i="8"/>
  <c r="H73" i="8"/>
  <c r="C73" i="8"/>
  <c r="H72" i="8"/>
  <c r="C72" i="8"/>
  <c r="H71" i="8"/>
  <c r="C71" i="8"/>
  <c r="H70" i="8"/>
  <c r="C70" i="8"/>
  <c r="H69" i="8"/>
  <c r="C69" i="8"/>
  <c r="H68" i="8"/>
  <c r="C68" i="8"/>
  <c r="H67" i="8"/>
  <c r="C67" i="8"/>
  <c r="H66" i="8"/>
  <c r="C66" i="8"/>
  <c r="H65" i="8"/>
  <c r="C65" i="8"/>
  <c r="H64" i="8"/>
  <c r="C64" i="8"/>
  <c r="H63" i="8"/>
  <c r="C63" i="8"/>
  <c r="H62" i="8"/>
  <c r="C62" i="8"/>
  <c r="H61" i="8"/>
  <c r="C61" i="8"/>
  <c r="H60" i="8"/>
  <c r="C60" i="8"/>
  <c r="H59" i="8"/>
  <c r="C59" i="8"/>
  <c r="H58" i="8"/>
  <c r="C58" i="8"/>
  <c r="H57" i="8"/>
  <c r="C57" i="8"/>
  <c r="H56" i="8"/>
  <c r="C56" i="8"/>
  <c r="H55" i="8"/>
  <c r="C55" i="8"/>
  <c r="H54" i="8"/>
  <c r="C54" i="8"/>
  <c r="H53" i="8"/>
  <c r="C53" i="8"/>
  <c r="H52" i="8"/>
  <c r="C52" i="8"/>
  <c r="H51" i="8"/>
  <c r="C51" i="8"/>
  <c r="H50" i="8"/>
  <c r="C50" i="8"/>
  <c r="H49" i="8"/>
  <c r="C49" i="8"/>
  <c r="H48" i="8"/>
  <c r="C48" i="8"/>
  <c r="H45" i="8"/>
  <c r="I45" i="8"/>
  <c r="J45" i="8"/>
  <c r="K45" i="8"/>
  <c r="C45" i="8"/>
  <c r="G61" i="2"/>
  <c r="G14" i="8"/>
  <c r="G13" i="8"/>
  <c r="G12" i="8"/>
  <c r="G11" i="8"/>
  <c r="C66" i="17"/>
  <c r="C65" i="17"/>
  <c r="G56" i="17"/>
  <c r="H55" i="17"/>
  <c r="G55" i="17"/>
  <c r="H54" i="17"/>
  <c r="G54" i="17"/>
  <c r="AS178" i="1"/>
  <c r="AR178" i="1"/>
  <c r="AQ178" i="1"/>
  <c r="AQ175" i="1" s="1"/>
  <c r="AP178" i="1"/>
  <c r="AO178" i="1"/>
  <c r="AN178" i="1"/>
  <c r="AM178" i="1"/>
  <c r="AL178" i="1"/>
  <c r="AK178" i="1"/>
  <c r="AJ178" i="1"/>
  <c r="AI178" i="1"/>
  <c r="AR177" i="1"/>
  <c r="AQ177" i="1"/>
  <c r="AP177" i="1"/>
  <c r="AP175" i="1" s="1"/>
  <c r="AO177" i="1"/>
  <c r="AO175" i="1" s="1"/>
  <c r="AN177" i="1"/>
  <c r="AM177" i="1"/>
  <c r="AL177" i="1"/>
  <c r="AL175" i="1" s="1"/>
  <c r="AK177" i="1"/>
  <c r="AK175" i="1" s="1"/>
  <c r="AJ177" i="1"/>
  <c r="AJ175" i="1" s="1"/>
  <c r="AI177" i="1"/>
  <c r="AW164" i="1"/>
  <c r="AV164" i="1"/>
  <c r="AU164" i="1"/>
  <c r="AT164" i="1"/>
  <c r="AS164" i="1"/>
  <c r="AS160" i="1"/>
  <c r="AR164" i="1"/>
  <c r="AQ164" i="1"/>
  <c r="AP164" i="1"/>
  <c r="AO164" i="1"/>
  <c r="AN164" i="1"/>
  <c r="AM164" i="1"/>
  <c r="AL164" i="1"/>
  <c r="AK164" i="1"/>
  <c r="AJ164" i="1"/>
  <c r="AI164" i="1"/>
  <c r="AR148" i="1"/>
  <c r="AR189" i="1" s="1"/>
  <c r="AR14" i="19"/>
  <c r="AR15" i="19" s="1"/>
  <c r="AQ148" i="1"/>
  <c r="AQ189" i="1" s="1"/>
  <c r="AP148" i="1"/>
  <c r="AP189" i="1" s="1"/>
  <c r="AO148" i="1"/>
  <c r="AO189" i="1" s="1"/>
  <c r="AN148" i="1"/>
  <c r="AN189" i="1" s="1"/>
  <c r="AM148" i="1"/>
  <c r="AM189" i="1" s="1"/>
  <c r="AL148" i="1"/>
  <c r="AL189" i="1" s="1"/>
  <c r="AK148" i="1"/>
  <c r="AK189" i="1" s="1"/>
  <c r="AJ148" i="1"/>
  <c r="AJ189" i="1" s="1"/>
  <c r="AI148" i="1"/>
  <c r="AI189" i="1" s="1"/>
  <c r="AF94" i="4"/>
  <c r="AE94" i="4"/>
  <c r="AD94" i="4"/>
  <c r="AC94" i="4"/>
  <c r="AB94" i="4"/>
  <c r="AA94" i="4"/>
  <c r="Z94" i="4"/>
  <c r="AI92" i="4"/>
  <c r="AH92" i="4"/>
  <c r="AG92" i="4"/>
  <c r="AF92" i="4"/>
  <c r="AE92" i="4"/>
  <c r="AD92" i="4"/>
  <c r="AC92" i="4"/>
  <c r="AB92" i="4"/>
  <c r="AA92" i="4"/>
  <c r="Z92" i="4"/>
  <c r="Y92" i="4"/>
  <c r="X92" i="4"/>
  <c r="W92" i="4"/>
  <c r="V92" i="4"/>
  <c r="U92" i="4"/>
  <c r="T92" i="4"/>
  <c r="S92" i="4"/>
  <c r="R92" i="4"/>
  <c r="Q92" i="4"/>
  <c r="N94" i="4"/>
  <c r="M94" i="4"/>
  <c r="L94" i="4"/>
  <c r="O92" i="4"/>
  <c r="M92" i="4"/>
  <c r="L92" i="4"/>
  <c r="K92" i="4"/>
  <c r="J92" i="4"/>
  <c r="I92" i="4"/>
  <c r="H92" i="4"/>
  <c r="G92" i="4"/>
  <c r="F92" i="4"/>
  <c r="E92" i="4"/>
  <c r="D92" i="4"/>
  <c r="C92" i="4"/>
  <c r="O167" i="1"/>
  <c r="N167" i="1"/>
  <c r="M167" i="1"/>
  <c r="L167" i="1"/>
  <c r="K167" i="1"/>
  <c r="J167" i="1"/>
  <c r="I167" i="1"/>
  <c r="H167" i="1"/>
  <c r="G167" i="1"/>
  <c r="F167" i="1"/>
  <c r="E167" i="1"/>
  <c r="D167" i="1"/>
  <c r="M166" i="1"/>
  <c r="L166" i="1"/>
  <c r="K166" i="1"/>
  <c r="J166" i="1"/>
  <c r="I166" i="1"/>
  <c r="H166" i="1"/>
  <c r="G166" i="1"/>
  <c r="F166" i="1"/>
  <c r="E166" i="1"/>
  <c r="D166" i="1"/>
  <c r="N165" i="1"/>
  <c r="M165" i="1"/>
  <c r="L165" i="1"/>
  <c r="K165" i="1"/>
  <c r="J165" i="1"/>
  <c r="I165" i="1"/>
  <c r="H165" i="1"/>
  <c r="G165" i="1"/>
  <c r="F165" i="1"/>
  <c r="E165" i="1"/>
  <c r="D165" i="1"/>
  <c r="O164" i="1"/>
  <c r="N164" i="1"/>
  <c r="M164" i="1"/>
  <c r="L164" i="1"/>
  <c r="O163" i="1"/>
  <c r="N163" i="1"/>
  <c r="M163" i="1"/>
  <c r="L163" i="1"/>
  <c r="M162" i="1"/>
  <c r="L162" i="1"/>
  <c r="M161" i="1"/>
  <c r="L161" i="1"/>
  <c r="C11" i="15"/>
  <c r="C5" i="15"/>
  <c r="C167" i="1"/>
  <c r="C166" i="1"/>
  <c r="C165" i="1"/>
  <c r="W144" i="1"/>
  <c r="AD139" i="1"/>
  <c r="AE139" i="1" s="1"/>
  <c r="Y139" i="1"/>
  <c r="T139" i="1"/>
  <c r="Q139" i="1"/>
  <c r="M25" i="4"/>
  <c r="AO14" i="19"/>
  <c r="AO15" i="19" s="1"/>
  <c r="AH14" i="19"/>
  <c r="AH15" i="19" s="1"/>
  <c r="F30" i="11"/>
  <c r="F29" i="11"/>
  <c r="F19" i="11"/>
  <c r="F18" i="11"/>
  <c r="F7" i="11"/>
  <c r="F6" i="11"/>
  <c r="K71" i="4"/>
  <c r="K94" i="4"/>
  <c r="J71" i="4"/>
  <c r="J94" i="4"/>
  <c r="I71" i="4"/>
  <c r="I94" i="4"/>
  <c r="H71" i="4"/>
  <c r="H94" i="4"/>
  <c r="G71" i="4"/>
  <c r="G94" i="4"/>
  <c r="F71" i="4"/>
  <c r="F94" i="4"/>
  <c r="AR93" i="1"/>
  <c r="AR90" i="1"/>
  <c r="AQ93" i="1"/>
  <c r="AQ90" i="1" s="1"/>
  <c r="AP93" i="1"/>
  <c r="AP90" i="1"/>
  <c r="AO93" i="1"/>
  <c r="AO90" i="1" s="1"/>
  <c r="AN93" i="1"/>
  <c r="AN90" i="1" s="1"/>
  <c r="AM93" i="1"/>
  <c r="AM90" i="1" s="1"/>
  <c r="AL93" i="1"/>
  <c r="AL90" i="1" s="1"/>
  <c r="AK93" i="1"/>
  <c r="AK90" i="1" s="1"/>
  <c r="AJ93" i="1"/>
  <c r="AJ90" i="1"/>
  <c r="AI93" i="1"/>
  <c r="AI90" i="1" s="1"/>
  <c r="AH93" i="1"/>
  <c r="AH90" i="1"/>
  <c r="AG93" i="1"/>
  <c r="AG90" i="1" s="1"/>
  <c r="AF93" i="1"/>
  <c r="AF90" i="1" s="1"/>
  <c r="AE93" i="1"/>
  <c r="AE90" i="1" s="1"/>
  <c r="AD93" i="1"/>
  <c r="AD90" i="1" s="1"/>
  <c r="AC93" i="1"/>
  <c r="AC90" i="1" s="1"/>
  <c r="AB93" i="1"/>
  <c r="AB90" i="1"/>
  <c r="AA93" i="1"/>
  <c r="AA90" i="1" s="1"/>
  <c r="Z93" i="1"/>
  <c r="Z90" i="1"/>
  <c r="Y93" i="1"/>
  <c r="Y90" i="1" s="1"/>
  <c r="X93" i="1"/>
  <c r="X90" i="1" s="1"/>
  <c r="W93" i="1"/>
  <c r="W90" i="1" s="1"/>
  <c r="V93" i="1"/>
  <c r="V90" i="1" s="1"/>
  <c r="U93" i="1"/>
  <c r="U90" i="1" s="1"/>
  <c r="T93" i="1"/>
  <c r="T90" i="1"/>
  <c r="S93" i="1"/>
  <c r="S90" i="1" s="1"/>
  <c r="R93" i="1"/>
  <c r="R90" i="1"/>
  <c r="Q93" i="1"/>
  <c r="Q90" i="1" s="1"/>
  <c r="P93" i="1"/>
  <c r="O93" i="1"/>
  <c r="O90" i="1" s="1"/>
  <c r="N93" i="1"/>
  <c r="M93" i="1"/>
  <c r="M90" i="1" s="1"/>
  <c r="L93" i="1"/>
  <c r="L90" i="1" s="1"/>
  <c r="K93" i="1"/>
  <c r="K90" i="1"/>
  <c r="J93" i="1"/>
  <c r="J90" i="1" s="1"/>
  <c r="I93" i="1"/>
  <c r="I90" i="1"/>
  <c r="H93" i="1"/>
  <c r="H90" i="1" s="1"/>
  <c r="G93" i="1"/>
  <c r="G90" i="1" s="1"/>
  <c r="F93" i="1"/>
  <c r="F90" i="1" s="1"/>
  <c r="E93" i="1"/>
  <c r="E90" i="1" s="1"/>
  <c r="D93" i="1"/>
  <c r="D90" i="1" s="1"/>
  <c r="C93" i="1"/>
  <c r="C90" i="1"/>
  <c r="M101" i="1"/>
  <c r="K101" i="1"/>
  <c r="J101" i="1"/>
  <c r="I101" i="1"/>
  <c r="H101" i="1"/>
  <c r="G101" i="1"/>
  <c r="F101" i="1"/>
  <c r="E101" i="1"/>
  <c r="D101" i="1"/>
  <c r="K98" i="1"/>
  <c r="J98" i="1"/>
  <c r="I98" i="1"/>
  <c r="H98" i="1"/>
  <c r="H184" i="1" s="1"/>
  <c r="G98" i="1"/>
  <c r="G184" i="1" s="1"/>
  <c r="F98" i="1"/>
  <c r="F184" i="1" s="1"/>
  <c r="M86" i="1"/>
  <c r="L86" i="1"/>
  <c r="K86" i="1"/>
  <c r="J86" i="1"/>
  <c r="I86" i="1"/>
  <c r="H86" i="1"/>
  <c r="H171" i="1" s="1"/>
  <c r="G86" i="1"/>
  <c r="G171" i="1" s="1"/>
  <c r="F86" i="1"/>
  <c r="K79" i="1"/>
  <c r="K164" i="1" s="1"/>
  <c r="J79" i="1"/>
  <c r="J164" i="1" s="1"/>
  <c r="I79" i="1"/>
  <c r="I164" i="1" s="1"/>
  <c r="H79" i="1"/>
  <c r="H164" i="1" s="1"/>
  <c r="G79" i="1"/>
  <c r="G164" i="1" s="1"/>
  <c r="F79" i="1"/>
  <c r="F164" i="1" s="1"/>
  <c r="E79" i="1"/>
  <c r="E164" i="1" s="1"/>
  <c r="D79" i="1"/>
  <c r="D164" i="1" s="1"/>
  <c r="K78" i="1"/>
  <c r="K163" i="1" s="1"/>
  <c r="J78" i="1"/>
  <c r="J163" i="1" s="1"/>
  <c r="I78" i="1"/>
  <c r="I163" i="1" s="1"/>
  <c r="H78" i="1"/>
  <c r="H163" i="1" s="1"/>
  <c r="G78" i="1"/>
  <c r="G163" i="1" s="1"/>
  <c r="F78" i="1"/>
  <c r="F163" i="1" s="1"/>
  <c r="E78" i="1"/>
  <c r="E163" i="1" s="1"/>
  <c r="D78" i="1"/>
  <c r="D163" i="1" s="1"/>
  <c r="D77" i="1"/>
  <c r="D162" i="1" s="1"/>
  <c r="E153" i="1"/>
  <c r="D153" i="1"/>
  <c r="C101" i="1"/>
  <c r="C79" i="1"/>
  <c r="C164" i="1" s="1"/>
  <c r="C77" i="1"/>
  <c r="C162" i="1" s="1"/>
  <c r="C76" i="1"/>
  <c r="C68" i="1"/>
  <c r="C153" i="1" s="1"/>
  <c r="C78" i="1"/>
  <c r="H5" i="1"/>
  <c r="H5" i="23" s="1"/>
  <c r="G5" i="1"/>
  <c r="G5" i="23" s="1"/>
  <c r="G22" i="23" s="1"/>
  <c r="F5" i="1"/>
  <c r="F5" i="23" s="1"/>
  <c r="F10" i="11"/>
  <c r="F14" i="11"/>
  <c r="C161" i="1"/>
  <c r="D194" i="3"/>
  <c r="D176" i="3"/>
  <c r="M183" i="3"/>
  <c r="N183" i="3" s="1"/>
  <c r="M168" i="3"/>
  <c r="N168" i="3" s="1"/>
  <c r="AE148" i="1"/>
  <c r="AE192" i="1" s="1"/>
  <c r="AD148" i="1"/>
  <c r="AD192" i="1" s="1"/>
  <c r="AC148" i="1"/>
  <c r="AC192" i="1" s="1"/>
  <c r="AB148" i="1"/>
  <c r="AB192" i="1" s="1"/>
  <c r="AA148" i="1"/>
  <c r="AA192" i="1" s="1"/>
  <c r="Z148" i="1"/>
  <c r="Z192" i="1" s="1"/>
  <c r="Y148" i="1"/>
  <c r="Y192" i="1" s="1"/>
  <c r="K63" i="1"/>
  <c r="K103" i="1" s="1"/>
  <c r="J63" i="1"/>
  <c r="J103" i="1" s="1"/>
  <c r="I63" i="1"/>
  <c r="I103" i="1" s="1"/>
  <c r="H63" i="1"/>
  <c r="H103" i="1" s="1"/>
  <c r="G63" i="1"/>
  <c r="G103" i="1" s="1"/>
  <c r="F63" i="1"/>
  <c r="F103" i="1" s="1"/>
  <c r="G77" i="1"/>
  <c r="G162" i="1" s="1"/>
  <c r="F77" i="1"/>
  <c r="F162" i="1" s="1"/>
  <c r="H9" i="19"/>
  <c r="H10" i="19" s="1"/>
  <c r="J9" i="19"/>
  <c r="J10" i="19" s="1"/>
  <c r="Y14" i="19"/>
  <c r="Y15" i="19" s="1"/>
  <c r="O135" i="10"/>
  <c r="N135" i="10"/>
  <c r="M135" i="10"/>
  <c r="O134" i="10"/>
  <c r="N134" i="10"/>
  <c r="M134" i="10"/>
  <c r="P133" i="10"/>
  <c r="O133" i="10"/>
  <c r="N133" i="10"/>
  <c r="M133" i="10"/>
  <c r="P132" i="10"/>
  <c r="O132" i="10"/>
  <c r="N132" i="10"/>
  <c r="M132" i="10"/>
  <c r="P131" i="10"/>
  <c r="O131" i="10"/>
  <c r="N131" i="10"/>
  <c r="M131" i="10"/>
  <c r="P130" i="10"/>
  <c r="O130" i="10"/>
  <c r="N130" i="10"/>
  <c r="M130" i="10"/>
  <c r="P129" i="10"/>
  <c r="N129" i="10"/>
  <c r="M129" i="10"/>
  <c r="O123" i="10"/>
  <c r="N123" i="10"/>
  <c r="M123" i="10"/>
  <c r="L123" i="10"/>
  <c r="J123" i="10"/>
  <c r="I123" i="10"/>
  <c r="H123" i="10"/>
  <c r="G123" i="10"/>
  <c r="F123" i="10"/>
  <c r="E123" i="10"/>
  <c r="B123" i="10"/>
  <c r="P122" i="10"/>
  <c r="O122" i="10"/>
  <c r="N122" i="10"/>
  <c r="M122" i="10"/>
  <c r="L122" i="10"/>
  <c r="J122" i="10"/>
  <c r="I122" i="10"/>
  <c r="H122" i="10"/>
  <c r="G122" i="10"/>
  <c r="F122" i="10"/>
  <c r="E122" i="10"/>
  <c r="B122" i="10"/>
  <c r="P121" i="10"/>
  <c r="O121" i="10"/>
  <c r="N121" i="10"/>
  <c r="M121" i="10"/>
  <c r="P120" i="10"/>
  <c r="O120" i="10"/>
  <c r="N120" i="10"/>
  <c r="M120" i="10"/>
  <c r="P119" i="10"/>
  <c r="O119" i="10"/>
  <c r="N119" i="10"/>
  <c r="M119" i="10"/>
  <c r="P118" i="10"/>
  <c r="O118" i="10"/>
  <c r="N118" i="10"/>
  <c r="M118" i="10"/>
  <c r="L118" i="10"/>
  <c r="J118" i="10"/>
  <c r="I118" i="10"/>
  <c r="H118" i="10"/>
  <c r="G118" i="10"/>
  <c r="F118" i="10"/>
  <c r="E118" i="10"/>
  <c r="B118" i="10"/>
  <c r="A103" i="10"/>
  <c r="A104" i="10"/>
  <c r="A105" i="10"/>
  <c r="A106" i="10"/>
  <c r="A61" i="10"/>
  <c r="A73" i="10"/>
  <c r="A76" i="10"/>
  <c r="A81" i="10"/>
  <c r="A23" i="10"/>
  <c r="A18" i="10"/>
  <c r="A7" i="10"/>
  <c r="A8" i="10"/>
  <c r="A9" i="10"/>
  <c r="A10" i="10"/>
  <c r="F76" i="1"/>
  <c r="L32" i="10"/>
  <c r="L112" i="10"/>
  <c r="I32" i="10"/>
  <c r="I112" i="10"/>
  <c r="G32" i="10"/>
  <c r="E32" i="10"/>
  <c r="E112" i="10"/>
  <c r="J31" i="10"/>
  <c r="H31" i="10"/>
  <c r="F31" i="10"/>
  <c r="L28" i="10"/>
  <c r="L108" i="10"/>
  <c r="I28" i="10"/>
  <c r="I108" i="10"/>
  <c r="G28" i="10"/>
  <c r="G108" i="10"/>
  <c r="E28" i="10"/>
  <c r="E108" i="10"/>
  <c r="L27" i="10"/>
  <c r="L107" i="10"/>
  <c r="I27" i="10"/>
  <c r="I107" i="10"/>
  <c r="G27" i="10"/>
  <c r="G107" i="10"/>
  <c r="E27" i="10"/>
  <c r="E107" i="10"/>
  <c r="L26" i="10"/>
  <c r="I26" i="10"/>
  <c r="G26" i="10"/>
  <c r="E26" i="10"/>
  <c r="J25" i="10"/>
  <c r="H25" i="10"/>
  <c r="F25" i="10"/>
  <c r="B25" i="10"/>
  <c r="L24" i="10"/>
  <c r="I24" i="10"/>
  <c r="G24" i="10"/>
  <c r="E24" i="10"/>
  <c r="J23" i="10"/>
  <c r="J103" i="10"/>
  <c r="H23" i="10"/>
  <c r="H103" i="10"/>
  <c r="F23" i="10"/>
  <c r="F103" i="10"/>
  <c r="B23" i="10"/>
  <c r="B103" i="10"/>
  <c r="L22" i="10"/>
  <c r="I22" i="10"/>
  <c r="G22" i="10"/>
  <c r="E22" i="10"/>
  <c r="F22" i="10"/>
  <c r="J22" i="10"/>
  <c r="E23" i="10"/>
  <c r="E103" i="10"/>
  <c r="I23" i="10"/>
  <c r="I103" i="10"/>
  <c r="B24" i="10"/>
  <c r="H24" i="10"/>
  <c r="G25" i="10"/>
  <c r="L25" i="10"/>
  <c r="F26" i="10"/>
  <c r="J26" i="10"/>
  <c r="F27" i="10"/>
  <c r="F107" i="10"/>
  <c r="J27" i="10"/>
  <c r="J107" i="10"/>
  <c r="F28" i="10"/>
  <c r="F108" i="10"/>
  <c r="J28" i="10"/>
  <c r="J108" i="10"/>
  <c r="G31" i="10"/>
  <c r="L31" i="10"/>
  <c r="H32" i="10"/>
  <c r="B22" i="10"/>
  <c r="H22" i="10"/>
  <c r="A24" i="10"/>
  <c r="A25" i="10"/>
  <c r="G23" i="10"/>
  <c r="G103" i="10"/>
  <c r="L23" i="10"/>
  <c r="L103" i="10"/>
  <c r="F24" i="10"/>
  <c r="J24" i="10"/>
  <c r="J104" i="10"/>
  <c r="E25" i="10"/>
  <c r="I25" i="10"/>
  <c r="B26" i="10"/>
  <c r="H26" i="10"/>
  <c r="B27" i="10"/>
  <c r="B107" i="10"/>
  <c r="H27" i="10"/>
  <c r="H107" i="10"/>
  <c r="B28" i="10"/>
  <c r="B108" i="10"/>
  <c r="H28" i="10"/>
  <c r="H108" i="10"/>
  <c r="E31" i="10"/>
  <c r="I31" i="10"/>
  <c r="F32" i="10"/>
  <c r="J32" i="10"/>
  <c r="F104" i="10"/>
  <c r="H102" i="10"/>
  <c r="H40" i="10"/>
  <c r="H120" i="10"/>
  <c r="F39" i="10"/>
  <c r="F119" i="10"/>
  <c r="G41" i="10"/>
  <c r="G121" i="10"/>
  <c r="B104" i="10"/>
  <c r="F102" i="10"/>
  <c r="F40" i="10"/>
  <c r="F120" i="10"/>
  <c r="G102" i="10"/>
  <c r="G40" i="10"/>
  <c r="G120" i="10"/>
  <c r="L102" i="10"/>
  <c r="L40" i="10"/>
  <c r="L120" i="10"/>
  <c r="P43" i="10"/>
  <c r="P123" i="10"/>
  <c r="G104" i="10"/>
  <c r="L104" i="10"/>
  <c r="F41" i="10"/>
  <c r="F121" i="10"/>
  <c r="J41" i="10"/>
  <c r="J121" i="10"/>
  <c r="G39" i="10"/>
  <c r="G119" i="10"/>
  <c r="L39" i="10"/>
  <c r="L119" i="10"/>
  <c r="B39" i="10"/>
  <c r="B119" i="10"/>
  <c r="E41" i="10"/>
  <c r="E121" i="10"/>
  <c r="H39" i="10"/>
  <c r="H119" i="10"/>
  <c r="I41" i="10"/>
  <c r="I121" i="10"/>
  <c r="B102" i="10"/>
  <c r="N20" i="10"/>
  <c r="B40" i="10"/>
  <c r="B120" i="10"/>
  <c r="J39" i="10"/>
  <c r="J119" i="10"/>
  <c r="L41" i="10"/>
  <c r="L121" i="10"/>
  <c r="H104" i="10"/>
  <c r="J102" i="10"/>
  <c r="J40" i="10"/>
  <c r="J120" i="10"/>
  <c r="E102" i="10"/>
  <c r="E40" i="10"/>
  <c r="E120" i="10"/>
  <c r="I102" i="10"/>
  <c r="I40" i="10"/>
  <c r="I120" i="10"/>
  <c r="E104" i="10"/>
  <c r="I104" i="10"/>
  <c r="B41" i="10"/>
  <c r="B121" i="10"/>
  <c r="H41" i="10"/>
  <c r="H121" i="10"/>
  <c r="E39" i="10"/>
  <c r="E119" i="10"/>
  <c r="I39" i="10"/>
  <c r="I119" i="10"/>
  <c r="G99" i="3"/>
  <c r="G106" i="3" s="1"/>
  <c r="BT7" i="1"/>
  <c r="BS7" i="1"/>
  <c r="BR7" i="1"/>
  <c r="BQ7" i="1"/>
  <c r="BP7" i="1"/>
  <c r="BO7" i="1"/>
  <c r="BN7" i="1"/>
  <c r="BM7" i="1"/>
  <c r="BL7" i="1"/>
  <c r="BK7" i="1"/>
  <c r="BJ7" i="1"/>
  <c r="BI7" i="1"/>
  <c r="BH7" i="1"/>
  <c r="BG7" i="1"/>
  <c r="BF7" i="1"/>
  <c r="BE7" i="1"/>
  <c r="BD7" i="1"/>
  <c r="BC7" i="1"/>
  <c r="BB7" i="1"/>
  <c r="BA7" i="1"/>
  <c r="AZ7" i="1"/>
  <c r="AY7" i="1"/>
  <c r="AX7" i="1"/>
  <c r="AW7" i="1"/>
  <c r="AV7" i="1"/>
  <c r="AU7" i="1"/>
  <c r="AT7" i="1"/>
  <c r="AS7" i="1"/>
  <c r="AR5" i="1"/>
  <c r="AR5" i="23" s="1"/>
  <c r="AQ5" i="1"/>
  <c r="AQ5" i="23" s="1"/>
  <c r="AP5" i="1"/>
  <c r="AP5" i="23" s="1"/>
  <c r="AO5" i="1"/>
  <c r="AO5" i="23" s="1"/>
  <c r="AN5" i="1"/>
  <c r="AN5" i="23" s="1"/>
  <c r="AM5" i="1"/>
  <c r="AM5" i="23" s="1"/>
  <c r="AL5" i="1"/>
  <c r="AL5" i="23" s="1"/>
  <c r="AK5" i="1"/>
  <c r="AK5" i="23" s="1"/>
  <c r="AJ5" i="1"/>
  <c r="AJ5" i="23" s="1"/>
  <c r="AI5" i="1"/>
  <c r="AH5" i="1"/>
  <c r="AH5" i="23" s="1"/>
  <c r="AG5" i="1"/>
  <c r="AG5" i="23" s="1"/>
  <c r="AF5" i="1"/>
  <c r="AF5" i="23" s="1"/>
  <c r="AE5" i="1"/>
  <c r="AE5" i="23" s="1"/>
  <c r="AD5" i="1"/>
  <c r="AD5" i="23" s="1"/>
  <c r="AC5" i="1"/>
  <c r="AC5" i="23" s="1"/>
  <c r="AB5" i="1"/>
  <c r="AB5" i="23" s="1"/>
  <c r="AA5" i="1"/>
  <c r="AA5" i="23" s="1"/>
  <c r="Z5" i="1"/>
  <c r="Z5" i="23" s="1"/>
  <c r="Y5" i="1"/>
  <c r="X5" i="1"/>
  <c r="X5" i="23" s="1"/>
  <c r="W5" i="1"/>
  <c r="V5" i="1"/>
  <c r="V5" i="23" s="1"/>
  <c r="U5" i="1"/>
  <c r="U5" i="23" s="1"/>
  <c r="T5" i="1"/>
  <c r="T5" i="23" s="1"/>
  <c r="S5" i="1"/>
  <c r="S5" i="23" s="1"/>
  <c r="R5" i="1"/>
  <c r="R5" i="23" s="1"/>
  <c r="Q5" i="1"/>
  <c r="Q5" i="23" s="1"/>
  <c r="P5" i="1"/>
  <c r="P5" i="23" s="1"/>
  <c r="O5" i="1"/>
  <c r="O5" i="23" s="1"/>
  <c r="N5" i="1"/>
  <c r="N5" i="23" s="1"/>
  <c r="M5" i="1"/>
  <c r="L5" i="1"/>
  <c r="L5" i="23" s="1"/>
  <c r="K5" i="1"/>
  <c r="K5" i="23" s="1"/>
  <c r="J5" i="1"/>
  <c r="J5" i="23" s="1"/>
  <c r="I5" i="1"/>
  <c r="I5" i="23" s="1"/>
  <c r="H81" i="3"/>
  <c r="H80" i="3"/>
  <c r="H79" i="3"/>
  <c r="H78" i="3"/>
  <c r="H77" i="3"/>
  <c r="H76" i="3"/>
  <c r="H75" i="3"/>
  <c r="H74" i="3"/>
  <c r="H73" i="3"/>
  <c r="H72" i="3"/>
  <c r="H71" i="3"/>
  <c r="G81" i="3"/>
  <c r="X81" i="3" s="1"/>
  <c r="G80" i="3"/>
  <c r="X80" i="3" s="1"/>
  <c r="G79" i="3"/>
  <c r="X79" i="3" s="1"/>
  <c r="G78" i="3"/>
  <c r="X78" i="3" s="1"/>
  <c r="G77" i="3"/>
  <c r="X77" i="3"/>
  <c r="G76" i="3"/>
  <c r="X76" i="3" s="1"/>
  <c r="G75" i="3"/>
  <c r="X75" i="3"/>
  <c r="G74" i="3"/>
  <c r="X74" i="3" s="1"/>
  <c r="G73" i="3"/>
  <c r="X73" i="3" s="1"/>
  <c r="G72" i="3"/>
  <c r="X72" i="3" s="1"/>
  <c r="G71" i="3"/>
  <c r="X71" i="3"/>
  <c r="AV79" i="1"/>
  <c r="AV75" i="1" s="1"/>
  <c r="H55" i="3"/>
  <c r="H54" i="3"/>
  <c r="H53" i="3"/>
  <c r="H52" i="3"/>
  <c r="H51" i="3"/>
  <c r="H50" i="3"/>
  <c r="G55" i="3"/>
  <c r="X55" i="3" s="1"/>
  <c r="G54" i="3"/>
  <c r="X54" i="3" s="1"/>
  <c r="G53" i="3"/>
  <c r="X53" i="3" s="1"/>
  <c r="G52" i="3"/>
  <c r="X52" i="3"/>
  <c r="BF30" i="1" s="1"/>
  <c r="G51" i="3"/>
  <c r="X51" i="3" s="1"/>
  <c r="G50" i="3"/>
  <c r="X50" i="3" s="1"/>
  <c r="H49" i="3"/>
  <c r="H48" i="3"/>
  <c r="H47" i="3"/>
  <c r="H46" i="3"/>
  <c r="H45" i="3"/>
  <c r="G49" i="3"/>
  <c r="X49" i="3" s="1"/>
  <c r="G48" i="3"/>
  <c r="X48" i="3" s="1"/>
  <c r="G47" i="3"/>
  <c r="X47" i="3" s="1"/>
  <c r="G46" i="3"/>
  <c r="X46" i="3" s="1"/>
  <c r="G45" i="3"/>
  <c r="X45" i="3" s="1"/>
  <c r="H44" i="3"/>
  <c r="G44" i="3"/>
  <c r="X44" i="3" s="1"/>
  <c r="H43" i="3"/>
  <c r="G43" i="3"/>
  <c r="X43" i="3" s="1"/>
  <c r="H42" i="3"/>
  <c r="G42" i="3"/>
  <c r="X42" i="3" s="1"/>
  <c r="C163" i="1"/>
  <c r="H177" i="1"/>
  <c r="H175" i="1" s="1"/>
  <c r="G177" i="1"/>
  <c r="G175" i="1" s="1"/>
  <c r="F177" i="1"/>
  <c r="F175" i="1"/>
  <c r="BT27" i="1"/>
  <c r="AW79" i="1"/>
  <c r="Q24" i="1"/>
  <c r="Q23" i="1" s="1"/>
  <c r="Q6" i="4" s="1"/>
  <c r="C177" i="1"/>
  <c r="C175" i="1" s="1"/>
  <c r="E177" i="1"/>
  <c r="E175" i="1" s="1"/>
  <c r="D177" i="1"/>
  <c r="D175" i="1" s="1"/>
  <c r="BE27" i="1"/>
  <c r="BE8" i="23" s="1"/>
  <c r="AX27" i="1"/>
  <c r="BF27" i="1"/>
  <c r="AY27" i="1"/>
  <c r="BG27" i="1"/>
  <c r="BG164" i="1" s="1"/>
  <c r="AZ27" i="1"/>
  <c r="BP27" i="1"/>
  <c r="I148" i="1"/>
  <c r="I189" i="1" s="1"/>
  <c r="H13" i="3"/>
  <c r="G13" i="3"/>
  <c r="X13" i="3" s="1"/>
  <c r="X7" i="3"/>
  <c r="C9" i="4"/>
  <c r="D9" i="4"/>
  <c r="E9" i="4"/>
  <c r="C29" i="5"/>
  <c r="G29" i="5"/>
  <c r="B29" i="5"/>
  <c r="F29" i="5"/>
  <c r="G28" i="5"/>
  <c r="G26" i="5"/>
  <c r="F25" i="5"/>
  <c r="G23" i="5"/>
  <c r="G21" i="5"/>
  <c r="G19" i="5"/>
  <c r="F18" i="5"/>
  <c r="G16" i="5"/>
  <c r="F15" i="5"/>
  <c r="G13" i="5"/>
  <c r="F13" i="5"/>
  <c r="G12" i="5"/>
  <c r="F11" i="5"/>
  <c r="G9" i="5"/>
  <c r="G7" i="5"/>
  <c r="F7" i="5"/>
  <c r="G6" i="5"/>
  <c r="Y160" i="1"/>
  <c r="Y90" i="4"/>
  <c r="R25" i="1"/>
  <c r="S25" i="1" s="1"/>
  <c r="T25" i="1" s="1"/>
  <c r="U25" i="1" s="1"/>
  <c r="V25" i="1" s="1"/>
  <c r="W25" i="1" s="1"/>
  <c r="X25" i="1" s="1"/>
  <c r="Y25" i="1" s="1"/>
  <c r="Z25" i="1" s="1"/>
  <c r="AA25" i="1" s="1"/>
  <c r="AB25" i="1" s="1"/>
  <c r="AC25" i="1" s="1"/>
  <c r="AD25" i="1" s="1"/>
  <c r="AE25" i="1" s="1"/>
  <c r="AF25" i="1" s="1"/>
  <c r="AG25" i="1" s="1"/>
  <c r="AH25" i="1" s="1"/>
  <c r="AI25" i="1" s="1"/>
  <c r="K76" i="1"/>
  <c r="K161" i="1" s="1"/>
  <c r="G8" i="5"/>
  <c r="G10" i="5"/>
  <c r="G11" i="5"/>
  <c r="G14" i="5"/>
  <c r="G15" i="5"/>
  <c r="G17" i="5"/>
  <c r="G18" i="5"/>
  <c r="G20" i="5"/>
  <c r="G22" i="5"/>
  <c r="G24" i="5"/>
  <c r="G25" i="5"/>
  <c r="G27" i="5"/>
  <c r="F9" i="5"/>
  <c r="F17" i="5"/>
  <c r="F27" i="5"/>
  <c r="F6" i="5"/>
  <c r="F8" i="5"/>
  <c r="F10" i="5"/>
  <c r="F12" i="5"/>
  <c r="F14" i="5"/>
  <c r="F16" i="5"/>
  <c r="F19" i="5"/>
  <c r="F20" i="5"/>
  <c r="F21" i="5"/>
  <c r="F22" i="5"/>
  <c r="F23" i="5"/>
  <c r="F24" i="5"/>
  <c r="F26" i="5"/>
  <c r="F28" i="5"/>
  <c r="E21" i="15"/>
  <c r="C21" i="15"/>
  <c r="D21" i="15"/>
  <c r="H15" i="8"/>
  <c r="H13" i="8"/>
  <c r="H11" i="8"/>
  <c r="H14" i="8"/>
  <c r="H12" i="8"/>
  <c r="T23" i="4"/>
  <c r="T24" i="4"/>
  <c r="T25" i="4"/>
  <c r="T26" i="4"/>
  <c r="X30" i="3"/>
  <c r="X28" i="3"/>
  <c r="X29" i="3"/>
  <c r="J76" i="1"/>
  <c r="J161" i="1" s="1"/>
  <c r="X63" i="3"/>
  <c r="T122" i="1"/>
  <c r="X65" i="3"/>
  <c r="Z122" i="1"/>
  <c r="X64" i="3"/>
  <c r="D122" i="1"/>
  <c r="X3" i="3"/>
  <c r="F171" i="1"/>
  <c r="O126" i="1"/>
  <c r="G60" i="8"/>
  <c r="G56" i="8"/>
  <c r="G59" i="8"/>
  <c r="G58" i="8"/>
  <c r="G61" i="8"/>
  <c r="S26" i="4"/>
  <c r="L154" i="1"/>
  <c r="S24" i="4"/>
  <c r="M97" i="4"/>
  <c r="L97" i="4"/>
  <c r="N97" i="4"/>
  <c r="S25" i="4"/>
  <c r="O97" i="4"/>
  <c r="R97" i="4"/>
  <c r="T97" i="4"/>
  <c r="X97" i="4"/>
  <c r="W97" i="4"/>
  <c r="V97" i="4"/>
  <c r="Q97" i="4"/>
  <c r="U97" i="4"/>
  <c r="S97" i="4"/>
  <c r="BT34" i="1"/>
  <c r="BT92" i="1" s="1"/>
  <c r="AX34" i="1"/>
  <c r="AX92" i="1" s="1"/>
  <c r="BB34" i="1"/>
  <c r="BF34" i="1"/>
  <c r="BF92" i="1" s="1"/>
  <c r="BJ34" i="1"/>
  <c r="BN34" i="1"/>
  <c r="BN92" i="1" s="1"/>
  <c r="BR34" i="1"/>
  <c r="BA34" i="1"/>
  <c r="BA92" i="1" s="1"/>
  <c r="BE34" i="1"/>
  <c r="BE92" i="1" s="1"/>
  <c r="BI34" i="1"/>
  <c r="BI92" i="1" s="1"/>
  <c r="BM34" i="1"/>
  <c r="BQ34" i="1"/>
  <c r="BQ92" i="1" s="1"/>
  <c r="AZ34" i="1"/>
  <c r="BD34" i="1"/>
  <c r="BD92" i="1" s="1"/>
  <c r="BH34" i="1"/>
  <c r="BH92" i="1" s="1"/>
  <c r="BL34" i="1"/>
  <c r="BL92" i="1" s="1"/>
  <c r="BP34" i="1"/>
  <c r="BP92" i="1" s="1"/>
  <c r="AY34" i="1"/>
  <c r="AY92" i="1" s="1"/>
  <c r="BC34" i="1"/>
  <c r="BC92" i="1" s="1"/>
  <c r="BG34" i="1"/>
  <c r="BK34" i="1"/>
  <c r="BK92" i="1" s="1"/>
  <c r="BO34" i="1"/>
  <c r="BS34" i="1"/>
  <c r="AW34" i="1"/>
  <c r="AV34" i="1"/>
  <c r="AV92" i="1" s="1"/>
  <c r="AT34" i="1"/>
  <c r="AU34" i="1"/>
  <c r="AU177" i="1" s="1"/>
  <c r="AS34" i="1"/>
  <c r="AQ122" i="1"/>
  <c r="F31" i="11"/>
  <c r="F35" i="11"/>
  <c r="F20" i="11"/>
  <c r="F25" i="11"/>
  <c r="F37" i="11"/>
  <c r="O87" i="1"/>
  <c r="S18" i="1"/>
  <c r="S70" i="1" s="1"/>
  <c r="R68" i="1"/>
  <c r="K70" i="1"/>
  <c r="K155" i="1" s="1"/>
  <c r="U160" i="1"/>
  <c r="V160" i="1"/>
  <c r="X160" i="1"/>
  <c r="T160" i="1"/>
  <c r="W160" i="1"/>
  <c r="S160" i="1"/>
  <c r="R160" i="1"/>
  <c r="Q160" i="1"/>
  <c r="P160" i="1"/>
  <c r="N162" i="1"/>
  <c r="AF75" i="1"/>
  <c r="O75" i="1"/>
  <c r="Z165" i="1"/>
  <c r="AA165" i="1" s="1"/>
  <c r="AB165" i="1" s="1"/>
  <c r="AC165" i="1" s="1"/>
  <c r="AD165" i="1" s="1"/>
  <c r="AE165" i="1" s="1"/>
  <c r="BH27" i="1"/>
  <c r="BO27" i="1"/>
  <c r="BO8" i="23" s="1"/>
  <c r="BC27" i="1"/>
  <c r="BN27" i="1"/>
  <c r="BN8" i="23" s="1"/>
  <c r="BB27" i="1"/>
  <c r="BB39" i="23" s="1"/>
  <c r="BM27" i="1"/>
  <c r="BM39" i="23" s="1"/>
  <c r="BA27" i="1"/>
  <c r="BA164" i="1" s="1"/>
  <c r="AU79" i="1"/>
  <c r="AU75" i="1" s="1"/>
  <c r="AP122" i="1"/>
  <c r="AP42" i="23" s="1"/>
  <c r="D4" i="1"/>
  <c r="D10" i="1" s="1"/>
  <c r="D44" i="1" s="1"/>
  <c r="C4" i="1"/>
  <c r="C10" i="1" s="1"/>
  <c r="AR122" i="1"/>
  <c r="AR63" i="1" s="1"/>
  <c r="AR104" i="1" s="1"/>
  <c r="BI27" i="1"/>
  <c r="BI164" i="1" s="1"/>
  <c r="BQ27" i="1"/>
  <c r="BQ39" i="23" s="1"/>
  <c r="BJ27" i="1"/>
  <c r="BJ39" i="23" s="1"/>
  <c r="BR27" i="1"/>
  <c r="BR164" i="1" s="1"/>
  <c r="BK27" i="1"/>
  <c r="BK8" i="23" s="1"/>
  <c r="BS27" i="1"/>
  <c r="BS39" i="23" s="1"/>
  <c r="BD27" i="1"/>
  <c r="BD39" i="23" s="1"/>
  <c r="BL27" i="1"/>
  <c r="BL8" i="23" s="1"/>
  <c r="C71" i="4"/>
  <c r="C94" i="4"/>
  <c r="I46" i="8"/>
  <c r="J46" i="8"/>
  <c r="K46" i="8"/>
  <c r="G62" i="8"/>
  <c r="M126" i="1"/>
  <c r="M44" i="23" s="1"/>
  <c r="Q126" i="1"/>
  <c r="G63" i="8"/>
  <c r="G54" i="8"/>
  <c r="G84" i="8"/>
  <c r="G82" i="8"/>
  <c r="G80" i="8"/>
  <c r="G78" i="8"/>
  <c r="G76" i="8"/>
  <c r="G74" i="8"/>
  <c r="G72" i="8"/>
  <c r="G70" i="8"/>
  <c r="G68" i="8"/>
  <c r="G66" i="8"/>
  <c r="G64" i="8"/>
  <c r="W126" i="1"/>
  <c r="X126" i="1" s="1"/>
  <c r="G85" i="8"/>
  <c r="G81" i="8"/>
  <c r="G77" i="8"/>
  <c r="G73" i="8"/>
  <c r="G69" i="8"/>
  <c r="G65" i="8"/>
  <c r="G83" i="8"/>
  <c r="G75" i="8"/>
  <c r="G67" i="8"/>
  <c r="G79" i="8"/>
  <c r="G71" i="8"/>
  <c r="F105" i="10"/>
  <c r="I105" i="10"/>
  <c r="L98" i="10"/>
  <c r="L105" i="10"/>
  <c r="H105" i="10"/>
  <c r="A26" i="10"/>
  <c r="I98" i="10"/>
  <c r="J97" i="10"/>
  <c r="I97" i="10"/>
  <c r="G105" i="10"/>
  <c r="J105" i="10"/>
  <c r="E105" i="10"/>
  <c r="B98" i="10"/>
  <c r="F97" i="10"/>
  <c r="H97" i="10"/>
  <c r="G97" i="10"/>
  <c r="G98" i="10"/>
  <c r="B105" i="10"/>
  <c r="D11" i="15"/>
  <c r="E11" i="15"/>
  <c r="F161" i="1"/>
  <c r="E5" i="15"/>
  <c r="D5" i="15"/>
  <c r="AL14" i="19"/>
  <c r="AL15" i="19" s="1"/>
  <c r="R6" i="7"/>
  <c r="M23" i="4"/>
  <c r="N24" i="4"/>
  <c r="N25" i="4"/>
  <c r="N26" i="4"/>
  <c r="F106" i="10"/>
  <c r="G106" i="10"/>
  <c r="B106" i="10"/>
  <c r="I106" i="10"/>
  <c r="L106" i="10"/>
  <c r="H106" i="10"/>
  <c r="J106" i="10"/>
  <c r="E106" i="10"/>
  <c r="L97" i="10"/>
  <c r="F98" i="10"/>
  <c r="E97" i="10"/>
  <c r="E98" i="10"/>
  <c r="D71" i="4"/>
  <c r="D94" i="4"/>
  <c r="S89" i="1"/>
  <c r="T89" i="1" s="1"/>
  <c r="U89" i="1" s="1"/>
  <c r="V89" i="1" s="1"/>
  <c r="S174" i="1"/>
  <c r="T174" i="1" s="1"/>
  <c r="Y89" i="1"/>
  <c r="AE89" i="1"/>
  <c r="AF89" i="1" s="1"/>
  <c r="AB89" i="1"/>
  <c r="AC89" i="1" s="1"/>
  <c r="AD89" i="1" s="1"/>
  <c r="AB174" i="1"/>
  <c r="AC174" i="1" s="1"/>
  <c r="AD174" i="1" s="1"/>
  <c r="Z174" i="1"/>
  <c r="AA174" i="1" s="1"/>
  <c r="Z89" i="1"/>
  <c r="G76" i="10"/>
  <c r="G51" i="10"/>
  <c r="G135" i="10"/>
  <c r="G73" i="10"/>
  <c r="G96" i="10"/>
  <c r="G81" i="10"/>
  <c r="G61" i="10"/>
  <c r="G50" i="10"/>
  <c r="G95" i="10"/>
  <c r="G47" i="10"/>
  <c r="G129" i="10"/>
  <c r="G49" i="10"/>
  <c r="G134" i="10"/>
  <c r="G78" i="10"/>
  <c r="G133" i="10"/>
  <c r="G66" i="10"/>
  <c r="G132" i="10"/>
  <c r="G54" i="10"/>
  <c r="G131" i="10"/>
  <c r="G94" i="10"/>
  <c r="G130" i="10"/>
  <c r="G46" i="10"/>
  <c r="Q47" i="10"/>
  <c r="Q129" i="10"/>
  <c r="I78" i="10"/>
  <c r="I133" i="10"/>
  <c r="M46" i="10"/>
  <c r="I95" i="10"/>
  <c r="I54" i="10"/>
  <c r="I131" i="10"/>
  <c r="I50" i="10"/>
  <c r="I73" i="10"/>
  <c r="I96" i="10"/>
  <c r="I46" i="10"/>
  <c r="I51" i="10"/>
  <c r="I135" i="10"/>
  <c r="I76" i="10"/>
  <c r="I47" i="10"/>
  <c r="I129" i="10"/>
  <c r="I94" i="10"/>
  <c r="I130" i="10"/>
  <c r="I66" i="10"/>
  <c r="I132" i="10"/>
  <c r="I49" i="10"/>
  <c r="I134" i="10"/>
  <c r="I81" i="10"/>
  <c r="O47" i="10"/>
  <c r="O129" i="10"/>
  <c r="I61" i="10"/>
  <c r="L61" i="10"/>
  <c r="L50" i="10"/>
  <c r="L49" i="10"/>
  <c r="L73" i="10"/>
  <c r="L78" i="10"/>
  <c r="L54" i="10"/>
  <c r="L46" i="10"/>
  <c r="L96" i="10"/>
  <c r="L76" i="10"/>
  <c r="L51" i="10"/>
  <c r="L95" i="10"/>
  <c r="L81" i="10"/>
  <c r="L47" i="10"/>
  <c r="L66" i="10"/>
  <c r="L94" i="10"/>
  <c r="H98" i="10"/>
  <c r="B97" i="10"/>
  <c r="B96" i="10"/>
  <c r="J98" i="10"/>
  <c r="P51" i="10"/>
  <c r="P135" i="10"/>
  <c r="I47" i="8"/>
  <c r="J47" i="8"/>
  <c r="K47" i="8"/>
  <c r="I48" i="8"/>
  <c r="J48" i="8"/>
  <c r="K48" i="8"/>
  <c r="I49" i="8"/>
  <c r="J49" i="8"/>
  <c r="K49" i="8"/>
  <c r="L132" i="10"/>
  <c r="L135" i="10"/>
  <c r="L133" i="10"/>
  <c r="L134" i="10"/>
  <c r="B76" i="10"/>
  <c r="B95" i="10"/>
  <c r="B61" i="10"/>
  <c r="B47" i="10"/>
  <c r="B129" i="10"/>
  <c r="B54" i="10"/>
  <c r="B131" i="10"/>
  <c r="B78" i="10"/>
  <c r="B133" i="10"/>
  <c r="B73" i="10"/>
  <c r="C81" i="10"/>
  <c r="E76" i="10"/>
  <c r="E54" i="10"/>
  <c r="E131" i="10"/>
  <c r="E78" i="10"/>
  <c r="E133" i="10"/>
  <c r="E73" i="10"/>
  <c r="E50" i="10"/>
  <c r="E96" i="10"/>
  <c r="E46" i="10"/>
  <c r="E95" i="10"/>
  <c r="E61" i="10"/>
  <c r="E47" i="10"/>
  <c r="E129" i="10"/>
  <c r="E94" i="10"/>
  <c r="E130" i="10"/>
  <c r="E66" i="10"/>
  <c r="E132" i="10"/>
  <c r="E49" i="10"/>
  <c r="E134" i="10"/>
  <c r="E81" i="10"/>
  <c r="E51" i="10"/>
  <c r="E135" i="10"/>
  <c r="F96" i="10"/>
  <c r="F81" i="10"/>
  <c r="F50" i="10"/>
  <c r="F76" i="10"/>
  <c r="F51" i="10"/>
  <c r="F135" i="10"/>
  <c r="N46" i="10"/>
  <c r="F95" i="10"/>
  <c r="F73" i="10"/>
  <c r="F49" i="10"/>
  <c r="F134" i="10"/>
  <c r="F78" i="10"/>
  <c r="F133" i="10"/>
  <c r="F66" i="10"/>
  <c r="F132" i="10"/>
  <c r="F54" i="10"/>
  <c r="F131" i="10"/>
  <c r="F94" i="10"/>
  <c r="F130" i="10"/>
  <c r="F47" i="10"/>
  <c r="F129" i="10"/>
  <c r="F46" i="10"/>
  <c r="F61" i="10"/>
  <c r="J73" i="10"/>
  <c r="K73" i="10"/>
  <c r="J46" i="10"/>
  <c r="K46" i="10"/>
  <c r="J66" i="10"/>
  <c r="J132" i="10"/>
  <c r="J61" i="10"/>
  <c r="K61" i="10"/>
  <c r="J47" i="10"/>
  <c r="J129" i="10"/>
  <c r="J54" i="10"/>
  <c r="J131" i="10"/>
  <c r="J78" i="10"/>
  <c r="J133" i="10"/>
  <c r="J50" i="10"/>
  <c r="J95" i="10"/>
  <c r="J96" i="10"/>
  <c r="K96" i="10"/>
  <c r="J94" i="10"/>
  <c r="J130" i="10"/>
  <c r="J49" i="10"/>
  <c r="J134" i="10"/>
  <c r="J81" i="10"/>
  <c r="K81" i="10"/>
  <c r="J51" i="10"/>
  <c r="J135" i="10"/>
  <c r="J76" i="10"/>
  <c r="K76" i="10"/>
  <c r="H96" i="10"/>
  <c r="H81" i="10"/>
  <c r="H50" i="10"/>
  <c r="H51" i="10"/>
  <c r="H135" i="10"/>
  <c r="H76" i="10"/>
  <c r="H95" i="10"/>
  <c r="H73" i="10"/>
  <c r="H49" i="10"/>
  <c r="H134" i="10"/>
  <c r="H78" i="10"/>
  <c r="H133" i="10"/>
  <c r="H66" i="10"/>
  <c r="H132" i="10"/>
  <c r="H54" i="10"/>
  <c r="H131" i="10"/>
  <c r="H94" i="10"/>
  <c r="H130" i="10"/>
  <c r="H47" i="10"/>
  <c r="H129" i="10"/>
  <c r="H46" i="10"/>
  <c r="H61" i="10"/>
  <c r="K94" i="10"/>
  <c r="L130" i="10"/>
  <c r="K47" i="10"/>
  <c r="L129" i="10"/>
  <c r="K95" i="10"/>
  <c r="K54" i="10"/>
  <c r="L131" i="10"/>
  <c r="K50" i="10"/>
  <c r="P49" i="10"/>
  <c r="P134" i="10"/>
  <c r="B51" i="10"/>
  <c r="B135" i="10"/>
  <c r="B50" i="10"/>
  <c r="B81" i="10"/>
  <c r="B46" i="10"/>
  <c r="B94" i="10"/>
  <c r="B130" i="10"/>
  <c r="B66" i="10"/>
  <c r="B132" i="10"/>
  <c r="B49" i="10"/>
  <c r="B134" i="10"/>
  <c r="E71" i="4"/>
  <c r="E94" i="4"/>
  <c r="BI28" i="1"/>
  <c r="BJ28" i="1" s="1"/>
  <c r="BH168" i="1"/>
  <c r="BI83" i="1"/>
  <c r="BJ83" i="1" s="1"/>
  <c r="BK83" i="1" s="1"/>
  <c r="BL83" i="1" s="1"/>
  <c r="BM83" i="1" s="1"/>
  <c r="BN83" i="1" s="1"/>
  <c r="I50" i="8"/>
  <c r="J50" i="8"/>
  <c r="K50" i="8"/>
  <c r="BP83" i="1"/>
  <c r="BQ83" i="1" s="1"/>
  <c r="BR83" i="1" s="1"/>
  <c r="BS83" i="1" s="1"/>
  <c r="BT83" i="1" s="1"/>
  <c r="K49" i="10"/>
  <c r="K78" i="10"/>
  <c r="K51" i="10"/>
  <c r="K66" i="10"/>
  <c r="I51" i="8"/>
  <c r="J51" i="8"/>
  <c r="K51" i="8"/>
  <c r="T71" i="1"/>
  <c r="I52" i="8"/>
  <c r="J52" i="8"/>
  <c r="K52" i="8"/>
  <c r="AP71" i="1"/>
  <c r="Y183" i="1"/>
  <c r="AJ71" i="1"/>
  <c r="AM71" i="1"/>
  <c r="AI71" i="1"/>
  <c r="AN71" i="1"/>
  <c r="AR71" i="1"/>
  <c r="AL70" i="4"/>
  <c r="AL97" i="1"/>
  <c r="AK70" i="4"/>
  <c r="AK97" i="1"/>
  <c r="U71" i="1"/>
  <c r="AI97" i="1"/>
  <c r="I53" i="8"/>
  <c r="J53" i="8"/>
  <c r="K53" i="8"/>
  <c r="AN70" i="4"/>
  <c r="AN97" i="1"/>
  <c r="Z183" i="1"/>
  <c r="AJ97" i="1"/>
  <c r="AO70" i="4"/>
  <c r="AO97" i="1"/>
  <c r="AR70" i="4"/>
  <c r="AR97" i="1"/>
  <c r="AP70" i="4"/>
  <c r="AP97" i="1"/>
  <c r="AM70" i="4"/>
  <c r="AM97" i="1"/>
  <c r="AA71" i="1"/>
  <c r="AD71" i="1"/>
  <c r="Z71" i="1"/>
  <c r="AC71" i="1"/>
  <c r="AQ70" i="4"/>
  <c r="AQ97" i="1"/>
  <c r="AQ71" i="1"/>
  <c r="AE71" i="1"/>
  <c r="AB71" i="1"/>
  <c r="AK71" i="1"/>
  <c r="V71" i="1"/>
  <c r="I54" i="8"/>
  <c r="J54" i="8"/>
  <c r="K54" i="8"/>
  <c r="AA183" i="1"/>
  <c r="AB97" i="1"/>
  <c r="AC97" i="1"/>
  <c r="Z97" i="1"/>
  <c r="AE97" i="1"/>
  <c r="AD97" i="1"/>
  <c r="AA97" i="1"/>
  <c r="AF71" i="1"/>
  <c r="W71" i="1"/>
  <c r="I55" i="8"/>
  <c r="J55" i="8"/>
  <c r="K55" i="8"/>
  <c r="AB183" i="1"/>
  <c r="AF97" i="1"/>
  <c r="AG71" i="1"/>
  <c r="X71" i="1"/>
  <c r="AC183" i="1"/>
  <c r="I56" i="8"/>
  <c r="J56" i="8"/>
  <c r="K56" i="8"/>
  <c r="AH71" i="1"/>
  <c r="AG97" i="1"/>
  <c r="Y71" i="1"/>
  <c r="AD183" i="1"/>
  <c r="AH97" i="1"/>
  <c r="Y97" i="1"/>
  <c r="AE183" i="1"/>
  <c r="AF183" i="1"/>
  <c r="AH183" i="1"/>
  <c r="AF160" i="1"/>
  <c r="AG183" i="1"/>
  <c r="L71" i="1"/>
  <c r="M71" i="1"/>
  <c r="L97" i="1"/>
  <c r="P156" i="1"/>
  <c r="N71" i="1"/>
  <c r="O71" i="1"/>
  <c r="M97" i="1"/>
  <c r="Q71" i="1"/>
  <c r="P71" i="1"/>
  <c r="R71" i="1"/>
  <c r="P97" i="1"/>
  <c r="O97" i="1"/>
  <c r="N97" i="1"/>
  <c r="AO71" i="1"/>
  <c r="AL71" i="1"/>
  <c r="S71" i="1"/>
  <c r="N156" i="1"/>
  <c r="L156" i="1"/>
  <c r="AS71" i="1"/>
  <c r="BK71" i="1"/>
  <c r="AU71" i="1"/>
  <c r="AX71" i="1"/>
  <c r="AU70" i="4"/>
  <c r="AU97" i="1"/>
  <c r="AS70" i="4"/>
  <c r="AS97" i="1"/>
  <c r="AT71" i="1"/>
  <c r="AX70" i="4"/>
  <c r="AX97" i="1"/>
  <c r="BK70" i="4"/>
  <c r="BK97" i="1"/>
  <c r="AY71" i="1"/>
  <c r="AV71" i="1"/>
  <c r="O156" i="1"/>
  <c r="M156" i="1"/>
  <c r="AY70" i="4"/>
  <c r="AY97" i="1"/>
  <c r="AZ71" i="1"/>
  <c r="AV70" i="4"/>
  <c r="AV97" i="1"/>
  <c r="AT70" i="4"/>
  <c r="AT97" i="1"/>
  <c r="AW71" i="1"/>
  <c r="AW70" i="4"/>
  <c r="AW97" i="1"/>
  <c r="BA71" i="1"/>
  <c r="AZ70" i="4"/>
  <c r="AZ97" i="1"/>
  <c r="BB71" i="1"/>
  <c r="BA70" i="4"/>
  <c r="BA97" i="1"/>
  <c r="BB70" i="4"/>
  <c r="BB97" i="1"/>
  <c r="BC71" i="1"/>
  <c r="BD71" i="1"/>
  <c r="BC70" i="4"/>
  <c r="BC97" i="1"/>
  <c r="BD70" i="4"/>
  <c r="BD97" i="1"/>
  <c r="BE71" i="1"/>
  <c r="BE70" i="4"/>
  <c r="BE97" i="1"/>
  <c r="BF71" i="1"/>
  <c r="BF70" i="4"/>
  <c r="BF97" i="1"/>
  <c r="BG71" i="1"/>
  <c r="BG70" i="4"/>
  <c r="BG97" i="1"/>
  <c r="BH71" i="1"/>
  <c r="BI71" i="1"/>
  <c r="BH70" i="4"/>
  <c r="BH97" i="1"/>
  <c r="BJ71" i="1"/>
  <c r="BI70" i="4"/>
  <c r="BI97" i="1"/>
  <c r="BJ70" i="4"/>
  <c r="BJ97" i="1"/>
  <c r="N19" i="1"/>
  <c r="O19" i="1"/>
  <c r="M19" i="1"/>
  <c r="L19" i="1"/>
  <c r="X19" i="1"/>
  <c r="Z19" i="1"/>
  <c r="AF19" i="1"/>
  <c r="AB19" i="1"/>
  <c r="Y19" i="1"/>
  <c r="U19" i="1"/>
  <c r="P19" i="1"/>
  <c r="AG19" i="1"/>
  <c r="Q19" i="1"/>
  <c r="AA19" i="1"/>
  <c r="AC19" i="1"/>
  <c r="S19" i="1"/>
  <c r="T19" i="1"/>
  <c r="V19" i="1"/>
  <c r="AS19" i="1"/>
  <c r="AO19" i="1"/>
  <c r="AD19" i="1"/>
  <c r="K80" i="4"/>
  <c r="K103" i="4"/>
  <c r="W19" i="1"/>
  <c r="AH19" i="1"/>
  <c r="AL19" i="1"/>
  <c r="AN19" i="1"/>
  <c r="AQ19" i="1"/>
  <c r="AE19" i="1"/>
  <c r="AW19" i="1"/>
  <c r="R19" i="1"/>
  <c r="AJ19" i="1"/>
  <c r="AP19" i="1"/>
  <c r="AV19" i="1"/>
  <c r="M8" i="4"/>
  <c r="M39" i="1"/>
  <c r="O8" i="4"/>
  <c r="O39" i="1"/>
  <c r="BB19" i="1"/>
  <c r="BF19" i="1"/>
  <c r="BA19" i="1"/>
  <c r="BM19" i="1"/>
  <c r="BN19" i="1"/>
  <c r="BO19" i="1"/>
  <c r="BD19" i="1"/>
  <c r="K79" i="4"/>
  <c r="K19" i="1"/>
  <c r="BH19" i="1"/>
  <c r="BQ19" i="1"/>
  <c r="BK19" i="1"/>
  <c r="BS19" i="1"/>
  <c r="AR19" i="1"/>
  <c r="AI19" i="1"/>
  <c r="AX19" i="1"/>
  <c r="AY19" i="1"/>
  <c r="BC19" i="1"/>
  <c r="BE19" i="1"/>
  <c r="BG19" i="1"/>
  <c r="BI19" i="1"/>
  <c r="BL19" i="1"/>
  <c r="BT19" i="1"/>
  <c r="BR19" i="1"/>
  <c r="AU19" i="1"/>
  <c r="AK19" i="1"/>
  <c r="AT19" i="1"/>
  <c r="AM19" i="1"/>
  <c r="P8" i="4"/>
  <c r="P39" i="1"/>
  <c r="N8" i="4"/>
  <c r="N39" i="1"/>
  <c r="BP19" i="1"/>
  <c r="K71" i="1"/>
  <c r="K102" i="4"/>
  <c r="K156" i="1"/>
  <c r="BJ19" i="1"/>
  <c r="AZ19" i="1"/>
  <c r="X8" i="4"/>
  <c r="X39" i="1"/>
  <c r="AF8" i="4"/>
  <c r="AF39" i="1"/>
  <c r="AA8" i="4"/>
  <c r="AA39" i="1"/>
  <c r="S8" i="4"/>
  <c r="S39" i="1"/>
  <c r="V8" i="4"/>
  <c r="V39" i="1"/>
  <c r="AD8" i="4"/>
  <c r="AD39" i="1"/>
  <c r="AE8" i="4"/>
  <c r="AE39" i="1"/>
  <c r="AH8" i="4"/>
  <c r="AH39" i="1"/>
  <c r="Y8" i="4"/>
  <c r="Y39" i="1"/>
  <c r="L8" i="4"/>
  <c r="L39" i="1"/>
  <c r="Z8" i="4"/>
  <c r="Z39" i="1"/>
  <c r="AC8" i="4"/>
  <c r="AC39" i="1"/>
  <c r="T8" i="4"/>
  <c r="T39" i="1"/>
  <c r="U8" i="4"/>
  <c r="U39" i="1"/>
  <c r="AG8" i="4"/>
  <c r="AG39" i="1"/>
  <c r="Q8" i="4"/>
  <c r="Q39" i="1"/>
  <c r="R8" i="4"/>
  <c r="R39" i="1"/>
  <c r="AB8" i="4"/>
  <c r="AB39" i="1"/>
  <c r="W8" i="4"/>
  <c r="W39" i="1"/>
  <c r="AP96" i="4"/>
  <c r="AP8" i="4"/>
  <c r="AI8" i="4"/>
  <c r="AI96" i="4"/>
  <c r="AN8" i="4"/>
  <c r="AN96" i="4"/>
  <c r="AN156" i="1"/>
  <c r="AM96" i="4"/>
  <c r="AM8" i="4"/>
  <c r="AK156" i="1"/>
  <c r="AJ96" i="4"/>
  <c r="AJ8" i="4"/>
  <c r="AQ96" i="4"/>
  <c r="AQ8" i="4"/>
  <c r="AP156" i="1"/>
  <c r="AI156" i="1"/>
  <c r="AR156" i="1"/>
  <c r="AR8" i="4"/>
  <c r="AR96" i="4"/>
  <c r="AK8" i="4"/>
  <c r="AK96" i="4"/>
  <c r="AO96" i="4"/>
  <c r="AO8" i="4"/>
  <c r="AQ156" i="1"/>
  <c r="AL156" i="1"/>
  <c r="AL96" i="4"/>
  <c r="AL8" i="4"/>
  <c r="AM156" i="1"/>
  <c r="AL39" i="1"/>
  <c r="AL93" i="4"/>
  <c r="AL183" i="1"/>
  <c r="AO39" i="1"/>
  <c r="AO93" i="4"/>
  <c r="AO183" i="1"/>
  <c r="AT8" i="4"/>
  <c r="AT96" i="4"/>
  <c r="AK93" i="4"/>
  <c r="AK183" i="1"/>
  <c r="AK39" i="1"/>
  <c r="AW96" i="4"/>
  <c r="AW8" i="4"/>
  <c r="BL71" i="1"/>
  <c r="AU156" i="1"/>
  <c r="AM93" i="4"/>
  <c r="AM183" i="1"/>
  <c r="AM39" i="1"/>
  <c r="AS8" i="4"/>
  <c r="AS96" i="4"/>
  <c r="AP39" i="1"/>
  <c r="AP93" i="4"/>
  <c r="AP183" i="1"/>
  <c r="AJ156" i="1"/>
  <c r="AW156" i="1"/>
  <c r="AR93" i="4"/>
  <c r="AR183" i="1"/>
  <c r="AR39" i="1"/>
  <c r="AQ93" i="4"/>
  <c r="AQ183" i="1"/>
  <c r="AQ39" i="1"/>
  <c r="AO156" i="1"/>
  <c r="AJ93" i="4"/>
  <c r="AJ183" i="1"/>
  <c r="AJ39" i="1"/>
  <c r="AU8" i="4"/>
  <c r="AU96" i="4"/>
  <c r="AS156" i="1"/>
  <c r="AV96" i="4"/>
  <c r="AV8" i="4"/>
  <c r="AN93" i="4"/>
  <c r="AN183" i="1"/>
  <c r="AN39" i="1"/>
  <c r="AI93" i="4"/>
  <c r="AI183" i="1"/>
  <c r="AI39" i="1"/>
  <c r="K96" i="4"/>
  <c r="K8" i="4"/>
  <c r="BM71" i="1"/>
  <c r="BJ96" i="4"/>
  <c r="BJ8" i="4"/>
  <c r="BP96" i="4"/>
  <c r="BP8" i="4"/>
  <c r="BE96" i="4"/>
  <c r="BE8" i="4"/>
  <c r="BQ96" i="4"/>
  <c r="BQ8" i="4"/>
  <c r="BH8" i="4"/>
  <c r="BH96" i="4"/>
  <c r="AS93" i="4"/>
  <c r="AS183" i="1"/>
  <c r="AS39" i="1"/>
  <c r="BS96" i="4"/>
  <c r="BS8" i="4"/>
  <c r="BO8" i="4"/>
  <c r="BO96" i="4"/>
  <c r="AT93" i="4"/>
  <c r="AT183" i="1"/>
  <c r="AT39" i="1"/>
  <c r="BM96" i="4"/>
  <c r="BM8" i="4"/>
  <c r="BB8" i="4"/>
  <c r="BB96" i="4"/>
  <c r="BL96" i="4"/>
  <c r="BL8" i="4"/>
  <c r="BC8" i="4"/>
  <c r="BC96" i="4"/>
  <c r="AX8" i="4"/>
  <c r="AX96" i="4"/>
  <c r="AV93" i="4"/>
  <c r="AV183" i="1"/>
  <c r="AV39" i="1"/>
  <c r="AU93" i="4"/>
  <c r="AU183" i="1"/>
  <c r="AU39" i="1"/>
  <c r="BN8" i="4"/>
  <c r="BN96" i="4"/>
  <c r="BQ71" i="1"/>
  <c r="BA96" i="4"/>
  <c r="BA8" i="4"/>
  <c r="BF8" i="4"/>
  <c r="BF96" i="4"/>
  <c r="BR96" i="4"/>
  <c r="BR8" i="4"/>
  <c r="BP71" i="1"/>
  <c r="BP70" i="4"/>
  <c r="BP97" i="1"/>
  <c r="BI8" i="4"/>
  <c r="BI96" i="4"/>
  <c r="AY8" i="4"/>
  <c r="AY96" i="4"/>
  <c r="BK8" i="4"/>
  <c r="BK96" i="4"/>
  <c r="BD8" i="4"/>
  <c r="BD96" i="4"/>
  <c r="AV156" i="1"/>
  <c r="BL70" i="4"/>
  <c r="BL97" i="1"/>
  <c r="BO71" i="1"/>
  <c r="AW39" i="1"/>
  <c r="AW93" i="4"/>
  <c r="AW183" i="1"/>
  <c r="AT156" i="1"/>
  <c r="AZ8" i="4"/>
  <c r="AZ96" i="4"/>
  <c r="BT96" i="4"/>
  <c r="BT8" i="4"/>
  <c r="BG8" i="4"/>
  <c r="BG96" i="4"/>
  <c r="BG93" i="4"/>
  <c r="BG183" i="1"/>
  <c r="BG39" i="1"/>
  <c r="AZ93" i="4"/>
  <c r="AZ183" i="1"/>
  <c r="AZ39" i="1"/>
  <c r="BR39" i="1"/>
  <c r="BR93" i="4"/>
  <c r="BR183" i="1"/>
  <c r="BA93" i="4"/>
  <c r="BA183" i="1"/>
  <c r="BA39" i="1"/>
  <c r="BN71" i="1"/>
  <c r="BL93" i="4"/>
  <c r="BL183" i="1"/>
  <c r="BL39" i="1"/>
  <c r="BM39" i="1"/>
  <c r="BM93" i="4"/>
  <c r="BM183" i="1"/>
  <c r="BS93" i="4"/>
  <c r="BS183" i="1"/>
  <c r="BS39" i="1"/>
  <c r="BQ93" i="4"/>
  <c r="BQ183" i="1"/>
  <c r="BQ39" i="1"/>
  <c r="BE93" i="4"/>
  <c r="BE183" i="1"/>
  <c r="BE39" i="1"/>
  <c r="BP93" i="4"/>
  <c r="BP183" i="1"/>
  <c r="BP39" i="1"/>
  <c r="BJ39" i="1"/>
  <c r="BJ93" i="4"/>
  <c r="BJ183" i="1"/>
  <c r="K39" i="1"/>
  <c r="K97" i="1" s="1"/>
  <c r="K70" i="4"/>
  <c r="K93" i="4"/>
  <c r="K183" i="1"/>
  <c r="BT93" i="4"/>
  <c r="BT183" i="1"/>
  <c r="BT39" i="1"/>
  <c r="BO70" i="4"/>
  <c r="BO97" i="1"/>
  <c r="BD93" i="4"/>
  <c r="BD183" i="1"/>
  <c r="BD39" i="1"/>
  <c r="BK93" i="4"/>
  <c r="BK183" i="1"/>
  <c r="BK39" i="1"/>
  <c r="AY93" i="4"/>
  <c r="AY183" i="1"/>
  <c r="AY39" i="1"/>
  <c r="BI93" i="4"/>
  <c r="BI183" i="1"/>
  <c r="BI39" i="1"/>
  <c r="BF93" i="4"/>
  <c r="BF183" i="1"/>
  <c r="BF39" i="1"/>
  <c r="BR71" i="1"/>
  <c r="BN93" i="4"/>
  <c r="BN183" i="1"/>
  <c r="BN39" i="1"/>
  <c r="AX93" i="4"/>
  <c r="AX183" i="1"/>
  <c r="AX39" i="1"/>
  <c r="BC39" i="1"/>
  <c r="BC93" i="4"/>
  <c r="BC183" i="1"/>
  <c r="BB39" i="1"/>
  <c r="BB93" i="4"/>
  <c r="BB183" i="1"/>
  <c r="BO93" i="4"/>
  <c r="BO183" i="1"/>
  <c r="BO39" i="1"/>
  <c r="BH39" i="1"/>
  <c r="BH93" i="4"/>
  <c r="BH183" i="1"/>
  <c r="BQ70" i="4"/>
  <c r="BQ97" i="1"/>
  <c r="BM70" i="4"/>
  <c r="BM97" i="1"/>
  <c r="H80" i="4"/>
  <c r="H103" i="4"/>
  <c r="BR70" i="4"/>
  <c r="BR97" i="1"/>
  <c r="BN70" i="4"/>
  <c r="BN97" i="1"/>
  <c r="G80" i="4"/>
  <c r="G103" i="4"/>
  <c r="H79" i="4"/>
  <c r="H19" i="1"/>
  <c r="BT71" i="1"/>
  <c r="BT70" i="4"/>
  <c r="BT97" i="1"/>
  <c r="BS71" i="1"/>
  <c r="BS70" i="4"/>
  <c r="BS97" i="1"/>
  <c r="H71" i="1"/>
  <c r="H102" i="4"/>
  <c r="H156" i="1"/>
  <c r="I80" i="4"/>
  <c r="I103" i="4"/>
  <c r="J80" i="4"/>
  <c r="J103" i="4"/>
  <c r="G19" i="1"/>
  <c r="G79" i="4"/>
  <c r="F80" i="4"/>
  <c r="F103" i="4"/>
  <c r="G71" i="1"/>
  <c r="G102" i="4"/>
  <c r="G156" i="1"/>
  <c r="J19" i="1"/>
  <c r="J79" i="4"/>
  <c r="I79" i="4"/>
  <c r="I19" i="1"/>
  <c r="F19" i="1"/>
  <c r="F79" i="4"/>
  <c r="F102" i="4"/>
  <c r="F156" i="1"/>
  <c r="F71" i="1"/>
  <c r="J102" i="4"/>
  <c r="J156" i="1"/>
  <c r="J71" i="1"/>
  <c r="I102" i="4"/>
  <c r="I156" i="1"/>
  <c r="I71" i="1"/>
  <c r="BD156" i="1"/>
  <c r="BM156" i="1"/>
  <c r="AZ156" i="1"/>
  <c r="BL156" i="1"/>
  <c r="BA156" i="1"/>
  <c r="BG156" i="1"/>
  <c r="AX156" i="1"/>
  <c r="BF156" i="1"/>
  <c r="BC156" i="1"/>
  <c r="BR156" i="1"/>
  <c r="AY156" i="1"/>
  <c r="BI156" i="1"/>
  <c r="BJ156" i="1"/>
  <c r="BT156" i="1"/>
  <c r="BE156" i="1"/>
  <c r="BP156" i="1"/>
  <c r="BO156" i="1"/>
  <c r="BH156" i="1"/>
  <c r="BQ156" i="1"/>
  <c r="BK156" i="1"/>
  <c r="BB156" i="1"/>
  <c r="BS156" i="1"/>
  <c r="BN156" i="1"/>
  <c r="C80" i="4"/>
  <c r="C103" i="4"/>
  <c r="H96" i="4"/>
  <c r="H8" i="4"/>
  <c r="E80" i="4"/>
  <c r="E103" i="4"/>
  <c r="C79" i="4"/>
  <c r="C19" i="1"/>
  <c r="G96" i="4"/>
  <c r="G8" i="4"/>
  <c r="H39" i="1"/>
  <c r="H97" i="1" s="1"/>
  <c r="H70" i="4"/>
  <c r="H93" i="4"/>
  <c r="H183" i="1"/>
  <c r="D80" i="4"/>
  <c r="D103" i="4"/>
  <c r="E79" i="4"/>
  <c r="E19" i="1"/>
  <c r="C71" i="1"/>
  <c r="C102" i="4"/>
  <c r="C156" i="1"/>
  <c r="F8" i="4"/>
  <c r="F96" i="4"/>
  <c r="J96" i="4"/>
  <c r="J8" i="4"/>
  <c r="G70" i="4"/>
  <c r="G93" i="4"/>
  <c r="G183" i="1"/>
  <c r="G39" i="1"/>
  <c r="I96" i="4"/>
  <c r="I8" i="4"/>
  <c r="D79" i="4"/>
  <c r="D19" i="1"/>
  <c r="E71" i="1"/>
  <c r="E102" i="4"/>
  <c r="E156" i="1"/>
  <c r="I70" i="4"/>
  <c r="I93" i="4"/>
  <c r="I183" i="1"/>
  <c r="I39" i="1"/>
  <c r="I97" i="1" s="1"/>
  <c r="G97" i="1"/>
  <c r="J39" i="1"/>
  <c r="J97" i="1" s="1"/>
  <c r="J70" i="4"/>
  <c r="J93" i="4"/>
  <c r="J183" i="1"/>
  <c r="F70" i="4"/>
  <c r="F93" i="4"/>
  <c r="F183" i="1"/>
  <c r="F39" i="1"/>
  <c r="F97" i="1" s="1"/>
  <c r="D71" i="1"/>
  <c r="D102" i="4"/>
  <c r="D156" i="1"/>
  <c r="C96" i="4"/>
  <c r="C70" i="4"/>
  <c r="C93" i="4"/>
  <c r="C183" i="1"/>
  <c r="C39" i="1"/>
  <c r="C97" i="1" s="1"/>
  <c r="E96" i="4"/>
  <c r="E70" i="4"/>
  <c r="E93" i="4"/>
  <c r="E183" i="1"/>
  <c r="E39" i="1"/>
  <c r="D8" i="4"/>
  <c r="D96" i="4"/>
  <c r="D39" i="1"/>
  <c r="D70" i="4"/>
  <c r="D93" i="4"/>
  <c r="D183" i="1"/>
  <c r="D97" i="1"/>
  <c r="Q97" i="1"/>
  <c r="R97" i="1"/>
  <c r="U97" i="1"/>
  <c r="S97" i="1"/>
  <c r="V97" i="1"/>
  <c r="T97" i="1"/>
  <c r="X97" i="1"/>
  <c r="W97" i="1"/>
  <c r="Q156" i="1"/>
  <c r="R156" i="1"/>
  <c r="W156" i="1"/>
  <c r="X156" i="1"/>
  <c r="V156" i="1"/>
  <c r="S156" i="1"/>
  <c r="T156" i="1"/>
  <c r="U156" i="1"/>
  <c r="C30" i="1" l="1"/>
  <c r="D30" i="1"/>
  <c r="AY30" i="1"/>
  <c r="AY29" i="1" s="1"/>
  <c r="AZ30" i="1"/>
  <c r="AZ170" i="1" s="1"/>
  <c r="AZ169" i="1" s="1"/>
  <c r="BB30" i="1"/>
  <c r="BD30" i="1"/>
  <c r="BD170" i="1" s="1"/>
  <c r="BD169" i="1" s="1"/>
  <c r="T16" i="1"/>
  <c r="T68" i="1" s="1"/>
  <c r="S68" i="1"/>
  <c r="AG75" i="1"/>
  <c r="AH90" i="4"/>
  <c r="AN175" i="1"/>
  <c r="G76" i="1"/>
  <c r="AE14" i="19"/>
  <c r="AE15" i="19" s="1"/>
  <c r="F160" i="1"/>
  <c r="C160" i="1"/>
  <c r="AI14" i="19"/>
  <c r="AI15" i="19" s="1"/>
  <c r="M160" i="1"/>
  <c r="AI175" i="1"/>
  <c r="N75" i="1"/>
  <c r="AM175" i="1"/>
  <c r="AB14" i="19"/>
  <c r="AB15" i="19" s="1"/>
  <c r="AR175" i="1"/>
  <c r="BJ168" i="1"/>
  <c r="BK28" i="1"/>
  <c r="AT160" i="1"/>
  <c r="E24" i="1"/>
  <c r="BI168" i="1"/>
  <c r="U16" i="1"/>
  <c r="T18" i="1"/>
  <c r="T24" i="23" s="1"/>
  <c r="T28" i="23" s="1"/>
  <c r="G148" i="1"/>
  <c r="G189" i="1" s="1"/>
  <c r="I14" i="19"/>
  <c r="I15" i="19" s="1"/>
  <c r="AA14" i="19"/>
  <c r="AA15" i="19" s="1"/>
  <c r="F9" i="19"/>
  <c r="F10" i="19" s="1"/>
  <c r="I9" i="19"/>
  <c r="I10" i="19" s="1"/>
  <c r="AK14" i="19"/>
  <c r="AK15" i="19" s="1"/>
  <c r="O160" i="1"/>
  <c r="AG14" i="19"/>
  <c r="AG15" i="19" s="1"/>
  <c r="AZ25" i="1"/>
  <c r="AZ162" i="1" s="1"/>
  <c r="C11" i="25"/>
  <c r="AG160" i="1"/>
  <c r="AG90" i="4" s="1"/>
  <c r="C75" i="1"/>
  <c r="H148" i="1"/>
  <c r="Z14" i="19"/>
  <c r="Z15" i="19" s="1"/>
  <c r="L160" i="1"/>
  <c r="AJ14" i="19"/>
  <c r="AJ15" i="19" s="1"/>
  <c r="N160" i="1"/>
  <c r="H24" i="1"/>
  <c r="AJ25" i="1"/>
  <c r="AI162" i="1"/>
  <c r="D160" i="1"/>
  <c r="BA20" i="1"/>
  <c r="AZ157" i="1"/>
  <c r="F66" i="1"/>
  <c r="F151" i="1" s="1"/>
  <c r="AP14" i="19"/>
  <c r="AP15" i="19" s="1"/>
  <c r="F75" i="1"/>
  <c r="F67" i="4" s="1"/>
  <c r="K148" i="1"/>
  <c r="J148" i="1"/>
  <c r="AF14" i="19"/>
  <c r="AF15" i="19" s="1"/>
  <c r="F148" i="1"/>
  <c r="G9" i="19"/>
  <c r="G10" i="19" s="1"/>
  <c r="AM14" i="19"/>
  <c r="AM15" i="19" s="1"/>
  <c r="AN14" i="19"/>
  <c r="AN15" i="19" s="1"/>
  <c r="N59" i="1"/>
  <c r="N36" i="23" s="1"/>
  <c r="N63" i="23" s="1"/>
  <c r="AU162" i="1"/>
  <c r="C66" i="1"/>
  <c r="C151" i="1" s="1"/>
  <c r="C5" i="25"/>
  <c r="AS92" i="1"/>
  <c r="E25" i="25"/>
  <c r="F25" i="25" s="1"/>
  <c r="C86" i="1"/>
  <c r="C171" i="1" s="1"/>
  <c r="C24" i="25"/>
  <c r="F24" i="25" s="1"/>
  <c r="AF90" i="4"/>
  <c r="C44" i="1"/>
  <c r="AZ24" i="1"/>
  <c r="C85" i="1"/>
  <c r="C84" i="1" s="1"/>
  <c r="P59" i="1"/>
  <c r="P36" i="23" s="1"/>
  <c r="P56" i="23" s="1"/>
  <c r="P59" i="23" s="1"/>
  <c r="P97" i="23" s="1"/>
  <c r="P65" i="1" s="1"/>
  <c r="P64" i="1" s="1"/>
  <c r="P74" i="1" s="1"/>
  <c r="BA25" i="1"/>
  <c r="AT158" i="1"/>
  <c r="AS151" i="1"/>
  <c r="C65" i="1"/>
  <c r="C150" i="1" s="1"/>
  <c r="C159" i="1" s="1"/>
  <c r="C4" i="25"/>
  <c r="AS150" i="1"/>
  <c r="C17" i="25"/>
  <c r="D11" i="25"/>
  <c r="E11" i="25"/>
  <c r="D75" i="1"/>
  <c r="R70" i="1"/>
  <c r="G14" i="19"/>
  <c r="G15" i="19" s="1"/>
  <c r="AX23" i="1"/>
  <c r="E18" i="25"/>
  <c r="F18" i="25" s="1"/>
  <c r="AC14" i="19"/>
  <c r="AC15" i="19" s="1"/>
  <c r="K9" i="19"/>
  <c r="K10" i="19" s="1"/>
  <c r="AD14" i="19"/>
  <c r="AD15" i="19" s="1"/>
  <c r="AQ14" i="19"/>
  <c r="AQ15" i="19" s="1"/>
  <c r="AT69" i="1"/>
  <c r="E7" i="25"/>
  <c r="C16" i="25"/>
  <c r="D49" i="11"/>
  <c r="D50" i="11"/>
  <c r="P33" i="23"/>
  <c r="C3" i="24" s="1"/>
  <c r="D23" i="1"/>
  <c r="D6" i="4" s="1"/>
  <c r="BF85" i="1"/>
  <c r="BF84" i="1" s="1"/>
  <c r="BS30" i="1"/>
  <c r="BS29" i="1" s="1"/>
  <c r="BR30" i="1"/>
  <c r="BR170" i="1" s="1"/>
  <c r="BR169" i="1" s="1"/>
  <c r="BT29" i="1"/>
  <c r="BN30" i="1"/>
  <c r="BO30" i="1"/>
  <c r="BO85" i="1" s="1"/>
  <c r="BO84" i="1" s="1"/>
  <c r="BM30" i="1"/>
  <c r="BM170" i="1" s="1"/>
  <c r="BM169" i="1" s="1"/>
  <c r="BP30" i="1"/>
  <c r="BP85" i="1" s="1"/>
  <c r="BP84" i="1" s="1"/>
  <c r="BQ30" i="1"/>
  <c r="BQ170" i="1" s="1"/>
  <c r="BQ169" i="1" s="1"/>
  <c r="BL30" i="1"/>
  <c r="BL170" i="1" s="1"/>
  <c r="BL169" i="1" s="1"/>
  <c r="BH30" i="1"/>
  <c r="BH85" i="1" s="1"/>
  <c r="BH84" i="1" s="1"/>
  <c r="BK30" i="1"/>
  <c r="BK170" i="1" s="1"/>
  <c r="BK169" i="1" s="1"/>
  <c r="BI30" i="1"/>
  <c r="BI29" i="1" s="1"/>
  <c r="BJ30" i="1"/>
  <c r="BJ85" i="1" s="1"/>
  <c r="BJ84" i="1" s="1"/>
  <c r="BG30" i="1"/>
  <c r="BG85" i="1" s="1"/>
  <c r="BG84" i="1" s="1"/>
  <c r="BC30" i="1"/>
  <c r="BC29" i="1" s="1"/>
  <c r="BE30" i="1"/>
  <c r="BE85" i="1" s="1"/>
  <c r="BE84" i="1" s="1"/>
  <c r="AX30" i="1"/>
  <c r="AX29" i="1" s="1"/>
  <c r="BA30" i="1"/>
  <c r="BA170" i="1" s="1"/>
  <c r="BA169" i="1" s="1"/>
  <c r="AU30" i="1"/>
  <c r="AU29" i="1" s="1"/>
  <c r="AT30" i="1"/>
  <c r="AT170" i="1" s="1"/>
  <c r="AT169" i="1" s="1"/>
  <c r="AV30" i="1"/>
  <c r="AV29" i="1" s="1"/>
  <c r="AS30" i="1"/>
  <c r="AS170" i="1" s="1"/>
  <c r="AW30" i="1"/>
  <c r="AW170" i="1" s="1"/>
  <c r="AW169" i="1" s="1"/>
  <c r="AR30" i="1"/>
  <c r="AR29" i="1" s="1"/>
  <c r="AO30" i="1"/>
  <c r="AO29" i="1" s="1"/>
  <c r="AQ30" i="1"/>
  <c r="AQ170" i="1" s="1"/>
  <c r="AQ169" i="1" s="1"/>
  <c r="AN30" i="1"/>
  <c r="AN29" i="1" s="1"/>
  <c r="AP30" i="1"/>
  <c r="AP170" i="1" s="1"/>
  <c r="AP169" i="1" s="1"/>
  <c r="AL30" i="1"/>
  <c r="AL29" i="1" s="1"/>
  <c r="AJ30" i="1"/>
  <c r="AJ29" i="1" s="1"/>
  <c r="AI30" i="1"/>
  <c r="AI29" i="1" s="1"/>
  <c r="AK30" i="1"/>
  <c r="AK29" i="1" s="1"/>
  <c r="AM30" i="1"/>
  <c r="AM85" i="1" s="1"/>
  <c r="AM84" i="1" s="1"/>
  <c r="AM94" i="1" s="1"/>
  <c r="AE30" i="1"/>
  <c r="AE29" i="1" s="1"/>
  <c r="AH30" i="1"/>
  <c r="AH29" i="1" s="1"/>
  <c r="AG30" i="1"/>
  <c r="AG29" i="1" s="1"/>
  <c r="AF30" i="1"/>
  <c r="AF170" i="1" s="1"/>
  <c r="AF169" i="1" s="1"/>
  <c r="AF179" i="1" s="1"/>
  <c r="AD30" i="1"/>
  <c r="AD170" i="1" s="1"/>
  <c r="AD169" i="1" s="1"/>
  <c r="AC30" i="1"/>
  <c r="AC29" i="1" s="1"/>
  <c r="Z30" i="1"/>
  <c r="Z29" i="1" s="1"/>
  <c r="AB30" i="1"/>
  <c r="AB29" i="1" s="1"/>
  <c r="AA30" i="1"/>
  <c r="AA29" i="1" s="1"/>
  <c r="Y30" i="1"/>
  <c r="Y29" i="1" s="1"/>
  <c r="U30" i="1"/>
  <c r="U29" i="1" s="1"/>
  <c r="W30" i="1"/>
  <c r="W29" i="1" s="1"/>
  <c r="X30" i="1"/>
  <c r="X29" i="1" s="1"/>
  <c r="T30" i="1"/>
  <c r="T29" i="1" s="1"/>
  <c r="V30" i="1"/>
  <c r="V29" i="1" s="1"/>
  <c r="R30" i="1"/>
  <c r="R29" i="1" s="1"/>
  <c r="S30" i="1"/>
  <c r="S29" i="1" s="1"/>
  <c r="Q30" i="1"/>
  <c r="Q29" i="1" s="1"/>
  <c r="Q35" i="1" s="1"/>
  <c r="P30" i="1"/>
  <c r="P29" i="1" s="1"/>
  <c r="O30" i="1"/>
  <c r="O29" i="1" s="1"/>
  <c r="M30" i="1"/>
  <c r="M29" i="1" s="1"/>
  <c r="K30" i="1"/>
  <c r="K85" i="1" s="1"/>
  <c r="K84" i="1" s="1"/>
  <c r="L30" i="1"/>
  <c r="L85" i="1" s="1"/>
  <c r="L84" i="1" s="1"/>
  <c r="L94" i="1" s="1"/>
  <c r="J30" i="1"/>
  <c r="J29" i="1" s="1"/>
  <c r="N30" i="1"/>
  <c r="N85" i="1" s="1"/>
  <c r="I30" i="1"/>
  <c r="I85" i="1" s="1"/>
  <c r="I170" i="1" s="1"/>
  <c r="I169" i="1" s="1"/>
  <c r="E30" i="1"/>
  <c r="F30" i="1" s="1"/>
  <c r="G30" i="1" s="1"/>
  <c r="I25" i="1"/>
  <c r="T159" i="1"/>
  <c r="Z160" i="1"/>
  <c r="Z90" i="4" s="1"/>
  <c r="N78" i="23"/>
  <c r="W149" i="1"/>
  <c r="BR64" i="1"/>
  <c r="BR74" i="1" s="1"/>
  <c r="L115" i="3"/>
  <c r="L117" i="3" s="1"/>
  <c r="Q115" i="3"/>
  <c r="Q117" i="3" s="1"/>
  <c r="T149" i="1"/>
  <c r="BI64" i="1"/>
  <c r="BI74" i="1" s="1"/>
  <c r="BJ64" i="1"/>
  <c r="BJ74" i="1" s="1"/>
  <c r="BL177" i="1"/>
  <c r="AL122" i="1"/>
  <c r="AL63" i="1" s="1"/>
  <c r="AL104" i="1" s="1"/>
  <c r="P115" i="3"/>
  <c r="P117" i="3" s="1"/>
  <c r="AV47" i="23"/>
  <c r="BT13" i="1"/>
  <c r="V7" i="1"/>
  <c r="AZ164" i="1"/>
  <c r="AI170" i="1"/>
  <c r="AI169" i="1" s="1"/>
  <c r="D7" i="1"/>
  <c r="BH13" i="1"/>
  <c r="C7" i="1"/>
  <c r="BL13" i="1"/>
  <c r="AJ122" i="1"/>
  <c r="AJ63" i="1" s="1"/>
  <c r="AP63" i="1"/>
  <c r="BI177" i="1"/>
  <c r="AT151" i="1"/>
  <c r="BG149" i="1"/>
  <c r="AZ13" i="1"/>
  <c r="BP13" i="1"/>
  <c r="U149" i="1"/>
  <c r="Q149" i="1"/>
  <c r="BE64" i="1"/>
  <c r="BE74" i="1" s="1"/>
  <c r="BH149" i="1"/>
  <c r="U159" i="1"/>
  <c r="AS22" i="1"/>
  <c r="BD13" i="1"/>
  <c r="BD177" i="1"/>
  <c r="BA177" i="1"/>
  <c r="AM29" i="1"/>
  <c r="AH122" i="1"/>
  <c r="AH63" i="1" s="1"/>
  <c r="AH104" i="1" s="1"/>
  <c r="AE122" i="1"/>
  <c r="AE63" i="1" s="1"/>
  <c r="AG122" i="1"/>
  <c r="AG63" i="1" s="1"/>
  <c r="AG105" i="1" s="1"/>
  <c r="AL7" i="1"/>
  <c r="AZ150" i="1"/>
  <c r="AZ149" i="1" s="1"/>
  <c r="U139" i="1"/>
  <c r="AV15" i="1"/>
  <c r="AW15" i="1" s="1"/>
  <c r="AW151" i="1" s="1"/>
  <c r="AZ8" i="23"/>
  <c r="BG79" i="1"/>
  <c r="BG75" i="1" s="1"/>
  <c r="H51" i="11"/>
  <c r="H52" i="11" s="1"/>
  <c r="BQ13" i="1"/>
  <c r="BS64" i="1"/>
  <c r="BS74" i="1" s="1"/>
  <c r="BO64" i="1"/>
  <c r="BO74" i="1" s="1"/>
  <c r="AZ64" i="1"/>
  <c r="AZ74" i="1" s="1"/>
  <c r="BD29" i="1"/>
  <c r="C63" i="1"/>
  <c r="AK122" i="1"/>
  <c r="AK63" i="1" s="1"/>
  <c r="AN122" i="1"/>
  <c r="AN42" i="23" s="1"/>
  <c r="AM122" i="1"/>
  <c r="AM63" i="1" s="1"/>
  <c r="AF122" i="1"/>
  <c r="AF63" i="1" s="1"/>
  <c r="AI122" i="1"/>
  <c r="AI63" i="1" s="1"/>
  <c r="AO122" i="1"/>
  <c r="AO63" i="1" s="1"/>
  <c r="AO104" i="1" s="1"/>
  <c r="BI8" i="23"/>
  <c r="S7" i="1"/>
  <c r="AO7" i="1"/>
  <c r="AV25" i="1"/>
  <c r="AV162" i="1" s="1"/>
  <c r="BR85" i="1"/>
  <c r="BR84" i="1" s="1"/>
  <c r="BN177" i="1"/>
  <c r="AZ85" i="1"/>
  <c r="AZ84" i="1" s="1"/>
  <c r="BL85" i="1"/>
  <c r="BL84" i="1" s="1"/>
  <c r="BJ170" i="1"/>
  <c r="BJ169" i="1" s="1"/>
  <c r="AS177" i="1"/>
  <c r="AS175" i="1" s="1"/>
  <c r="AB139" i="1"/>
  <c r="AB170" i="1" s="1"/>
  <c r="AB169" i="1" s="1"/>
  <c r="P90" i="1"/>
  <c r="AU21" i="1"/>
  <c r="AU158" i="1" s="1"/>
  <c r="AI21" i="23"/>
  <c r="AB160" i="1"/>
  <c r="AB90" i="4" s="1"/>
  <c r="AC161" i="1"/>
  <c r="BN149" i="1"/>
  <c r="BM13" i="1"/>
  <c r="BQ150" i="1"/>
  <c r="BQ149" i="1" s="1"/>
  <c r="BF13" i="1"/>
  <c r="BE13" i="1"/>
  <c r="BC13" i="1"/>
  <c r="AA160" i="1"/>
  <c r="AA90" i="4" s="1"/>
  <c r="C4" i="19"/>
  <c r="C5" i="19" s="1"/>
  <c r="AM7" i="1"/>
  <c r="AR7" i="1"/>
  <c r="AD7" i="1"/>
  <c r="L7" i="1"/>
  <c r="X7" i="1"/>
  <c r="BF39" i="23"/>
  <c r="I77" i="1"/>
  <c r="I162" i="1" s="1"/>
  <c r="BN79" i="1"/>
  <c r="BN47" i="23" s="1"/>
  <c r="C51" i="11"/>
  <c r="C52" i="11" s="1"/>
  <c r="AC35" i="23"/>
  <c r="V159" i="1"/>
  <c r="Q159" i="1"/>
  <c r="C22" i="1"/>
  <c r="BT149" i="1"/>
  <c r="BS13" i="1"/>
  <c r="BK13" i="1"/>
  <c r="BD149" i="1"/>
  <c r="C6" i="4"/>
  <c r="BH177" i="1"/>
  <c r="C3" i="23"/>
  <c r="BH164" i="1"/>
  <c r="BR8" i="23"/>
  <c r="BL164" i="1"/>
  <c r="BC8" i="23"/>
  <c r="V144" i="1"/>
  <c r="AC7" i="1"/>
  <c r="Q7" i="1"/>
  <c r="AX8" i="23"/>
  <c r="AG21" i="23"/>
  <c r="AG123" i="23" s="1"/>
  <c r="O25" i="1"/>
  <c r="O23" i="1" s="1"/>
  <c r="O6" i="4" s="1"/>
  <c r="D3" i="23"/>
  <c r="E4" i="1"/>
  <c r="E7" i="1" s="1"/>
  <c r="D63" i="1"/>
  <c r="D29" i="1"/>
  <c r="D85" i="1"/>
  <c r="AJ170" i="1"/>
  <c r="AJ169" i="1" s="1"/>
  <c r="AJ85" i="1"/>
  <c r="AJ84" i="1" s="1"/>
  <c r="AJ94" i="1" s="1"/>
  <c r="BM164" i="1"/>
  <c r="BM8" i="23"/>
  <c r="BN39" i="23"/>
  <c r="BJ92" i="1"/>
  <c r="BJ177" i="1"/>
  <c r="Z42" i="23"/>
  <c r="AA122" i="1"/>
  <c r="AA42" i="23" s="1"/>
  <c r="T42" i="23"/>
  <c r="H53" i="11"/>
  <c r="S144" i="1"/>
  <c r="R144" i="1"/>
  <c r="AB144" i="1"/>
  <c r="AC144" i="1"/>
  <c r="N90" i="1"/>
  <c r="N69" i="4"/>
  <c r="N92" i="4" s="1"/>
  <c r="BP149" i="1"/>
  <c r="BM149" i="1"/>
  <c r="W89" i="1"/>
  <c r="X89" i="1"/>
  <c r="D4" i="19"/>
  <c r="D5" i="19" s="1"/>
  <c r="BO164" i="1"/>
  <c r="BN164" i="1"/>
  <c r="AU47" i="23"/>
  <c r="BK164" i="1"/>
  <c r="AA144" i="1"/>
  <c r="AD144" i="1"/>
  <c r="BH170" i="1"/>
  <c r="BH169" i="1" s="1"/>
  <c r="BH29" i="1"/>
  <c r="BO170" i="1"/>
  <c r="BO169" i="1" s="1"/>
  <c r="AO170" i="1"/>
  <c r="AO169" i="1" s="1"/>
  <c r="T144" i="1"/>
  <c r="T107" i="23"/>
  <c r="AY23" i="1"/>
  <c r="AY8" i="23"/>
  <c r="BO79" i="1"/>
  <c r="AW47" i="23"/>
  <c r="AZ79" i="1"/>
  <c r="AZ75" i="1" s="1"/>
  <c r="BA79" i="1"/>
  <c r="BA75" i="1" s="1"/>
  <c r="AX79" i="1"/>
  <c r="AX47" i="23" s="1"/>
  <c r="M5" i="23"/>
  <c r="M36" i="23" s="1"/>
  <c r="M7" i="1"/>
  <c r="W5" i="23"/>
  <c r="W105" i="23" s="1"/>
  <c r="W124" i="23" s="1"/>
  <c r="W7" i="1"/>
  <c r="Y5" i="23"/>
  <c r="Y36" i="23" s="1"/>
  <c r="Y7" i="1"/>
  <c r="AI5" i="23"/>
  <c r="AI22" i="23" s="1"/>
  <c r="AI7" i="1"/>
  <c r="R139" i="1"/>
  <c r="P139" i="1"/>
  <c r="Z139" i="1"/>
  <c r="AA139" i="1"/>
  <c r="AT157" i="1"/>
  <c r="AU20" i="1"/>
  <c r="M4" i="23"/>
  <c r="M13" i="23" s="1"/>
  <c r="M25" i="1"/>
  <c r="M23" i="1" s="1"/>
  <c r="M6" i="4" s="1"/>
  <c r="Q13" i="23"/>
  <c r="Q35" i="23"/>
  <c r="S4" i="23"/>
  <c r="S104" i="23" s="1"/>
  <c r="S123" i="23" s="1"/>
  <c r="G51" i="11"/>
  <c r="G52" i="11" s="1"/>
  <c r="Y104" i="23"/>
  <c r="Y21" i="23"/>
  <c r="Y123" i="23" s="1"/>
  <c r="E22" i="1"/>
  <c r="BI149" i="1"/>
  <c r="F22" i="23"/>
  <c r="F16" i="23"/>
  <c r="F18" i="23" s="1"/>
  <c r="F14" i="1" s="1"/>
  <c r="AV24" i="1"/>
  <c r="AW24" i="1" s="1"/>
  <c r="AW161" i="1" s="1"/>
  <c r="AU161" i="1"/>
  <c r="AC170" i="1"/>
  <c r="AC169" i="1" s="1"/>
  <c r="O21" i="23"/>
  <c r="O35" i="23"/>
  <c r="O13" i="23"/>
  <c r="AR67" i="4"/>
  <c r="AR9" i="19"/>
  <c r="AR10" i="19" s="1"/>
  <c r="G100" i="3"/>
  <c r="AW9" i="1" s="1"/>
  <c r="AW10" i="1" s="1"/>
  <c r="AW46" i="1" s="1"/>
  <c r="X159" i="1"/>
  <c r="R159" i="1"/>
  <c r="BR13" i="1"/>
  <c r="BJ13" i="1"/>
  <c r="BI13" i="1"/>
  <c r="AA89" i="1"/>
  <c r="BB13" i="1"/>
  <c r="BP177" i="1"/>
  <c r="BD85" i="1"/>
  <c r="BD84" i="1" s="1"/>
  <c r="BT84" i="1"/>
  <c r="AO85" i="1"/>
  <c r="AO84" i="1" s="1"/>
  <c r="AO94" i="1" s="1"/>
  <c r="BH8" i="23"/>
  <c r="BA8" i="23"/>
  <c r="BC164" i="1"/>
  <c r="X144" i="1"/>
  <c r="W139" i="1"/>
  <c r="BM79" i="1"/>
  <c r="BM47" i="23" s="1"/>
  <c r="BF79" i="1"/>
  <c r="BF47" i="23" s="1"/>
  <c r="BL79" i="1"/>
  <c r="AQ7" i="1"/>
  <c r="AK7" i="1"/>
  <c r="AE7" i="1"/>
  <c r="AA7" i="1"/>
  <c r="U7" i="1"/>
  <c r="O7" i="1"/>
  <c r="K7" i="1"/>
  <c r="I7" i="1"/>
  <c r="G7" i="1"/>
  <c r="AG7" i="1"/>
  <c r="AY164" i="1"/>
  <c r="AY160" i="1" s="1"/>
  <c r="AY79" i="1"/>
  <c r="AX164" i="1"/>
  <c r="AX160" i="1" s="1"/>
  <c r="AX39" i="23"/>
  <c r="AY39" i="23"/>
  <c r="AZ39" i="23"/>
  <c r="AX170" i="1"/>
  <c r="AX169" i="1" s="1"/>
  <c r="G103" i="3"/>
  <c r="G108" i="3" s="1"/>
  <c r="E51" i="11"/>
  <c r="E52" i="11" s="1"/>
  <c r="G97" i="3"/>
  <c r="AC13" i="23"/>
  <c r="AC113" i="23" s="1"/>
  <c r="AQ13" i="23"/>
  <c r="AQ21" i="23"/>
  <c r="AI13" i="23"/>
  <c r="AC21" i="23"/>
  <c r="AC123" i="23" s="1"/>
  <c r="Y35" i="23"/>
  <c r="K25" i="1"/>
  <c r="U174" i="1"/>
  <c r="V174" i="1" s="1"/>
  <c r="W174" i="1" s="1"/>
  <c r="X174" i="1" s="1"/>
  <c r="AM9" i="19"/>
  <c r="AM10" i="19" s="1"/>
  <c r="AE85" i="1"/>
  <c r="AE84" i="1" s="1"/>
  <c r="P35" i="23"/>
  <c r="P62" i="23" s="1"/>
  <c r="D51" i="11"/>
  <c r="AX64" i="1"/>
  <c r="AX74" i="1" s="1"/>
  <c r="BT74" i="1"/>
  <c r="AT22" i="1"/>
  <c r="BS149" i="1"/>
  <c r="AY177" i="1"/>
  <c r="AX177" i="1"/>
  <c r="BQ177" i="1"/>
  <c r="AS32" i="1"/>
  <c r="BJ29" i="1"/>
  <c r="BH39" i="23"/>
  <c r="BC39" i="23"/>
  <c r="BF177" i="1"/>
  <c r="Y144" i="1"/>
  <c r="V139" i="1"/>
  <c r="BK79" i="1"/>
  <c r="BE79" i="1"/>
  <c r="BB79" i="1"/>
  <c r="BB75" i="1" s="1"/>
  <c r="BJ79" i="1"/>
  <c r="AW75" i="1"/>
  <c r="BD79" i="1"/>
  <c r="BC79" i="1"/>
  <c r="AP7" i="1"/>
  <c r="AJ7" i="1"/>
  <c r="Z7" i="1"/>
  <c r="T7" i="1"/>
  <c r="BI79" i="1"/>
  <c r="BI75" i="1" s="1"/>
  <c r="BH79" i="1"/>
  <c r="C29" i="1"/>
  <c r="C35" i="1" s="1"/>
  <c r="AN7" i="1"/>
  <c r="Z63" i="1"/>
  <c r="P7" i="1"/>
  <c r="T63" i="1"/>
  <c r="T105" i="1" s="1"/>
  <c r="H30" i="23"/>
  <c r="H15" i="1" s="1"/>
  <c r="H66" i="1" s="1"/>
  <c r="H151" i="1" s="1"/>
  <c r="AS13" i="1"/>
  <c r="P78" i="23"/>
  <c r="P86" i="23"/>
  <c r="BR149" i="1"/>
  <c r="BN13" i="1"/>
  <c r="BF149" i="1"/>
  <c r="C13" i="1"/>
  <c r="C64" i="1" s="1"/>
  <c r="C74" i="1" s="1"/>
  <c r="BE149" i="1"/>
  <c r="BK149" i="1"/>
  <c r="BO13" i="1"/>
  <c r="S149" i="1"/>
  <c r="X149" i="1"/>
  <c r="V149" i="1"/>
  <c r="R149" i="1"/>
  <c r="BH64" i="1"/>
  <c r="BH74" i="1" s="1"/>
  <c r="BQ64" i="1"/>
  <c r="BQ74" i="1" s="1"/>
  <c r="BG64" i="1"/>
  <c r="BG74" i="1" s="1"/>
  <c r="AY64" i="1"/>
  <c r="AY74" i="1" s="1"/>
  <c r="AS64" i="1"/>
  <c r="AS74" i="1" s="1"/>
  <c r="AU64" i="1"/>
  <c r="AU74" i="1" s="1"/>
  <c r="BP64" i="1"/>
  <c r="BP74" i="1" s="1"/>
  <c r="AW64" i="1"/>
  <c r="AW74" i="1" s="1"/>
  <c r="BB64" i="1"/>
  <c r="BB74" i="1" s="1"/>
  <c r="BD64" i="1"/>
  <c r="BD74" i="1" s="1"/>
  <c r="BK64" i="1"/>
  <c r="BK74" i="1" s="1"/>
  <c r="BF64" i="1"/>
  <c r="BF74" i="1" s="1"/>
  <c r="BB149" i="1"/>
  <c r="AV170" i="1"/>
  <c r="AV169" i="1" s="1"/>
  <c r="AV85" i="1"/>
  <c r="AV84" i="1" s="1"/>
  <c r="BG29" i="1"/>
  <c r="BF170" i="1"/>
  <c r="BF169" i="1" s="1"/>
  <c r="BF29" i="1"/>
  <c r="P87" i="1"/>
  <c r="O172" i="1"/>
  <c r="AQ63" i="1"/>
  <c r="AQ104" i="1" s="1"/>
  <c r="AQ42" i="23"/>
  <c r="BS92" i="1"/>
  <c r="BS177" i="1"/>
  <c r="AZ92" i="1"/>
  <c r="AZ177" i="1"/>
  <c r="BM92" i="1"/>
  <c r="BM177" i="1"/>
  <c r="BR92" i="1"/>
  <c r="BR177" i="1"/>
  <c r="BB92" i="1"/>
  <c r="BB177" i="1"/>
  <c r="AY149" i="1"/>
  <c r="H16" i="23"/>
  <c r="H18" i="23" s="1"/>
  <c r="H14" i="1" s="1"/>
  <c r="H65" i="1" s="1"/>
  <c r="H150" i="1" s="1"/>
  <c r="H22" i="23"/>
  <c r="D65" i="1"/>
  <c r="D150" i="1" s="1"/>
  <c r="D149" i="1" s="1"/>
  <c r="D13" i="1"/>
  <c r="D64" i="1" s="1"/>
  <c r="D74" i="1" s="1"/>
  <c r="E13" i="1"/>
  <c r="E64" i="1" s="1"/>
  <c r="E74" i="1" s="1"/>
  <c r="E66" i="1"/>
  <c r="E151" i="1" s="1"/>
  <c r="J29" i="23"/>
  <c r="J30" i="23" s="1"/>
  <c r="J15" i="1" s="1"/>
  <c r="J66" i="1" s="1"/>
  <c r="J151" i="1" s="1"/>
  <c r="N29" i="23"/>
  <c r="N30" i="23" s="1"/>
  <c r="N15" i="1" s="1"/>
  <c r="AU14" i="1"/>
  <c r="AT150" i="1"/>
  <c r="AT13" i="1"/>
  <c r="AY13" i="1"/>
  <c r="BA149" i="1"/>
  <c r="BC149" i="1"/>
  <c r="AX150" i="1"/>
  <c r="AX13" i="1"/>
  <c r="L86" i="23"/>
  <c r="L78" i="23"/>
  <c r="AT64" i="1"/>
  <c r="AT74" i="1" s="1"/>
  <c r="BA64" i="1"/>
  <c r="BA74" i="1" s="1"/>
  <c r="BM64" i="1"/>
  <c r="BM74" i="1" s="1"/>
  <c r="AV64" i="1"/>
  <c r="AV74" i="1" s="1"/>
  <c r="BC64" i="1"/>
  <c r="BC74" i="1" s="1"/>
  <c r="BL64" i="1"/>
  <c r="BL74" i="1" s="1"/>
  <c r="BN64" i="1"/>
  <c r="BN74" i="1" s="1"/>
  <c r="K115" i="3"/>
  <c r="K117" i="3" s="1"/>
  <c r="S115" i="3"/>
  <c r="S117" i="3" s="1"/>
  <c r="N115" i="3"/>
  <c r="N117" i="3" s="1"/>
  <c r="R115" i="3"/>
  <c r="R117" i="3" s="1"/>
  <c r="S159" i="1"/>
  <c r="W159" i="1"/>
  <c r="D22" i="1"/>
  <c r="BL149" i="1"/>
  <c r="BG13" i="1"/>
  <c r="BJ149" i="1"/>
  <c r="BT177" i="1"/>
  <c r="M115" i="3"/>
  <c r="M117" i="3" s="1"/>
  <c r="BC177" i="1"/>
  <c r="BE177" i="1"/>
  <c r="G120" i="3"/>
  <c r="G126" i="3" s="1"/>
  <c r="BK177" i="1"/>
  <c r="T115" i="3"/>
  <c r="T117" i="3" s="1"/>
  <c r="O115" i="3"/>
  <c r="O117" i="3" s="1"/>
  <c r="AU92" i="1"/>
  <c r="BA13" i="1"/>
  <c r="BL39" i="23"/>
  <c r="BS164" i="1"/>
  <c r="BS8" i="23"/>
  <c r="BR39" i="23"/>
  <c r="BQ164" i="1"/>
  <c r="BQ8" i="23"/>
  <c r="BN170" i="1"/>
  <c r="BN169" i="1" s="1"/>
  <c r="BB170" i="1"/>
  <c r="BB169" i="1" s="1"/>
  <c r="BB29" i="1"/>
  <c r="BB85" i="1"/>
  <c r="BB84" i="1" s="1"/>
  <c r="O85" i="1"/>
  <c r="BC170" i="1"/>
  <c r="BC169" i="1" s="1"/>
  <c r="AY170" i="1"/>
  <c r="AY169" i="1" s="1"/>
  <c r="AY85" i="1"/>
  <c r="AY84" i="1" s="1"/>
  <c r="AL170" i="1"/>
  <c r="AL169" i="1" s="1"/>
  <c r="AL85" i="1"/>
  <c r="AL84" i="1" s="1"/>
  <c r="AL94" i="1" s="1"/>
  <c r="BS85" i="1"/>
  <c r="BS84" i="1" s="1"/>
  <c r="BS170" i="1"/>
  <c r="BS169" i="1" s="1"/>
  <c r="N29" i="1"/>
  <c r="AF29" i="1"/>
  <c r="AF85" i="1"/>
  <c r="AF84" i="1" s="1"/>
  <c r="AF94" i="1" s="1"/>
  <c r="BA39" i="23"/>
  <c r="BB164" i="1"/>
  <c r="BB8" i="23"/>
  <c r="AV177" i="1"/>
  <c r="BO39" i="23"/>
  <c r="AT92" i="1"/>
  <c r="AT177" i="1"/>
  <c r="AW92" i="1"/>
  <c r="AW177" i="1"/>
  <c r="BO92" i="1"/>
  <c r="BO177" i="1"/>
  <c r="BG92" i="1"/>
  <c r="BG177" i="1"/>
  <c r="G16" i="23"/>
  <c r="G18" i="23" s="1"/>
  <c r="G14" i="1" s="1"/>
  <c r="G22" i="1" s="1"/>
  <c r="AR170" i="1"/>
  <c r="AR169" i="1" s="1"/>
  <c r="D127" i="1"/>
  <c r="C133" i="1"/>
  <c r="AE171" i="1"/>
  <c r="P21" i="23"/>
  <c r="P104" i="23"/>
  <c r="P13" i="23"/>
  <c r="F4" i="23"/>
  <c r="F21" i="23" s="1"/>
  <c r="F7" i="1"/>
  <c r="H25" i="1"/>
  <c r="H4" i="23"/>
  <c r="H7" i="1"/>
  <c r="J4" i="23"/>
  <c r="J25" i="1"/>
  <c r="J7" i="1"/>
  <c r="L25" i="1"/>
  <c r="L23" i="1" s="1"/>
  <c r="L4" i="23"/>
  <c r="N4" i="23"/>
  <c r="N25" i="1"/>
  <c r="N23" i="1" s="1"/>
  <c r="N6" i="4" s="1"/>
  <c r="N7" i="1"/>
  <c r="D67" i="11"/>
  <c r="D68" i="11" s="1"/>
  <c r="P25" i="1"/>
  <c r="P23" i="1" s="1"/>
  <c r="P6" i="4" s="1"/>
  <c r="R4" i="23"/>
  <c r="F51" i="11"/>
  <c r="F52" i="11" s="1"/>
  <c r="R7" i="1"/>
  <c r="X13" i="23"/>
  <c r="X35" i="23"/>
  <c r="X104" i="23"/>
  <c r="X21" i="23"/>
  <c r="Z35" i="23"/>
  <c r="Z21" i="23"/>
  <c r="Z123" i="23" s="1"/>
  <c r="Z13" i="23"/>
  <c r="Z113" i="23" s="1"/>
  <c r="Z104" i="23"/>
  <c r="AB4" i="23"/>
  <c r="AB7" i="1"/>
  <c r="AD35" i="23"/>
  <c r="AD21" i="23"/>
  <c r="AD123" i="23" s="1"/>
  <c r="AD13" i="23"/>
  <c r="AD113" i="23" s="1"/>
  <c r="AD104" i="23"/>
  <c r="AF4" i="23"/>
  <c r="AF7" i="1"/>
  <c r="AH4" i="23"/>
  <c r="AH7" i="1"/>
  <c r="AN13" i="23"/>
  <c r="AN21" i="23"/>
  <c r="AN35" i="23"/>
  <c r="AP21" i="23"/>
  <c r="AP35" i="23"/>
  <c r="BP39" i="23"/>
  <c r="BG8" i="23"/>
  <c r="BE164" i="1"/>
  <c r="BT39" i="23"/>
  <c r="P63" i="23"/>
  <c r="AE170" i="1"/>
  <c r="Q104" i="23"/>
  <c r="Q21" i="23"/>
  <c r="AA35" i="23"/>
  <c r="AA13" i="23"/>
  <c r="AA113" i="23" s="1"/>
  <c r="AA21" i="23"/>
  <c r="AA123" i="23" s="1"/>
  <c r="AE35" i="23"/>
  <c r="AE21" i="23"/>
  <c r="AE123" i="23" s="1"/>
  <c r="AE13" i="23"/>
  <c r="AE113" i="23" s="1"/>
  <c r="AG104" i="23"/>
  <c r="AG13" i="23"/>
  <c r="AG113" i="23" s="1"/>
  <c r="AO35" i="23"/>
  <c r="AO13" i="23"/>
  <c r="E97" i="1"/>
  <c r="I58" i="8"/>
  <c r="J58" i="8" s="1"/>
  <c r="K58" i="8" s="1"/>
  <c r="BO149" i="1"/>
  <c r="X44" i="23"/>
  <c r="X139" i="23"/>
  <c r="X146" i="23" s="1"/>
  <c r="X108" i="23"/>
  <c r="Y126" i="1"/>
  <c r="Q139" i="23"/>
  <c r="Q146" i="23" s="1"/>
  <c r="Q44" i="23"/>
  <c r="Q108" i="23"/>
  <c r="R126" i="1"/>
  <c r="J16" i="23"/>
  <c r="J18" i="23" s="1"/>
  <c r="J14" i="1" s="1"/>
  <c r="J22" i="23"/>
  <c r="L22" i="23"/>
  <c r="L36" i="23"/>
  <c r="L16" i="23"/>
  <c r="L18" i="23" s="1"/>
  <c r="L14" i="1" s="1"/>
  <c r="N16" i="23"/>
  <c r="N18" i="23" s="1"/>
  <c r="N14" i="1" s="1"/>
  <c r="N22" i="23"/>
  <c r="P105" i="23"/>
  <c r="P16" i="23"/>
  <c r="P22" i="23"/>
  <c r="R105" i="23"/>
  <c r="R124" i="23" s="1"/>
  <c r="R22" i="23"/>
  <c r="R36" i="23"/>
  <c r="R16" i="23"/>
  <c r="R18" i="23" s="1"/>
  <c r="R14" i="1" s="1"/>
  <c r="T36" i="23"/>
  <c r="T16" i="23"/>
  <c r="T18" i="23" s="1"/>
  <c r="T14" i="1" s="1"/>
  <c r="T105" i="23"/>
  <c r="T124" i="23" s="1"/>
  <c r="T22" i="23"/>
  <c r="V105" i="23"/>
  <c r="V124" i="23" s="1"/>
  <c r="V16" i="23"/>
  <c r="V18" i="23" s="1"/>
  <c r="V14" i="1" s="1"/>
  <c r="V36" i="23"/>
  <c r="V22" i="23"/>
  <c r="X36" i="23"/>
  <c r="X16" i="23"/>
  <c r="X18" i="23" s="1"/>
  <c r="X14" i="1" s="1"/>
  <c r="X105" i="23"/>
  <c r="X124" i="23" s="1"/>
  <c r="X22" i="23"/>
  <c r="Z105" i="23"/>
  <c r="Z36" i="23"/>
  <c r="Z22" i="23"/>
  <c r="Z124" i="23" s="1"/>
  <c r="Z16" i="23"/>
  <c r="AB36" i="23"/>
  <c r="AB22" i="23"/>
  <c r="AB124" i="23" s="1"/>
  <c r="AB16" i="23"/>
  <c r="AB105" i="23"/>
  <c r="AD105" i="23"/>
  <c r="AD22" i="23"/>
  <c r="AD124" i="23" s="1"/>
  <c r="AD36" i="23"/>
  <c r="AD16" i="23"/>
  <c r="AF36" i="23"/>
  <c r="AF22" i="23"/>
  <c r="AF124" i="23" s="1"/>
  <c r="AF16" i="23"/>
  <c r="AF105" i="23"/>
  <c r="AH105" i="23"/>
  <c r="AH36" i="23"/>
  <c r="AH22" i="23"/>
  <c r="AH124" i="23" s="1"/>
  <c r="AH16" i="23"/>
  <c r="AJ36" i="23"/>
  <c r="AJ16" i="23"/>
  <c r="AJ18" i="23" s="1"/>
  <c r="AJ14" i="1" s="1"/>
  <c r="AJ22" i="23"/>
  <c r="AL22" i="23"/>
  <c r="AL36" i="23"/>
  <c r="AL16" i="23"/>
  <c r="AL18" i="23" s="1"/>
  <c r="AL14" i="1" s="1"/>
  <c r="AN36" i="23"/>
  <c r="AN16" i="23"/>
  <c r="AN18" i="23" s="1"/>
  <c r="AN14" i="1" s="1"/>
  <c r="AN22" i="23"/>
  <c r="AP22" i="23"/>
  <c r="AP36" i="23"/>
  <c r="AP16" i="23"/>
  <c r="AP18" i="23" s="1"/>
  <c r="AP14" i="1" s="1"/>
  <c r="AR36" i="23"/>
  <c r="AR16" i="23"/>
  <c r="AR18" i="23" s="1"/>
  <c r="AR14" i="1" s="1"/>
  <c r="AR22" i="23"/>
  <c r="AL42" i="23"/>
  <c r="BD164" i="1"/>
  <c r="BD8" i="23"/>
  <c r="BK39" i="23"/>
  <c r="BJ164" i="1"/>
  <c r="BJ8" i="23"/>
  <c r="BI39" i="23"/>
  <c r="AR42" i="23"/>
  <c r="I22" i="23"/>
  <c r="I16" i="23"/>
  <c r="I18" i="23" s="1"/>
  <c r="I14" i="1" s="1"/>
  <c r="K16" i="23"/>
  <c r="K18" i="23" s="1"/>
  <c r="K14" i="1" s="1"/>
  <c r="K22" i="23"/>
  <c r="O36" i="23"/>
  <c r="O56" i="23" s="1"/>
  <c r="O59" i="23" s="1"/>
  <c r="O97" i="23" s="1"/>
  <c r="O65" i="1" s="1"/>
  <c r="O16" i="23"/>
  <c r="O18" i="23" s="1"/>
  <c r="O14" i="1" s="1"/>
  <c r="O22" i="23"/>
  <c r="Q36" i="23"/>
  <c r="Q22" i="23"/>
  <c r="Q105" i="23"/>
  <c r="Q124" i="23" s="1"/>
  <c r="Q16" i="23"/>
  <c r="Q18" i="23" s="1"/>
  <c r="Q14" i="1" s="1"/>
  <c r="S105" i="23"/>
  <c r="S124" i="23" s="1"/>
  <c r="S22" i="23"/>
  <c r="S36" i="23"/>
  <c r="S16" i="23"/>
  <c r="S18" i="23" s="1"/>
  <c r="S14" i="1" s="1"/>
  <c r="U36" i="23"/>
  <c r="U22" i="23"/>
  <c r="U105" i="23"/>
  <c r="U124" i="23" s="1"/>
  <c r="U16" i="23"/>
  <c r="U18" i="23" s="1"/>
  <c r="U14" i="1" s="1"/>
  <c r="AA105" i="23"/>
  <c r="AA36" i="23"/>
  <c r="AA22" i="23"/>
  <c r="AA124" i="23" s="1"/>
  <c r="AA16" i="23"/>
  <c r="AC36" i="23"/>
  <c r="AC16" i="23"/>
  <c r="AC105" i="23"/>
  <c r="AC22" i="23"/>
  <c r="AC124" i="23" s="1"/>
  <c r="AE105" i="23"/>
  <c r="AE36" i="23"/>
  <c r="AE22" i="23"/>
  <c r="AE124" i="23" s="1"/>
  <c r="AE16" i="23"/>
  <c r="AG36" i="23"/>
  <c r="AG16" i="23"/>
  <c r="AG105" i="23"/>
  <c r="AG22" i="23"/>
  <c r="AG124" i="23" s="1"/>
  <c r="AK36" i="23"/>
  <c r="AK22" i="23"/>
  <c r="AK16" i="23"/>
  <c r="AK18" i="23" s="1"/>
  <c r="AK14" i="1" s="1"/>
  <c r="AM22" i="23"/>
  <c r="AM36" i="23"/>
  <c r="AM16" i="23"/>
  <c r="AM18" i="23" s="1"/>
  <c r="AM14" i="1" s="1"/>
  <c r="AO36" i="23"/>
  <c r="AO22" i="23"/>
  <c r="AO16" i="23"/>
  <c r="AO18" i="23" s="1"/>
  <c r="AO14" i="1" s="1"/>
  <c r="AQ22" i="23"/>
  <c r="AQ36" i="23"/>
  <c r="AQ16" i="23"/>
  <c r="AQ18" i="23" s="1"/>
  <c r="AQ14" i="1" s="1"/>
  <c r="O44" i="23"/>
  <c r="C55" i="11"/>
  <c r="AJ69" i="1"/>
  <c r="AC69" i="1"/>
  <c r="AA69" i="1"/>
  <c r="G13" i="23"/>
  <c r="G21" i="23"/>
  <c r="I13" i="23"/>
  <c r="I21" i="23"/>
  <c r="K21" i="23"/>
  <c r="K13" i="23"/>
  <c r="T35" i="23"/>
  <c r="T13" i="23"/>
  <c r="T104" i="23"/>
  <c r="T21" i="23"/>
  <c r="V35" i="23"/>
  <c r="V21" i="23"/>
  <c r="V104" i="23"/>
  <c r="V13" i="23"/>
  <c r="AJ21" i="23"/>
  <c r="AJ13" i="23"/>
  <c r="AJ35" i="23"/>
  <c r="AL21" i="23"/>
  <c r="AL13" i="23"/>
  <c r="AL35" i="23"/>
  <c r="AR21" i="23"/>
  <c r="AR13" i="23"/>
  <c r="AR35" i="23"/>
  <c r="W44" i="23"/>
  <c r="W139" i="23"/>
  <c r="W146" i="23" s="1"/>
  <c r="W108" i="23"/>
  <c r="M86" i="23"/>
  <c r="M78" i="23"/>
  <c r="BT8" i="23"/>
  <c r="BT164" i="1"/>
  <c r="BE39" i="23"/>
  <c r="BF8" i="23"/>
  <c r="BF164" i="1"/>
  <c r="BG39" i="23"/>
  <c r="BP8" i="23"/>
  <c r="BP164" i="1"/>
  <c r="R24" i="1"/>
  <c r="AR69" i="1"/>
  <c r="AQ69" i="1"/>
  <c r="AP69" i="1"/>
  <c r="AK17" i="1"/>
  <c r="AI69" i="1"/>
  <c r="AD17" i="1"/>
  <c r="AB69" i="1"/>
  <c r="Z69" i="1"/>
  <c r="Y154" i="1"/>
  <c r="Z154" i="1" s="1"/>
  <c r="AA154" i="1" s="1"/>
  <c r="AB154" i="1" s="1"/>
  <c r="AC154" i="1" s="1"/>
  <c r="AD154" i="1" s="1"/>
  <c r="AE154" i="1" s="1"/>
  <c r="Y69" i="1"/>
  <c r="X69" i="1"/>
  <c r="W69" i="1"/>
  <c r="V69" i="1"/>
  <c r="U69" i="1"/>
  <c r="T69" i="1"/>
  <c r="S24" i="23"/>
  <c r="S28" i="23" s="1"/>
  <c r="S69" i="1"/>
  <c r="R24" i="23"/>
  <c r="R28" i="23" s="1"/>
  <c r="R69" i="1"/>
  <c r="AU23" i="1"/>
  <c r="U35" i="23"/>
  <c r="U21" i="23"/>
  <c r="U13" i="23"/>
  <c r="U104" i="23"/>
  <c r="W104" i="23"/>
  <c r="W21" i="23"/>
  <c r="W35" i="23"/>
  <c r="W13" i="23"/>
  <c r="AK21" i="23"/>
  <c r="AK13" i="23"/>
  <c r="AK35" i="23"/>
  <c r="AM13" i="23"/>
  <c r="AM35" i="23"/>
  <c r="AM21" i="23"/>
  <c r="AS169" i="1" l="1"/>
  <c r="BA29" i="1"/>
  <c r="BK85" i="1"/>
  <c r="BK84" i="1" s="1"/>
  <c r="AW85" i="1"/>
  <c r="AW84" i="1" s="1"/>
  <c r="AZ29" i="1"/>
  <c r="AN85" i="1"/>
  <c r="AN84" i="1" s="1"/>
  <c r="AN94" i="1" s="1"/>
  <c r="K29" i="1"/>
  <c r="AW29" i="1"/>
  <c r="Q85" i="1"/>
  <c r="Q170" i="1" s="1"/>
  <c r="BG170" i="1"/>
  <c r="BG169" i="1" s="1"/>
  <c r="Y170" i="1"/>
  <c r="BR29" i="1"/>
  <c r="AD85" i="1"/>
  <c r="AD84" i="1" s="1"/>
  <c r="G161" i="1"/>
  <c r="G160" i="1" s="1"/>
  <c r="G90" i="4" s="1"/>
  <c r="G75" i="1"/>
  <c r="G67" i="4" s="1"/>
  <c r="K170" i="1"/>
  <c r="K169" i="1" s="1"/>
  <c r="AI85" i="1"/>
  <c r="AI84" i="1" s="1"/>
  <c r="AI94" i="1" s="1"/>
  <c r="AI114" i="1" s="1"/>
  <c r="AD29" i="1"/>
  <c r="M85" i="1"/>
  <c r="AS29" i="1"/>
  <c r="AU160" i="1"/>
  <c r="AA170" i="1"/>
  <c r="AA169" i="1" s="1"/>
  <c r="AS85" i="1"/>
  <c r="S85" i="1"/>
  <c r="S170" i="1" s="1"/>
  <c r="S169" i="1" s="1"/>
  <c r="S179" i="1" s="1"/>
  <c r="I29" i="1"/>
  <c r="C149" i="1"/>
  <c r="I84" i="1"/>
  <c r="BL29" i="1"/>
  <c r="N56" i="23"/>
  <c r="N59" i="23" s="1"/>
  <c r="N97" i="23" s="1"/>
  <c r="N65" i="1" s="1"/>
  <c r="N64" i="1" s="1"/>
  <c r="N74" i="1" s="1"/>
  <c r="AX85" i="1"/>
  <c r="AX84" i="1" s="1"/>
  <c r="W85" i="1"/>
  <c r="W170" i="1" s="1"/>
  <c r="BO29" i="1"/>
  <c r="BA85" i="1"/>
  <c r="BA84" i="1" s="1"/>
  <c r="AC85" i="1"/>
  <c r="AC84" i="1" s="1"/>
  <c r="D35" i="1"/>
  <c r="J85" i="1"/>
  <c r="J170" i="1" s="1"/>
  <c r="J169" i="1" s="1"/>
  <c r="AQ85" i="1"/>
  <c r="AQ84" i="1" s="1"/>
  <c r="AQ94" i="1" s="1"/>
  <c r="AQ114" i="1" s="1"/>
  <c r="AS149" i="1"/>
  <c r="V16" i="1"/>
  <c r="U68" i="1"/>
  <c r="C170" i="1"/>
  <c r="C169" i="1" s="1"/>
  <c r="C179" i="1" s="1"/>
  <c r="I160" i="1"/>
  <c r="I90" i="4" s="1"/>
  <c r="I24" i="1"/>
  <c r="I76" i="1" s="1"/>
  <c r="I161" i="1" s="1"/>
  <c r="H76" i="1"/>
  <c r="H161" i="1" s="1"/>
  <c r="AG85" i="1"/>
  <c r="AG84" i="1" s="1"/>
  <c r="AG94" i="1" s="1"/>
  <c r="AG114" i="1" s="1"/>
  <c r="AT85" i="1"/>
  <c r="AT84" i="1" s="1"/>
  <c r="AR85" i="1"/>
  <c r="AR84" i="1" s="1"/>
  <c r="AR94" i="1" s="1"/>
  <c r="AG170" i="1"/>
  <c r="AG169" i="1" s="1"/>
  <c r="AG179" i="1" s="1"/>
  <c r="BI170" i="1"/>
  <c r="BI169" i="1" s="1"/>
  <c r="AN170" i="1"/>
  <c r="AN169" i="1" s="1"/>
  <c r="BK29" i="1"/>
  <c r="Y85" i="1"/>
  <c r="Y84" i="1" s="1"/>
  <c r="BE170" i="1"/>
  <c r="BE169" i="1" s="1"/>
  <c r="AP85" i="1"/>
  <c r="AP84" i="1" s="1"/>
  <c r="AP94" i="1" s="1"/>
  <c r="BQ29" i="1"/>
  <c r="BP29" i="1"/>
  <c r="BP170" i="1"/>
  <c r="BP169" i="1" s="1"/>
  <c r="AH85" i="1"/>
  <c r="AH84" i="1" s="1"/>
  <c r="AH94" i="1" s="1"/>
  <c r="AS159" i="1"/>
  <c r="AT29" i="1"/>
  <c r="AH170" i="1"/>
  <c r="AH169" i="1" s="1"/>
  <c r="AH179" i="1" s="1"/>
  <c r="AH201" i="1" s="1"/>
  <c r="F11" i="25"/>
  <c r="H189" i="1"/>
  <c r="H14" i="19"/>
  <c r="H15" i="19" s="1"/>
  <c r="E23" i="1"/>
  <c r="E50" i="1" s="1"/>
  <c r="E76" i="1"/>
  <c r="BL28" i="1"/>
  <c r="BK168" i="1"/>
  <c r="BC85" i="1"/>
  <c r="BC84" i="1" s="1"/>
  <c r="AU170" i="1"/>
  <c r="AU169" i="1" s="1"/>
  <c r="AU85" i="1"/>
  <c r="AU84" i="1" s="1"/>
  <c r="BE29" i="1"/>
  <c r="E29" i="1"/>
  <c r="E35" i="1" s="1"/>
  <c r="E94" i="1" s="1"/>
  <c r="T85" i="1"/>
  <c r="T170" i="1" s="1"/>
  <c r="T169" i="1" s="1"/>
  <c r="T179" i="1" s="1"/>
  <c r="T180" i="1" s="1"/>
  <c r="I23" i="1"/>
  <c r="I6" i="4" s="1"/>
  <c r="T70" i="1"/>
  <c r="U18" i="1"/>
  <c r="C52" i="1"/>
  <c r="C49" i="1"/>
  <c r="C50" i="1"/>
  <c r="C38" i="1"/>
  <c r="C7" i="4" s="1"/>
  <c r="C68" i="4" s="1"/>
  <c r="F29" i="1"/>
  <c r="F35" i="1" s="1"/>
  <c r="BN29" i="1"/>
  <c r="BN84" i="1"/>
  <c r="AZ161" i="1"/>
  <c r="AZ160" i="1" s="1"/>
  <c r="BA24" i="1"/>
  <c r="AJ162" i="1"/>
  <c r="AK25" i="1"/>
  <c r="E36" i="1"/>
  <c r="E51" i="1" s="1"/>
  <c r="G52" i="1"/>
  <c r="G50" i="1"/>
  <c r="G49" i="1"/>
  <c r="AO114" i="1"/>
  <c r="Z170" i="1"/>
  <c r="Z169" i="1" s="1"/>
  <c r="Z179" i="1" s="1"/>
  <c r="AM170" i="1"/>
  <c r="AM169" i="1" s="1"/>
  <c r="AQ29" i="1"/>
  <c r="Q53" i="1"/>
  <c r="C15" i="25"/>
  <c r="E5" i="25"/>
  <c r="BA162" i="1"/>
  <c r="BB25" i="1"/>
  <c r="BB20" i="1"/>
  <c r="BA157" i="1"/>
  <c r="AR114" i="1"/>
  <c r="AF114" i="1"/>
  <c r="F85" i="1"/>
  <c r="F84" i="1" s="1"/>
  <c r="AG201" i="1"/>
  <c r="AL114" i="1"/>
  <c r="D52" i="11"/>
  <c r="F22" i="1"/>
  <c r="P85" i="1"/>
  <c r="P84" i="1" s="1"/>
  <c r="D94" i="1"/>
  <c r="D114" i="1" s="1"/>
  <c r="D53" i="1"/>
  <c r="D36" i="1"/>
  <c r="D51" i="1" s="1"/>
  <c r="BQ85" i="1"/>
  <c r="BQ84" i="1" s="1"/>
  <c r="AP29" i="1"/>
  <c r="BG47" i="23"/>
  <c r="L29" i="1"/>
  <c r="E85" i="1"/>
  <c r="E84" i="1" s="1"/>
  <c r="E23" i="25"/>
  <c r="E22" i="25" s="1"/>
  <c r="AZ23" i="1"/>
  <c r="C23" i="25"/>
  <c r="C58" i="25" s="1"/>
  <c r="J189" i="1"/>
  <c r="J14" i="19"/>
  <c r="J15" i="19" s="1"/>
  <c r="D38" i="1"/>
  <c r="D52" i="1"/>
  <c r="D50" i="1"/>
  <c r="D49" i="1"/>
  <c r="D113" i="1"/>
  <c r="D111" i="1"/>
  <c r="D110" i="1"/>
  <c r="C113" i="1"/>
  <c r="C110" i="1"/>
  <c r="C111" i="1"/>
  <c r="C94" i="1"/>
  <c r="C114" i="1" s="1"/>
  <c r="C53" i="1"/>
  <c r="C36" i="1"/>
  <c r="AP114" i="1"/>
  <c r="AJ114" i="1"/>
  <c r="AH114" i="1"/>
  <c r="U85" i="1"/>
  <c r="U170" i="1" s="1"/>
  <c r="U169" i="1" s="1"/>
  <c r="U179" i="1" s="1"/>
  <c r="AF201" i="1"/>
  <c r="AM114" i="1"/>
  <c r="C12" i="25"/>
  <c r="F189" i="1"/>
  <c r="F90" i="4"/>
  <c r="F14" i="19"/>
  <c r="F15" i="19" s="1"/>
  <c r="K189" i="1"/>
  <c r="K14" i="19"/>
  <c r="K15" i="19" s="1"/>
  <c r="L170" i="1"/>
  <c r="L169" i="1" s="1"/>
  <c r="L179" i="1" s="1"/>
  <c r="BT170" i="1"/>
  <c r="BT169" i="1" s="1"/>
  <c r="BM29" i="1"/>
  <c r="BM85" i="1"/>
  <c r="BM84" i="1" s="1"/>
  <c r="BI85" i="1"/>
  <c r="BI84" i="1" s="1"/>
  <c r="AK85" i="1"/>
  <c r="AK84" i="1" s="1"/>
  <c r="AK94" i="1" s="1"/>
  <c r="AK170" i="1"/>
  <c r="AK169" i="1" s="1"/>
  <c r="X85" i="1"/>
  <c r="X170" i="1" s="1"/>
  <c r="X169" i="1" s="1"/>
  <c r="X179" i="1" s="1"/>
  <c r="AH42" i="23"/>
  <c r="Z9" i="19"/>
  <c r="Z10" i="19" s="1"/>
  <c r="Z105" i="1"/>
  <c r="M21" i="23"/>
  <c r="AI9" i="19"/>
  <c r="AI10" i="19" s="1"/>
  <c r="AI104" i="1"/>
  <c r="AK67" i="4"/>
  <c r="AK104" i="1"/>
  <c r="AJ67" i="4"/>
  <c r="AJ104" i="1"/>
  <c r="AI42" i="23"/>
  <c r="D148" i="1"/>
  <c r="D102" i="1"/>
  <c r="AF9" i="19"/>
  <c r="AF10" i="19" s="1"/>
  <c r="AF105" i="1"/>
  <c r="S113" i="23"/>
  <c r="AM132" i="1"/>
  <c r="AM67" i="4"/>
  <c r="AM104" i="1"/>
  <c r="C67" i="4"/>
  <c r="C102" i="1"/>
  <c r="AM42" i="23"/>
  <c r="S13" i="23"/>
  <c r="AI67" i="4"/>
  <c r="AA179" i="1"/>
  <c r="AE9" i="19"/>
  <c r="AE10" i="19" s="1"/>
  <c r="AE105" i="1"/>
  <c r="AP67" i="4"/>
  <c r="AP104" i="1"/>
  <c r="BP9" i="1"/>
  <c r="H22" i="1"/>
  <c r="AZ47" i="23"/>
  <c r="AS9" i="1"/>
  <c r="AS10" i="1" s="1"/>
  <c r="AS52" i="1" s="1"/>
  <c r="BL9" i="1"/>
  <c r="AJ9" i="19"/>
  <c r="AJ10" i="19" s="1"/>
  <c r="E3" i="23"/>
  <c r="E10" i="1"/>
  <c r="E53" i="1" s="1"/>
  <c r="AU9" i="1"/>
  <c r="AU10" i="1" s="1"/>
  <c r="AU46" i="1" s="1"/>
  <c r="BK9" i="1"/>
  <c r="AT9" i="1"/>
  <c r="AT10" i="1" s="1"/>
  <c r="AT46" i="1" s="1"/>
  <c r="AB179" i="1"/>
  <c r="AI36" i="23"/>
  <c r="AI56" i="23" s="1"/>
  <c r="AI59" i="23" s="1"/>
  <c r="AI97" i="23" s="1"/>
  <c r="AI65" i="1" s="1"/>
  <c r="AI64" i="1" s="1"/>
  <c r="P170" i="1"/>
  <c r="AA85" i="1"/>
  <c r="AA84" i="1" s="1"/>
  <c r="E38" i="1"/>
  <c r="W22" i="23"/>
  <c r="M16" i="23"/>
  <c r="M18" i="23" s="1"/>
  <c r="M14" i="1" s="1"/>
  <c r="M22" i="1" s="1"/>
  <c r="AG42" i="23"/>
  <c r="AJ42" i="23"/>
  <c r="AK42" i="23"/>
  <c r="AC132" i="1"/>
  <c r="AB85" i="1"/>
  <c r="AB84" i="1" s="1"/>
  <c r="AS179" i="1"/>
  <c r="Y16" i="23"/>
  <c r="Y18" i="23" s="1"/>
  <c r="Y14" i="1" s="1"/>
  <c r="AE42" i="23"/>
  <c r="D9" i="19"/>
  <c r="D10" i="19" s="1"/>
  <c r="AP9" i="19"/>
  <c r="AP10" i="19" s="1"/>
  <c r="Y22" i="23"/>
  <c r="Y124" i="23" s="1"/>
  <c r="W16" i="23"/>
  <c r="W18" i="23" s="1"/>
  <c r="W14" i="1" s="1"/>
  <c r="F13" i="1"/>
  <c r="F64" i="1" s="1"/>
  <c r="F74" i="1" s="1"/>
  <c r="O35" i="1"/>
  <c r="AT149" i="1"/>
  <c r="M35" i="1"/>
  <c r="BA47" i="23"/>
  <c r="AI132" i="1"/>
  <c r="J84" i="1"/>
  <c r="I75" i="1"/>
  <c r="I67" i="4" s="1"/>
  <c r="AN63" i="1"/>
  <c r="AN114" i="1" s="1"/>
  <c r="AW25" i="1"/>
  <c r="AV161" i="1"/>
  <c r="AV160" i="1" s="1"/>
  <c r="AV23" i="1"/>
  <c r="G13" i="1"/>
  <c r="G64" i="1" s="1"/>
  <c r="G74" i="1" s="1"/>
  <c r="AO42" i="23"/>
  <c r="AF42" i="23"/>
  <c r="G123" i="3"/>
  <c r="S21" i="23"/>
  <c r="S35" i="23"/>
  <c r="BA9" i="1"/>
  <c r="BA63" i="1" s="1"/>
  <c r="BA113" i="1" s="1"/>
  <c r="AV151" i="1"/>
  <c r="D67" i="4"/>
  <c r="BQ9" i="1"/>
  <c r="BD9" i="1"/>
  <c r="W84" i="1"/>
  <c r="BB9" i="1"/>
  <c r="AV9" i="1"/>
  <c r="M35" i="23"/>
  <c r="AV21" i="1"/>
  <c r="AV158" i="1" s="1"/>
  <c r="AX75" i="1"/>
  <c r="BN75" i="1"/>
  <c r="AF67" i="4"/>
  <c r="BG9" i="1"/>
  <c r="BG38" i="23" s="1"/>
  <c r="AH132" i="1"/>
  <c r="AJ132" i="1"/>
  <c r="R85" i="1"/>
  <c r="R170" i="1" s="1"/>
  <c r="Y174" i="1"/>
  <c r="Y169" i="1" s="1"/>
  <c r="Y179" i="1" s="1"/>
  <c r="AI16" i="23"/>
  <c r="AI18" i="23" s="1"/>
  <c r="AI14" i="1" s="1"/>
  <c r="AI150" i="1" s="1"/>
  <c r="Y105" i="23"/>
  <c r="W36" i="23"/>
  <c r="W63" i="23" s="1"/>
  <c r="M22" i="23"/>
  <c r="F65" i="1"/>
  <c r="F150" i="1" s="1"/>
  <c r="F149" i="1" s="1"/>
  <c r="F38" i="1"/>
  <c r="F7" i="4" s="1"/>
  <c r="I179" i="1"/>
  <c r="AB122" i="1"/>
  <c r="AB42" i="23" s="1"/>
  <c r="AA63" i="1"/>
  <c r="AL132" i="1"/>
  <c r="C148" i="1"/>
  <c r="C188" i="1" s="1"/>
  <c r="AO132" i="1"/>
  <c r="AK132" i="1"/>
  <c r="V85" i="1"/>
  <c r="V170" i="1" s="1"/>
  <c r="V169" i="1" s="1"/>
  <c r="V179" i="1" s="1"/>
  <c r="BF75" i="1"/>
  <c r="AK9" i="19"/>
  <c r="AK10" i="19" s="1"/>
  <c r="C9" i="19"/>
  <c r="C10" i="19" s="1"/>
  <c r="AN132" i="1"/>
  <c r="AR132" i="1"/>
  <c r="AQ132" i="1"/>
  <c r="AP132" i="1"/>
  <c r="BO9" i="1"/>
  <c r="AD161" i="1"/>
  <c r="AC160" i="1"/>
  <c r="AC90" i="4" s="1"/>
  <c r="AY9" i="1"/>
  <c r="AY63" i="1" s="1"/>
  <c r="AY113" i="1" s="1"/>
  <c r="BT9" i="1"/>
  <c r="BS9" i="1"/>
  <c r="AX9" i="1"/>
  <c r="AX10" i="1" s="1"/>
  <c r="AX46" i="1" s="1"/>
  <c r="BP79" i="1"/>
  <c r="BO75" i="1"/>
  <c r="Z85" i="1"/>
  <c r="Z84" i="1" s="1"/>
  <c r="D84" i="1"/>
  <c r="D170" i="1"/>
  <c r="D169" i="1" s="1"/>
  <c r="D179" i="1" s="1"/>
  <c r="AU157" i="1"/>
  <c r="AV20" i="1"/>
  <c r="E63" i="1"/>
  <c r="E113" i="1" s="1"/>
  <c r="E4" i="19"/>
  <c r="E5" i="19" s="1"/>
  <c r="N35" i="1"/>
  <c r="K23" i="1"/>
  <c r="K6" i="4" s="1"/>
  <c r="K77" i="1"/>
  <c r="BL47" i="23"/>
  <c r="BL75" i="1"/>
  <c r="G65" i="1"/>
  <c r="G150" i="1" s="1"/>
  <c r="G159" i="1" s="1"/>
  <c r="BI47" i="23"/>
  <c r="H13" i="1"/>
  <c r="H64" i="1" s="1"/>
  <c r="H74" i="1" s="1"/>
  <c r="AE169" i="1"/>
  <c r="BI9" i="1"/>
  <c r="BH9" i="1"/>
  <c r="BJ9" i="1"/>
  <c r="X84" i="1"/>
  <c r="C51" i="1"/>
  <c r="D159" i="1"/>
  <c r="BR9" i="1"/>
  <c r="BE9" i="1"/>
  <c r="AZ9" i="1"/>
  <c r="AZ10" i="1" s="1"/>
  <c r="AZ46" i="1" s="1"/>
  <c r="BC9" i="1"/>
  <c r="BC10" i="1" s="1"/>
  <c r="BC46" i="1" s="1"/>
  <c r="BN9" i="1"/>
  <c r="G109" i="3"/>
  <c r="AS35" i="1"/>
  <c r="BM75" i="1"/>
  <c r="BF9" i="1"/>
  <c r="BF10" i="1" s="1"/>
  <c r="BF46" i="1" s="1"/>
  <c r="AY75" i="1"/>
  <c r="AY47" i="23"/>
  <c r="BM9" i="1"/>
  <c r="BC75" i="1"/>
  <c r="BC47" i="23"/>
  <c r="BK47" i="23"/>
  <c r="BK75" i="1"/>
  <c r="BB47" i="23"/>
  <c r="W169" i="1"/>
  <c r="W179" i="1" s="1"/>
  <c r="T148" i="1"/>
  <c r="T9" i="19"/>
  <c r="T10" i="19" s="1"/>
  <c r="BH75" i="1"/>
  <c r="BH47" i="23"/>
  <c r="BD75" i="1"/>
  <c r="BD47" i="23"/>
  <c r="BJ47" i="23"/>
  <c r="BJ75" i="1"/>
  <c r="BE47" i="23"/>
  <c r="BE75" i="1"/>
  <c r="AO9" i="19"/>
  <c r="AO10" i="19" s="1"/>
  <c r="AO67" i="4"/>
  <c r="G38" i="1"/>
  <c r="AH35" i="23"/>
  <c r="AH21" i="23"/>
  <c r="AH123" i="23" s="1"/>
  <c r="AH13" i="23"/>
  <c r="AH113" i="23" s="1"/>
  <c r="AH104" i="23"/>
  <c r="AF13" i="23"/>
  <c r="AF113" i="23" s="1"/>
  <c r="AF104" i="23"/>
  <c r="AF35" i="23"/>
  <c r="AF21" i="23"/>
  <c r="AF123" i="23" s="1"/>
  <c r="AB13" i="23"/>
  <c r="AB113" i="23" s="1"/>
  <c r="AB104" i="23"/>
  <c r="AB21" i="23"/>
  <c r="AB123" i="23" s="1"/>
  <c r="AB35" i="23"/>
  <c r="X123" i="23"/>
  <c r="X113" i="23"/>
  <c r="N21" i="23"/>
  <c r="N13" i="23"/>
  <c r="L6" i="4"/>
  <c r="L35" i="1"/>
  <c r="J23" i="1"/>
  <c r="J77" i="1"/>
  <c r="H23" i="1"/>
  <c r="H77" i="1"/>
  <c r="U122" i="1"/>
  <c r="E122" i="1"/>
  <c r="H30" i="1"/>
  <c r="D23" i="25" s="1"/>
  <c r="D22" i="25" s="1"/>
  <c r="G85" i="1"/>
  <c r="G29" i="1"/>
  <c r="G35" i="1" s="1"/>
  <c r="AG9" i="19"/>
  <c r="AG10" i="19" s="1"/>
  <c r="AG67" i="4"/>
  <c r="E159" i="1"/>
  <c r="E149" i="1"/>
  <c r="AQ67" i="4"/>
  <c r="AQ9" i="19"/>
  <c r="AQ10" i="19" s="1"/>
  <c r="S87" i="1"/>
  <c r="T87" i="1" s="1"/>
  <c r="T84" i="1" s="1"/>
  <c r="Q87" i="1"/>
  <c r="P172" i="1"/>
  <c r="Q172" i="1" s="1"/>
  <c r="Q113" i="23"/>
  <c r="Q123" i="23"/>
  <c r="R104" i="23"/>
  <c r="R21" i="23"/>
  <c r="R35" i="23"/>
  <c r="R13" i="23"/>
  <c r="L21" i="23"/>
  <c r="L13" i="23"/>
  <c r="L35" i="23"/>
  <c r="J21" i="23"/>
  <c r="J13" i="23"/>
  <c r="H21" i="23"/>
  <c r="H13" i="23"/>
  <c r="F170" i="1"/>
  <c r="F169" i="1" s="1"/>
  <c r="F179" i="1" s="1"/>
  <c r="N84" i="1"/>
  <c r="N94" i="1" s="1"/>
  <c r="N170" i="1"/>
  <c r="O84" i="1"/>
  <c r="O94" i="1" s="1"/>
  <c r="O170" i="1"/>
  <c r="O169" i="1" s="1"/>
  <c r="O179" i="1" s="1"/>
  <c r="P35" i="1"/>
  <c r="AX33" i="1"/>
  <c r="BS33" i="1"/>
  <c r="BK33" i="1"/>
  <c r="BC33" i="1"/>
  <c r="AU33" i="1"/>
  <c r="BP33" i="1"/>
  <c r="BH33" i="1"/>
  <c r="BN33" i="1"/>
  <c r="BJ33" i="1"/>
  <c r="BE33" i="1"/>
  <c r="AW33" i="1"/>
  <c r="BL33" i="1"/>
  <c r="AV33" i="1"/>
  <c r="BF33" i="1"/>
  <c r="BO33" i="1"/>
  <c r="AY33" i="1"/>
  <c r="AT33" i="1"/>
  <c r="BM33" i="1"/>
  <c r="BA33" i="1"/>
  <c r="BD33" i="1"/>
  <c r="BR33" i="1"/>
  <c r="BB33" i="1"/>
  <c r="BG33" i="1"/>
  <c r="AZ33" i="1"/>
  <c r="BQ33" i="1"/>
  <c r="BI33" i="1"/>
  <c r="BT33" i="1"/>
  <c r="AT159" i="1"/>
  <c r="AX149" i="1"/>
  <c r="AV14" i="1"/>
  <c r="AU22" i="1"/>
  <c r="AU150" i="1"/>
  <c r="AU13" i="1"/>
  <c r="M170" i="1"/>
  <c r="M169" i="1" s="1"/>
  <c r="M179" i="1" s="1"/>
  <c r="M84" i="1"/>
  <c r="M94" i="1" s="1"/>
  <c r="BP38" i="23"/>
  <c r="BP148" i="1"/>
  <c r="AW63" i="1"/>
  <c r="AW113" i="1" s="1"/>
  <c r="AW38" i="23"/>
  <c r="AW148" i="1"/>
  <c r="AW7" i="23"/>
  <c r="AL67" i="4"/>
  <c r="AL9" i="19"/>
  <c r="AL10" i="19" s="1"/>
  <c r="AH9" i="19"/>
  <c r="AH10" i="19" s="1"/>
  <c r="AH67" i="4"/>
  <c r="V123" i="23"/>
  <c r="V113" i="23"/>
  <c r="W113" i="23"/>
  <c r="W123" i="23"/>
  <c r="R29" i="23"/>
  <c r="R30" i="23" s="1"/>
  <c r="R15" i="1" s="1"/>
  <c r="S29" i="23"/>
  <c r="S30" i="23" s="1"/>
  <c r="S15" i="1" s="1"/>
  <c r="T29" i="23"/>
  <c r="T30" i="23" s="1"/>
  <c r="T15" i="1" s="1"/>
  <c r="AD69" i="1"/>
  <c r="AE17" i="1"/>
  <c r="W78" i="23"/>
  <c r="W86" i="23"/>
  <c r="O86" i="23"/>
  <c r="O78" i="23"/>
  <c r="AQ56" i="23"/>
  <c r="AQ59" i="23" s="1"/>
  <c r="AQ97" i="23" s="1"/>
  <c r="AQ65" i="1" s="1"/>
  <c r="AQ64" i="1" s="1"/>
  <c r="AQ63" i="23"/>
  <c r="AO150" i="1"/>
  <c r="AO56" i="23"/>
  <c r="AO59" i="23" s="1"/>
  <c r="AO97" i="23" s="1"/>
  <c r="AO65" i="1" s="1"/>
  <c r="AO64" i="1" s="1"/>
  <c r="AO63" i="23"/>
  <c r="AM56" i="23"/>
  <c r="AM59" i="23" s="1"/>
  <c r="AM97" i="23" s="1"/>
  <c r="AM65" i="1" s="1"/>
  <c r="AM64" i="1" s="1"/>
  <c r="AM63" i="23"/>
  <c r="AK150" i="1"/>
  <c r="AK56" i="23"/>
  <c r="AK59" i="23" s="1"/>
  <c r="AK97" i="23" s="1"/>
  <c r="AK65" i="1" s="1"/>
  <c r="AK64" i="1" s="1"/>
  <c r="AK63" i="23"/>
  <c r="AG117" i="23"/>
  <c r="AG120" i="23" s="1"/>
  <c r="AG18" i="23"/>
  <c r="AG14" i="1" s="1"/>
  <c r="AE117" i="23"/>
  <c r="AE120" i="23" s="1"/>
  <c r="AE150" i="1" s="1"/>
  <c r="AE18" i="23"/>
  <c r="AE14" i="1" s="1"/>
  <c r="AE56" i="23"/>
  <c r="AE59" i="23" s="1"/>
  <c r="AE97" i="23" s="1"/>
  <c r="AE65" i="1" s="1"/>
  <c r="AE64" i="1" s="1"/>
  <c r="AE63" i="23"/>
  <c r="AC18" i="23"/>
  <c r="AC14" i="1" s="1"/>
  <c r="AC117" i="23"/>
  <c r="AC120" i="23" s="1"/>
  <c r="AC150" i="1" s="1"/>
  <c r="AA117" i="23"/>
  <c r="AA120" i="23" s="1"/>
  <c r="AA150" i="1" s="1"/>
  <c r="AA18" i="23"/>
  <c r="AA14" i="1" s="1"/>
  <c r="AA63" i="23"/>
  <c r="AA56" i="23"/>
  <c r="AA59" i="23" s="1"/>
  <c r="AA97" i="23" s="1"/>
  <c r="AA65" i="1" s="1"/>
  <c r="AA64" i="1" s="1"/>
  <c r="Q13" i="1"/>
  <c r="Q22" i="1"/>
  <c r="Q36" i="1" s="1"/>
  <c r="O150" i="1"/>
  <c r="O64" i="1"/>
  <c r="O74" i="1" s="1"/>
  <c r="I13" i="1"/>
  <c r="I64" i="1" s="1"/>
  <c r="I74" i="1" s="1"/>
  <c r="I65" i="1"/>
  <c r="I150" i="1" s="1"/>
  <c r="I22" i="1"/>
  <c r="AR56" i="23"/>
  <c r="AR59" i="23" s="1"/>
  <c r="AR97" i="23" s="1"/>
  <c r="AR65" i="1" s="1"/>
  <c r="AR64" i="1" s="1"/>
  <c r="AR63" i="23"/>
  <c r="AP56" i="23"/>
  <c r="AP59" i="23" s="1"/>
  <c r="AP97" i="23" s="1"/>
  <c r="AP65" i="1" s="1"/>
  <c r="AP64" i="1" s="1"/>
  <c r="AP63" i="23"/>
  <c r="AN63" i="23"/>
  <c r="AN56" i="23"/>
  <c r="AN59" i="23" s="1"/>
  <c r="AN97" i="23" s="1"/>
  <c r="AN65" i="1" s="1"/>
  <c r="AN64" i="1" s="1"/>
  <c r="AL56" i="23"/>
  <c r="AL59" i="23" s="1"/>
  <c r="AL97" i="23" s="1"/>
  <c r="AL65" i="1" s="1"/>
  <c r="AL64" i="1" s="1"/>
  <c r="AL63" i="23"/>
  <c r="AJ63" i="23"/>
  <c r="AJ56" i="23"/>
  <c r="AJ59" i="23" s="1"/>
  <c r="AJ97" i="23" s="1"/>
  <c r="AJ65" i="1" s="1"/>
  <c r="AJ64" i="1" s="1"/>
  <c r="AF117" i="23"/>
  <c r="AF120" i="23" s="1"/>
  <c r="AF150" i="1" s="1"/>
  <c r="AF18" i="23"/>
  <c r="AF14" i="1" s="1"/>
  <c r="AF56" i="23"/>
  <c r="AF59" i="23" s="1"/>
  <c r="AF97" i="23" s="1"/>
  <c r="AF65" i="1" s="1"/>
  <c r="AF64" i="1" s="1"/>
  <c r="AF63" i="23"/>
  <c r="AD63" i="23"/>
  <c r="AD56" i="23"/>
  <c r="AD59" i="23" s="1"/>
  <c r="AD97" i="23" s="1"/>
  <c r="AD65" i="1" s="1"/>
  <c r="AD64" i="1" s="1"/>
  <c r="AB18" i="23"/>
  <c r="AB14" i="1" s="1"/>
  <c r="AB117" i="23"/>
  <c r="AB120" i="23" s="1"/>
  <c r="AB150" i="1" s="1"/>
  <c r="AB63" i="23"/>
  <c r="AB56" i="23"/>
  <c r="AB59" i="23" s="1"/>
  <c r="AB97" i="23" s="1"/>
  <c r="AB65" i="1" s="1"/>
  <c r="AB64" i="1" s="1"/>
  <c r="X63" i="23"/>
  <c r="X56" i="23"/>
  <c r="X59" i="23" s="1"/>
  <c r="X97" i="23" s="1"/>
  <c r="X65" i="1" s="1"/>
  <c r="X64" i="1" s="1"/>
  <c r="V63" i="23"/>
  <c r="V56" i="23"/>
  <c r="V59" i="23" s="1"/>
  <c r="V97" i="23" s="1"/>
  <c r="V65" i="1" s="1"/>
  <c r="V64" i="1" s="1"/>
  <c r="T63" i="23"/>
  <c r="T56" i="23"/>
  <c r="T59" i="23" s="1"/>
  <c r="T97" i="23" s="1"/>
  <c r="T65" i="1" s="1"/>
  <c r="T64" i="1" s="1"/>
  <c r="T74" i="1" s="1"/>
  <c r="R63" i="23"/>
  <c r="R56" i="23"/>
  <c r="R59" i="23" s="1"/>
  <c r="R97" i="23" s="1"/>
  <c r="R65" i="1" s="1"/>
  <c r="R64" i="1" s="1"/>
  <c r="R74" i="1" s="1"/>
  <c r="P18" i="23"/>
  <c r="P14" i="1" s="1"/>
  <c r="P117" i="23"/>
  <c r="P120" i="23" s="1"/>
  <c r="P155" i="23" s="1"/>
  <c r="P150" i="1" s="1"/>
  <c r="L13" i="1"/>
  <c r="L22" i="1"/>
  <c r="J65" i="1"/>
  <c r="J150" i="1" s="1"/>
  <c r="J13" i="1"/>
  <c r="J64" i="1" s="1"/>
  <c r="J74" i="1" s="1"/>
  <c r="J22" i="1"/>
  <c r="H149" i="1"/>
  <c r="H159" i="1"/>
  <c r="BE178" i="1"/>
  <c r="BB178" i="1"/>
  <c r="BC178" i="1"/>
  <c r="BM178" i="1"/>
  <c r="BF178" i="1"/>
  <c r="BF175" i="1" s="1"/>
  <c r="BN178" i="1"/>
  <c r="BI178" i="1"/>
  <c r="BQ178" i="1"/>
  <c r="BD178" i="1"/>
  <c r="BD175" i="1" s="1"/>
  <c r="BL178" i="1"/>
  <c r="BT178" i="1"/>
  <c r="BT175" i="1" s="1"/>
  <c r="BO178" i="1"/>
  <c r="AU178" i="1"/>
  <c r="BG178" i="1"/>
  <c r="BR178" i="1"/>
  <c r="AY178" i="1"/>
  <c r="AT178" i="1"/>
  <c r="BJ178" i="1"/>
  <c r="BJ175" i="1" s="1"/>
  <c r="AW178" i="1"/>
  <c r="AX178" i="1"/>
  <c r="BA178" i="1"/>
  <c r="AV178" i="1"/>
  <c r="AV175" i="1" s="1"/>
  <c r="BH178" i="1"/>
  <c r="BS178" i="1"/>
  <c r="AZ178" i="1"/>
  <c r="BP178" i="1"/>
  <c r="BP175" i="1" s="1"/>
  <c r="BK178" i="1"/>
  <c r="X78" i="23"/>
  <c r="X86" i="23"/>
  <c r="U123" i="23"/>
  <c r="U113" i="23"/>
  <c r="AK69" i="1"/>
  <c r="AL17" i="1"/>
  <c r="R23" i="1"/>
  <c r="S24" i="1"/>
  <c r="T123" i="23"/>
  <c r="T113" i="23"/>
  <c r="AQ150" i="1"/>
  <c r="AM150" i="1"/>
  <c r="AG56" i="23"/>
  <c r="AG59" i="23" s="1"/>
  <c r="AG97" i="23" s="1"/>
  <c r="AG65" i="1" s="1"/>
  <c r="AG64" i="1" s="1"/>
  <c r="AG63" i="23"/>
  <c r="AC63" i="23"/>
  <c r="AC56" i="23"/>
  <c r="AC59" i="23" s="1"/>
  <c r="AC97" i="23" s="1"/>
  <c r="AC65" i="1" s="1"/>
  <c r="AC64" i="1" s="1"/>
  <c r="Y63" i="23"/>
  <c r="Y56" i="23"/>
  <c r="Y59" i="23" s="1"/>
  <c r="Y97" i="23" s="1"/>
  <c r="Y65" i="1" s="1"/>
  <c r="Y64" i="1" s="1"/>
  <c r="U56" i="23"/>
  <c r="U59" i="23" s="1"/>
  <c r="U97" i="23" s="1"/>
  <c r="U65" i="1" s="1"/>
  <c r="U64" i="1" s="1"/>
  <c r="U63" i="23"/>
  <c r="S56" i="23"/>
  <c r="S59" i="23" s="1"/>
  <c r="S97" i="23" s="1"/>
  <c r="S65" i="1" s="1"/>
  <c r="S64" i="1" s="1"/>
  <c r="S74" i="1" s="1"/>
  <c r="S63" i="23"/>
  <c r="Q56" i="23"/>
  <c r="Q59" i="23" s="1"/>
  <c r="Q97" i="23" s="1"/>
  <c r="Q65" i="1" s="1"/>
  <c r="Q64" i="1" s="1"/>
  <c r="Q74" i="1" s="1"/>
  <c r="Q63" i="23"/>
  <c r="O13" i="1"/>
  <c r="O22" i="1"/>
  <c r="M56" i="23"/>
  <c r="M59" i="23" s="1"/>
  <c r="M97" i="23" s="1"/>
  <c r="M65" i="1" s="1"/>
  <c r="M63" i="23"/>
  <c r="K13" i="1"/>
  <c r="K64" i="1" s="1"/>
  <c r="K74" i="1" s="1"/>
  <c r="K65" i="1"/>
  <c r="K150" i="1" s="1"/>
  <c r="K22" i="1"/>
  <c r="AR150" i="1"/>
  <c r="AP150" i="1"/>
  <c r="AN150" i="1"/>
  <c r="AL150" i="1"/>
  <c r="AJ150" i="1"/>
  <c r="AH117" i="23"/>
  <c r="AH120" i="23" s="1"/>
  <c r="AH18" i="23"/>
  <c r="AH14" i="1" s="1"/>
  <c r="AH56" i="23"/>
  <c r="AH59" i="23" s="1"/>
  <c r="AH97" i="23" s="1"/>
  <c r="AH65" i="1" s="1"/>
  <c r="AH64" i="1" s="1"/>
  <c r="AH63" i="23"/>
  <c r="AD18" i="23"/>
  <c r="AD14" i="1" s="1"/>
  <c r="AD117" i="23"/>
  <c r="AD120" i="23" s="1"/>
  <c r="AD150" i="1" s="1"/>
  <c r="Z117" i="23"/>
  <c r="Z120" i="23" s="1"/>
  <c r="Z150" i="1" s="1"/>
  <c r="Z18" i="23"/>
  <c r="Z14" i="1" s="1"/>
  <c r="Z63" i="23"/>
  <c r="Z56" i="23"/>
  <c r="Z59" i="23" s="1"/>
  <c r="Z97" i="23" s="1"/>
  <c r="Z65" i="1" s="1"/>
  <c r="Z64" i="1" s="1"/>
  <c r="N13" i="1"/>
  <c r="N22" i="1"/>
  <c r="L56" i="23"/>
  <c r="L59" i="23" s="1"/>
  <c r="L97" i="23" s="1"/>
  <c r="L65" i="1" s="1"/>
  <c r="L63" i="23"/>
  <c r="R139" i="23"/>
  <c r="R146" i="23" s="1"/>
  <c r="R108" i="23"/>
  <c r="R44" i="23"/>
  <c r="E55" i="11"/>
  <c r="S126" i="1"/>
  <c r="Q86" i="23"/>
  <c r="Q78" i="23"/>
  <c r="Y44" i="23"/>
  <c r="Z126" i="1"/>
  <c r="I59" i="8"/>
  <c r="J59" i="8" s="1"/>
  <c r="K59" i="8" s="1"/>
  <c r="D96" i="1"/>
  <c r="D40" i="1"/>
  <c r="D98" i="1" s="1"/>
  <c r="D184" i="1" s="1"/>
  <c r="D7" i="4"/>
  <c r="D68" i="4" s="1"/>
  <c r="AS84" i="1" l="1"/>
  <c r="E58" i="25"/>
  <c r="E65" i="25" s="1"/>
  <c r="C65" i="25"/>
  <c r="C97" i="25"/>
  <c r="C104" i="25" s="1"/>
  <c r="E97" i="25"/>
  <c r="E104" i="25" s="1"/>
  <c r="N169" i="1"/>
  <c r="N179" i="1" s="1"/>
  <c r="N150" i="1"/>
  <c r="N159" i="1" s="1"/>
  <c r="C40" i="1"/>
  <c r="C41" i="1" s="1"/>
  <c r="C42" i="1" s="1"/>
  <c r="U70" i="1"/>
  <c r="U74" i="1" s="1"/>
  <c r="V18" i="1"/>
  <c r="V24" i="23" s="1"/>
  <c r="V28" i="23" s="1"/>
  <c r="V29" i="23" s="1"/>
  <c r="V30" i="23" s="1"/>
  <c r="V15" i="1" s="1"/>
  <c r="U24" i="23"/>
  <c r="U28" i="23" s="1"/>
  <c r="U29" i="23" s="1"/>
  <c r="U30" i="23" s="1"/>
  <c r="U15" i="1" s="1"/>
  <c r="C96" i="1"/>
  <c r="C108" i="1" s="1"/>
  <c r="E49" i="1"/>
  <c r="I35" i="1"/>
  <c r="I36" i="1" s="1"/>
  <c r="I51" i="1" s="1"/>
  <c r="E6" i="4"/>
  <c r="U84" i="1"/>
  <c r="BL168" i="1"/>
  <c r="BM28" i="1"/>
  <c r="E170" i="1"/>
  <c r="E169" i="1" s="1"/>
  <c r="E179" i="1" s="1"/>
  <c r="E180" i="1" s="1"/>
  <c r="E161" i="1"/>
  <c r="E160" i="1" s="1"/>
  <c r="E75" i="1"/>
  <c r="E110" i="1" s="1"/>
  <c r="W16" i="1"/>
  <c r="V68" i="1"/>
  <c r="I52" i="1"/>
  <c r="I50" i="1"/>
  <c r="I49" i="1"/>
  <c r="E20" i="25"/>
  <c r="F20" i="25" s="1"/>
  <c r="N180" i="1"/>
  <c r="T191" i="1"/>
  <c r="BN10" i="1"/>
  <c r="BN46" i="1" s="1"/>
  <c r="BR10" i="1"/>
  <c r="BR46" i="1" s="1"/>
  <c r="G200" i="1"/>
  <c r="G198" i="1"/>
  <c r="G197" i="1"/>
  <c r="G113" i="1"/>
  <c r="G111" i="1"/>
  <c r="G110" i="1"/>
  <c r="O53" i="1"/>
  <c r="O36" i="1"/>
  <c r="Z201" i="1"/>
  <c r="AT52" i="1"/>
  <c r="D4" i="25"/>
  <c r="BB24" i="1"/>
  <c r="BA161" i="1"/>
  <c r="BA160" i="1" s="1"/>
  <c r="BA23" i="1"/>
  <c r="AS49" i="1"/>
  <c r="C198" i="1"/>
  <c r="K113" i="1"/>
  <c r="J52" i="1"/>
  <c r="J49" i="1"/>
  <c r="J50" i="1"/>
  <c r="Q52" i="1"/>
  <c r="Q50" i="1"/>
  <c r="Q49" i="1"/>
  <c r="P53" i="1"/>
  <c r="N95" i="1"/>
  <c r="S180" i="1"/>
  <c r="W180" i="1"/>
  <c r="BM10" i="1"/>
  <c r="BM46" i="1" s="1"/>
  <c r="D200" i="1"/>
  <c r="D198" i="1"/>
  <c r="D197" i="1"/>
  <c r="BH10" i="1"/>
  <c r="BH46" i="1" s="1"/>
  <c r="N53" i="1"/>
  <c r="N36" i="1"/>
  <c r="BS148" i="1"/>
  <c r="BS194" i="1" s="1"/>
  <c r="F113" i="1"/>
  <c r="F110" i="1"/>
  <c r="F111" i="1"/>
  <c r="M52" i="1"/>
  <c r="M50" i="1"/>
  <c r="M49" i="1"/>
  <c r="BK10" i="1"/>
  <c r="BK46" i="1" s="1"/>
  <c r="H52" i="1"/>
  <c r="H50" i="1"/>
  <c r="H49" i="1"/>
  <c r="C22" i="25"/>
  <c r="F22" i="25" s="1"/>
  <c r="F23" i="25"/>
  <c r="T197" i="1"/>
  <c r="F52" i="1"/>
  <c r="F50" i="1"/>
  <c r="F49" i="1"/>
  <c r="C201" i="1"/>
  <c r="C180" i="1"/>
  <c r="C196" i="1" s="1"/>
  <c r="E111" i="1"/>
  <c r="T201" i="1"/>
  <c r="E52" i="1"/>
  <c r="AS50" i="1"/>
  <c r="C197" i="1"/>
  <c r="O52" i="1"/>
  <c r="O50" i="1"/>
  <c r="O49" i="1"/>
  <c r="L52" i="1"/>
  <c r="L50" i="1"/>
  <c r="L49" i="1"/>
  <c r="D182" i="1"/>
  <c r="D195" i="1" s="1"/>
  <c r="D108" i="1"/>
  <c r="N52" i="1"/>
  <c r="N49" i="1"/>
  <c r="N50" i="1"/>
  <c r="J113" i="1"/>
  <c r="T113" i="1"/>
  <c r="I113" i="1"/>
  <c r="I111" i="1"/>
  <c r="I110" i="1"/>
  <c r="AU52" i="1"/>
  <c r="AU50" i="1"/>
  <c r="AU49" i="1"/>
  <c r="G94" i="1"/>
  <c r="G114" i="1" s="1"/>
  <c r="G53" i="1"/>
  <c r="G36" i="1"/>
  <c r="G51" i="1" s="1"/>
  <c r="E114" i="1"/>
  <c r="AS53" i="1"/>
  <c r="AS36" i="1"/>
  <c r="BI10" i="1"/>
  <c r="BI46" i="1" s="1"/>
  <c r="H113" i="1"/>
  <c r="BO10" i="1"/>
  <c r="BO46" i="1" s="1"/>
  <c r="V180" i="1"/>
  <c r="I201" i="1"/>
  <c r="Y201" i="1"/>
  <c r="U180" i="1"/>
  <c r="M53" i="1"/>
  <c r="M36" i="1"/>
  <c r="M51" i="1" s="1"/>
  <c r="AS180" i="1"/>
  <c r="BL10" i="1"/>
  <c r="BL46" i="1" s="1"/>
  <c r="BP10" i="1"/>
  <c r="BP46" i="1" s="1"/>
  <c r="AT50" i="1"/>
  <c r="T198" i="1"/>
  <c r="BC20" i="1"/>
  <c r="BB157" i="1"/>
  <c r="C27" i="25"/>
  <c r="AK162" i="1"/>
  <c r="AL25" i="1"/>
  <c r="C200" i="1"/>
  <c r="K52" i="1"/>
  <c r="K50" i="1"/>
  <c r="K49" i="1"/>
  <c r="H200" i="1"/>
  <c r="O95" i="1"/>
  <c r="F201" i="1"/>
  <c r="L53" i="1"/>
  <c r="L36" i="1"/>
  <c r="D201" i="1"/>
  <c r="D180" i="1"/>
  <c r="X180" i="1"/>
  <c r="AB201" i="1"/>
  <c r="E44" i="1"/>
  <c r="C2" i="25"/>
  <c r="AS46" i="1"/>
  <c r="AA201" i="1"/>
  <c r="AK114" i="1"/>
  <c r="AT49" i="1"/>
  <c r="T200" i="1"/>
  <c r="BB162" i="1"/>
  <c r="BC25" i="1"/>
  <c r="F94" i="1"/>
  <c r="F114" i="1" s="1"/>
  <c r="F53" i="1"/>
  <c r="F36" i="1"/>
  <c r="F51" i="1" s="1"/>
  <c r="BP7" i="23"/>
  <c r="BP63" i="1"/>
  <c r="BP113" i="1" s="1"/>
  <c r="D14" i="19"/>
  <c r="D15" i="19" s="1"/>
  <c r="D188" i="1"/>
  <c r="BP14" i="19"/>
  <c r="BP15" i="19" s="1"/>
  <c r="BP194" i="1"/>
  <c r="AS63" i="1"/>
  <c r="AS113" i="1" s="1"/>
  <c r="AW14" i="19"/>
  <c r="AW15" i="19" s="1"/>
  <c r="AW194" i="1"/>
  <c r="BS14" i="19"/>
  <c r="BS15" i="19" s="1"/>
  <c r="AS51" i="1"/>
  <c r="BK63" i="1"/>
  <c r="AU63" i="1"/>
  <c r="D90" i="4"/>
  <c r="AU6" i="4"/>
  <c r="AN67" i="4"/>
  <c r="AN104" i="1"/>
  <c r="AA9" i="19"/>
  <c r="AA10" i="19" s="1"/>
  <c r="AA105" i="1"/>
  <c r="E102" i="1"/>
  <c r="BA9" i="19"/>
  <c r="BA10" i="19" s="1"/>
  <c r="BA106" i="1"/>
  <c r="AW9" i="19"/>
  <c r="AW10" i="19" s="1"/>
  <c r="AW106" i="1"/>
  <c r="AU9" i="19"/>
  <c r="AU10" i="19" s="1"/>
  <c r="AY9" i="19"/>
  <c r="AY10" i="19" s="1"/>
  <c r="AY106" i="1"/>
  <c r="AS9" i="19"/>
  <c r="AS10" i="19" s="1"/>
  <c r="BK7" i="23"/>
  <c r="BK148" i="1"/>
  <c r="BK38" i="23"/>
  <c r="C199" i="1"/>
  <c r="E7" i="4"/>
  <c r="E68" i="4" s="1"/>
  <c r="AT63" i="1"/>
  <c r="AT113" i="1" s="1"/>
  <c r="BL38" i="23"/>
  <c r="BI148" i="1"/>
  <c r="K35" i="1"/>
  <c r="AN9" i="19"/>
  <c r="AN10" i="19" s="1"/>
  <c r="AT7" i="23"/>
  <c r="AI63" i="23"/>
  <c r="AT38" i="23"/>
  <c r="A48" i="10"/>
  <c r="L48" i="10" s="1"/>
  <c r="AT148" i="1"/>
  <c r="AT200" i="1" s="1"/>
  <c r="AS148" i="1"/>
  <c r="AS38" i="23"/>
  <c r="AS7" i="23"/>
  <c r="AS38" i="1"/>
  <c r="AS6" i="4"/>
  <c r="BG10" i="1"/>
  <c r="BG46" i="1" s="1"/>
  <c r="AV38" i="23"/>
  <c r="AV10" i="1"/>
  <c r="AV46" i="1" s="1"/>
  <c r="BL63" i="1"/>
  <c r="BL113" i="1" s="1"/>
  <c r="AU7" i="23"/>
  <c r="BS63" i="1"/>
  <c r="BS113" i="1" s="1"/>
  <c r="BS10" i="1"/>
  <c r="BS46" i="1" s="1"/>
  <c r="BB7" i="23"/>
  <c r="BB10" i="1"/>
  <c r="BB46" i="1" s="1"/>
  <c r="BJ7" i="23"/>
  <c r="BJ10" i="1"/>
  <c r="BJ46" i="1" s="1"/>
  <c r="BL7" i="23"/>
  <c r="AU148" i="1"/>
  <c r="BE148" i="1"/>
  <c r="BE10" i="1"/>
  <c r="BE46" i="1" s="1"/>
  <c r="BT148" i="1"/>
  <c r="BT10" i="1"/>
  <c r="BT46" i="1" s="1"/>
  <c r="BQ63" i="1"/>
  <c r="BQ113" i="1" s="1"/>
  <c r="BQ10" i="1"/>
  <c r="BQ46" i="1" s="1"/>
  <c r="BL148" i="1"/>
  <c r="AU38" i="23"/>
  <c r="AX7" i="23"/>
  <c r="AY38" i="23"/>
  <c r="AY10" i="1"/>
  <c r="AY46" i="1" s="1"/>
  <c r="BD148" i="1"/>
  <c r="BD10" i="1"/>
  <c r="BD46" i="1" s="1"/>
  <c r="BA148" i="1"/>
  <c r="BA10" i="1"/>
  <c r="BA46" i="1" s="1"/>
  <c r="Y117" i="23"/>
  <c r="Y120" i="23" s="1"/>
  <c r="Y150" i="1" s="1"/>
  <c r="M13" i="1"/>
  <c r="BB148" i="1"/>
  <c r="BD63" i="1"/>
  <c r="BD113" i="1" s="1"/>
  <c r="V84" i="1"/>
  <c r="F159" i="1"/>
  <c r="F180" i="1" s="1"/>
  <c r="E40" i="1"/>
  <c r="E98" i="1" s="1"/>
  <c r="E184" i="1" s="1"/>
  <c r="AC122" i="1"/>
  <c r="AD122" i="1" s="1"/>
  <c r="E96" i="1"/>
  <c r="AZ7" i="23"/>
  <c r="BR63" i="1"/>
  <c r="BR113" i="1" s="1"/>
  <c r="C182" i="1"/>
  <c r="AV63" i="1"/>
  <c r="AV113" i="1" s="1"/>
  <c r="BQ7" i="23"/>
  <c r="C99" i="1"/>
  <c r="W56" i="23"/>
  <c r="W59" i="23" s="1"/>
  <c r="W97" i="23" s="1"/>
  <c r="W65" i="1" s="1"/>
  <c r="W64" i="1" s="1"/>
  <c r="C98" i="1"/>
  <c r="C184" i="1" s="1"/>
  <c r="AW21" i="1"/>
  <c r="AX21" i="1" s="1"/>
  <c r="G7" i="4"/>
  <c r="A57" i="10" s="1"/>
  <c r="BN38" i="23"/>
  <c r="AZ38" i="23"/>
  <c r="BR7" i="23"/>
  <c r="BH38" i="23"/>
  <c r="BT7" i="23"/>
  <c r="G96" i="1"/>
  <c r="BT38" i="23"/>
  <c r="BB63" i="1"/>
  <c r="BB113" i="1" s="1"/>
  <c r="BB38" i="23"/>
  <c r="C14" i="19"/>
  <c r="C15" i="19" s="1"/>
  <c r="BH148" i="1"/>
  <c r="AD132" i="1"/>
  <c r="BA7" i="23"/>
  <c r="BA38" i="23"/>
  <c r="BN148" i="1"/>
  <c r="C95" i="1"/>
  <c r="BD7" i="23"/>
  <c r="BD38" i="23"/>
  <c r="BF7" i="23"/>
  <c r="BC7" i="23"/>
  <c r="BE63" i="1"/>
  <c r="BE113" i="1" s="1"/>
  <c r="BJ38" i="23"/>
  <c r="BI7" i="23"/>
  <c r="BS38" i="23"/>
  <c r="AY7" i="23"/>
  <c r="BO63" i="1"/>
  <c r="BO113" i="1" s="1"/>
  <c r="F96" i="1"/>
  <c r="BG63" i="1"/>
  <c r="BG113" i="1" s="1"/>
  <c r="AV7" i="23"/>
  <c r="BQ148" i="1"/>
  <c r="BN7" i="23"/>
  <c r="AZ63" i="1"/>
  <c r="AZ113" i="1" s="1"/>
  <c r="BR148" i="1"/>
  <c r="C48" i="1"/>
  <c r="D48" i="1" s="1"/>
  <c r="E48" i="1" s="1"/>
  <c r="BO38" i="23"/>
  <c r="AW162" i="1"/>
  <c r="AW160" i="1" s="1"/>
  <c r="AW90" i="4" s="1"/>
  <c r="AW23" i="1"/>
  <c r="AW6" i="4" s="1"/>
  <c r="BS7" i="23"/>
  <c r="AY148" i="1"/>
  <c r="C90" i="4"/>
  <c r="BJ63" i="1"/>
  <c r="BJ113" i="1" s="1"/>
  <c r="BI63" i="1"/>
  <c r="AY6" i="4"/>
  <c r="AB63" i="1"/>
  <c r="AV148" i="1"/>
  <c r="BC148" i="1"/>
  <c r="BQ38" i="23"/>
  <c r="BG148" i="1"/>
  <c r="BG7" i="23"/>
  <c r="T199" i="1"/>
  <c r="M62" i="23"/>
  <c r="M52" i="23"/>
  <c r="E95" i="1"/>
  <c r="D95" i="1"/>
  <c r="F41" i="1"/>
  <c r="F99" i="1" s="1"/>
  <c r="G149" i="1"/>
  <c r="AV179" i="1"/>
  <c r="BT63" i="1"/>
  <c r="BT113" i="1" s="1"/>
  <c r="BH63" i="1"/>
  <c r="BC38" i="23"/>
  <c r="BE7" i="23"/>
  <c r="BO148" i="1"/>
  <c r="N149" i="1"/>
  <c r="BO7" i="23"/>
  <c r="AX38" i="23"/>
  <c r="AX63" i="1"/>
  <c r="AX148" i="1"/>
  <c r="AD160" i="1"/>
  <c r="AE161" i="1"/>
  <c r="AE160" i="1" s="1"/>
  <c r="AE90" i="4" s="1"/>
  <c r="AC179" i="1"/>
  <c r="BF63" i="1"/>
  <c r="BF113" i="1" s="1"/>
  <c r="H100" i="3"/>
  <c r="BJ148" i="1"/>
  <c r="BI38" i="23"/>
  <c r="BN63" i="1"/>
  <c r="BN113" i="1" s="1"/>
  <c r="AZ148" i="1"/>
  <c r="BR38" i="23"/>
  <c r="P169" i="1"/>
  <c r="P179" i="1" s="1"/>
  <c r="AW20" i="1"/>
  <c r="AW157" i="1" s="1"/>
  <c r="AV157" i="1"/>
  <c r="BP75" i="1"/>
  <c r="BQ79" i="1"/>
  <c r="S84" i="1"/>
  <c r="E9" i="19"/>
  <c r="E10" i="19" s="1"/>
  <c r="E67" i="4"/>
  <c r="E148" i="1"/>
  <c r="E201" i="1" s="1"/>
  <c r="S22" i="1"/>
  <c r="S13" i="1"/>
  <c r="R22" i="1"/>
  <c r="R13" i="1"/>
  <c r="K162" i="1"/>
  <c r="K160" i="1" s="1"/>
  <c r="K75" i="1"/>
  <c r="K67" i="4" s="1"/>
  <c r="AF98" i="1"/>
  <c r="AG98" i="1" s="1"/>
  <c r="AI98" i="1" s="1"/>
  <c r="AJ98" i="1" s="1"/>
  <c r="AF184" i="1"/>
  <c r="AG184" i="1" s="1"/>
  <c r="AH184" i="1" s="1"/>
  <c r="AU38" i="1"/>
  <c r="BH7" i="23"/>
  <c r="BC63" i="1"/>
  <c r="BC113" i="1" s="1"/>
  <c r="BE38" i="23"/>
  <c r="BM63" i="1"/>
  <c r="BM148" i="1"/>
  <c r="BM7" i="23"/>
  <c r="BM38" i="23"/>
  <c r="BF148" i="1"/>
  <c r="BF38" i="23"/>
  <c r="G41" i="1"/>
  <c r="G99" i="1" s="1"/>
  <c r="T90" i="4"/>
  <c r="T14" i="19"/>
  <c r="T15" i="19" s="1"/>
  <c r="U22" i="1"/>
  <c r="U13" i="1"/>
  <c r="AU159" i="1"/>
  <c r="AU149" i="1"/>
  <c r="AV13" i="1"/>
  <c r="AW14" i="1"/>
  <c r="E4" i="25" s="1"/>
  <c r="AV150" i="1"/>
  <c r="AV22" i="1"/>
  <c r="BT32" i="1"/>
  <c r="BT9" i="23"/>
  <c r="BQ9" i="23"/>
  <c r="BQ32" i="1"/>
  <c r="BG9" i="23"/>
  <c r="BG32" i="1"/>
  <c r="BR9" i="23"/>
  <c r="BR32" i="1"/>
  <c r="BA9" i="23"/>
  <c r="BA32" i="1"/>
  <c r="BA35" i="1" s="1"/>
  <c r="AT9" i="23"/>
  <c r="AT32" i="1"/>
  <c r="AT35" i="1" s="1"/>
  <c r="AT6" i="4"/>
  <c r="AT38" i="1"/>
  <c r="BO32" i="1"/>
  <c r="BO9" i="23"/>
  <c r="AV9" i="23"/>
  <c r="AV32" i="1"/>
  <c r="AV35" i="1" s="1"/>
  <c r="AW9" i="23"/>
  <c r="AW32" i="1"/>
  <c r="BJ9" i="23"/>
  <c r="BJ32" i="1"/>
  <c r="BH32" i="1"/>
  <c r="BH9" i="23"/>
  <c r="AU32" i="1"/>
  <c r="AU35" i="1" s="1"/>
  <c r="AU9" i="23"/>
  <c r="BK9" i="23"/>
  <c r="BK32" i="1"/>
  <c r="AX32" i="1"/>
  <c r="AX35" i="1" s="1"/>
  <c r="AX6" i="4"/>
  <c r="AX9" i="23"/>
  <c r="R87" i="1"/>
  <c r="R84" i="1" s="1"/>
  <c r="Q84" i="1"/>
  <c r="G170" i="1"/>
  <c r="G169" i="1" s="1"/>
  <c r="G179" i="1" s="1"/>
  <c r="G84" i="1"/>
  <c r="E127" i="1"/>
  <c r="G132" i="1"/>
  <c r="F122" i="1"/>
  <c r="H162" i="1"/>
  <c r="H160" i="1" s="1"/>
  <c r="H90" i="4" s="1"/>
  <c r="H75" i="1"/>
  <c r="H67" i="4" s="1"/>
  <c r="J162" i="1"/>
  <c r="J160" i="1" s="1"/>
  <c r="J75" i="1"/>
  <c r="J67" i="4" s="1"/>
  <c r="D41" i="1"/>
  <c r="D99" i="1" s="1"/>
  <c r="AV6" i="4"/>
  <c r="BI9" i="23"/>
  <c r="BI32" i="1"/>
  <c r="AZ9" i="23"/>
  <c r="AZ32" i="1"/>
  <c r="AZ35" i="1" s="1"/>
  <c r="BB9" i="23"/>
  <c r="BB32" i="1"/>
  <c r="BD9" i="23"/>
  <c r="BD32" i="1"/>
  <c r="BM9" i="23"/>
  <c r="BM32" i="1"/>
  <c r="AY32" i="1"/>
  <c r="AY35" i="1" s="1"/>
  <c r="AY9" i="23"/>
  <c r="BF9" i="23"/>
  <c r="BF32" i="1"/>
  <c r="BL9" i="23"/>
  <c r="BL32" i="1"/>
  <c r="BE9" i="23"/>
  <c r="BE32" i="1"/>
  <c r="BN9" i="23"/>
  <c r="BN32" i="1"/>
  <c r="BP9" i="23"/>
  <c r="BP32" i="1"/>
  <c r="BC32" i="1"/>
  <c r="BC9" i="23"/>
  <c r="BS9" i="23"/>
  <c r="BS32" i="1"/>
  <c r="L52" i="23"/>
  <c r="L62" i="23"/>
  <c r="R113" i="23"/>
  <c r="R123" i="23"/>
  <c r="BA6" i="4"/>
  <c r="AZ6" i="4"/>
  <c r="Q169" i="1"/>
  <c r="Q179" i="1" s="1"/>
  <c r="R172" i="1"/>
  <c r="R169" i="1" s="1"/>
  <c r="R179" i="1" s="1"/>
  <c r="H29" i="1"/>
  <c r="H35" i="1" s="1"/>
  <c r="H85" i="1"/>
  <c r="D58" i="25" s="1"/>
  <c r="F58" i="25" s="1"/>
  <c r="U107" i="23"/>
  <c r="W132" i="1"/>
  <c r="U42" i="23"/>
  <c r="U63" i="1"/>
  <c r="U105" i="1" s="1"/>
  <c r="V122" i="1"/>
  <c r="H6" i="4"/>
  <c r="H38" i="1"/>
  <c r="J6" i="4"/>
  <c r="J35" i="1"/>
  <c r="T22" i="1"/>
  <c r="T13" i="1"/>
  <c r="I60" i="8"/>
  <c r="J60" i="8" s="1"/>
  <c r="K60" i="8" s="1"/>
  <c r="S44" i="23"/>
  <c r="S139" i="23"/>
  <c r="S146" i="23" s="1"/>
  <c r="S108" i="23"/>
  <c r="F55" i="11"/>
  <c r="T126" i="1"/>
  <c r="T182" i="1" s="1"/>
  <c r="T195" i="1" s="1"/>
  <c r="R78" i="23"/>
  <c r="R86" i="23"/>
  <c r="K149" i="1"/>
  <c r="K159" i="1"/>
  <c r="O51" i="1"/>
  <c r="O38" i="1"/>
  <c r="R6" i="4"/>
  <c r="R35" i="1"/>
  <c r="BK175" i="1"/>
  <c r="AZ175" i="1"/>
  <c r="AZ179" i="1" s="1"/>
  <c r="BH175" i="1"/>
  <c r="BA175" i="1"/>
  <c r="AW175" i="1"/>
  <c r="AT175" i="1"/>
  <c r="AT179" i="1" s="1"/>
  <c r="BR175" i="1"/>
  <c r="AU175" i="1"/>
  <c r="AU179" i="1" s="1"/>
  <c r="BI175" i="1"/>
  <c r="BC175" i="1"/>
  <c r="BE175" i="1"/>
  <c r="L38" i="1"/>
  <c r="L51" i="1"/>
  <c r="P149" i="1"/>
  <c r="P159" i="1"/>
  <c r="I149" i="1"/>
  <c r="I159" i="1"/>
  <c r="I180" i="1" s="1"/>
  <c r="M38" i="1"/>
  <c r="Q51" i="1"/>
  <c r="Q38" i="1"/>
  <c r="AE69" i="1"/>
  <c r="AF17" i="1"/>
  <c r="D185" i="1"/>
  <c r="F68" i="4"/>
  <c r="A56" i="10"/>
  <c r="Y78" i="23"/>
  <c r="Y86" i="23"/>
  <c r="L150" i="1"/>
  <c r="L64" i="1"/>
  <c r="L74" i="1" s="1"/>
  <c r="C100" i="1"/>
  <c r="Z44" i="23"/>
  <c r="AA126" i="1"/>
  <c r="Z127" i="1"/>
  <c r="N38" i="1"/>
  <c r="N51" i="1"/>
  <c r="K38" i="1"/>
  <c r="M150" i="1"/>
  <c r="M64" i="1"/>
  <c r="M74" i="1" s="1"/>
  <c r="M95" i="1" s="1"/>
  <c r="S23" i="1"/>
  <c r="T24" i="1"/>
  <c r="AL69" i="1"/>
  <c r="AM17" i="1"/>
  <c r="BS175" i="1"/>
  <c r="AX175" i="1"/>
  <c r="AX179" i="1" s="1"/>
  <c r="AY175" i="1"/>
  <c r="AY179" i="1" s="1"/>
  <c r="BG175" i="1"/>
  <c r="BO175" i="1"/>
  <c r="BL175" i="1"/>
  <c r="BQ175" i="1"/>
  <c r="BN175" i="1"/>
  <c r="BM175" i="1"/>
  <c r="BB175" i="1"/>
  <c r="J38" i="1"/>
  <c r="J149" i="1"/>
  <c r="J159" i="1"/>
  <c r="P13" i="1"/>
  <c r="P22" i="1"/>
  <c r="P36" i="1" s="1"/>
  <c r="AG150" i="1"/>
  <c r="I38" i="1"/>
  <c r="O149" i="1"/>
  <c r="O159" i="1"/>
  <c r="O180" i="1" s="1"/>
  <c r="D65" i="25" l="1"/>
  <c r="F65" i="25" s="1"/>
  <c r="V13" i="1"/>
  <c r="V22" i="1"/>
  <c r="D91" i="4"/>
  <c r="F95" i="1"/>
  <c r="F112" i="1" s="1"/>
  <c r="BA179" i="1"/>
  <c r="BA201" i="1" s="1"/>
  <c r="F48" i="1"/>
  <c r="BM168" i="1"/>
  <c r="BN28" i="1"/>
  <c r="E197" i="1"/>
  <c r="H198" i="1"/>
  <c r="I53" i="1"/>
  <c r="I94" i="1"/>
  <c r="I114" i="1" s="1"/>
  <c r="AS106" i="1"/>
  <c r="H110" i="1"/>
  <c r="X16" i="1"/>
  <c r="W68" i="1"/>
  <c r="V70" i="1"/>
  <c r="V74" i="1" s="1"/>
  <c r="W18" i="1"/>
  <c r="J200" i="1"/>
  <c r="J197" i="1"/>
  <c r="J198" i="1"/>
  <c r="AZ53" i="1"/>
  <c r="L95" i="1"/>
  <c r="K200" i="1"/>
  <c r="K198" i="1"/>
  <c r="K197" i="1"/>
  <c r="H53" i="1"/>
  <c r="H36" i="1"/>
  <c r="H51" i="1" s="1"/>
  <c r="F182" i="1"/>
  <c r="F108" i="1"/>
  <c r="F2" i="25"/>
  <c r="AM25" i="1"/>
  <c r="AL162" i="1"/>
  <c r="J111" i="1"/>
  <c r="K111" i="1"/>
  <c r="BB161" i="1"/>
  <c r="BB160" i="1" s="1"/>
  <c r="BC24" i="1"/>
  <c r="BB23" i="1"/>
  <c r="BB6" i="4" s="1"/>
  <c r="AU201" i="1"/>
  <c r="AU180" i="1"/>
  <c r="V52" i="1"/>
  <c r="Q180" i="1"/>
  <c r="R53" i="1"/>
  <c r="R36" i="1"/>
  <c r="AV53" i="1"/>
  <c r="AV36" i="1"/>
  <c r="AV51" i="1" s="1"/>
  <c r="BA53" i="1"/>
  <c r="S52" i="1"/>
  <c r="S50" i="1"/>
  <c r="S49" i="1"/>
  <c r="AV201" i="1"/>
  <c r="BC162" i="1"/>
  <c r="BD25" i="1"/>
  <c r="P52" i="1"/>
  <c r="P50" i="1"/>
  <c r="P49" i="1"/>
  <c r="AY201" i="1"/>
  <c r="I200" i="1"/>
  <c r="I198" i="1"/>
  <c r="I197" i="1"/>
  <c r="AT201" i="1"/>
  <c r="AT180" i="1"/>
  <c r="AZ201" i="1"/>
  <c r="T52" i="1"/>
  <c r="AX53" i="1"/>
  <c r="AU53" i="1"/>
  <c r="AU36" i="1"/>
  <c r="AU51" i="1" s="1"/>
  <c r="U52" i="1"/>
  <c r="P180" i="1"/>
  <c r="BI106" i="1"/>
  <c r="BI113" i="1"/>
  <c r="G182" i="1"/>
  <c r="G185" i="1" s="1"/>
  <c r="G108" i="1"/>
  <c r="K94" i="1"/>
  <c r="K114" i="1" s="1"/>
  <c r="K53" i="1"/>
  <c r="K36" i="1"/>
  <c r="K51" i="1" s="1"/>
  <c r="BP107" i="1"/>
  <c r="E198" i="1"/>
  <c r="BD20" i="1"/>
  <c r="BC157" i="1"/>
  <c r="H111" i="1"/>
  <c r="J110" i="1"/>
  <c r="AT198" i="1"/>
  <c r="BB179" i="1"/>
  <c r="AX201" i="1"/>
  <c r="J94" i="1"/>
  <c r="J114" i="1" s="1"/>
  <c r="J53" i="1"/>
  <c r="J36" i="1"/>
  <c r="R180" i="1"/>
  <c r="AT53" i="1"/>
  <c r="AT36" i="1"/>
  <c r="AV52" i="1"/>
  <c r="AV50" i="1"/>
  <c r="AV49" i="1"/>
  <c r="BM106" i="1"/>
  <c r="BM113" i="1"/>
  <c r="R52" i="1"/>
  <c r="R49" i="1"/>
  <c r="R50" i="1"/>
  <c r="AC201" i="1"/>
  <c r="AX106" i="1"/>
  <c r="AX113" i="1"/>
  <c r="BH106" i="1"/>
  <c r="BH113" i="1"/>
  <c r="E182" i="1"/>
  <c r="E185" i="1" s="1"/>
  <c r="E108" i="1"/>
  <c r="F200" i="1"/>
  <c r="F197" i="1"/>
  <c r="F198" i="1"/>
  <c r="AS197" i="1"/>
  <c r="AS200" i="1"/>
  <c r="AS198" i="1"/>
  <c r="BP9" i="19"/>
  <c r="BP10" i="19" s="1"/>
  <c r="AU106" i="1"/>
  <c r="AU113" i="1"/>
  <c r="E2" i="25"/>
  <c r="E200" i="1"/>
  <c r="H197" i="1"/>
  <c r="AS201" i="1"/>
  <c r="AT197" i="1"/>
  <c r="F4" i="25"/>
  <c r="AY53" i="1"/>
  <c r="G180" i="1"/>
  <c r="G201" i="1"/>
  <c r="AU200" i="1"/>
  <c r="AU198" i="1"/>
  <c r="AU197" i="1"/>
  <c r="C91" i="4"/>
  <c r="C195" i="1"/>
  <c r="BK9" i="19"/>
  <c r="BK10" i="19" s="1"/>
  <c r="BK113" i="1"/>
  <c r="U113" i="1"/>
  <c r="K110" i="1"/>
  <c r="E188" i="1"/>
  <c r="BE14" i="19"/>
  <c r="BE15" i="19" s="1"/>
  <c r="BE194" i="1"/>
  <c r="BM14" i="19"/>
  <c r="BM15" i="19" s="1"/>
  <c r="BM194" i="1"/>
  <c r="AX14" i="19"/>
  <c r="AX15" i="19" s="1"/>
  <c r="AX194" i="1"/>
  <c r="BC14" i="19"/>
  <c r="BC15" i="19" s="1"/>
  <c r="BC194" i="1"/>
  <c r="AY14" i="19"/>
  <c r="AY15" i="19" s="1"/>
  <c r="AY194" i="1"/>
  <c r="BR14" i="19"/>
  <c r="BR15" i="19" s="1"/>
  <c r="BR194" i="1"/>
  <c r="BB14" i="19"/>
  <c r="BB15" i="19" s="1"/>
  <c r="BB194" i="1"/>
  <c r="BD14" i="19"/>
  <c r="BD15" i="19" s="1"/>
  <c r="BD194" i="1"/>
  <c r="AU14" i="19"/>
  <c r="AU15" i="19" s="1"/>
  <c r="AU194" i="1"/>
  <c r="BK14" i="19"/>
  <c r="BK15" i="19" s="1"/>
  <c r="BK194" i="1"/>
  <c r="BG14" i="19"/>
  <c r="BG15" i="19" s="1"/>
  <c r="BG194" i="1"/>
  <c r="BL14" i="19"/>
  <c r="BL15" i="19" s="1"/>
  <c r="BL194" i="1"/>
  <c r="AT14" i="19"/>
  <c r="AT15" i="19" s="1"/>
  <c r="AT194" i="1"/>
  <c r="BF14" i="19"/>
  <c r="BF15" i="19" s="1"/>
  <c r="BF194" i="1"/>
  <c r="BJ14" i="19"/>
  <c r="BJ15" i="19" s="1"/>
  <c r="BJ194" i="1"/>
  <c r="BO14" i="19"/>
  <c r="BO15" i="19" s="1"/>
  <c r="BO194" i="1"/>
  <c r="AV14" i="19"/>
  <c r="AV15" i="19" s="1"/>
  <c r="AV194" i="1"/>
  <c r="BQ14" i="19"/>
  <c r="BQ15" i="19" s="1"/>
  <c r="BQ194" i="1"/>
  <c r="BN14" i="19"/>
  <c r="BN15" i="19" s="1"/>
  <c r="BN194" i="1"/>
  <c r="BH14" i="19"/>
  <c r="BH15" i="19" s="1"/>
  <c r="BH194" i="1"/>
  <c r="BT14" i="19"/>
  <c r="BT15" i="19" s="1"/>
  <c r="BT194" i="1"/>
  <c r="BI14" i="19"/>
  <c r="BI15" i="19" s="1"/>
  <c r="BI194" i="1"/>
  <c r="AZ14" i="19"/>
  <c r="AZ15" i="19" s="1"/>
  <c r="AZ194" i="1"/>
  <c r="BA14" i="19"/>
  <c r="BA15" i="19" s="1"/>
  <c r="BA194" i="1"/>
  <c r="AS194" i="1"/>
  <c r="BK106" i="1"/>
  <c r="AC63" i="1"/>
  <c r="AC9" i="19" s="1"/>
  <c r="AC10" i="19" s="1"/>
  <c r="AB9" i="19"/>
  <c r="AB10" i="19" s="1"/>
  <c r="AB105" i="1"/>
  <c r="BT9" i="19"/>
  <c r="BT10" i="19" s="1"/>
  <c r="BT107" i="1"/>
  <c r="BJ9" i="19"/>
  <c r="BJ10" i="19" s="1"/>
  <c r="BJ106" i="1"/>
  <c r="AZ9" i="19"/>
  <c r="AZ10" i="19" s="1"/>
  <c r="AZ106" i="1"/>
  <c r="BB9" i="19"/>
  <c r="BB10" i="19" s="1"/>
  <c r="BB106" i="1"/>
  <c r="BC9" i="19"/>
  <c r="BC10" i="19" s="1"/>
  <c r="BC106" i="1"/>
  <c r="BN9" i="19"/>
  <c r="BN10" i="19" s="1"/>
  <c r="BN106" i="1"/>
  <c r="BO9" i="19"/>
  <c r="BO10" i="19" s="1"/>
  <c r="BO107" i="1"/>
  <c r="BQ9" i="19"/>
  <c r="BQ10" i="19" s="1"/>
  <c r="BQ107" i="1"/>
  <c r="BL9" i="19"/>
  <c r="BL10" i="19" s="1"/>
  <c r="BL106" i="1"/>
  <c r="BF9" i="19"/>
  <c r="BF10" i="19" s="1"/>
  <c r="BF106" i="1"/>
  <c r="BG106" i="1"/>
  <c r="BE9" i="19"/>
  <c r="BE10" i="19" s="1"/>
  <c r="BE106" i="1"/>
  <c r="BR9" i="19"/>
  <c r="BR10" i="19" s="1"/>
  <c r="BR107" i="1"/>
  <c r="AV9" i="19"/>
  <c r="AV10" i="19" s="1"/>
  <c r="AV106" i="1"/>
  <c r="BD9" i="19"/>
  <c r="BD10" i="19" s="1"/>
  <c r="BD106" i="1"/>
  <c r="BS9" i="19"/>
  <c r="BS10" i="19" s="1"/>
  <c r="BS107" i="1"/>
  <c r="AT9" i="19"/>
  <c r="AT10" i="19" s="1"/>
  <c r="AT106" i="1"/>
  <c r="AS14" i="19"/>
  <c r="AS15" i="19" s="1"/>
  <c r="AS7" i="4"/>
  <c r="A59" i="10" s="1"/>
  <c r="L59" i="10" s="1"/>
  <c r="AY90" i="4"/>
  <c r="AS199" i="1"/>
  <c r="E41" i="1"/>
  <c r="E99" i="1" s="1"/>
  <c r="AS90" i="4"/>
  <c r="AW158" i="1"/>
  <c r="AU90" i="4"/>
  <c r="O48" i="10"/>
  <c r="C16" i="4" s="1"/>
  <c r="C78" i="4" s="1"/>
  <c r="C77" i="4" s="1"/>
  <c r="I48" i="10"/>
  <c r="E16" i="4" s="1"/>
  <c r="E15" i="4" s="1"/>
  <c r="E77" i="4" s="1"/>
  <c r="J48" i="10"/>
  <c r="AT90" i="4"/>
  <c r="AW35" i="1"/>
  <c r="AE132" i="1"/>
  <c r="AH98" i="1"/>
  <c r="AS41" i="1"/>
  <c r="AS182" i="1"/>
  <c r="BA90" i="4"/>
  <c r="BB90" i="4"/>
  <c r="G68" i="4"/>
  <c r="AC42" i="23"/>
  <c r="BG9" i="19"/>
  <c r="BG10" i="19" s="1"/>
  <c r="E112" i="1"/>
  <c r="D112" i="1"/>
  <c r="C112" i="1"/>
  <c r="AZ90" i="4"/>
  <c r="C185" i="1"/>
  <c r="C186" i="1" s="1"/>
  <c r="D186" i="1" s="1"/>
  <c r="G95" i="1"/>
  <c r="AU182" i="1"/>
  <c r="R38" i="1"/>
  <c r="AT51" i="1"/>
  <c r="AU41" i="1"/>
  <c r="AU7" i="4"/>
  <c r="AW179" i="1"/>
  <c r="R51" i="1"/>
  <c r="C109" i="1"/>
  <c r="D109" i="1" s="1"/>
  <c r="E109" i="1" s="1"/>
  <c r="F109" i="1" s="1"/>
  <c r="E199" i="1"/>
  <c r="D196" i="1"/>
  <c r="E196" i="1" s="1"/>
  <c r="D199" i="1"/>
  <c r="AV90" i="4"/>
  <c r="AX90" i="4"/>
  <c r="BM9" i="19"/>
  <c r="BM10" i="19" s="1"/>
  <c r="AX9" i="19"/>
  <c r="AX10" i="19" s="1"/>
  <c r="BH9" i="19"/>
  <c r="BH10" i="19" s="1"/>
  <c r="BI9" i="19"/>
  <c r="BI10" i="19" s="1"/>
  <c r="G48" i="1"/>
  <c r="AE179" i="1"/>
  <c r="AD90" i="4"/>
  <c r="AD179" i="1"/>
  <c r="BR79" i="1"/>
  <c r="BQ75" i="1"/>
  <c r="E14" i="19"/>
  <c r="E15" i="19" s="1"/>
  <c r="E90" i="4"/>
  <c r="AV38" i="1"/>
  <c r="K90" i="4"/>
  <c r="K179" i="1"/>
  <c r="J51" i="1"/>
  <c r="D42" i="1"/>
  <c r="D100" i="1" s="1"/>
  <c r="AY21" i="1"/>
  <c r="AX22" i="1"/>
  <c r="AX36" i="1" s="1"/>
  <c r="AX158" i="1"/>
  <c r="AX159" i="1" s="1"/>
  <c r="AX180" i="1" s="1"/>
  <c r="H94" i="1"/>
  <c r="H114" i="1" s="1"/>
  <c r="V107" i="23"/>
  <c r="X132" i="1"/>
  <c r="V42" i="23"/>
  <c r="V63" i="1"/>
  <c r="W122" i="1"/>
  <c r="AF132" i="1"/>
  <c r="AD63" i="1"/>
  <c r="AG132" i="1"/>
  <c r="AD42" i="23"/>
  <c r="H132" i="1"/>
  <c r="G122" i="1"/>
  <c r="F127" i="1"/>
  <c r="AW150" i="1"/>
  <c r="AW13" i="1"/>
  <c r="AW22" i="1"/>
  <c r="H96" i="1"/>
  <c r="H7" i="4"/>
  <c r="H41" i="1"/>
  <c r="H99" i="1" s="1"/>
  <c r="U148" i="1"/>
  <c r="U9" i="19"/>
  <c r="U10" i="19" s="1"/>
  <c r="H170" i="1"/>
  <c r="H169" i="1" s="1"/>
  <c r="H179" i="1" s="1"/>
  <c r="H84" i="1"/>
  <c r="J90" i="4"/>
  <c r="J179" i="1"/>
  <c r="AT7" i="4"/>
  <c r="AT182" i="1"/>
  <c r="AT195" i="1" s="1"/>
  <c r="AT41" i="1"/>
  <c r="AV159" i="1"/>
  <c r="AV149" i="1"/>
  <c r="I41" i="1"/>
  <c r="I99" i="1" s="1"/>
  <c r="I7" i="4"/>
  <c r="I96" i="1"/>
  <c r="J7" i="4"/>
  <c r="J96" i="1"/>
  <c r="J41" i="1"/>
  <c r="J99" i="1" s="1"/>
  <c r="I57" i="10"/>
  <c r="G16" i="4" s="1"/>
  <c r="J57" i="10"/>
  <c r="L57" i="10"/>
  <c r="AM69" i="1"/>
  <c r="AN17" i="1"/>
  <c r="S6" i="4"/>
  <c r="S35" i="1"/>
  <c r="M149" i="1"/>
  <c r="M159" i="1"/>
  <c r="Z78" i="23"/>
  <c r="M4" i="24" s="1"/>
  <c r="M5" i="24" s="1"/>
  <c r="M11" i="24" s="1"/>
  <c r="M13" i="24" s="1"/>
  <c r="M15" i="24" s="1"/>
  <c r="M16" i="24" s="1"/>
  <c r="Z81" i="1" s="1"/>
  <c r="Z86" i="23"/>
  <c r="L149" i="1"/>
  <c r="L159" i="1"/>
  <c r="Q7" i="4"/>
  <c r="A72" i="10" s="1"/>
  <c r="Q41" i="1"/>
  <c r="M7" i="4"/>
  <c r="A67" i="10" s="1"/>
  <c r="M41" i="1"/>
  <c r="AH150" i="1"/>
  <c r="P51" i="1"/>
  <c r="P38" i="1"/>
  <c r="I95" i="1"/>
  <c r="T23" i="1"/>
  <c r="T49" i="1" s="1"/>
  <c r="U24" i="1"/>
  <c r="K7" i="4"/>
  <c r="K96" i="1"/>
  <c r="K41" i="1"/>
  <c r="K99" i="1" s="1"/>
  <c r="N7" i="4"/>
  <c r="A68" i="10" s="1"/>
  <c r="N41" i="1"/>
  <c r="AA44" i="23"/>
  <c r="AB126" i="1"/>
  <c r="AA127" i="1"/>
  <c r="J56" i="10"/>
  <c r="I56" i="10"/>
  <c r="F16" i="4" s="1"/>
  <c r="L56" i="10"/>
  <c r="AF69" i="1"/>
  <c r="AG17" i="1"/>
  <c r="AF154" i="1"/>
  <c r="AG154" i="1" s="1"/>
  <c r="AH154" i="1" s="1"/>
  <c r="AI154" i="1" s="1"/>
  <c r="AJ154" i="1" s="1"/>
  <c r="AK154" i="1" s="1"/>
  <c r="AL154" i="1" s="1"/>
  <c r="AM154" i="1" s="1"/>
  <c r="AN154" i="1" s="1"/>
  <c r="AO154" i="1" s="1"/>
  <c r="AP154" i="1" s="1"/>
  <c r="AQ154" i="1" s="1"/>
  <c r="AR154" i="1" s="1"/>
  <c r="S38" i="1"/>
  <c r="L7" i="4"/>
  <c r="A65" i="10" s="1"/>
  <c r="L41" i="1"/>
  <c r="O7" i="4"/>
  <c r="A70" i="10" s="1"/>
  <c r="O41" i="1"/>
  <c r="T44" i="23"/>
  <c r="T139" i="23"/>
  <c r="T146" i="23" s="1"/>
  <c r="T108" i="23"/>
  <c r="G55" i="11"/>
  <c r="U126" i="1"/>
  <c r="T127" i="1"/>
  <c r="S78" i="23"/>
  <c r="S86" i="23"/>
  <c r="I61" i="8"/>
  <c r="J61" i="8" s="1"/>
  <c r="K61" i="8" s="1"/>
  <c r="D97" i="25" l="1"/>
  <c r="AC105" i="1"/>
  <c r="T50" i="1"/>
  <c r="X18" i="1"/>
  <c r="W70" i="1"/>
  <c r="W74" i="1" s="1"/>
  <c r="Y16" i="1"/>
  <c r="X68" i="1"/>
  <c r="X24" i="23"/>
  <c r="X28" i="23" s="1"/>
  <c r="X29" i="23" s="1"/>
  <c r="X30" i="23" s="1"/>
  <c r="X15" i="1" s="1"/>
  <c r="BO28" i="1"/>
  <c r="BN168" i="1"/>
  <c r="K95" i="1"/>
  <c r="W24" i="23"/>
  <c r="W28" i="23" s="1"/>
  <c r="W29" i="23" s="1"/>
  <c r="W30" i="23" s="1"/>
  <c r="W15" i="1" s="1"/>
  <c r="L180" i="1"/>
  <c r="AW201" i="1"/>
  <c r="AU91" i="4"/>
  <c r="AU195" i="1"/>
  <c r="AW53" i="1"/>
  <c r="AW36" i="1"/>
  <c r="BB201" i="1"/>
  <c r="F91" i="4"/>
  <c r="F195" i="1"/>
  <c r="M180" i="1"/>
  <c r="I182" i="1"/>
  <c r="I195" i="1" s="1"/>
  <c r="I108" i="1"/>
  <c r="AV200" i="1"/>
  <c r="AV198" i="1"/>
  <c r="AV197" i="1"/>
  <c r="H180" i="1"/>
  <c r="H201" i="1"/>
  <c r="AE201" i="1"/>
  <c r="F185" i="1"/>
  <c r="BD157" i="1"/>
  <c r="BE20" i="1"/>
  <c r="BB35" i="1"/>
  <c r="AV180" i="1"/>
  <c r="BD24" i="1"/>
  <c r="BC161" i="1"/>
  <c r="BC160" i="1" s="1"/>
  <c r="BC23" i="1"/>
  <c r="AN25" i="1"/>
  <c r="AM162" i="1"/>
  <c r="K182" i="1"/>
  <c r="K195" i="1" s="1"/>
  <c r="K108" i="1"/>
  <c r="J201" i="1"/>
  <c r="J180" i="1"/>
  <c r="H182" i="1"/>
  <c r="H195" i="1" s="1"/>
  <c r="H108" i="1"/>
  <c r="V105" i="1"/>
  <c r="V113" i="1"/>
  <c r="AX200" i="1"/>
  <c r="AX197" i="1"/>
  <c r="AX198" i="1"/>
  <c r="AS91" i="4"/>
  <c r="AS195" i="1"/>
  <c r="E91" i="4"/>
  <c r="E195" i="1"/>
  <c r="G91" i="4"/>
  <c r="G195" i="1"/>
  <c r="S53" i="1"/>
  <c r="S36" i="1"/>
  <c r="S51" i="1" s="1"/>
  <c r="J182" i="1"/>
  <c r="J195" i="1" s="1"/>
  <c r="J108" i="1"/>
  <c r="U191" i="1"/>
  <c r="U182" i="1"/>
  <c r="U195" i="1" s="1"/>
  <c r="U200" i="1"/>
  <c r="U198" i="1"/>
  <c r="U197" i="1"/>
  <c r="U201" i="1"/>
  <c r="AW52" i="1"/>
  <c r="AW50" i="1"/>
  <c r="AW49" i="1"/>
  <c r="AX52" i="1"/>
  <c r="AX49" i="1"/>
  <c r="AX50" i="1"/>
  <c r="K201" i="1"/>
  <c r="K180" i="1"/>
  <c r="AD201" i="1"/>
  <c r="BD162" i="1"/>
  <c r="BE25" i="1"/>
  <c r="D16" i="4"/>
  <c r="D78" i="4" s="1"/>
  <c r="D101" i="4" s="1"/>
  <c r="D100" i="4" s="1"/>
  <c r="I59" i="10"/>
  <c r="AW16" i="4" s="1"/>
  <c r="C101" i="4"/>
  <c r="C100" i="4" s="1"/>
  <c r="AD9" i="19"/>
  <c r="AD10" i="19" s="1"/>
  <c r="AD105" i="1"/>
  <c r="C15" i="4"/>
  <c r="J59" i="10"/>
  <c r="J95" i="1"/>
  <c r="J112" i="1" s="1"/>
  <c r="AS185" i="1"/>
  <c r="K48" i="10"/>
  <c r="E78" i="4"/>
  <c r="E101" i="4" s="1"/>
  <c r="E100" i="4" s="1"/>
  <c r="F196" i="1"/>
  <c r="G196" i="1" s="1"/>
  <c r="AU199" i="1"/>
  <c r="F199" i="1"/>
  <c r="AT199" i="1"/>
  <c r="I199" i="1"/>
  <c r="G199" i="1"/>
  <c r="G109" i="1"/>
  <c r="E186" i="1"/>
  <c r="R7" i="4"/>
  <c r="D15" i="4"/>
  <c r="D77" i="4" s="1"/>
  <c r="I112" i="1"/>
  <c r="K112" i="1"/>
  <c r="G112" i="1"/>
  <c r="R41" i="1"/>
  <c r="AU185" i="1"/>
  <c r="E42" i="1"/>
  <c r="E100" i="1" s="1"/>
  <c r="U199" i="1"/>
  <c r="BS79" i="1"/>
  <c r="BR75" i="1"/>
  <c r="K57" i="10"/>
  <c r="AW38" i="1"/>
  <c r="AW7" i="4" s="1"/>
  <c r="AX38" i="1"/>
  <c r="AX51" i="1"/>
  <c r="AV182" i="1"/>
  <c r="AV195" i="1" s="1"/>
  <c r="AV41" i="1"/>
  <c r="AV7" i="4"/>
  <c r="AY158" i="1"/>
  <c r="AY159" i="1" s="1"/>
  <c r="AY22" i="1"/>
  <c r="AZ21" i="1"/>
  <c r="AW51" i="1"/>
  <c r="V9" i="19"/>
  <c r="V10" i="19" s="1"/>
  <c r="V148" i="1"/>
  <c r="H95" i="1"/>
  <c r="H48" i="1"/>
  <c r="I48" i="1" s="1"/>
  <c r="J48" i="1" s="1"/>
  <c r="K48" i="1" s="1"/>
  <c r="L48" i="1" s="1"/>
  <c r="M48" i="1" s="1"/>
  <c r="N48" i="1" s="1"/>
  <c r="O48" i="1" s="1"/>
  <c r="P48" i="1" s="1"/>
  <c r="Q48" i="1" s="1"/>
  <c r="R48" i="1" s="1"/>
  <c r="AT91" i="4"/>
  <c r="AT185" i="1"/>
  <c r="U14" i="19"/>
  <c r="U15" i="19" s="1"/>
  <c r="U90" i="4"/>
  <c r="A58" i="10"/>
  <c r="H68" i="4"/>
  <c r="AS16" i="4"/>
  <c r="AV16" i="4"/>
  <c r="AW149" i="1"/>
  <c r="AW159" i="1"/>
  <c r="G127" i="1"/>
  <c r="H122" i="1"/>
  <c r="I132" i="1"/>
  <c r="W127" i="1"/>
  <c r="W42" i="23"/>
  <c r="J4" i="24" s="1"/>
  <c r="J5" i="24" s="1"/>
  <c r="J11" i="24" s="1"/>
  <c r="J13" i="24" s="1"/>
  <c r="J15" i="24" s="1"/>
  <c r="J16" i="24" s="1"/>
  <c r="W81" i="1" s="1"/>
  <c r="W75" i="1" s="1"/>
  <c r="W63" i="1"/>
  <c r="W107" i="23"/>
  <c r="Y132" i="1"/>
  <c r="X122" i="1"/>
  <c r="I62" i="8"/>
  <c r="J62" i="8" s="1"/>
  <c r="K62" i="8" s="1"/>
  <c r="S7" i="4"/>
  <c r="S41" i="1"/>
  <c r="K68" i="4"/>
  <c r="A63" i="10"/>
  <c r="T91" i="4"/>
  <c r="AG69" i="1"/>
  <c r="AH17" i="1"/>
  <c r="F78" i="4"/>
  <c r="F101" i="4" s="1"/>
  <c r="F100" i="4" s="1"/>
  <c r="F15" i="4"/>
  <c r="AB44" i="23"/>
  <c r="AC126" i="1"/>
  <c r="AB127" i="1"/>
  <c r="T35" i="1"/>
  <c r="T6" i="4"/>
  <c r="I67" i="10"/>
  <c r="M16" i="4" s="1"/>
  <c r="M15" i="4" s="1"/>
  <c r="M12" i="4" s="1"/>
  <c r="L67" i="10"/>
  <c r="J67" i="10"/>
  <c r="L72" i="10"/>
  <c r="J72" i="10"/>
  <c r="I72" i="10"/>
  <c r="H72" i="10"/>
  <c r="Y101" i="4" s="1"/>
  <c r="Z75" i="1"/>
  <c r="AA81" i="1"/>
  <c r="G78" i="4"/>
  <c r="G101" i="4" s="1"/>
  <c r="G100" i="4" s="1"/>
  <c r="G15" i="4"/>
  <c r="A62" i="10"/>
  <c r="J68" i="4"/>
  <c r="I68" i="4"/>
  <c r="A60" i="10"/>
  <c r="T38" i="1"/>
  <c r="U44" i="23"/>
  <c r="U139" i="23"/>
  <c r="U146" i="23" s="1"/>
  <c r="U108" i="23"/>
  <c r="H55" i="11"/>
  <c r="H56" i="11" s="1"/>
  <c r="V126" i="1"/>
  <c r="U127" i="1"/>
  <c r="T86" i="23"/>
  <c r="T78" i="23"/>
  <c r="G4" i="24" s="1"/>
  <c r="G5" i="24" s="1"/>
  <c r="G11" i="24" s="1"/>
  <c r="G13" i="24" s="1"/>
  <c r="G15" i="24" s="1"/>
  <c r="G16" i="24" s="1"/>
  <c r="T81" i="1" s="1"/>
  <c r="T75" i="1" s="1"/>
  <c r="T96" i="1" s="1"/>
  <c r="T108" i="1" s="1"/>
  <c r="I70" i="10"/>
  <c r="O16" i="4" s="1"/>
  <c r="O15" i="4" s="1"/>
  <c r="O12" i="4" s="1"/>
  <c r="J70" i="10"/>
  <c r="L70" i="10"/>
  <c r="L65" i="10"/>
  <c r="I65" i="10"/>
  <c r="L16" i="4" s="1"/>
  <c r="L15" i="4" s="1"/>
  <c r="L12" i="4" s="1"/>
  <c r="J65" i="10"/>
  <c r="K56" i="10"/>
  <c r="AA86" i="23"/>
  <c r="AA78" i="23"/>
  <c r="N4" i="24" s="1"/>
  <c r="N5" i="24" s="1"/>
  <c r="N11" i="24" s="1"/>
  <c r="N13" i="24" s="1"/>
  <c r="N15" i="24" s="1"/>
  <c r="N16" i="24" s="1"/>
  <c r="I68" i="10"/>
  <c r="N16" i="4" s="1"/>
  <c r="N15" i="4" s="1"/>
  <c r="N12" i="4" s="1"/>
  <c r="L68" i="10"/>
  <c r="J68" i="10"/>
  <c r="K91" i="4"/>
  <c r="U23" i="1"/>
  <c r="V24" i="1"/>
  <c r="P7" i="4"/>
  <c r="A71" i="10" s="1"/>
  <c r="P41" i="1"/>
  <c r="AN69" i="1"/>
  <c r="AO17" i="1"/>
  <c r="J185" i="1"/>
  <c r="I91" i="4"/>
  <c r="I185" i="1"/>
  <c r="D104" i="25" l="1"/>
  <c r="F104" i="25" s="1"/>
  <c r="F97" i="25"/>
  <c r="H91" i="4"/>
  <c r="BP28" i="1"/>
  <c r="BO168" i="1"/>
  <c r="Z16" i="1"/>
  <c r="Y68" i="1"/>
  <c r="Y153" i="1"/>
  <c r="Z153" i="1" s="1"/>
  <c r="AA153" i="1" s="1"/>
  <c r="AB153" i="1" s="1"/>
  <c r="AC153" i="1" s="1"/>
  <c r="AD153" i="1" s="1"/>
  <c r="AE153" i="1" s="1"/>
  <c r="W13" i="1"/>
  <c r="W22" i="1"/>
  <c r="W52" i="1" s="1"/>
  <c r="X22" i="1"/>
  <c r="X52" i="1" s="1"/>
  <c r="X13" i="1"/>
  <c r="X70" i="1"/>
  <c r="Y18" i="1"/>
  <c r="Y24" i="23" s="1"/>
  <c r="K185" i="1"/>
  <c r="S48" i="1"/>
  <c r="H185" i="1"/>
  <c r="X74" i="1"/>
  <c r="W111" i="1"/>
  <c r="W110" i="1"/>
  <c r="BE162" i="1"/>
  <c r="BF25" i="1"/>
  <c r="J91" i="4"/>
  <c r="U49" i="1"/>
  <c r="U50" i="1"/>
  <c r="T111" i="1"/>
  <c r="T110" i="1"/>
  <c r="W96" i="1"/>
  <c r="W108" i="1" s="1"/>
  <c r="AW200" i="1"/>
  <c r="AW198" i="1"/>
  <c r="AW197" i="1"/>
  <c r="AT16" i="4"/>
  <c r="BC6" i="4"/>
  <c r="BC35" i="1"/>
  <c r="BB53" i="1"/>
  <c r="BC90" i="4"/>
  <c r="BC179" i="1"/>
  <c r="BE157" i="1"/>
  <c r="BF20" i="1"/>
  <c r="T53" i="1"/>
  <c r="T36" i="1"/>
  <c r="AY52" i="1"/>
  <c r="AY50" i="1"/>
  <c r="AY49" i="1"/>
  <c r="AY36" i="1"/>
  <c r="D7" i="25"/>
  <c r="F7" i="25" s="1"/>
  <c r="W105" i="1"/>
  <c r="W113" i="1"/>
  <c r="AU16" i="4"/>
  <c r="AY200" i="1"/>
  <c r="AY198" i="1"/>
  <c r="AY197" i="1"/>
  <c r="AY180" i="1"/>
  <c r="F186" i="1"/>
  <c r="G186" i="1" s="1"/>
  <c r="H186" i="1" s="1"/>
  <c r="I186" i="1" s="1"/>
  <c r="J186" i="1" s="1"/>
  <c r="K186" i="1" s="1"/>
  <c r="AO25" i="1"/>
  <c r="AN162" i="1"/>
  <c r="BD161" i="1"/>
  <c r="BD160" i="1" s="1"/>
  <c r="BE24" i="1"/>
  <c r="BD23" i="1"/>
  <c r="AW180" i="1"/>
  <c r="V191" i="1"/>
  <c r="V182" i="1"/>
  <c r="V195" i="1" s="1"/>
  <c r="V198" i="1"/>
  <c r="V200" i="1"/>
  <c r="V197" i="1"/>
  <c r="V201" i="1"/>
  <c r="K59" i="10"/>
  <c r="F42" i="1"/>
  <c r="H196" i="1"/>
  <c r="I196" i="1" s="1"/>
  <c r="J196" i="1" s="1"/>
  <c r="K196" i="1" s="1"/>
  <c r="L196" i="1" s="1"/>
  <c r="M196" i="1" s="1"/>
  <c r="N196" i="1" s="1"/>
  <c r="O196" i="1" s="1"/>
  <c r="P196" i="1" s="1"/>
  <c r="Q196" i="1" s="1"/>
  <c r="R196" i="1" s="1"/>
  <c r="S196" i="1" s="1"/>
  <c r="T196" i="1" s="1"/>
  <c r="U196" i="1" s="1"/>
  <c r="V196" i="1" s="1"/>
  <c r="W196" i="1" s="1"/>
  <c r="X196" i="1" s="1"/>
  <c r="H199" i="1"/>
  <c r="AX199" i="1"/>
  <c r="AV199" i="1"/>
  <c r="K199" i="1"/>
  <c r="J199" i="1"/>
  <c r="H112" i="1"/>
  <c r="AW41" i="1"/>
  <c r="T51" i="1"/>
  <c r="V199" i="1"/>
  <c r="T68" i="4"/>
  <c r="A87" i="10" s="1"/>
  <c r="W94" i="1"/>
  <c r="H109" i="1"/>
  <c r="I109" i="1" s="1"/>
  <c r="J109" i="1" s="1"/>
  <c r="K109" i="1" s="1"/>
  <c r="L109" i="1" s="1"/>
  <c r="M109" i="1" s="1"/>
  <c r="N109" i="1" s="1"/>
  <c r="O109" i="1" s="1"/>
  <c r="AW182" i="1"/>
  <c r="BT79" i="1"/>
  <c r="BT75" i="1" s="1"/>
  <c r="BS75" i="1"/>
  <c r="AV185" i="1"/>
  <c r="AV91" i="4"/>
  <c r="AX182" i="1"/>
  <c r="AX195" i="1" s="1"/>
  <c r="AX7" i="4"/>
  <c r="A64" i="10" s="1"/>
  <c r="AX41" i="1"/>
  <c r="AY38" i="1"/>
  <c r="AY51" i="1"/>
  <c r="BA21" i="1"/>
  <c r="AZ22" i="1"/>
  <c r="AZ158" i="1"/>
  <c r="AZ159" i="1" s="1"/>
  <c r="X127" i="1"/>
  <c r="X107" i="23"/>
  <c r="X63" i="1"/>
  <c r="X42" i="23"/>
  <c r="K4" i="24" s="1"/>
  <c r="K5" i="24" s="1"/>
  <c r="K11" i="24" s="1"/>
  <c r="K13" i="24" s="1"/>
  <c r="K15" i="24" s="1"/>
  <c r="K16" i="24" s="1"/>
  <c r="X81" i="1" s="1"/>
  <c r="X75" i="1" s="1"/>
  <c r="Z132" i="1"/>
  <c r="Y122" i="1"/>
  <c r="AU101" i="4"/>
  <c r="AU15" i="4"/>
  <c r="AT101" i="4"/>
  <c r="AT15" i="4"/>
  <c r="AW101" i="4"/>
  <c r="AW15" i="4"/>
  <c r="I58" i="10"/>
  <c r="H16" i="4" s="1"/>
  <c r="J58" i="10"/>
  <c r="L58" i="10"/>
  <c r="K70" i="10"/>
  <c r="K67" i="10"/>
  <c r="W9" i="19"/>
  <c r="W10" i="19" s="1"/>
  <c r="W148" i="1"/>
  <c r="W67" i="4"/>
  <c r="H127" i="1"/>
  <c r="J132" i="1"/>
  <c r="I122" i="1"/>
  <c r="AV101" i="4"/>
  <c r="AV15" i="4"/>
  <c r="AS15" i="4"/>
  <c r="AS101" i="4"/>
  <c r="V90" i="4"/>
  <c r="V14" i="19"/>
  <c r="V15" i="19" s="1"/>
  <c r="I63" i="8"/>
  <c r="J63" i="8" s="1"/>
  <c r="K63" i="8" s="1"/>
  <c r="AO69" i="1"/>
  <c r="I71" i="10"/>
  <c r="P16" i="4" s="1"/>
  <c r="P15" i="4" s="1"/>
  <c r="P12" i="4" s="1"/>
  <c r="J71" i="10"/>
  <c r="L71" i="10"/>
  <c r="K65" i="10"/>
  <c r="U91" i="4"/>
  <c r="J60" i="10"/>
  <c r="I60" i="10"/>
  <c r="I16" i="4" s="1"/>
  <c r="L60" i="10"/>
  <c r="G12" i="4"/>
  <c r="G74" i="4" s="1"/>
  <c r="G97" i="4" s="1"/>
  <c r="G77" i="4"/>
  <c r="Z67" i="4"/>
  <c r="Z94" i="1"/>
  <c r="F100" i="1"/>
  <c r="G42" i="1"/>
  <c r="Y100" i="4"/>
  <c r="I26" i="4" s="1"/>
  <c r="Z101" i="4"/>
  <c r="AB86" i="23"/>
  <c r="AB78" i="23"/>
  <c r="O4" i="24" s="1"/>
  <c r="O5" i="24" s="1"/>
  <c r="O11" i="24" s="1"/>
  <c r="O13" i="24" s="1"/>
  <c r="O15" i="24" s="1"/>
  <c r="O16" i="24" s="1"/>
  <c r="J63" i="10"/>
  <c r="L63" i="10"/>
  <c r="I63" i="10"/>
  <c r="K16" i="4" s="1"/>
  <c r="V23" i="1"/>
  <c r="W24" i="1"/>
  <c r="U6" i="4"/>
  <c r="U35" i="1"/>
  <c r="U38" i="1"/>
  <c r="K68" i="10"/>
  <c r="T67" i="4"/>
  <c r="T94" i="1"/>
  <c r="V44" i="23"/>
  <c r="V139" i="23"/>
  <c r="V146" i="23" s="1"/>
  <c r="V108" i="23"/>
  <c r="V127" i="1"/>
  <c r="U86" i="23"/>
  <c r="U78" i="23"/>
  <c r="H4" i="24" s="1"/>
  <c r="H5" i="24" s="1"/>
  <c r="H11" i="24" s="1"/>
  <c r="H13" i="24" s="1"/>
  <c r="H15" i="24" s="1"/>
  <c r="H16" i="24" s="1"/>
  <c r="U81" i="1" s="1"/>
  <c r="U75" i="1" s="1"/>
  <c r="T7" i="4"/>
  <c r="T41" i="1"/>
  <c r="J62" i="10"/>
  <c r="I62" i="10"/>
  <c r="J16" i="4" s="1"/>
  <c r="L62" i="10"/>
  <c r="AB81" i="1"/>
  <c r="AA75" i="1"/>
  <c r="W16" i="4"/>
  <c r="W15" i="4" s="1"/>
  <c r="W12" i="4" s="1"/>
  <c r="Y16" i="4"/>
  <c r="Y15" i="4" s="1"/>
  <c r="Y12" i="4" s="1"/>
  <c r="AB16" i="4"/>
  <c r="AB15" i="4" s="1"/>
  <c r="AB12" i="4" s="1"/>
  <c r="AH16" i="4"/>
  <c r="AH15" i="4" s="1"/>
  <c r="AH12" i="4" s="1"/>
  <c r="AL16" i="4"/>
  <c r="AQ16" i="4"/>
  <c r="Q16" i="4"/>
  <c r="Q15" i="4" s="1"/>
  <c r="AK16" i="4"/>
  <c r="AM16" i="4"/>
  <c r="AO16" i="4"/>
  <c r="AF16" i="4"/>
  <c r="AF15" i="4" s="1"/>
  <c r="AF12" i="4" s="1"/>
  <c r="Z16" i="4"/>
  <c r="Z15" i="4" s="1"/>
  <c r="Z12" i="4" s="1"/>
  <c r="X16" i="4"/>
  <c r="X15" i="4" s="1"/>
  <c r="X12" i="4" s="1"/>
  <c r="AN16" i="4"/>
  <c r="AE16" i="4"/>
  <c r="AE15" i="4" s="1"/>
  <c r="AE12" i="4" s="1"/>
  <c r="R16" i="4"/>
  <c r="R15" i="4" s="1"/>
  <c r="R12" i="4" s="1"/>
  <c r="AR16" i="4"/>
  <c r="AG16" i="4"/>
  <c r="AG15" i="4" s="1"/>
  <c r="AG12" i="4" s="1"/>
  <c r="AD16" i="4"/>
  <c r="AD15" i="4" s="1"/>
  <c r="AD12" i="4" s="1"/>
  <c r="U16" i="4"/>
  <c r="U15" i="4" s="1"/>
  <c r="U12" i="4" s="1"/>
  <c r="V16" i="4"/>
  <c r="V15" i="4" s="1"/>
  <c r="V12" i="4" s="1"/>
  <c r="T16" i="4"/>
  <c r="T15" i="4" s="1"/>
  <c r="T12" i="4" s="1"/>
  <c r="S16" i="4"/>
  <c r="S15" i="4" s="1"/>
  <c r="S12" i="4" s="1"/>
  <c r="AC16" i="4"/>
  <c r="AC15" i="4" s="1"/>
  <c r="AC12" i="4" s="1"/>
  <c r="AI16" i="4"/>
  <c r="AP16" i="4"/>
  <c r="AA16" i="4"/>
  <c r="AA15" i="4" s="1"/>
  <c r="AA12" i="4" s="1"/>
  <c r="AJ16" i="4"/>
  <c r="K72" i="10"/>
  <c r="AC44" i="23"/>
  <c r="AD126" i="1"/>
  <c r="AC127" i="1"/>
  <c r="F77" i="4"/>
  <c r="F12" i="4"/>
  <c r="AH69" i="1"/>
  <c r="X96" i="1" l="1"/>
  <c r="X108" i="1" s="1"/>
  <c r="Y28" i="23"/>
  <c r="Y29" i="23" s="1"/>
  <c r="Y30" i="23" s="1"/>
  <c r="Y15" i="1" s="1"/>
  <c r="Y128" i="23"/>
  <c r="Y132" i="23" s="1"/>
  <c r="Y133" i="23" s="1"/>
  <c r="Y134" i="23" s="1"/>
  <c r="Y151" i="1" s="1"/>
  <c r="Y74" i="1"/>
  <c r="Y70" i="1"/>
  <c r="Y155" i="1"/>
  <c r="Z155" i="1" s="1"/>
  <c r="AA155" i="1" s="1"/>
  <c r="AB155" i="1" s="1"/>
  <c r="AC155" i="1" s="1"/>
  <c r="AD155" i="1" s="1"/>
  <c r="AE155" i="1" s="1"/>
  <c r="Z18" i="1"/>
  <c r="Z68" i="1"/>
  <c r="AA16" i="1"/>
  <c r="BP168" i="1"/>
  <c r="BQ28" i="1"/>
  <c r="T114" i="1"/>
  <c r="T95" i="1"/>
  <c r="U53" i="1"/>
  <c r="U36" i="1"/>
  <c r="U51" i="1" s="1"/>
  <c r="X111" i="1"/>
  <c r="X110" i="1"/>
  <c r="W114" i="1"/>
  <c r="W95" i="1"/>
  <c r="BF162" i="1"/>
  <c r="BG25" i="1"/>
  <c r="V49" i="1"/>
  <c r="V50" i="1"/>
  <c r="W191" i="1"/>
  <c r="W182" i="1"/>
  <c r="W195" i="1" s="1"/>
  <c r="W200" i="1"/>
  <c r="W198" i="1"/>
  <c r="W197" i="1"/>
  <c r="W201" i="1"/>
  <c r="X105" i="1"/>
  <c r="X113" i="1"/>
  <c r="BD6" i="4"/>
  <c r="BD35" i="1"/>
  <c r="AO162" i="1"/>
  <c r="AP25" i="1"/>
  <c r="BC201" i="1"/>
  <c r="BC53" i="1"/>
  <c r="U111" i="1"/>
  <c r="U110" i="1"/>
  <c r="AZ200" i="1"/>
  <c r="AZ198" i="1"/>
  <c r="AZ197" i="1"/>
  <c r="AZ180" i="1"/>
  <c r="AW185" i="1"/>
  <c r="AW195" i="1"/>
  <c r="BE161" i="1"/>
  <c r="BE160" i="1" s="1"/>
  <c r="BF24" i="1"/>
  <c r="BE23" i="1"/>
  <c r="U96" i="1"/>
  <c r="U108" i="1" s="1"/>
  <c r="Z114" i="1"/>
  <c r="AZ52" i="1"/>
  <c r="AZ50" i="1"/>
  <c r="AZ49" i="1"/>
  <c r="AZ36" i="1"/>
  <c r="AZ51" i="1" s="1"/>
  <c r="BD179" i="1"/>
  <c r="BD90" i="4"/>
  <c r="BG20" i="1"/>
  <c r="BF157" i="1"/>
  <c r="AY199" i="1"/>
  <c r="AW199" i="1"/>
  <c r="T99" i="1"/>
  <c r="AW91" i="4"/>
  <c r="T48" i="1"/>
  <c r="W199" i="1"/>
  <c r="X94" i="1"/>
  <c r="K71" i="10"/>
  <c r="L64" i="10"/>
  <c r="J64" i="10"/>
  <c r="I64" i="10"/>
  <c r="AX185" i="1"/>
  <c r="AX91" i="4"/>
  <c r="AZ38" i="1"/>
  <c r="BA158" i="1"/>
  <c r="BA159" i="1" s="1"/>
  <c r="BA22" i="1"/>
  <c r="BB21" i="1"/>
  <c r="AY7" i="4"/>
  <c r="AY41" i="1"/>
  <c r="AY182" i="1"/>
  <c r="AY195" i="1" s="1"/>
  <c r="AV100" i="4"/>
  <c r="AV12" i="4"/>
  <c r="AV97" i="4" s="1"/>
  <c r="I127" i="1"/>
  <c r="J122" i="1"/>
  <c r="K132" i="1"/>
  <c r="AW100" i="4"/>
  <c r="AW12" i="4"/>
  <c r="AW97" i="4" s="1"/>
  <c r="AT100" i="4"/>
  <c r="AT12" i="4"/>
  <c r="AT97" i="4" s="1"/>
  <c r="AU100" i="4"/>
  <c r="AU12" i="4"/>
  <c r="AU97" i="4" s="1"/>
  <c r="Y127" i="1"/>
  <c r="AA132" i="1"/>
  <c r="AB132" i="1"/>
  <c r="Y63" i="1"/>
  <c r="Y42" i="23"/>
  <c r="L4" i="24" s="1"/>
  <c r="L5" i="24" s="1"/>
  <c r="L11" i="24" s="1"/>
  <c r="L13" i="24" s="1"/>
  <c r="L15" i="24" s="1"/>
  <c r="L16" i="24" s="1"/>
  <c r="Y81" i="1" s="1"/>
  <c r="Y75" i="1" s="1"/>
  <c r="K62" i="10"/>
  <c r="K60" i="10"/>
  <c r="AS100" i="4"/>
  <c r="AS12" i="4"/>
  <c r="AS97" i="4" s="1"/>
  <c r="W99" i="1"/>
  <c r="W68" i="4"/>
  <c r="A90" i="10" s="1"/>
  <c r="W14" i="19"/>
  <c r="W15" i="19" s="1"/>
  <c r="W90" i="4"/>
  <c r="K58" i="10"/>
  <c r="H15" i="4"/>
  <c r="H78" i="4"/>
  <c r="H101" i="4" s="1"/>
  <c r="H100" i="4" s="1"/>
  <c r="X148" i="1"/>
  <c r="X9" i="19"/>
  <c r="X10" i="19" s="1"/>
  <c r="X67" i="4"/>
  <c r="I64" i="8"/>
  <c r="J64" i="8" s="1"/>
  <c r="K64" i="8" s="1"/>
  <c r="AD44" i="23"/>
  <c r="AE126" i="1"/>
  <c r="AD127" i="1"/>
  <c r="AI15" i="4"/>
  <c r="AI101" i="4"/>
  <c r="AR15" i="4"/>
  <c r="AR101" i="4"/>
  <c r="AM101" i="4"/>
  <c r="AM15" i="4"/>
  <c r="Q12" i="4"/>
  <c r="I23" i="4"/>
  <c r="AL15" i="4"/>
  <c r="AL101" i="4"/>
  <c r="AB75" i="1"/>
  <c r="AC81" i="1"/>
  <c r="J15" i="4"/>
  <c r="J78" i="4"/>
  <c r="J101" i="4" s="1"/>
  <c r="J100" i="4" s="1"/>
  <c r="U67" i="4"/>
  <c r="U94" i="1"/>
  <c r="V86" i="23"/>
  <c r="V78" i="23"/>
  <c r="I4" i="24" s="1"/>
  <c r="I5" i="24" s="1"/>
  <c r="I11" i="24" s="1"/>
  <c r="I13" i="24" s="1"/>
  <c r="I15" i="24" s="1"/>
  <c r="I16" i="24" s="1"/>
  <c r="V81" i="1" s="1"/>
  <c r="V75" i="1" s="1"/>
  <c r="U7" i="4"/>
  <c r="U41" i="1"/>
  <c r="V35" i="1"/>
  <c r="V6" i="4"/>
  <c r="V38" i="1"/>
  <c r="K63" i="10"/>
  <c r="AA101" i="4"/>
  <c r="Z100" i="4"/>
  <c r="G100" i="1"/>
  <c r="H42" i="1"/>
  <c r="I15" i="4"/>
  <c r="I78" i="4"/>
  <c r="I101" i="4" s="1"/>
  <c r="I100" i="4" s="1"/>
  <c r="J87" i="10"/>
  <c r="L87" i="10"/>
  <c r="C87" i="10"/>
  <c r="T78" i="4" s="1"/>
  <c r="T77" i="4" s="1"/>
  <c r="I87" i="10"/>
  <c r="D87" i="10"/>
  <c r="T101" i="4" s="1"/>
  <c r="T100" i="4" s="1"/>
  <c r="T96" i="4" s="1"/>
  <c r="T93" i="4" s="1"/>
  <c r="T183" i="1" s="1"/>
  <c r="T185" i="1" s="1"/>
  <c r="F74" i="4"/>
  <c r="F97" i="4" s="1"/>
  <c r="S23" i="4"/>
  <c r="AC86" i="23"/>
  <c r="AC78" i="23"/>
  <c r="P4" i="24" s="1"/>
  <c r="P5" i="24" s="1"/>
  <c r="P11" i="24" s="1"/>
  <c r="P13" i="24" s="1"/>
  <c r="P15" i="24" s="1"/>
  <c r="P16" i="24" s="1"/>
  <c r="AJ15" i="4"/>
  <c r="AJ101" i="4"/>
  <c r="AP15" i="4"/>
  <c r="AP101" i="4"/>
  <c r="AN15" i="4"/>
  <c r="AN101" i="4"/>
  <c r="AO15" i="4"/>
  <c r="AO101" i="4"/>
  <c r="AK101" i="4"/>
  <c r="AK15" i="4"/>
  <c r="AQ15" i="4"/>
  <c r="AQ101" i="4"/>
  <c r="AA67" i="4"/>
  <c r="AA94" i="1"/>
  <c r="V91" i="4"/>
  <c r="W23" i="1"/>
  <c r="X24" i="1"/>
  <c r="K15" i="4"/>
  <c r="K78" i="4"/>
  <c r="K101" i="4" s="1"/>
  <c r="K100" i="4" s="1"/>
  <c r="AA18" i="1" l="1"/>
  <c r="Z70" i="1"/>
  <c r="Z74" i="1" s="1"/>
  <c r="BR28" i="1"/>
  <c r="BQ168" i="1"/>
  <c r="W91" i="4"/>
  <c r="Z24" i="23"/>
  <c r="Y159" i="1"/>
  <c r="Y149" i="1"/>
  <c r="AA68" i="1"/>
  <c r="AB16" i="1"/>
  <c r="AA24" i="23"/>
  <c r="Y13" i="1"/>
  <c r="Y22" i="1"/>
  <c r="Y52" i="1" s="1"/>
  <c r="U114" i="1"/>
  <c r="U95" i="1"/>
  <c r="AA114" i="1"/>
  <c r="W50" i="1"/>
  <c r="W49" i="1"/>
  <c r="V53" i="1"/>
  <c r="V36" i="1"/>
  <c r="X191" i="1"/>
  <c r="X182" i="1"/>
  <c r="X195" i="1" s="1"/>
  <c r="X198" i="1"/>
  <c r="X197" i="1"/>
  <c r="X200" i="1"/>
  <c r="X201" i="1"/>
  <c r="BD53" i="1"/>
  <c r="BH25" i="1"/>
  <c r="BG162" i="1"/>
  <c r="Y111" i="1"/>
  <c r="Y110" i="1"/>
  <c r="BA52" i="1"/>
  <c r="BA50" i="1"/>
  <c r="BA49" i="1"/>
  <c r="BA36" i="1"/>
  <c r="BA51" i="1" s="1"/>
  <c r="BD201" i="1"/>
  <c r="BE6" i="4"/>
  <c r="BE35" i="1"/>
  <c r="Y96" i="1"/>
  <c r="Y108" i="1" s="1"/>
  <c r="Y105" i="1"/>
  <c r="Y113" i="1"/>
  <c r="BA200" i="1"/>
  <c r="BA198" i="1"/>
  <c r="BA197" i="1"/>
  <c r="BA180" i="1"/>
  <c r="BF161" i="1"/>
  <c r="BF160" i="1" s="1"/>
  <c r="BG24" i="1"/>
  <c r="BF23" i="1"/>
  <c r="AQ25" i="1"/>
  <c r="AP162" i="1"/>
  <c r="V110" i="1"/>
  <c r="V111" i="1"/>
  <c r="X114" i="1"/>
  <c r="X95" i="1"/>
  <c r="BG157" i="1"/>
  <c r="BH20" i="1"/>
  <c r="BE90" i="4"/>
  <c r="BE179" i="1"/>
  <c r="V96" i="1"/>
  <c r="V108" i="1" s="1"/>
  <c r="U48" i="1"/>
  <c r="AZ199" i="1"/>
  <c r="W112" i="1"/>
  <c r="T112" i="1"/>
  <c r="V51" i="1"/>
  <c r="X199" i="1"/>
  <c r="Y94" i="1"/>
  <c r="K64" i="10"/>
  <c r="AY91" i="4"/>
  <c r="AY185" i="1"/>
  <c r="BA38" i="1"/>
  <c r="AZ41" i="1"/>
  <c r="AZ182" i="1"/>
  <c r="AZ195" i="1" s="1"/>
  <c r="AZ7" i="4"/>
  <c r="BB158" i="1"/>
  <c r="BB159" i="1" s="1"/>
  <c r="BC21" i="1"/>
  <c r="BB22" i="1"/>
  <c r="X90" i="4"/>
  <c r="X14" i="19"/>
  <c r="X15" i="19" s="1"/>
  <c r="H12" i="4"/>
  <c r="H74" i="4" s="1"/>
  <c r="H97" i="4" s="1"/>
  <c r="H77" i="4"/>
  <c r="Y9" i="19"/>
  <c r="Y10" i="19" s="1"/>
  <c r="Y67" i="4"/>
  <c r="X99" i="1"/>
  <c r="X68" i="4"/>
  <c r="A91" i="10" s="1"/>
  <c r="D90" i="10"/>
  <c r="W101" i="4" s="1"/>
  <c r="W100" i="4" s="1"/>
  <c r="W96" i="4" s="1"/>
  <c r="W93" i="4" s="1"/>
  <c r="W183" i="1" s="1"/>
  <c r="W185" i="1" s="1"/>
  <c r="E90" i="10"/>
  <c r="W78" i="4" s="1"/>
  <c r="W77" i="4" s="1"/>
  <c r="J90" i="10"/>
  <c r="I90" i="10"/>
  <c r="L90" i="10"/>
  <c r="L132" i="1"/>
  <c r="J127" i="1"/>
  <c r="K122" i="1"/>
  <c r="I65" i="8"/>
  <c r="J65" i="8" s="1"/>
  <c r="K65" i="8" s="1"/>
  <c r="X23" i="1"/>
  <c r="Y24" i="1"/>
  <c r="U68" i="4"/>
  <c r="A88" i="10" s="1"/>
  <c r="U99" i="1"/>
  <c r="AK12" i="4"/>
  <c r="AK97" i="4" s="1"/>
  <c r="AK100" i="4"/>
  <c r="H100" i="1"/>
  <c r="I42" i="1"/>
  <c r="AB67" i="4"/>
  <c r="AB94" i="1"/>
  <c r="AL12" i="4"/>
  <c r="AL97" i="4" s="1"/>
  <c r="AL100" i="4"/>
  <c r="AR12" i="4"/>
  <c r="AR97" i="4" s="1"/>
  <c r="AR100" i="4"/>
  <c r="AI12" i="4"/>
  <c r="AI97" i="4" s="1"/>
  <c r="AI100" i="4"/>
  <c r="AE44" i="23"/>
  <c r="AF126" i="1"/>
  <c r="AE127" i="1"/>
  <c r="K12" i="4"/>
  <c r="K74" i="4" s="1"/>
  <c r="K97" i="4" s="1"/>
  <c r="K77" i="4"/>
  <c r="W6" i="4"/>
  <c r="W35" i="1"/>
  <c r="W38" i="1"/>
  <c r="AQ12" i="4"/>
  <c r="AQ97" i="4" s="1"/>
  <c r="AQ100" i="4"/>
  <c r="AO100" i="4"/>
  <c r="AO12" i="4"/>
  <c r="AO97" i="4" s="1"/>
  <c r="AN12" i="4"/>
  <c r="AN97" i="4" s="1"/>
  <c r="AN100" i="4"/>
  <c r="AP12" i="4"/>
  <c r="AP97" i="4" s="1"/>
  <c r="AP100" i="4"/>
  <c r="AJ12" i="4"/>
  <c r="AJ97" i="4" s="1"/>
  <c r="AJ100" i="4"/>
  <c r="K87" i="10"/>
  <c r="I12" i="4"/>
  <c r="I74" i="4" s="1"/>
  <c r="I97" i="4" s="1"/>
  <c r="I77" i="4"/>
  <c r="AA100" i="4"/>
  <c r="AB101" i="4"/>
  <c r="V7" i="4"/>
  <c r="V41" i="1"/>
  <c r="V67" i="4"/>
  <c r="V94" i="1"/>
  <c r="J12" i="4"/>
  <c r="J74" i="4" s="1"/>
  <c r="J97" i="4" s="1"/>
  <c r="J77" i="4"/>
  <c r="AD81" i="1"/>
  <c r="AC75" i="1"/>
  <c r="AM12" i="4"/>
  <c r="AM97" i="4" s="1"/>
  <c r="AM100" i="4"/>
  <c r="AD86" i="23"/>
  <c r="AD78" i="23"/>
  <c r="Q4" i="24" s="1"/>
  <c r="Q5" i="24" s="1"/>
  <c r="Q11" i="24" s="1"/>
  <c r="Q13" i="24" s="1"/>
  <c r="Q15" i="24" s="1"/>
  <c r="Q16" i="24" s="1"/>
  <c r="AA28" i="23" l="1"/>
  <c r="AA29" i="23" s="1"/>
  <c r="AA30" i="23" s="1"/>
  <c r="AA15" i="1" s="1"/>
  <c r="AA128" i="23"/>
  <c r="AA132" i="23" s="1"/>
  <c r="AA133" i="23" s="1"/>
  <c r="AA134" i="23" s="1"/>
  <c r="AA151" i="1" s="1"/>
  <c r="BS28" i="1"/>
  <c r="BR168" i="1"/>
  <c r="X91" i="4"/>
  <c r="AC16" i="1"/>
  <c r="AB68" i="1"/>
  <c r="AB24" i="23"/>
  <c r="Z128" i="23"/>
  <c r="Z132" i="23" s="1"/>
  <c r="Z133" i="23" s="1"/>
  <c r="Z134" i="23" s="1"/>
  <c r="Z151" i="1" s="1"/>
  <c r="Z28" i="23"/>
  <c r="Z29" i="23" s="1"/>
  <c r="Z30" i="23" s="1"/>
  <c r="Z15" i="1" s="1"/>
  <c r="Z113" i="1"/>
  <c r="Z111" i="1"/>
  <c r="Z96" i="1"/>
  <c r="Z110" i="1"/>
  <c r="Z95" i="1"/>
  <c r="Z112" i="1" s="1"/>
  <c r="Y198" i="1"/>
  <c r="Y200" i="1"/>
  <c r="Y197" i="1"/>
  <c r="Y182" i="1"/>
  <c r="Y180" i="1"/>
  <c r="AB18" i="1"/>
  <c r="AA70" i="1"/>
  <c r="AA74" i="1" s="1"/>
  <c r="V114" i="1"/>
  <c r="V95" i="1"/>
  <c r="W53" i="1"/>
  <c r="W36" i="1"/>
  <c r="W51" i="1" s="1"/>
  <c r="X50" i="1"/>
  <c r="X49" i="1"/>
  <c r="AR25" i="1"/>
  <c r="AQ162" i="1"/>
  <c r="BE201" i="1"/>
  <c r="BG161" i="1"/>
  <c r="BG160" i="1" s="1"/>
  <c r="BH24" i="1"/>
  <c r="BG23" i="1"/>
  <c r="BB200" i="1"/>
  <c r="BB197" i="1"/>
  <c r="BB198" i="1"/>
  <c r="BB180" i="1"/>
  <c r="BF179" i="1"/>
  <c r="BF90" i="4"/>
  <c r="BB52" i="1"/>
  <c r="BB49" i="1"/>
  <c r="BB50" i="1"/>
  <c r="BB36" i="1"/>
  <c r="BB51" i="1" s="1"/>
  <c r="BF6" i="4"/>
  <c r="BF35" i="1"/>
  <c r="BE53" i="1"/>
  <c r="BH162" i="1"/>
  <c r="BI25" i="1"/>
  <c r="AB114" i="1"/>
  <c r="Y114" i="1"/>
  <c r="Y95" i="1"/>
  <c r="BH157" i="1"/>
  <c r="BI20" i="1"/>
  <c r="V48" i="1"/>
  <c r="BA199" i="1"/>
  <c r="U112" i="1"/>
  <c r="X112" i="1"/>
  <c r="BB38" i="1"/>
  <c r="AZ91" i="4"/>
  <c r="AZ185" i="1"/>
  <c r="BC158" i="1"/>
  <c r="BC159" i="1" s="1"/>
  <c r="BD21" i="1"/>
  <c r="BC22" i="1"/>
  <c r="BA41" i="1"/>
  <c r="BA7" i="4"/>
  <c r="BA182" i="1"/>
  <c r="BA195" i="1" s="1"/>
  <c r="Y68" i="4"/>
  <c r="A92" i="10" s="1"/>
  <c r="Y99" i="1"/>
  <c r="D91" i="10"/>
  <c r="X101" i="4" s="1"/>
  <c r="X100" i="4" s="1"/>
  <c r="X96" i="4" s="1"/>
  <c r="X93" i="4" s="1"/>
  <c r="X183" i="1" s="1"/>
  <c r="X185" i="1" s="1"/>
  <c r="I91" i="10"/>
  <c r="J91" i="10"/>
  <c r="E91" i="10"/>
  <c r="X78" i="4" s="1"/>
  <c r="X77" i="4" s="1"/>
  <c r="L91" i="10"/>
  <c r="M132" i="1"/>
  <c r="K127" i="1"/>
  <c r="L122" i="1"/>
  <c r="K90" i="10"/>
  <c r="I66" i="8"/>
  <c r="J66" i="8" s="1"/>
  <c r="K66" i="8" s="1"/>
  <c r="AC94" i="1"/>
  <c r="AC67" i="4"/>
  <c r="V68" i="4"/>
  <c r="A89" i="10" s="1"/>
  <c r="V99" i="1"/>
  <c r="W7" i="4"/>
  <c r="W41" i="1"/>
  <c r="AE86" i="23"/>
  <c r="AE78" i="23"/>
  <c r="R4" i="24" s="1"/>
  <c r="R5" i="24" s="1"/>
  <c r="R11" i="24" s="1"/>
  <c r="R13" i="24" s="1"/>
  <c r="R15" i="24" s="1"/>
  <c r="R16" i="24" s="1"/>
  <c r="J88" i="10"/>
  <c r="L88" i="10"/>
  <c r="I88" i="10"/>
  <c r="D88" i="10"/>
  <c r="U101" i="4" s="1"/>
  <c r="U100" i="4" s="1"/>
  <c r="U96" i="4" s="1"/>
  <c r="U93" i="4" s="1"/>
  <c r="U183" i="1" s="1"/>
  <c r="U185" i="1" s="1"/>
  <c r="E88" i="10"/>
  <c r="U78" i="4" s="1"/>
  <c r="U77" i="4" s="1"/>
  <c r="X6" i="4"/>
  <c r="X35" i="1"/>
  <c r="X38" i="1"/>
  <c r="AE81" i="1"/>
  <c r="AE75" i="1" s="1"/>
  <c r="AD75" i="1"/>
  <c r="AC101" i="4"/>
  <c r="AB100" i="4"/>
  <c r="AF44" i="23"/>
  <c r="AG126" i="1"/>
  <c r="AF127" i="1"/>
  <c r="J42" i="1"/>
  <c r="I100" i="1"/>
  <c r="Y23" i="1"/>
  <c r="Z24" i="1"/>
  <c r="AA113" i="1" l="1"/>
  <c r="AA111" i="1"/>
  <c r="AA110" i="1"/>
  <c r="AA96" i="1"/>
  <c r="AA95" i="1"/>
  <c r="AA112" i="1" s="1"/>
  <c r="Y185" i="1"/>
  <c r="Y195" i="1"/>
  <c r="Y91" i="4"/>
  <c r="BS168" i="1"/>
  <c r="BT28" i="1"/>
  <c r="AB70" i="1"/>
  <c r="AB74" i="1" s="1"/>
  <c r="AC18" i="1"/>
  <c r="AC24" i="23" s="1"/>
  <c r="Z22" i="1"/>
  <c r="Z52" i="1" s="1"/>
  <c r="Z13" i="1"/>
  <c r="AC68" i="1"/>
  <c r="AD16" i="1"/>
  <c r="AA159" i="1"/>
  <c r="AA149" i="1"/>
  <c r="Y199" i="1"/>
  <c r="Y196" i="1"/>
  <c r="AB128" i="23"/>
  <c r="AB132" i="23" s="1"/>
  <c r="AB133" i="23" s="1"/>
  <c r="AB134" i="23" s="1"/>
  <c r="AB151" i="1" s="1"/>
  <c r="AB28" i="23"/>
  <c r="AB29" i="23" s="1"/>
  <c r="AB30" i="23" s="1"/>
  <c r="AB15" i="1" s="1"/>
  <c r="Z108" i="1"/>
  <c r="Z68" i="4"/>
  <c r="Z99" i="1"/>
  <c r="Z159" i="1"/>
  <c r="Z149" i="1"/>
  <c r="AA22" i="1"/>
  <c r="AA52" i="1" s="1"/>
  <c r="AA13" i="1"/>
  <c r="BF53" i="1"/>
  <c r="BF201" i="1"/>
  <c r="BG90" i="4"/>
  <c r="BG179" i="1"/>
  <c r="BC52" i="1"/>
  <c r="BC50" i="1"/>
  <c r="BC49" i="1"/>
  <c r="BC36" i="1"/>
  <c r="AC114" i="1"/>
  <c r="BI157" i="1"/>
  <c r="BJ20" i="1"/>
  <c r="BG6" i="4"/>
  <c r="BG35" i="1"/>
  <c r="AR162" i="1"/>
  <c r="D17" i="25"/>
  <c r="Y50" i="1"/>
  <c r="Y49" i="1"/>
  <c r="X53" i="1"/>
  <c r="X36" i="1"/>
  <c r="X51" i="1" s="1"/>
  <c r="BC200" i="1"/>
  <c r="BC198" i="1"/>
  <c r="BC197" i="1"/>
  <c r="BC180" i="1"/>
  <c r="BH161" i="1"/>
  <c r="BH160" i="1" s="1"/>
  <c r="BI24" i="1"/>
  <c r="BH23" i="1"/>
  <c r="BJ25" i="1"/>
  <c r="BI162" i="1"/>
  <c r="BB199" i="1"/>
  <c r="V112" i="1"/>
  <c r="Y112" i="1"/>
  <c r="W48" i="1"/>
  <c r="BA185" i="1"/>
  <c r="BA91" i="4"/>
  <c r="BC51" i="1"/>
  <c r="BC38" i="1"/>
  <c r="BB182" i="1"/>
  <c r="BB195" i="1" s="1"/>
  <c r="BB7" i="4"/>
  <c r="BB41" i="1"/>
  <c r="K91" i="10"/>
  <c r="BD158" i="1"/>
  <c r="BD159" i="1" s="1"/>
  <c r="BD22" i="1"/>
  <c r="BE21" i="1"/>
  <c r="L92" i="10"/>
  <c r="I92" i="10"/>
  <c r="E92" i="10"/>
  <c r="Y78" i="4" s="1"/>
  <c r="Y77" i="4" s="1"/>
  <c r="J92" i="10"/>
  <c r="L127" i="1"/>
  <c r="L96" i="1" s="1"/>
  <c r="L42" i="23"/>
  <c r="M122" i="1"/>
  <c r="N132" i="1"/>
  <c r="L63" i="1"/>
  <c r="I67" i="8"/>
  <c r="J67" i="8" s="1"/>
  <c r="K67" i="8" s="1"/>
  <c r="Y6" i="4"/>
  <c r="Y35" i="1"/>
  <c r="Y38" i="1"/>
  <c r="K42" i="1"/>
  <c r="J100" i="1"/>
  <c r="AG44" i="23"/>
  <c r="AH126" i="1"/>
  <c r="AG127" i="1"/>
  <c r="AD67" i="4"/>
  <c r="AD94" i="1"/>
  <c r="J89" i="10"/>
  <c r="D89" i="10"/>
  <c r="V101" i="4" s="1"/>
  <c r="V100" i="4" s="1"/>
  <c r="V96" i="4" s="1"/>
  <c r="V93" i="4" s="1"/>
  <c r="V183" i="1" s="1"/>
  <c r="V185" i="1" s="1"/>
  <c r="I89" i="10"/>
  <c r="L89" i="10"/>
  <c r="E89" i="10"/>
  <c r="V78" i="4" s="1"/>
  <c r="V77" i="4" s="1"/>
  <c r="Z23" i="1"/>
  <c r="AA24" i="1"/>
  <c r="AF78" i="23"/>
  <c r="AF86" i="23"/>
  <c r="AC100" i="4"/>
  <c r="AD101" i="4"/>
  <c r="AE67" i="4"/>
  <c r="AE94" i="1"/>
  <c r="X7" i="4"/>
  <c r="X41" i="1"/>
  <c r="K88" i="10"/>
  <c r="AB113" i="1" l="1"/>
  <c r="AB111" i="1"/>
  <c r="AB96" i="1"/>
  <c r="AB110" i="1"/>
  <c r="AB95" i="1"/>
  <c r="AB112" i="1" s="1"/>
  <c r="AA182" i="1"/>
  <c r="AA180" i="1"/>
  <c r="AA199" i="1" s="1"/>
  <c r="AA197" i="1"/>
  <c r="AA200" i="1"/>
  <c r="AA198" i="1"/>
  <c r="BT168" i="1"/>
  <c r="E19" i="25"/>
  <c r="F19" i="25" s="1"/>
  <c r="AB149" i="1"/>
  <c r="AB159" i="1"/>
  <c r="AD68" i="1"/>
  <c r="AE16" i="1"/>
  <c r="AC70" i="1"/>
  <c r="AC74" i="1" s="1"/>
  <c r="AD18" i="1"/>
  <c r="AA108" i="1"/>
  <c r="AA99" i="1"/>
  <c r="AA68" i="4"/>
  <c r="AC128" i="23"/>
  <c r="AC132" i="23" s="1"/>
  <c r="AC133" i="23" s="1"/>
  <c r="AC134" i="23" s="1"/>
  <c r="AC151" i="1" s="1"/>
  <c r="AC28" i="23"/>
  <c r="AC29" i="23" s="1"/>
  <c r="AC30" i="23" s="1"/>
  <c r="AC15" i="1" s="1"/>
  <c r="Z182" i="1"/>
  <c r="Z198" i="1"/>
  <c r="Z180" i="1"/>
  <c r="Z199" i="1" s="1"/>
  <c r="Z200" i="1"/>
  <c r="Z197" i="1"/>
  <c r="AB13" i="1"/>
  <c r="AB22" i="1"/>
  <c r="AB52" i="1" s="1"/>
  <c r="L104" i="1"/>
  <c r="L114" i="1"/>
  <c r="L110" i="1"/>
  <c r="L113" i="1"/>
  <c r="L111" i="1"/>
  <c r="L108" i="1"/>
  <c r="BD52" i="1"/>
  <c r="BD50" i="1"/>
  <c r="BD49" i="1"/>
  <c r="BD36" i="1"/>
  <c r="BD51" i="1" s="1"/>
  <c r="BH6" i="4"/>
  <c r="BH35" i="1"/>
  <c r="AD114" i="1"/>
  <c r="Y53" i="1"/>
  <c r="Y36" i="1"/>
  <c r="Y51" i="1" s="1"/>
  <c r="BD200" i="1"/>
  <c r="BD198" i="1"/>
  <c r="BD197" i="1"/>
  <c r="BD180" i="1"/>
  <c r="BI161" i="1"/>
  <c r="BI160" i="1" s="1"/>
  <c r="BJ24" i="1"/>
  <c r="BI23" i="1"/>
  <c r="BG53" i="1"/>
  <c r="BK20" i="1"/>
  <c r="BJ157" i="1"/>
  <c r="Z50" i="1"/>
  <c r="Z49" i="1"/>
  <c r="BH179" i="1"/>
  <c r="BH90" i="4"/>
  <c r="AE114" i="1"/>
  <c r="BG201" i="1"/>
  <c r="BJ162" i="1"/>
  <c r="BK25" i="1"/>
  <c r="BC199" i="1"/>
  <c r="X48" i="1"/>
  <c r="L112" i="1"/>
  <c r="K92" i="10"/>
  <c r="BD38" i="1"/>
  <c r="BC7" i="4"/>
  <c r="BC41" i="1"/>
  <c r="BC182" i="1"/>
  <c r="BC195" i="1" s="1"/>
  <c r="BF21" i="1"/>
  <c r="BE158" i="1"/>
  <c r="BE159" i="1" s="1"/>
  <c r="BE22" i="1"/>
  <c r="BB91" i="4"/>
  <c r="BB185" i="1"/>
  <c r="L67" i="4"/>
  <c r="L148" i="1"/>
  <c r="L9" i="19"/>
  <c r="L10" i="19" s="1"/>
  <c r="O122" i="1"/>
  <c r="N122" i="1"/>
  <c r="M42" i="23"/>
  <c r="M127" i="1"/>
  <c r="M96" i="1" s="1"/>
  <c r="M108" i="1" s="1"/>
  <c r="M169" i="3"/>
  <c r="N169" i="3" s="1"/>
  <c r="M63" i="1"/>
  <c r="O132" i="1"/>
  <c r="L182" i="1"/>
  <c r="L99" i="1"/>
  <c r="L68" i="4"/>
  <c r="A79" i="10" s="1"/>
  <c r="K89" i="10"/>
  <c r="I68" i="8"/>
  <c r="J68" i="8" s="1"/>
  <c r="K68" i="8" s="1"/>
  <c r="AD100" i="4"/>
  <c r="AE101" i="4"/>
  <c r="AA23" i="1"/>
  <c r="AB24" i="1"/>
  <c r="AG78" i="23"/>
  <c r="AG86" i="23"/>
  <c r="K100" i="1"/>
  <c r="L42" i="1"/>
  <c r="M42" i="1" s="1"/>
  <c r="N42" i="1" s="1"/>
  <c r="O42" i="1" s="1"/>
  <c r="P42" i="1" s="1"/>
  <c r="Q42" i="1" s="1"/>
  <c r="R42" i="1" s="1"/>
  <c r="S42" i="1" s="1"/>
  <c r="T42" i="1" s="1"/>
  <c r="U42" i="1" s="1"/>
  <c r="V42" i="1" s="1"/>
  <c r="W42" i="1" s="1"/>
  <c r="X42" i="1" s="1"/>
  <c r="Z35" i="1"/>
  <c r="Z6" i="4"/>
  <c r="Z38" i="1"/>
  <c r="AH44" i="23"/>
  <c r="AI126" i="1"/>
  <c r="AH127" i="1"/>
  <c r="Y7" i="4"/>
  <c r="Y41" i="1"/>
  <c r="AC113" i="1" l="1"/>
  <c r="AC96" i="1"/>
  <c r="AC110" i="1"/>
  <c r="AC111" i="1"/>
  <c r="AC95" i="1"/>
  <c r="AC112" i="1" s="1"/>
  <c r="AE18" i="1"/>
  <c r="AD70" i="1"/>
  <c r="AD74" i="1" s="1"/>
  <c r="AB180" i="1"/>
  <c r="AB199" i="1" s="1"/>
  <c r="AB200" i="1"/>
  <c r="AB182" i="1"/>
  <c r="AB197" i="1"/>
  <c r="AB198" i="1"/>
  <c r="AB108" i="1"/>
  <c r="AB99" i="1"/>
  <c r="AB68" i="4"/>
  <c r="Z195" i="1"/>
  <c r="Z185" i="1"/>
  <c r="Z91" i="4"/>
  <c r="AF16" i="1"/>
  <c r="AE68" i="1"/>
  <c r="AE24" i="23"/>
  <c r="AA195" i="1"/>
  <c r="AA185" i="1"/>
  <c r="AA91" i="4"/>
  <c r="AC149" i="1"/>
  <c r="AC159" i="1"/>
  <c r="Z196" i="1"/>
  <c r="AA196" i="1" s="1"/>
  <c r="AC22" i="1"/>
  <c r="AC52" i="1" s="1"/>
  <c r="AC13" i="1"/>
  <c r="AD24" i="23"/>
  <c r="BK157" i="1"/>
  <c r="BL20" i="1"/>
  <c r="BI6" i="4"/>
  <c r="BI35" i="1"/>
  <c r="L91" i="4"/>
  <c r="L195" i="1"/>
  <c r="BJ161" i="1"/>
  <c r="BJ160" i="1" s="1"/>
  <c r="BK24" i="1"/>
  <c r="BJ23" i="1"/>
  <c r="AA49" i="1"/>
  <c r="AA50" i="1"/>
  <c r="L190" i="1"/>
  <c r="L201" i="1"/>
  <c r="L200" i="1"/>
  <c r="L198" i="1"/>
  <c r="L197" i="1"/>
  <c r="BE52" i="1"/>
  <c r="BE50" i="1"/>
  <c r="BE49" i="1"/>
  <c r="BE36" i="1"/>
  <c r="BE51" i="1" s="1"/>
  <c r="BK162" i="1"/>
  <c r="BL25" i="1"/>
  <c r="BH201" i="1"/>
  <c r="BI90" i="4"/>
  <c r="BI179" i="1"/>
  <c r="BH53" i="1"/>
  <c r="Z53" i="1"/>
  <c r="Z36" i="1"/>
  <c r="Z51" i="1" s="1"/>
  <c r="M104" i="1"/>
  <c r="M114" i="1"/>
  <c r="M111" i="1"/>
  <c r="M110" i="1"/>
  <c r="M113" i="1"/>
  <c r="BE200" i="1"/>
  <c r="BE198" i="1"/>
  <c r="BE197" i="1"/>
  <c r="BE180" i="1"/>
  <c r="Y48" i="1"/>
  <c r="BD199" i="1"/>
  <c r="L199" i="1"/>
  <c r="M112" i="1"/>
  <c r="BE38" i="1"/>
  <c r="BG21" i="1"/>
  <c r="BF158" i="1"/>
  <c r="BF159" i="1" s="1"/>
  <c r="BF22" i="1"/>
  <c r="BC91" i="4"/>
  <c r="BC185" i="1"/>
  <c r="BD7" i="4"/>
  <c r="BD41" i="1"/>
  <c r="BD182" i="1"/>
  <c r="BD195" i="1" s="1"/>
  <c r="L100" i="1"/>
  <c r="L79" i="10"/>
  <c r="J79" i="10"/>
  <c r="L78" i="4" s="1"/>
  <c r="I79" i="10"/>
  <c r="M148" i="1"/>
  <c r="M67" i="4"/>
  <c r="M9" i="19"/>
  <c r="M10" i="19" s="1"/>
  <c r="M182" i="1"/>
  <c r="M99" i="1"/>
  <c r="M68" i="4"/>
  <c r="A80" i="10" s="1"/>
  <c r="N127" i="1"/>
  <c r="N42" i="23"/>
  <c r="N96" i="1"/>
  <c r="P132" i="1"/>
  <c r="N63" i="1"/>
  <c r="O42" i="23"/>
  <c r="M184" i="3"/>
  <c r="N184" i="3" s="1"/>
  <c r="O63" i="1"/>
  <c r="P107" i="23"/>
  <c r="P148" i="1"/>
  <c r="O127" i="1"/>
  <c r="O96" i="1" s="1"/>
  <c r="C53" i="11"/>
  <c r="C56" i="11" s="1"/>
  <c r="P122" i="1"/>
  <c r="D69" i="11"/>
  <c r="D72" i="11" s="1"/>
  <c r="Q122" i="1"/>
  <c r="Q132" i="1"/>
  <c r="L14" i="19"/>
  <c r="L15" i="19" s="1"/>
  <c r="L90" i="4"/>
  <c r="I69" i="8"/>
  <c r="J69" i="8" s="1"/>
  <c r="K69" i="8" s="1"/>
  <c r="AH78" i="23"/>
  <c r="AH86" i="23"/>
  <c r="AB23" i="1"/>
  <c r="AC24" i="1"/>
  <c r="AF101" i="4"/>
  <c r="AE100" i="4"/>
  <c r="AI44" i="23"/>
  <c r="AJ126" i="1"/>
  <c r="AI127" i="1"/>
  <c r="Z7" i="4"/>
  <c r="Z41" i="1"/>
  <c r="Y42" i="1"/>
  <c r="AA6" i="4"/>
  <c r="AA35" i="1"/>
  <c r="AA38" i="1"/>
  <c r="AB196" i="1" l="1"/>
  <c r="AG16" i="1"/>
  <c r="AF68" i="1"/>
  <c r="AF153" i="1"/>
  <c r="AG153" i="1" s="1"/>
  <c r="AH153" i="1" s="1"/>
  <c r="AI153" i="1" s="1"/>
  <c r="AJ153" i="1" s="1"/>
  <c r="AK153" i="1" s="1"/>
  <c r="AL153" i="1" s="1"/>
  <c r="AM153" i="1" s="1"/>
  <c r="AN153" i="1" s="1"/>
  <c r="AO153" i="1" s="1"/>
  <c r="AP153" i="1" s="1"/>
  <c r="AQ153" i="1" s="1"/>
  <c r="AR153" i="1" s="1"/>
  <c r="AD113" i="1"/>
  <c r="AD111" i="1"/>
  <c r="AD110" i="1"/>
  <c r="AD96" i="1"/>
  <c r="AD95" i="1"/>
  <c r="AD112" i="1" s="1"/>
  <c r="AD128" i="23"/>
  <c r="AD132" i="23" s="1"/>
  <c r="AD133" i="23" s="1"/>
  <c r="AD134" i="23" s="1"/>
  <c r="AD151" i="1" s="1"/>
  <c r="AD28" i="23"/>
  <c r="AD29" i="23" s="1"/>
  <c r="AD30" i="23" s="1"/>
  <c r="AD15" i="1" s="1"/>
  <c r="AC200" i="1"/>
  <c r="AC182" i="1"/>
  <c r="AC198" i="1"/>
  <c r="AC180" i="1"/>
  <c r="AC199" i="1" s="1"/>
  <c r="AC197" i="1"/>
  <c r="AB91" i="4"/>
  <c r="AB195" i="1"/>
  <c r="AB185" i="1"/>
  <c r="AE70" i="1"/>
  <c r="AF18" i="1"/>
  <c r="AC108" i="1"/>
  <c r="AC68" i="4"/>
  <c r="AC99" i="1"/>
  <c r="AE74" i="1"/>
  <c r="AE28" i="23"/>
  <c r="AE29" i="23" s="1"/>
  <c r="AE30" i="23" s="1"/>
  <c r="AE15" i="1" s="1"/>
  <c r="AE128" i="23"/>
  <c r="AE132" i="23" s="1"/>
  <c r="AE133" i="23" s="1"/>
  <c r="AE134" i="23" s="1"/>
  <c r="AE151" i="1" s="1"/>
  <c r="N105" i="1"/>
  <c r="N110" i="1"/>
  <c r="N111" i="1"/>
  <c r="N113" i="1"/>
  <c r="N114" i="1"/>
  <c r="BF52" i="1"/>
  <c r="BF49" i="1"/>
  <c r="BF50" i="1"/>
  <c r="BF36" i="1"/>
  <c r="BI201" i="1"/>
  <c r="BJ179" i="1"/>
  <c r="BJ90" i="4"/>
  <c r="BL157" i="1"/>
  <c r="BM20" i="1"/>
  <c r="AA53" i="1"/>
  <c r="AA36" i="1"/>
  <c r="AA51" i="1" s="1"/>
  <c r="AB50" i="1"/>
  <c r="AB49" i="1"/>
  <c r="O105" i="1"/>
  <c r="O110" i="1"/>
  <c r="O114" i="1"/>
  <c r="O113" i="1"/>
  <c r="O111" i="1"/>
  <c r="O108" i="1"/>
  <c r="N108" i="1"/>
  <c r="M190" i="1"/>
  <c r="M201" i="1"/>
  <c r="M200" i="1"/>
  <c r="M198" i="1"/>
  <c r="M197" i="1"/>
  <c r="BL162" i="1"/>
  <c r="BM25" i="1"/>
  <c r="BJ6" i="4"/>
  <c r="BJ35" i="1"/>
  <c r="BI53" i="1"/>
  <c r="BF200" i="1"/>
  <c r="BF197" i="1"/>
  <c r="BF198" i="1"/>
  <c r="BF180" i="1"/>
  <c r="P191" i="1"/>
  <c r="P182" i="1"/>
  <c r="P195" i="1" s="1"/>
  <c r="P200" i="1"/>
  <c r="P201" i="1"/>
  <c r="P198" i="1"/>
  <c r="P197" i="1"/>
  <c r="M91" i="4"/>
  <c r="M195" i="1"/>
  <c r="BK161" i="1"/>
  <c r="BK160" i="1" s="1"/>
  <c r="BL24" i="1"/>
  <c r="BK23" i="1"/>
  <c r="Z48" i="1"/>
  <c r="BE199" i="1"/>
  <c r="P199" i="1"/>
  <c r="O112" i="1"/>
  <c r="N112" i="1"/>
  <c r="M199" i="1"/>
  <c r="M100" i="1"/>
  <c r="BE182" i="1"/>
  <c r="BE195" i="1" s="1"/>
  <c r="BE41" i="1"/>
  <c r="BE7" i="4"/>
  <c r="BD91" i="4"/>
  <c r="BD185" i="1"/>
  <c r="BF38" i="1"/>
  <c r="BF51" i="1"/>
  <c r="BH21" i="1"/>
  <c r="BG158" i="1"/>
  <c r="BG159" i="1" s="1"/>
  <c r="BG22" i="1"/>
  <c r="E53" i="11"/>
  <c r="E56" i="11" s="1"/>
  <c r="Q42" i="23"/>
  <c r="D4" i="24" s="1"/>
  <c r="D5" i="24" s="1"/>
  <c r="D11" i="24" s="1"/>
  <c r="D13" i="24" s="1"/>
  <c r="D15" i="24" s="1"/>
  <c r="D16" i="24" s="1"/>
  <c r="Q81" i="1" s="1"/>
  <c r="Q75" i="1" s="1"/>
  <c r="Q63" i="1"/>
  <c r="Q127" i="1"/>
  <c r="R122" i="1"/>
  <c r="Q107" i="23"/>
  <c r="S132" i="1"/>
  <c r="P127" i="1"/>
  <c r="D53" i="11"/>
  <c r="D56" i="11" s="1"/>
  <c r="P63" i="1"/>
  <c r="R132" i="1"/>
  <c r="P42" i="23"/>
  <c r="C4" i="24" s="1"/>
  <c r="C5" i="24" s="1"/>
  <c r="C11" i="24" s="1"/>
  <c r="C13" i="24" s="1"/>
  <c r="C15" i="24" s="1"/>
  <c r="C16" i="24" s="1"/>
  <c r="P81" i="1" s="1"/>
  <c r="P75" i="1" s="1"/>
  <c r="P96" i="1" s="1"/>
  <c r="P108" i="1" s="1"/>
  <c r="O182" i="1"/>
  <c r="O99" i="1"/>
  <c r="O68" i="4"/>
  <c r="A82" i="10" s="1"/>
  <c r="N67" i="4"/>
  <c r="N9" i="19"/>
  <c r="N10" i="19" s="1"/>
  <c r="N148" i="1"/>
  <c r="N68" i="4"/>
  <c r="A75" i="10" s="1"/>
  <c r="N182" i="1"/>
  <c r="N99" i="1"/>
  <c r="M14" i="19"/>
  <c r="M15" i="19" s="1"/>
  <c r="M90" i="4"/>
  <c r="L101" i="4"/>
  <c r="L100" i="4" s="1"/>
  <c r="L96" i="4" s="1"/>
  <c r="L93" i="4" s="1"/>
  <c r="L183" i="1" s="1"/>
  <c r="L185" i="1" s="1"/>
  <c r="L186" i="1" s="1"/>
  <c r="L77" i="4"/>
  <c r="Z42" i="1"/>
  <c r="P14" i="19"/>
  <c r="P15" i="19" s="1"/>
  <c r="P90" i="4"/>
  <c r="O148" i="1"/>
  <c r="O9" i="19"/>
  <c r="O10" i="19" s="1"/>
  <c r="O67" i="4"/>
  <c r="J80" i="10"/>
  <c r="M78" i="4" s="1"/>
  <c r="I80" i="10"/>
  <c r="L80" i="10"/>
  <c r="K79" i="10"/>
  <c r="I70" i="8"/>
  <c r="J70" i="8" s="1"/>
  <c r="K70" i="8" s="1"/>
  <c r="AA7" i="4"/>
  <c r="AA41" i="1"/>
  <c r="AJ44" i="23"/>
  <c r="AK126" i="1"/>
  <c r="AJ127" i="1"/>
  <c r="AC23" i="1"/>
  <c r="AD24" i="1"/>
  <c r="AI86" i="23"/>
  <c r="AI78" i="23"/>
  <c r="AF100" i="4"/>
  <c r="AG101" i="4"/>
  <c r="AB35" i="1"/>
  <c r="AB6" i="4"/>
  <c r="AB38" i="1"/>
  <c r="AD149" i="1" l="1"/>
  <c r="AD159" i="1"/>
  <c r="AE111" i="1"/>
  <c r="AE113" i="1"/>
  <c r="AE96" i="1"/>
  <c r="AE110" i="1"/>
  <c r="AE95" i="1"/>
  <c r="AE112" i="1" s="1"/>
  <c r="AG18" i="1"/>
  <c r="AF70" i="1"/>
  <c r="AF74" i="1" s="1"/>
  <c r="AF155" i="1"/>
  <c r="AG155" i="1" s="1"/>
  <c r="AH155" i="1" s="1"/>
  <c r="AI155" i="1" s="1"/>
  <c r="AJ155" i="1" s="1"/>
  <c r="AK155" i="1" s="1"/>
  <c r="AL155" i="1" s="1"/>
  <c r="AM155" i="1" s="1"/>
  <c r="AN155" i="1" s="1"/>
  <c r="AO155" i="1" s="1"/>
  <c r="AP155" i="1" s="1"/>
  <c r="AQ155" i="1" s="1"/>
  <c r="AR155" i="1" s="1"/>
  <c r="AC185" i="1"/>
  <c r="AC91" i="4"/>
  <c r="AC195" i="1"/>
  <c r="AG68" i="1"/>
  <c r="AH16" i="1"/>
  <c r="AG24" i="23"/>
  <c r="AE13" i="1"/>
  <c r="AE22" i="1"/>
  <c r="AE52" i="1" s="1"/>
  <c r="AD108" i="1"/>
  <c r="AD99" i="1"/>
  <c r="AD68" i="4"/>
  <c r="AF24" i="23"/>
  <c r="AC196" i="1"/>
  <c r="AE149" i="1"/>
  <c r="AE159" i="1"/>
  <c r="AD22" i="1"/>
  <c r="AD52" i="1" s="1"/>
  <c r="AD13" i="1"/>
  <c r="BG200" i="1"/>
  <c r="BG198" i="1"/>
  <c r="BG197" i="1"/>
  <c r="BG180" i="1"/>
  <c r="BK6" i="4"/>
  <c r="BK35" i="1"/>
  <c r="O191" i="1"/>
  <c r="O201" i="1"/>
  <c r="O197" i="1"/>
  <c r="O200" i="1"/>
  <c r="O198" i="1"/>
  <c r="N191" i="1"/>
  <c r="N201" i="1"/>
  <c r="N200" i="1"/>
  <c r="N197" i="1"/>
  <c r="N198" i="1"/>
  <c r="P105" i="1"/>
  <c r="P113" i="1"/>
  <c r="Q111" i="1"/>
  <c r="Q110" i="1"/>
  <c r="BM24" i="1"/>
  <c r="BL161" i="1"/>
  <c r="BL160" i="1" s="1"/>
  <c r="BL23" i="1"/>
  <c r="BN25" i="1"/>
  <c r="BM162" i="1"/>
  <c r="BJ201" i="1"/>
  <c r="AB53" i="1"/>
  <c r="AB36" i="1"/>
  <c r="AB51" i="1" s="1"/>
  <c r="AC50" i="1"/>
  <c r="AC49" i="1"/>
  <c r="O91" i="4"/>
  <c r="O195" i="1"/>
  <c r="BN20" i="1"/>
  <c r="BM157" i="1"/>
  <c r="BK179" i="1"/>
  <c r="BK90" i="4"/>
  <c r="P91" i="4"/>
  <c r="A83" i="10" s="1"/>
  <c r="L83" i="10" s="1"/>
  <c r="N91" i="4"/>
  <c r="N195" i="1"/>
  <c r="P110" i="1"/>
  <c r="P111" i="1"/>
  <c r="Q96" i="1"/>
  <c r="Q108" i="1" s="1"/>
  <c r="BG52" i="1"/>
  <c r="BG50" i="1"/>
  <c r="BG49" i="1"/>
  <c r="BG36" i="1"/>
  <c r="BJ53" i="1"/>
  <c r="Q105" i="1"/>
  <c r="Q113" i="1"/>
  <c r="BF199" i="1"/>
  <c r="AA48" i="1"/>
  <c r="N199" i="1"/>
  <c r="O199" i="1"/>
  <c r="N100" i="1"/>
  <c r="O100" i="1" s="1"/>
  <c r="P94" i="1"/>
  <c r="Q94" i="1"/>
  <c r="AA42" i="1"/>
  <c r="P99" i="1"/>
  <c r="K80" i="10"/>
  <c r="BG51" i="1"/>
  <c r="BG38" i="1"/>
  <c r="BI21" i="1"/>
  <c r="BH22" i="1"/>
  <c r="BH158" i="1"/>
  <c r="BH159" i="1" s="1"/>
  <c r="BF182" i="1"/>
  <c r="BF195" i="1" s="1"/>
  <c r="BF7" i="4"/>
  <c r="BF41" i="1"/>
  <c r="BE185" i="1"/>
  <c r="BE91" i="4"/>
  <c r="M101" i="4"/>
  <c r="M100" i="4" s="1"/>
  <c r="M96" i="4" s="1"/>
  <c r="M93" i="4" s="1"/>
  <c r="M183" i="1" s="1"/>
  <c r="M185" i="1" s="1"/>
  <c r="M186" i="1" s="1"/>
  <c r="M77" i="4"/>
  <c r="I24" i="4" s="1"/>
  <c r="O90" i="4"/>
  <c r="O14" i="19"/>
  <c r="O15" i="19" s="1"/>
  <c r="J83" i="10"/>
  <c r="F83" i="10"/>
  <c r="P101" i="4" s="1"/>
  <c r="P100" i="4" s="1"/>
  <c r="P96" i="4" s="1"/>
  <c r="P93" i="4" s="1"/>
  <c r="P183" i="1" s="1"/>
  <c r="P185" i="1" s="1"/>
  <c r="F75" i="10"/>
  <c r="N78" i="4" s="1"/>
  <c r="L75" i="10"/>
  <c r="I75" i="10"/>
  <c r="J75" i="10"/>
  <c r="R127" i="1"/>
  <c r="R63" i="1"/>
  <c r="R42" i="23"/>
  <c r="E4" i="24" s="1"/>
  <c r="E5" i="24" s="1"/>
  <c r="E11" i="24" s="1"/>
  <c r="E13" i="24" s="1"/>
  <c r="E15" i="24" s="1"/>
  <c r="E16" i="24" s="1"/>
  <c r="R81" i="1" s="1"/>
  <c r="R75" i="1" s="1"/>
  <c r="S122" i="1"/>
  <c r="G137" i="3" s="1"/>
  <c r="G138" i="3" s="1"/>
  <c r="F53" i="11"/>
  <c r="F56" i="11" s="1"/>
  <c r="T132" i="1"/>
  <c r="R107" i="23"/>
  <c r="Q9" i="19"/>
  <c r="Q10" i="19" s="1"/>
  <c r="Q148" i="1"/>
  <c r="Q67" i="4"/>
  <c r="N14" i="19"/>
  <c r="N15" i="19" s="1"/>
  <c r="N90" i="4"/>
  <c r="L82" i="10"/>
  <c r="J82" i="10"/>
  <c r="I82" i="10"/>
  <c r="F82" i="10"/>
  <c r="O78" i="4" s="1"/>
  <c r="P67" i="4"/>
  <c r="P9" i="19"/>
  <c r="P10" i="19" s="1"/>
  <c r="Q99" i="1"/>
  <c r="Q68" i="4"/>
  <c r="A84" i="10" s="1"/>
  <c r="I71" i="8"/>
  <c r="J71" i="8" s="1"/>
  <c r="K71" i="8" s="1"/>
  <c r="AG100" i="4"/>
  <c r="AH101" i="4"/>
  <c r="AH100" i="4" s="1"/>
  <c r="AC35" i="1"/>
  <c r="AC6" i="4"/>
  <c r="AC38" i="1"/>
  <c r="AK44" i="23"/>
  <c r="AL126" i="1"/>
  <c r="AK127" i="1"/>
  <c r="AB7" i="4"/>
  <c r="AB41" i="1"/>
  <c r="AD23" i="1"/>
  <c r="AE24" i="1"/>
  <c r="AJ78" i="23"/>
  <c r="AJ86" i="23"/>
  <c r="AH18" i="1" l="1"/>
  <c r="AG70" i="1"/>
  <c r="AG74" i="1" s="1"/>
  <c r="AF28" i="23"/>
  <c r="AF29" i="23" s="1"/>
  <c r="AF30" i="23" s="1"/>
  <c r="AF15" i="1" s="1"/>
  <c r="AF128" i="23"/>
  <c r="AF132" i="23" s="1"/>
  <c r="AF133" i="23" s="1"/>
  <c r="AF134" i="23" s="1"/>
  <c r="AF151" i="1" s="1"/>
  <c r="AH24" i="23"/>
  <c r="AH68" i="1"/>
  <c r="AI16" i="1"/>
  <c r="AG28" i="23"/>
  <c r="AG29" i="23" s="1"/>
  <c r="AG30" i="23" s="1"/>
  <c r="AG15" i="1" s="1"/>
  <c r="AG128" i="23"/>
  <c r="AG132" i="23" s="1"/>
  <c r="AG133" i="23" s="1"/>
  <c r="AG134" i="23" s="1"/>
  <c r="R96" i="1"/>
  <c r="R108" i="1" s="1"/>
  <c r="AE180" i="1"/>
  <c r="AE199" i="1" s="1"/>
  <c r="AE198" i="1"/>
  <c r="AE200" i="1"/>
  <c r="AE182" i="1"/>
  <c r="AE197" i="1"/>
  <c r="AD180" i="1"/>
  <c r="AD199" i="1" s="1"/>
  <c r="AD200" i="1"/>
  <c r="AD182" i="1"/>
  <c r="AD198" i="1"/>
  <c r="AD197" i="1"/>
  <c r="AF113" i="1"/>
  <c r="AF96" i="1"/>
  <c r="AF110" i="1"/>
  <c r="AF95" i="1"/>
  <c r="AF112" i="1" s="1"/>
  <c r="AF111" i="1"/>
  <c r="AE108" i="1"/>
  <c r="AE68" i="4"/>
  <c r="A93" i="10" s="1"/>
  <c r="AE99" i="1"/>
  <c r="I83" i="10"/>
  <c r="Q114" i="1"/>
  <c r="Q95" i="1"/>
  <c r="BM161" i="1"/>
  <c r="BM160" i="1" s="1"/>
  <c r="BN24" i="1"/>
  <c r="BM23" i="1"/>
  <c r="AD49" i="1"/>
  <c r="AD50" i="1"/>
  <c r="BO20" i="1"/>
  <c r="BN157" i="1"/>
  <c r="BO25" i="1"/>
  <c r="BN162" i="1"/>
  <c r="BK53" i="1"/>
  <c r="Q191" i="1"/>
  <c r="Q182" i="1"/>
  <c r="Q195" i="1" s="1"/>
  <c r="Q198" i="1"/>
  <c r="Q197" i="1"/>
  <c r="Q200" i="1"/>
  <c r="Q201" i="1"/>
  <c r="BK201" i="1"/>
  <c r="BL179" i="1"/>
  <c r="BL90" i="4"/>
  <c r="AC53" i="1"/>
  <c r="AC36" i="1"/>
  <c r="AC51" i="1" s="1"/>
  <c r="R111" i="1"/>
  <c r="R110" i="1"/>
  <c r="BH200" i="1"/>
  <c r="BH198" i="1"/>
  <c r="BH197" i="1"/>
  <c r="BH180" i="1"/>
  <c r="P114" i="1"/>
  <c r="P95" i="1"/>
  <c r="P109" i="1" s="1"/>
  <c r="R105" i="1"/>
  <c r="R113" i="1"/>
  <c r="BH52" i="1"/>
  <c r="BH50" i="1"/>
  <c r="BH49" i="1"/>
  <c r="BH38" i="1"/>
  <c r="BH36" i="1"/>
  <c r="BH51" i="1" s="1"/>
  <c r="BL6" i="4"/>
  <c r="BL35" i="1"/>
  <c r="AB48" i="1"/>
  <c r="BG199" i="1"/>
  <c r="AB42" i="1"/>
  <c r="P68" i="4"/>
  <c r="A77" i="10" s="1"/>
  <c r="B77" i="10" s="1"/>
  <c r="P78" i="4" s="1"/>
  <c r="P77" i="4" s="1"/>
  <c r="Q199" i="1"/>
  <c r="R94" i="1"/>
  <c r="P100" i="1"/>
  <c r="Q100" i="1" s="1"/>
  <c r="BF91" i="4"/>
  <c r="BF185" i="1"/>
  <c r="BG182" i="1"/>
  <c r="BG195" i="1" s="1"/>
  <c r="BG7" i="4"/>
  <c r="BG41" i="1"/>
  <c r="BI158" i="1"/>
  <c r="BI159" i="1" s="1"/>
  <c r="BJ21" i="1"/>
  <c r="BI22" i="1"/>
  <c r="K82" i="10"/>
  <c r="G139" i="3"/>
  <c r="O144" i="3"/>
  <c r="O146" i="3" s="1"/>
  <c r="K144" i="3"/>
  <c r="K146" i="3" s="1"/>
  <c r="P144" i="3"/>
  <c r="P146" i="3" s="1"/>
  <c r="J144" i="3"/>
  <c r="J146" i="3" s="1"/>
  <c r="M144" i="3"/>
  <c r="L144" i="3"/>
  <c r="L146" i="3" s="1"/>
  <c r="N144" i="3"/>
  <c r="N146" i="3" s="1"/>
  <c r="Q144" i="3"/>
  <c r="Q146" i="3" s="1"/>
  <c r="S144" i="3"/>
  <c r="S146" i="3" s="1"/>
  <c r="R144" i="3"/>
  <c r="R146" i="3" s="1"/>
  <c r="S42" i="23"/>
  <c r="F4" i="24" s="1"/>
  <c r="F5" i="24" s="1"/>
  <c r="F11" i="24" s="1"/>
  <c r="F13" i="24" s="1"/>
  <c r="F15" i="24" s="1"/>
  <c r="F16" i="24" s="1"/>
  <c r="S81" i="1" s="1"/>
  <c r="S75" i="1" s="1"/>
  <c r="S63" i="1"/>
  <c r="G53" i="11"/>
  <c r="G56" i="11" s="1"/>
  <c r="S127" i="1"/>
  <c r="S107" i="23"/>
  <c r="U132" i="1"/>
  <c r="V132" i="1"/>
  <c r="R148" i="1"/>
  <c r="R67" i="4"/>
  <c r="R9" i="19"/>
  <c r="R10" i="19" s="1"/>
  <c r="K75" i="10"/>
  <c r="K83" i="10"/>
  <c r="B84" i="10"/>
  <c r="Q78" i="4" s="1"/>
  <c r="Q77" i="4" s="1"/>
  <c r="I25" i="4" s="1"/>
  <c r="I84" i="10"/>
  <c r="F84" i="10"/>
  <c r="Q101" i="4" s="1"/>
  <c r="Q100" i="4" s="1"/>
  <c r="Q96" i="4" s="1"/>
  <c r="Q93" i="4" s="1"/>
  <c r="Q183" i="1" s="1"/>
  <c r="J84" i="10"/>
  <c r="L84" i="10"/>
  <c r="O77" i="4"/>
  <c r="O101" i="4"/>
  <c r="O100" i="4" s="1"/>
  <c r="O96" i="4" s="1"/>
  <c r="O93" i="4" s="1"/>
  <c r="O183" i="1" s="1"/>
  <c r="O185" i="1" s="1"/>
  <c r="Q90" i="4"/>
  <c r="Q14" i="19"/>
  <c r="Q15" i="19" s="1"/>
  <c r="N77" i="4"/>
  <c r="N101" i="4"/>
  <c r="N100" i="4" s="1"/>
  <c r="N96" i="4" s="1"/>
  <c r="N93" i="4" s="1"/>
  <c r="N183" i="1" s="1"/>
  <c r="N185" i="1" s="1"/>
  <c r="N186" i="1" s="1"/>
  <c r="I72" i="8"/>
  <c r="J72" i="8" s="1"/>
  <c r="K72" i="8" s="1"/>
  <c r="AD35" i="1"/>
  <c r="AD6" i="4"/>
  <c r="AD38" i="1"/>
  <c r="AL44" i="23"/>
  <c r="AM126" i="1"/>
  <c r="AL127" i="1"/>
  <c r="AC7" i="4"/>
  <c r="AC41" i="1"/>
  <c r="AC42" i="1" s="1"/>
  <c r="AE23" i="1"/>
  <c r="AF24" i="1"/>
  <c r="AK86" i="23"/>
  <c r="AK78" i="23"/>
  <c r="AF108" i="1" l="1"/>
  <c r="AF99" i="1"/>
  <c r="AF68" i="4"/>
  <c r="AE91" i="4"/>
  <c r="AE185" i="1"/>
  <c r="AE195" i="1"/>
  <c r="AI68" i="1"/>
  <c r="AJ16" i="1"/>
  <c r="AF13" i="1"/>
  <c r="AF22" i="1"/>
  <c r="AF52" i="1" s="1"/>
  <c r="AG95" i="1"/>
  <c r="AG112" i="1" s="1"/>
  <c r="AG96" i="1"/>
  <c r="AG110" i="1"/>
  <c r="AG113" i="1"/>
  <c r="AG111" i="1"/>
  <c r="AH128" i="23"/>
  <c r="AH132" i="23" s="1"/>
  <c r="AH133" i="23" s="1"/>
  <c r="AH134" i="23" s="1"/>
  <c r="AH28" i="23"/>
  <c r="AH29" i="23" s="1"/>
  <c r="AH30" i="23" s="1"/>
  <c r="AH15" i="1" s="1"/>
  <c r="AH70" i="1"/>
  <c r="AH74" i="1" s="1"/>
  <c r="AI18" i="1"/>
  <c r="AD185" i="1"/>
  <c r="AD195" i="1"/>
  <c r="AD91" i="4"/>
  <c r="D93" i="10"/>
  <c r="AI78" i="4" s="1"/>
  <c r="F93" i="10"/>
  <c r="J93" i="10"/>
  <c r="E93" i="10"/>
  <c r="L93" i="10"/>
  <c r="I93" i="10"/>
  <c r="AG13" i="1"/>
  <c r="AG22" i="1"/>
  <c r="AG52" i="1" s="1"/>
  <c r="AF159" i="1"/>
  <c r="AF149" i="1"/>
  <c r="AG151" i="1"/>
  <c r="AD196" i="1"/>
  <c r="AE196" i="1" s="1"/>
  <c r="BO24" i="1"/>
  <c r="BN161" i="1"/>
  <c r="BN160" i="1" s="1"/>
  <c r="BN23" i="1"/>
  <c r="S111" i="1"/>
  <c r="S110" i="1"/>
  <c r="BI52" i="1"/>
  <c r="BI50" i="1"/>
  <c r="BI49" i="1"/>
  <c r="BI38" i="1"/>
  <c r="BI36" i="1"/>
  <c r="S96" i="1"/>
  <c r="S108" i="1" s="1"/>
  <c r="AE49" i="1"/>
  <c r="AE50" i="1"/>
  <c r="BI200" i="1"/>
  <c r="BI198" i="1"/>
  <c r="BI197" i="1"/>
  <c r="BI180" i="1"/>
  <c r="R95" i="1"/>
  <c r="R114" i="1"/>
  <c r="BM179" i="1"/>
  <c r="BM90" i="4"/>
  <c r="AD53" i="1"/>
  <c r="AD36" i="1"/>
  <c r="AD51" i="1" s="1"/>
  <c r="BL201" i="1"/>
  <c r="BP20" i="1"/>
  <c r="BO157" i="1"/>
  <c r="BM6" i="4"/>
  <c r="BM35" i="1"/>
  <c r="R191" i="1"/>
  <c r="R182" i="1"/>
  <c r="R195" i="1" s="1"/>
  <c r="R197" i="1"/>
  <c r="R198" i="1"/>
  <c r="R200" i="1"/>
  <c r="R201" i="1"/>
  <c r="S105" i="1"/>
  <c r="S113" i="1"/>
  <c r="BL53" i="1"/>
  <c r="BP25" i="1"/>
  <c r="BO162" i="1"/>
  <c r="Q109" i="1"/>
  <c r="AC48" i="1"/>
  <c r="BH199" i="1"/>
  <c r="J77" i="10"/>
  <c r="O186" i="1"/>
  <c r="P186" i="1" s="1"/>
  <c r="P112" i="1"/>
  <c r="Q112" i="1"/>
  <c r="I77" i="10"/>
  <c r="L77" i="10"/>
  <c r="R199" i="1"/>
  <c r="S94" i="1"/>
  <c r="K84" i="10"/>
  <c r="BI51" i="1"/>
  <c r="BG91" i="4"/>
  <c r="BG185" i="1"/>
  <c r="S68" i="4"/>
  <c r="A86" i="10" s="1"/>
  <c r="BK21" i="1"/>
  <c r="BJ22" i="1"/>
  <c r="BJ158" i="1"/>
  <c r="BJ159" i="1" s="1"/>
  <c r="BH182" i="1"/>
  <c r="BH195" i="1" s="1"/>
  <c r="BH7" i="4"/>
  <c r="BH41" i="1"/>
  <c r="R14" i="19"/>
  <c r="R15" i="19" s="1"/>
  <c r="R91" i="4"/>
  <c r="R90" i="4"/>
  <c r="S67" i="4"/>
  <c r="S9" i="19"/>
  <c r="S10" i="19" s="1"/>
  <c r="S148" i="1"/>
  <c r="E157" i="3"/>
  <c r="E158" i="3"/>
  <c r="BO93" i="1" s="1"/>
  <c r="R99" i="1"/>
  <c r="R100" i="1" s="1"/>
  <c r="R68" i="4"/>
  <c r="A85" i="10" s="1"/>
  <c r="Q91" i="4"/>
  <c r="Q185" i="1"/>
  <c r="AX129" i="1"/>
  <c r="M146" i="3"/>
  <c r="I139" i="3" s="1"/>
  <c r="BM129" i="1"/>
  <c r="BB129" i="1"/>
  <c r="AS129" i="1"/>
  <c r="BI129" i="1"/>
  <c r="AU129" i="1"/>
  <c r="BJ129" i="1"/>
  <c r="AV129" i="1"/>
  <c r="BE129" i="1"/>
  <c r="BN129" i="1"/>
  <c r="BL129" i="1"/>
  <c r="BC129" i="1"/>
  <c r="BF129" i="1"/>
  <c r="AW129" i="1"/>
  <c r="BG129" i="1"/>
  <c r="BD129" i="1"/>
  <c r="BH129" i="1"/>
  <c r="AZ129" i="1"/>
  <c r="AY129" i="1"/>
  <c r="BK129" i="1"/>
  <c r="AT129" i="1"/>
  <c r="BA129" i="1"/>
  <c r="AE6" i="4"/>
  <c r="AE35" i="1"/>
  <c r="AE38" i="1"/>
  <c r="AM44" i="23"/>
  <c r="AN126" i="1"/>
  <c r="AM127" i="1"/>
  <c r="I73" i="8"/>
  <c r="J73" i="8" s="1"/>
  <c r="K73" i="8" s="1"/>
  <c r="AF23" i="1"/>
  <c r="AG24" i="1"/>
  <c r="AL78" i="23"/>
  <c r="AL86" i="23"/>
  <c r="AD7" i="4"/>
  <c r="AD41" i="1"/>
  <c r="AD42" i="1" s="1"/>
  <c r="AG159" i="1" l="1"/>
  <c r="AH151" i="1"/>
  <c r="AG149" i="1"/>
  <c r="AP78" i="4"/>
  <c r="AP77" i="4" s="1"/>
  <c r="AM78" i="4"/>
  <c r="AM77" i="4" s="1"/>
  <c r="AR78" i="4"/>
  <c r="AR77" i="4" s="1"/>
  <c r="AN78" i="4"/>
  <c r="AN77" i="4" s="1"/>
  <c r="AO78" i="4"/>
  <c r="AO77" i="4" s="1"/>
  <c r="AL78" i="4"/>
  <c r="AL77" i="4" s="1"/>
  <c r="AQ78" i="4"/>
  <c r="AQ77" i="4" s="1"/>
  <c r="AK78" i="4"/>
  <c r="AK77" i="4" s="1"/>
  <c r="AH111" i="1"/>
  <c r="AH96" i="1"/>
  <c r="AH110" i="1"/>
  <c r="AH95" i="1"/>
  <c r="AH112" i="1" s="1"/>
  <c r="AH113" i="1"/>
  <c r="AH22" i="1"/>
  <c r="AH52" i="1" s="1"/>
  <c r="AH13" i="1"/>
  <c r="AA78" i="4"/>
  <c r="AA77" i="4" s="1"/>
  <c r="AD78" i="4"/>
  <c r="AD77" i="4" s="1"/>
  <c r="AE78" i="4"/>
  <c r="AB78" i="4"/>
  <c r="AB77" i="4" s="1"/>
  <c r="AC78" i="4"/>
  <c r="AC77" i="4" s="1"/>
  <c r="Z78" i="4"/>
  <c r="Z77" i="4" s="1"/>
  <c r="AI70" i="1"/>
  <c r="AI74" i="1" s="1"/>
  <c r="AJ18" i="1"/>
  <c r="AJ24" i="23" s="1"/>
  <c r="AJ28" i="23" s="1"/>
  <c r="AJ29" i="23" s="1"/>
  <c r="AJ30" i="23" s="1"/>
  <c r="AJ15" i="1" s="1"/>
  <c r="AK16" i="1"/>
  <c r="AJ68" i="1"/>
  <c r="AF200" i="1"/>
  <c r="AF182" i="1"/>
  <c r="AF197" i="1"/>
  <c r="AF198" i="1"/>
  <c r="AF180" i="1"/>
  <c r="AF199" i="1" s="1"/>
  <c r="K93" i="10"/>
  <c r="AJ78" i="4"/>
  <c r="AJ77" i="4" s="1"/>
  <c r="AI77" i="4"/>
  <c r="AG108" i="1"/>
  <c r="AG68" i="4"/>
  <c r="AG99" i="1"/>
  <c r="AI24" i="23"/>
  <c r="AI28" i="23" s="1"/>
  <c r="AI29" i="23" s="1"/>
  <c r="AI30" i="23" s="1"/>
  <c r="AI15" i="1" s="1"/>
  <c r="AE53" i="1"/>
  <c r="AE36" i="1"/>
  <c r="BM201" i="1"/>
  <c r="BP24" i="1"/>
  <c r="BO161" i="1"/>
  <c r="BO160" i="1" s="1"/>
  <c r="BO23" i="1"/>
  <c r="BO111" i="1"/>
  <c r="BO110" i="1"/>
  <c r="BO96" i="1"/>
  <c r="BO108" i="1" s="1"/>
  <c r="AF49" i="1"/>
  <c r="AF50" i="1"/>
  <c r="BJ200" i="1"/>
  <c r="BJ197" i="1"/>
  <c r="BJ198" i="1"/>
  <c r="BJ180" i="1"/>
  <c r="BQ20" i="1"/>
  <c r="BP157" i="1"/>
  <c r="BN6" i="4"/>
  <c r="BN35" i="1"/>
  <c r="S191" i="1"/>
  <c r="S182" i="1"/>
  <c r="S195" i="1" s="1"/>
  <c r="S200" i="1"/>
  <c r="S198" i="1"/>
  <c r="S197" i="1"/>
  <c r="S201" i="1"/>
  <c r="BJ52" i="1"/>
  <c r="BJ49" i="1"/>
  <c r="BJ50" i="1"/>
  <c r="BJ38" i="1"/>
  <c r="BJ36" i="1"/>
  <c r="BJ51" i="1" s="1"/>
  <c r="S95" i="1"/>
  <c r="S114" i="1"/>
  <c r="BQ25" i="1"/>
  <c r="BP162" i="1"/>
  <c r="BM53" i="1"/>
  <c r="BN179" i="1"/>
  <c r="BN90" i="4"/>
  <c r="R109" i="1"/>
  <c r="S99" i="1"/>
  <c r="S100" i="1" s="1"/>
  <c r="T100" i="1" s="1"/>
  <c r="U100" i="1" s="1"/>
  <c r="V100" i="1" s="1"/>
  <c r="W100" i="1" s="1"/>
  <c r="X100" i="1" s="1"/>
  <c r="Y100" i="1" s="1"/>
  <c r="Z100" i="1" s="1"/>
  <c r="AA100" i="1" s="1"/>
  <c r="AB100" i="1" s="1"/>
  <c r="AC100" i="1" s="1"/>
  <c r="AD100" i="1" s="1"/>
  <c r="AE100" i="1" s="1"/>
  <c r="AF100" i="1" s="1"/>
  <c r="AG100" i="1" s="1"/>
  <c r="K77" i="10"/>
  <c r="AD48" i="1"/>
  <c r="BI199" i="1"/>
  <c r="Q186" i="1"/>
  <c r="R112" i="1"/>
  <c r="AE51" i="1"/>
  <c r="S199" i="1"/>
  <c r="BK158" i="1"/>
  <c r="BK159" i="1" s="1"/>
  <c r="BK22" i="1"/>
  <c r="BL21" i="1"/>
  <c r="BI41" i="1"/>
  <c r="BI182" i="1"/>
  <c r="BI195" i="1" s="1"/>
  <c r="BI7" i="4"/>
  <c r="BH91" i="4"/>
  <c r="BH185" i="1"/>
  <c r="AT48" i="23"/>
  <c r="AT93" i="1"/>
  <c r="AY93" i="1"/>
  <c r="AY48" i="23"/>
  <c r="BH48" i="23"/>
  <c r="BH93" i="1"/>
  <c r="BG48" i="23"/>
  <c r="BG93" i="1"/>
  <c r="BF48" i="23"/>
  <c r="BF93" i="1"/>
  <c r="BL48" i="23"/>
  <c r="BL93" i="1"/>
  <c r="BE48" i="23"/>
  <c r="BE93" i="1"/>
  <c r="BJ48" i="23"/>
  <c r="BJ93" i="1"/>
  <c r="BI93" i="1"/>
  <c r="BI48" i="23"/>
  <c r="BB48" i="23"/>
  <c r="BB93" i="1"/>
  <c r="L85" i="10"/>
  <c r="F85" i="10"/>
  <c r="R101" i="4" s="1"/>
  <c r="R100" i="4" s="1"/>
  <c r="R96" i="4" s="1"/>
  <c r="R93" i="4" s="1"/>
  <c r="R183" i="1" s="1"/>
  <c r="R185" i="1" s="1"/>
  <c r="B85" i="10"/>
  <c r="R78" i="4" s="1"/>
  <c r="R77" i="4" s="1"/>
  <c r="J85" i="10"/>
  <c r="D85" i="10"/>
  <c r="I85" i="10"/>
  <c r="BO67" i="4"/>
  <c r="BO90" i="1"/>
  <c r="BO94" i="1" s="1"/>
  <c r="BO40" i="23"/>
  <c r="BP93" i="1"/>
  <c r="BO145" i="1"/>
  <c r="S90" i="4"/>
  <c r="S14" i="19"/>
  <c r="S15" i="19" s="1"/>
  <c r="BA93" i="1"/>
  <c r="BA48" i="23"/>
  <c r="BK48" i="23"/>
  <c r="BK93" i="1"/>
  <c r="AZ93" i="1"/>
  <c r="AZ48" i="23"/>
  <c r="BD93" i="1"/>
  <c r="BD48" i="23"/>
  <c r="AW93" i="1"/>
  <c r="AW48" i="23"/>
  <c r="BC48" i="23"/>
  <c r="BC93" i="1"/>
  <c r="BN48" i="23"/>
  <c r="BN93" i="1"/>
  <c r="AV93" i="1"/>
  <c r="AV48" i="23"/>
  <c r="AU48" i="23"/>
  <c r="AU93" i="1"/>
  <c r="AS48" i="23"/>
  <c r="AS93" i="1"/>
  <c r="BM48" i="23"/>
  <c r="BM93" i="1"/>
  <c r="AX48" i="23"/>
  <c r="AX93" i="1"/>
  <c r="I86" i="10"/>
  <c r="L86" i="10"/>
  <c r="C86" i="10"/>
  <c r="S78" i="4" s="1"/>
  <c r="S77" i="4" s="1"/>
  <c r="D86" i="10"/>
  <c r="S101" i="4" s="1"/>
  <c r="S100" i="4" s="1"/>
  <c r="S96" i="4" s="1"/>
  <c r="S93" i="4" s="1"/>
  <c r="S183" i="1" s="1"/>
  <c r="J86" i="10"/>
  <c r="AG23" i="1"/>
  <c r="AH24" i="1"/>
  <c r="I74" i="8"/>
  <c r="J74" i="8" s="1"/>
  <c r="K74" i="8" s="1"/>
  <c r="AM86" i="23"/>
  <c r="AM78" i="23"/>
  <c r="AE7" i="4"/>
  <c r="AE41" i="1"/>
  <c r="AE42" i="1" s="1"/>
  <c r="AF6" i="4"/>
  <c r="AF35" i="1"/>
  <c r="AF38" i="1"/>
  <c r="AN44" i="23"/>
  <c r="AO126" i="1"/>
  <c r="AN127" i="1"/>
  <c r="AJ151" i="1" l="1"/>
  <c r="AJ13" i="1"/>
  <c r="AJ22" i="1"/>
  <c r="AJ52" i="1" s="1"/>
  <c r="AK68" i="1"/>
  <c r="AL16" i="1"/>
  <c r="AI22" i="1"/>
  <c r="AI52" i="1" s="1"/>
  <c r="AI151" i="1"/>
  <c r="AI13" i="1"/>
  <c r="AI96" i="1"/>
  <c r="AI111" i="1"/>
  <c r="AI110" i="1"/>
  <c r="AI113" i="1"/>
  <c r="AI95" i="1"/>
  <c r="AI112" i="1" s="1"/>
  <c r="AE77" i="4"/>
  <c r="AF78" i="4"/>
  <c r="AH159" i="1"/>
  <c r="AH149" i="1"/>
  <c r="AJ70" i="1"/>
  <c r="AJ74" i="1" s="1"/>
  <c r="AK18" i="1"/>
  <c r="AF196" i="1"/>
  <c r="AF195" i="1"/>
  <c r="AF185" i="1"/>
  <c r="AF91" i="4"/>
  <c r="AH108" i="1"/>
  <c r="AH99" i="1"/>
  <c r="AH100" i="1" s="1"/>
  <c r="AH68" i="4"/>
  <c r="AG198" i="1"/>
  <c r="AG200" i="1"/>
  <c r="AG197" i="1"/>
  <c r="AG182" i="1"/>
  <c r="AG180" i="1"/>
  <c r="AG199" i="1" s="1"/>
  <c r="BC111" i="1"/>
  <c r="BC110" i="1"/>
  <c r="BI110" i="1"/>
  <c r="BI111" i="1"/>
  <c r="BI96" i="1"/>
  <c r="BI108" i="1" s="1"/>
  <c r="BQ162" i="1"/>
  <c r="BR25" i="1"/>
  <c r="BO179" i="1"/>
  <c r="BO90" i="4"/>
  <c r="AV111" i="1"/>
  <c r="AV110" i="1"/>
  <c r="BD110" i="1"/>
  <c r="BD111" i="1"/>
  <c r="BO114" i="1"/>
  <c r="BO95" i="1"/>
  <c r="BB110" i="1"/>
  <c r="BB111" i="1"/>
  <c r="BJ111" i="1"/>
  <c r="BJ110" i="1"/>
  <c r="BJ96" i="1"/>
  <c r="BJ108" i="1" s="1"/>
  <c r="BL111" i="1"/>
  <c r="BL96" i="1"/>
  <c r="BL108" i="1" s="1"/>
  <c r="BL110" i="1"/>
  <c r="BG96" i="1"/>
  <c r="BG108" i="1" s="1"/>
  <c r="BG111" i="1"/>
  <c r="BG110" i="1"/>
  <c r="BN53" i="1"/>
  <c r="BP161" i="1"/>
  <c r="BP160" i="1" s="1"/>
  <c r="BQ24" i="1"/>
  <c r="BP23" i="1"/>
  <c r="AS111" i="1"/>
  <c r="AS110" i="1"/>
  <c r="AG50" i="1"/>
  <c r="AG49" i="1"/>
  <c r="BM111" i="1"/>
  <c r="BM96" i="1"/>
  <c r="BM108" i="1" s="1"/>
  <c r="BM110" i="1"/>
  <c r="AU111" i="1"/>
  <c r="AU110" i="1"/>
  <c r="BN111" i="1"/>
  <c r="BN110" i="1"/>
  <c r="BN96" i="1"/>
  <c r="BN108" i="1" s="1"/>
  <c r="AY111" i="1"/>
  <c r="AY110" i="1"/>
  <c r="BK52" i="1"/>
  <c r="BK50" i="1"/>
  <c r="BK49" i="1"/>
  <c r="BK38" i="1"/>
  <c r="BK36" i="1"/>
  <c r="BK51" i="1" s="1"/>
  <c r="AF53" i="1"/>
  <c r="AF36" i="1"/>
  <c r="AX111" i="1"/>
  <c r="AX110" i="1"/>
  <c r="BK96" i="1"/>
  <c r="BK108" i="1" s="1"/>
  <c r="BK111" i="1"/>
  <c r="BK110" i="1"/>
  <c r="AW111" i="1"/>
  <c r="AW110" i="1"/>
  <c r="AZ111" i="1"/>
  <c r="AZ110" i="1"/>
  <c r="BA111" i="1"/>
  <c r="BA110" i="1"/>
  <c r="BP96" i="1"/>
  <c r="BP108" i="1" s="1"/>
  <c r="BP110" i="1"/>
  <c r="BP111" i="1"/>
  <c r="R186" i="1"/>
  <c r="BE111" i="1"/>
  <c r="BE110" i="1"/>
  <c r="BF110" i="1"/>
  <c r="BF111" i="1"/>
  <c r="BH110" i="1"/>
  <c r="BH111" i="1"/>
  <c r="BH96" i="1"/>
  <c r="BH108" i="1" s="1"/>
  <c r="AT110" i="1"/>
  <c r="AT111" i="1"/>
  <c r="BK200" i="1"/>
  <c r="BK198" i="1"/>
  <c r="BK197" i="1"/>
  <c r="BK180" i="1"/>
  <c r="BN201" i="1"/>
  <c r="BQ157" i="1"/>
  <c r="BR20" i="1"/>
  <c r="BO6" i="4"/>
  <c r="BO35" i="1"/>
  <c r="S109" i="1"/>
  <c r="T109" i="1" s="1"/>
  <c r="U109" i="1" s="1"/>
  <c r="V109" i="1" s="1"/>
  <c r="W109" i="1" s="1"/>
  <c r="X109" i="1" s="1"/>
  <c r="Y109" i="1" s="1"/>
  <c r="Z109" i="1" s="1"/>
  <c r="AA109" i="1" s="1"/>
  <c r="AB109" i="1" s="1"/>
  <c r="AC109" i="1" s="1"/>
  <c r="AD109" i="1" s="1"/>
  <c r="AE109" i="1" s="1"/>
  <c r="AF109" i="1" s="1"/>
  <c r="AG109" i="1" s="1"/>
  <c r="AH109" i="1" s="1"/>
  <c r="AI109" i="1" s="1"/>
  <c r="AE48" i="1"/>
  <c r="BJ199" i="1"/>
  <c r="S112" i="1"/>
  <c r="AF51" i="1"/>
  <c r="K86" i="10"/>
  <c r="BJ41" i="1"/>
  <c r="BJ7" i="4"/>
  <c r="BJ182" i="1"/>
  <c r="BJ195" i="1" s="1"/>
  <c r="BI91" i="4"/>
  <c r="BI185" i="1"/>
  <c r="BL158" i="1"/>
  <c r="BL159" i="1" s="1"/>
  <c r="BL22" i="1"/>
  <c r="BM21" i="1"/>
  <c r="AV40" i="23"/>
  <c r="AV90" i="1"/>
  <c r="AV94" i="1" s="1"/>
  <c r="AV96" i="1"/>
  <c r="AV108" i="1" s="1"/>
  <c r="AV67" i="4"/>
  <c r="AV145" i="1"/>
  <c r="AW40" i="23"/>
  <c r="AW67" i="4"/>
  <c r="AW145" i="1"/>
  <c r="AW90" i="1"/>
  <c r="AW94" i="1" s="1"/>
  <c r="AW96" i="1"/>
  <c r="AW108" i="1" s="1"/>
  <c r="BD40" i="23"/>
  <c r="BD145" i="1"/>
  <c r="BD67" i="4"/>
  <c r="BD90" i="1"/>
  <c r="BD94" i="1" s="1"/>
  <c r="BD96" i="1"/>
  <c r="BD108" i="1" s="1"/>
  <c r="AZ40" i="23"/>
  <c r="AZ90" i="1"/>
  <c r="AZ94" i="1" s="1"/>
  <c r="AZ145" i="1"/>
  <c r="AZ67" i="4"/>
  <c r="AZ96" i="1"/>
  <c r="AZ108" i="1" s="1"/>
  <c r="BA90" i="1"/>
  <c r="BA94" i="1" s="1"/>
  <c r="BA67" i="4"/>
  <c r="BA145" i="1"/>
  <c r="BA40" i="23"/>
  <c r="BA96" i="1"/>
  <c r="BA108" i="1" s="1"/>
  <c r="S185" i="1"/>
  <c r="S91" i="4"/>
  <c r="BO99" i="1"/>
  <c r="BO68" i="4"/>
  <c r="A52" i="10" s="1"/>
  <c r="BP90" i="1"/>
  <c r="BP94" i="1" s="1"/>
  <c r="BP40" i="23"/>
  <c r="BP145" i="1"/>
  <c r="BQ93" i="1"/>
  <c r="BP67" i="4"/>
  <c r="BB134" i="1"/>
  <c r="BB90" i="1"/>
  <c r="BB94" i="1" s="1"/>
  <c r="BB145" i="1"/>
  <c r="BB67" i="4"/>
  <c r="BB40" i="23"/>
  <c r="BB96" i="1"/>
  <c r="BB108" i="1" s="1"/>
  <c r="BJ40" i="23"/>
  <c r="BJ90" i="1"/>
  <c r="BJ94" i="1" s="1"/>
  <c r="BJ145" i="1"/>
  <c r="BJ67" i="4"/>
  <c r="BE40" i="23"/>
  <c r="BE145" i="1"/>
  <c r="BE67" i="4"/>
  <c r="BE90" i="1"/>
  <c r="BE94" i="1" s="1"/>
  <c r="BE96" i="1"/>
  <c r="BE108" i="1" s="1"/>
  <c r="BL90" i="1"/>
  <c r="BL94" i="1" s="1"/>
  <c r="BL40" i="23"/>
  <c r="BL67" i="4"/>
  <c r="BL145" i="1"/>
  <c r="BF67" i="4"/>
  <c r="BF145" i="1"/>
  <c r="BF96" i="1"/>
  <c r="BF108" i="1" s="1"/>
  <c r="BF40" i="23"/>
  <c r="BF90" i="1"/>
  <c r="BF94" i="1" s="1"/>
  <c r="BG40" i="23"/>
  <c r="BG145" i="1"/>
  <c r="BG67" i="4"/>
  <c r="BG90" i="1"/>
  <c r="BG94" i="1" s="1"/>
  <c r="BH67" i="4"/>
  <c r="BH145" i="1"/>
  <c r="BH40" i="23"/>
  <c r="BH90" i="1"/>
  <c r="BH94" i="1" s="1"/>
  <c r="AT40" i="23"/>
  <c r="AT90" i="1"/>
  <c r="AT94" i="1" s="1"/>
  <c r="AT96" i="1"/>
  <c r="AT108" i="1" s="1"/>
  <c r="AT67" i="4"/>
  <c r="AT145" i="1"/>
  <c r="AX90" i="1"/>
  <c r="AX94" i="1" s="1"/>
  <c r="AX40" i="23"/>
  <c r="AX145" i="1"/>
  <c r="AX67" i="4"/>
  <c r="AX96" i="1"/>
  <c r="AX108" i="1" s="1"/>
  <c r="BM40" i="23"/>
  <c r="BM145" i="1"/>
  <c r="BM90" i="1"/>
  <c r="BM94" i="1" s="1"/>
  <c r="BM67" i="4"/>
  <c r="AS40" i="23"/>
  <c r="AS67" i="4"/>
  <c r="AS96" i="1"/>
  <c r="AS108" i="1" s="1"/>
  <c r="AS90" i="1"/>
  <c r="AS94" i="1" s="1"/>
  <c r="AS145" i="1"/>
  <c r="AU67" i="4"/>
  <c r="AU96" i="1"/>
  <c r="AU108" i="1" s="1"/>
  <c r="AU90" i="1"/>
  <c r="AU94" i="1" s="1"/>
  <c r="AU40" i="23"/>
  <c r="AU145" i="1"/>
  <c r="BN90" i="1"/>
  <c r="BN94" i="1" s="1"/>
  <c r="BN67" i="4"/>
  <c r="BN40" i="23"/>
  <c r="BN145" i="1"/>
  <c r="BC90" i="1"/>
  <c r="BC94" i="1" s="1"/>
  <c r="BC145" i="1"/>
  <c r="BC67" i="4"/>
  <c r="BC40" i="23"/>
  <c r="BC96" i="1"/>
  <c r="BC108" i="1" s="1"/>
  <c r="BK40" i="23"/>
  <c r="BK145" i="1"/>
  <c r="BK90" i="1"/>
  <c r="BK94" i="1" s="1"/>
  <c r="BK67" i="4"/>
  <c r="K85" i="10"/>
  <c r="BI40" i="23"/>
  <c r="BI67" i="4"/>
  <c r="BI90" i="1"/>
  <c r="BI94" i="1" s="1"/>
  <c r="BI145" i="1"/>
  <c r="AY67" i="4"/>
  <c r="AY96" i="1"/>
  <c r="AY108" i="1" s="1"/>
  <c r="AY40" i="23"/>
  <c r="AY90" i="1"/>
  <c r="AY94" i="1" s="1"/>
  <c r="AY145" i="1"/>
  <c r="I75" i="8"/>
  <c r="J75" i="8" s="1"/>
  <c r="K75" i="8" s="1"/>
  <c r="AO44" i="23"/>
  <c r="AP126" i="1"/>
  <c r="AO127" i="1"/>
  <c r="AF7" i="4"/>
  <c r="AF41" i="1"/>
  <c r="AF42" i="1" s="1"/>
  <c r="AG6" i="4"/>
  <c r="AG35" i="1"/>
  <c r="AG38" i="1"/>
  <c r="AN78" i="23"/>
  <c r="AN86" i="23"/>
  <c r="AH23" i="1"/>
  <c r="AI24" i="1"/>
  <c r="AL18" i="1" l="1"/>
  <c r="AK70" i="1"/>
  <c r="AK74" i="1" s="1"/>
  <c r="AJ96" i="1"/>
  <c r="AJ95" i="1"/>
  <c r="AJ112" i="1" s="1"/>
  <c r="AJ113" i="1"/>
  <c r="AJ111" i="1"/>
  <c r="AJ110" i="1"/>
  <c r="AI149" i="1"/>
  <c r="AI159" i="1"/>
  <c r="AI200" i="1" s="1"/>
  <c r="AI108" i="1"/>
  <c r="AI68" i="4"/>
  <c r="AI99" i="1"/>
  <c r="AI100" i="1" s="1"/>
  <c r="AK24" i="23"/>
  <c r="AK28" i="23" s="1"/>
  <c r="AK29" i="23" s="1"/>
  <c r="AK30" i="23" s="1"/>
  <c r="AK15" i="1" s="1"/>
  <c r="AG78" i="4"/>
  <c r="AF77" i="4"/>
  <c r="S186" i="1"/>
  <c r="T186" i="1" s="1"/>
  <c r="U186" i="1" s="1"/>
  <c r="V186" i="1" s="1"/>
  <c r="W186" i="1" s="1"/>
  <c r="X186" i="1" s="1"/>
  <c r="Y186" i="1" s="1"/>
  <c r="Z186" i="1" s="1"/>
  <c r="AA186" i="1" s="1"/>
  <c r="AB186" i="1" s="1"/>
  <c r="AC186" i="1" s="1"/>
  <c r="AD186" i="1" s="1"/>
  <c r="AE186" i="1" s="1"/>
  <c r="AF186" i="1" s="1"/>
  <c r="AG91" i="4"/>
  <c r="AG195" i="1"/>
  <c r="AG185" i="1"/>
  <c r="AG196" i="1"/>
  <c r="AH200" i="1"/>
  <c r="AH182" i="1"/>
  <c r="AH197" i="1"/>
  <c r="AH180" i="1"/>
  <c r="AH199" i="1" s="1"/>
  <c r="AH198" i="1"/>
  <c r="AM16" i="1"/>
  <c r="AL68" i="1"/>
  <c r="AL24" i="23"/>
  <c r="AL28" i="23" s="1"/>
  <c r="AL29" i="23" s="1"/>
  <c r="AL30" i="23" s="1"/>
  <c r="AL15" i="1" s="1"/>
  <c r="AJ159" i="1"/>
  <c r="AJ200" i="1" s="1"/>
  <c r="AJ149" i="1"/>
  <c r="BQ110" i="1"/>
  <c r="BQ96" i="1"/>
  <c r="BQ108" i="1" s="1"/>
  <c r="BQ111" i="1"/>
  <c r="BA114" i="1"/>
  <c r="BA95" i="1"/>
  <c r="AZ114" i="1"/>
  <c r="AZ95" i="1"/>
  <c r="BS20" i="1"/>
  <c r="BR157" i="1"/>
  <c r="AY95" i="1"/>
  <c r="AY114" i="1"/>
  <c r="AU114" i="1"/>
  <c r="AU95" i="1"/>
  <c r="AS114" i="1"/>
  <c r="AS95" i="1"/>
  <c r="AX95" i="1"/>
  <c r="AX114" i="1"/>
  <c r="AT114" i="1"/>
  <c r="AT95" i="1"/>
  <c r="BE114" i="1"/>
  <c r="BE95" i="1"/>
  <c r="BB114" i="1"/>
  <c r="BB95" i="1"/>
  <c r="BP6" i="4"/>
  <c r="BP35" i="1"/>
  <c r="BO201" i="1"/>
  <c r="AG53" i="1"/>
  <c r="AG36" i="1"/>
  <c r="AW114" i="1"/>
  <c r="AW95" i="1"/>
  <c r="AH50" i="1"/>
  <c r="AH49" i="1"/>
  <c r="BN114" i="1"/>
  <c r="BN95" i="1"/>
  <c r="BO53" i="1"/>
  <c r="BQ161" i="1"/>
  <c r="BQ160" i="1" s="1"/>
  <c r="BR24" i="1"/>
  <c r="BQ23" i="1"/>
  <c r="BS25" i="1"/>
  <c r="BR162" i="1"/>
  <c r="BL200" i="1"/>
  <c r="BL198" i="1"/>
  <c r="BL197" i="1"/>
  <c r="BL180" i="1"/>
  <c r="BI95" i="1"/>
  <c r="BI114" i="1"/>
  <c r="BC114" i="1"/>
  <c r="BC95" i="1"/>
  <c r="BM114" i="1"/>
  <c r="BM95" i="1"/>
  <c r="BK114" i="1"/>
  <c r="BK95" i="1"/>
  <c r="BH114" i="1"/>
  <c r="BH95" i="1"/>
  <c r="BG114" i="1"/>
  <c r="BG95" i="1"/>
  <c r="BF114" i="1"/>
  <c r="BF95" i="1"/>
  <c r="BL114" i="1"/>
  <c r="BL95" i="1"/>
  <c r="BJ95" i="1"/>
  <c r="BJ114" i="1"/>
  <c r="BP114" i="1"/>
  <c r="BP95" i="1"/>
  <c r="BD114" i="1"/>
  <c r="BD95" i="1"/>
  <c r="AV114" i="1"/>
  <c r="AV95" i="1"/>
  <c r="BL52" i="1"/>
  <c r="BL50" i="1"/>
  <c r="BL49" i="1"/>
  <c r="BL38" i="1"/>
  <c r="BL36" i="1"/>
  <c r="BL51" i="1" s="1"/>
  <c r="BP179" i="1"/>
  <c r="BP90" i="4"/>
  <c r="AF48" i="1"/>
  <c r="BK199" i="1"/>
  <c r="BO112" i="1"/>
  <c r="AG51" i="1"/>
  <c r="BN21" i="1"/>
  <c r="BM22" i="1"/>
  <c r="BM158" i="1"/>
  <c r="BM159" i="1" s="1"/>
  <c r="BK7" i="4"/>
  <c r="BK41" i="1"/>
  <c r="BK182" i="1"/>
  <c r="BK195" i="1" s="1"/>
  <c r="BJ91" i="4"/>
  <c r="BJ185" i="1"/>
  <c r="BC99" i="1"/>
  <c r="BC68" i="4"/>
  <c r="BM68" i="4"/>
  <c r="BM99" i="1"/>
  <c r="AT99" i="1"/>
  <c r="AT68" i="4"/>
  <c r="BG68" i="4"/>
  <c r="BG99" i="1"/>
  <c r="BL99" i="1"/>
  <c r="BL68" i="4"/>
  <c r="BJ68" i="4"/>
  <c r="BJ99" i="1"/>
  <c r="BQ145" i="1"/>
  <c r="BQ67" i="4"/>
  <c r="BQ90" i="1"/>
  <c r="BQ94" i="1" s="1"/>
  <c r="BR93" i="1"/>
  <c r="BQ40" i="23"/>
  <c r="BP68" i="4"/>
  <c r="BP99" i="1"/>
  <c r="AZ68" i="4"/>
  <c r="AZ99" i="1"/>
  <c r="AW68" i="4"/>
  <c r="AW99" i="1"/>
  <c r="AY68" i="4"/>
  <c r="AY99" i="1"/>
  <c r="BI99" i="1"/>
  <c r="BI68" i="4"/>
  <c r="BK99" i="1"/>
  <c r="BK68" i="4"/>
  <c r="A53" i="10" s="1"/>
  <c r="BN68" i="4"/>
  <c r="BN99" i="1"/>
  <c r="AU68" i="4"/>
  <c r="A69" i="10" s="1"/>
  <c r="AU99" i="1"/>
  <c r="AS99" i="1"/>
  <c r="AS68" i="4"/>
  <c r="A74" i="10" s="1"/>
  <c r="AX68" i="4"/>
  <c r="A55" i="10" s="1"/>
  <c r="AX99" i="1"/>
  <c r="BH99" i="1"/>
  <c r="BH68" i="4"/>
  <c r="BF99" i="1"/>
  <c r="BF68" i="4"/>
  <c r="BE68" i="4"/>
  <c r="BE99" i="1"/>
  <c r="BB68" i="4"/>
  <c r="BB99" i="1"/>
  <c r="I52" i="10"/>
  <c r="J52" i="10"/>
  <c r="L52" i="10"/>
  <c r="BA99" i="1"/>
  <c r="BA68" i="4"/>
  <c r="BD68" i="4"/>
  <c r="BD99" i="1"/>
  <c r="AV99" i="1"/>
  <c r="AV68" i="4"/>
  <c r="I76" i="8"/>
  <c r="J76" i="8" s="1"/>
  <c r="K76" i="8" s="1"/>
  <c r="AH35" i="1"/>
  <c r="AH6" i="4"/>
  <c r="AH38" i="1"/>
  <c r="AP44" i="23"/>
  <c r="AQ126" i="1"/>
  <c r="AP127" i="1"/>
  <c r="AI23" i="1"/>
  <c r="AI161" i="1"/>
  <c r="AI160" i="1" s="1"/>
  <c r="AJ24" i="1"/>
  <c r="AG7" i="4"/>
  <c r="AG41" i="1"/>
  <c r="AG42" i="1" s="1"/>
  <c r="AO86" i="23"/>
  <c r="AO78" i="23"/>
  <c r="AJ109" i="1" l="1"/>
  <c r="AG77" i="4"/>
  <c r="AH77" i="4" s="1"/>
  <c r="AH78" i="4"/>
  <c r="AK113" i="1"/>
  <c r="AK111" i="1"/>
  <c r="AK96" i="1"/>
  <c r="AK110" i="1"/>
  <c r="AK95" i="1"/>
  <c r="AK112" i="1" s="1"/>
  <c r="AL151" i="1"/>
  <c r="AL13" i="1"/>
  <c r="AL22" i="1"/>
  <c r="AL52" i="1" s="1"/>
  <c r="AH196" i="1"/>
  <c r="AK151" i="1"/>
  <c r="AK22" i="1"/>
  <c r="AK52" i="1" s="1"/>
  <c r="AK13" i="1"/>
  <c r="AM18" i="1"/>
  <c r="AM24" i="23" s="1"/>
  <c r="AM28" i="23" s="1"/>
  <c r="AM29" i="23" s="1"/>
  <c r="AM30" i="23" s="1"/>
  <c r="AM15" i="1" s="1"/>
  <c r="AL70" i="1"/>
  <c r="AL74" i="1" s="1"/>
  <c r="AG186" i="1"/>
  <c r="AN16" i="1"/>
  <c r="AM68" i="1"/>
  <c r="AH195" i="1"/>
  <c r="AH91" i="4"/>
  <c r="AH185" i="1"/>
  <c r="AJ108" i="1"/>
  <c r="AJ68" i="4"/>
  <c r="AJ99" i="1"/>
  <c r="AJ100" i="1" s="1"/>
  <c r="AI50" i="1"/>
  <c r="AI49" i="1"/>
  <c r="BM200" i="1"/>
  <c r="BM198" i="1"/>
  <c r="BM197" i="1"/>
  <c r="BM180" i="1"/>
  <c r="BS162" i="1"/>
  <c r="BT25" i="1"/>
  <c r="BS157" i="1"/>
  <c r="BT20" i="1"/>
  <c r="BM52" i="1"/>
  <c r="BM50" i="1"/>
  <c r="BM49" i="1"/>
  <c r="BM38" i="1"/>
  <c r="BM36" i="1"/>
  <c r="BQ6" i="4"/>
  <c r="BQ35" i="1"/>
  <c r="AH53" i="1"/>
  <c r="AH36" i="1"/>
  <c r="BR96" i="1"/>
  <c r="BR108" i="1" s="1"/>
  <c r="BR110" i="1"/>
  <c r="BR111" i="1"/>
  <c r="BP201" i="1"/>
  <c r="BS24" i="1"/>
  <c r="BR161" i="1"/>
  <c r="BR160" i="1" s="1"/>
  <c r="BR23" i="1"/>
  <c r="BP53" i="1"/>
  <c r="AI197" i="1"/>
  <c r="AI198" i="1"/>
  <c r="BQ95" i="1"/>
  <c r="BQ114" i="1"/>
  <c r="BQ179" i="1"/>
  <c r="BQ90" i="4"/>
  <c r="AG48" i="1"/>
  <c r="BL199" i="1"/>
  <c r="AW112" i="1"/>
  <c r="AZ112" i="1"/>
  <c r="BA112" i="1"/>
  <c r="BB112" i="1"/>
  <c r="BJ112" i="1"/>
  <c r="BF112" i="1"/>
  <c r="BG112" i="1"/>
  <c r="BH112" i="1"/>
  <c r="AT112" i="1"/>
  <c r="AX112" i="1"/>
  <c r="BN112" i="1"/>
  <c r="BK112" i="1"/>
  <c r="BI112" i="1"/>
  <c r="AY112" i="1"/>
  <c r="AV112" i="1"/>
  <c r="BD112" i="1"/>
  <c r="BP112" i="1"/>
  <c r="BE112" i="1"/>
  <c r="BL112" i="1"/>
  <c r="BM112" i="1"/>
  <c r="AS112" i="1"/>
  <c r="AU112" i="1"/>
  <c r="BC112" i="1"/>
  <c r="AH51" i="1"/>
  <c r="BL182" i="1"/>
  <c r="BL195" i="1" s="1"/>
  <c r="BL7" i="4"/>
  <c r="BL41" i="1"/>
  <c r="BK91" i="4"/>
  <c r="BK185" i="1"/>
  <c r="BM51" i="1"/>
  <c r="BO21" i="1"/>
  <c r="BN158" i="1"/>
  <c r="BN159" i="1" s="1"/>
  <c r="BN22" i="1"/>
  <c r="J74" i="10"/>
  <c r="L74" i="10"/>
  <c r="I74" i="10"/>
  <c r="J53" i="10"/>
  <c r="L53" i="10"/>
  <c r="I53" i="10"/>
  <c r="BQ99" i="1"/>
  <c r="BQ68" i="4"/>
  <c r="BR90" i="1"/>
  <c r="BR94" i="1" s="1"/>
  <c r="BS93" i="1"/>
  <c r="BR145" i="1"/>
  <c r="BR67" i="4"/>
  <c r="BR40" i="23"/>
  <c r="K52" i="10"/>
  <c r="BL78" i="4"/>
  <c r="BP16" i="4"/>
  <c r="BA16" i="4"/>
  <c r="BN16" i="4"/>
  <c r="BG16" i="4"/>
  <c r="BB16" i="4"/>
  <c r="BQ16" i="4"/>
  <c r="BI16" i="4"/>
  <c r="BF16" i="4"/>
  <c r="BS16" i="4"/>
  <c r="BL16" i="4"/>
  <c r="AZ16" i="4"/>
  <c r="BK16" i="4"/>
  <c r="BE16" i="4"/>
  <c r="BR16" i="4"/>
  <c r="BO78" i="4"/>
  <c r="BP78" i="4" s="1"/>
  <c r="BQ78" i="4" s="1"/>
  <c r="BR78" i="4" s="1"/>
  <c r="BS78" i="4" s="1"/>
  <c r="BT78" i="4" s="1"/>
  <c r="AX16" i="4"/>
  <c r="BT16" i="4"/>
  <c r="BH16" i="4"/>
  <c r="AY16" i="4"/>
  <c r="BO16" i="4"/>
  <c r="BJ16" i="4"/>
  <c r="BC16" i="4"/>
  <c r="BD16" i="4"/>
  <c r="BM16" i="4"/>
  <c r="L55" i="10"/>
  <c r="J55" i="10"/>
  <c r="I55" i="10"/>
  <c r="L69" i="10"/>
  <c r="J69" i="10"/>
  <c r="I69" i="10"/>
  <c r="I77" i="8"/>
  <c r="J77" i="8" s="1"/>
  <c r="K77" i="8" s="1"/>
  <c r="AJ23" i="1"/>
  <c r="AJ161" i="1"/>
  <c r="AJ160" i="1" s="1"/>
  <c r="AK24" i="1"/>
  <c r="AI35" i="1"/>
  <c r="AI6" i="4"/>
  <c r="AI38" i="1"/>
  <c r="AQ44" i="23"/>
  <c r="AR126" i="1"/>
  <c r="AQ127" i="1"/>
  <c r="AH41" i="1"/>
  <c r="AH42" i="1" s="1"/>
  <c r="AH7" i="4"/>
  <c r="AI90" i="4"/>
  <c r="AI179" i="1"/>
  <c r="AP78" i="23"/>
  <c r="AP86" i="23"/>
  <c r="AK109" i="1" l="1"/>
  <c r="AM13" i="1"/>
  <c r="AM22" i="1"/>
  <c r="AM52" i="1" s="1"/>
  <c r="AM151" i="1"/>
  <c r="AH186" i="1"/>
  <c r="AL113" i="1"/>
  <c r="AL110" i="1"/>
  <c r="AL96" i="1"/>
  <c r="AL95" i="1"/>
  <c r="AL112" i="1" s="1"/>
  <c r="AL111" i="1"/>
  <c r="AK159" i="1"/>
  <c r="AK200" i="1" s="1"/>
  <c r="AK149" i="1"/>
  <c r="AK108" i="1"/>
  <c r="AK99" i="1"/>
  <c r="AK100" i="1" s="1"/>
  <c r="AK68" i="4"/>
  <c r="AO16" i="1"/>
  <c r="AN68" i="1"/>
  <c r="AN18" i="1"/>
  <c r="AM70" i="1"/>
  <c r="AM74" i="1" s="1"/>
  <c r="AL149" i="1"/>
  <c r="AL159" i="1"/>
  <c r="AL200" i="1" s="1"/>
  <c r="AJ198" i="1"/>
  <c r="AJ197" i="1"/>
  <c r="BN52" i="1"/>
  <c r="BN49" i="1"/>
  <c r="BN50" i="1"/>
  <c r="BN38" i="1"/>
  <c r="BN36" i="1"/>
  <c r="BT157" i="1"/>
  <c r="E9" i="25"/>
  <c r="AJ49" i="1"/>
  <c r="AJ50" i="1"/>
  <c r="BN200" i="1"/>
  <c r="BN197" i="1"/>
  <c r="BN198" i="1"/>
  <c r="BN180" i="1"/>
  <c r="BR6" i="4"/>
  <c r="BR35" i="1"/>
  <c r="BQ53" i="1"/>
  <c r="BT162" i="1"/>
  <c r="E17" i="25"/>
  <c r="F17" i="25" s="1"/>
  <c r="BS111" i="1"/>
  <c r="BS96" i="1"/>
  <c r="BS108" i="1" s="1"/>
  <c r="BS110" i="1"/>
  <c r="BR179" i="1"/>
  <c r="BR90" i="4"/>
  <c r="AI180" i="1"/>
  <c r="AI201" i="1"/>
  <c r="AI53" i="1"/>
  <c r="AI36" i="1"/>
  <c r="AI51" i="1" s="1"/>
  <c r="BR95" i="1"/>
  <c r="BR114" i="1"/>
  <c r="BQ201" i="1"/>
  <c r="BT24" i="1"/>
  <c r="BS161" i="1"/>
  <c r="BS160" i="1" s="1"/>
  <c r="BS23" i="1"/>
  <c r="BM199" i="1"/>
  <c r="BQ112" i="1"/>
  <c r="AH48" i="1"/>
  <c r="BN51" i="1"/>
  <c r="BO158" i="1"/>
  <c r="BO159" i="1" s="1"/>
  <c r="BO22" i="1"/>
  <c r="BP21" i="1"/>
  <c r="BM182" i="1"/>
  <c r="BM195" i="1" s="1"/>
  <c r="BM7" i="4"/>
  <c r="BM41" i="1"/>
  <c r="BL91" i="4"/>
  <c r="BL185" i="1"/>
  <c r="AX78" i="4"/>
  <c r="K55" i="10"/>
  <c r="BD101" i="4"/>
  <c r="BD15" i="4"/>
  <c r="BJ15" i="4"/>
  <c r="BJ101" i="4"/>
  <c r="AY15" i="4"/>
  <c r="AY101" i="4"/>
  <c r="BT15" i="4"/>
  <c r="BT101" i="4"/>
  <c r="BE15" i="4"/>
  <c r="BE101" i="4"/>
  <c r="AZ101" i="4"/>
  <c r="AZ15" i="4"/>
  <c r="BS101" i="4"/>
  <c r="BS15" i="4"/>
  <c r="BI101" i="4"/>
  <c r="BI15" i="4"/>
  <c r="BB101" i="4"/>
  <c r="BB15" i="4"/>
  <c r="BN15" i="4"/>
  <c r="BN101" i="4"/>
  <c r="BP101" i="4"/>
  <c r="BP15" i="4"/>
  <c r="BR68" i="4"/>
  <c r="BR99" i="1"/>
  <c r="BK78" i="4"/>
  <c r="BK77" i="4" s="1"/>
  <c r="K53" i="10"/>
  <c r="K69" i="10"/>
  <c r="AU78" i="4"/>
  <c r="BM15" i="4"/>
  <c r="BM101" i="4"/>
  <c r="BC15" i="4"/>
  <c r="BC101" i="4"/>
  <c r="BO101" i="4"/>
  <c r="BO15" i="4"/>
  <c r="BH101" i="4"/>
  <c r="BH15" i="4"/>
  <c r="AX15" i="4"/>
  <c r="AX101" i="4"/>
  <c r="BR15" i="4"/>
  <c r="BR101" i="4"/>
  <c r="BK15" i="4"/>
  <c r="BK101" i="4"/>
  <c r="BL101" i="4"/>
  <c r="BL15" i="4"/>
  <c r="BF101" i="4"/>
  <c r="BF15" i="4"/>
  <c r="BQ15" i="4"/>
  <c r="BQ101" i="4"/>
  <c r="BG101" i="4"/>
  <c r="BG15" i="4"/>
  <c r="BA101" i="4"/>
  <c r="BA15" i="4"/>
  <c r="BM78" i="4"/>
  <c r="BL77" i="4"/>
  <c r="BS145" i="1"/>
  <c r="BS67" i="4"/>
  <c r="BT93" i="1"/>
  <c r="BS90" i="1"/>
  <c r="BS94" i="1" s="1"/>
  <c r="BS40" i="23"/>
  <c r="K74" i="10"/>
  <c r="AS78" i="4"/>
  <c r="I78" i="8"/>
  <c r="J78" i="8" s="1"/>
  <c r="K78" i="8" s="1"/>
  <c r="AQ86" i="23"/>
  <c r="AQ78" i="23"/>
  <c r="AK23" i="1"/>
  <c r="AL24" i="1"/>
  <c r="AK161" i="1"/>
  <c r="AK160" i="1" s="1"/>
  <c r="AJ6" i="4"/>
  <c r="AJ35" i="1"/>
  <c r="AJ38" i="1"/>
  <c r="AR44" i="23"/>
  <c r="AR127" i="1"/>
  <c r="AI182" i="1"/>
  <c r="AI195" i="1" s="1"/>
  <c r="AI7" i="4"/>
  <c r="AI41" i="1"/>
  <c r="AI42" i="1" s="1"/>
  <c r="AJ90" i="4"/>
  <c r="AJ179" i="1"/>
  <c r="AL109" i="1" l="1"/>
  <c r="AO18" i="1"/>
  <c r="AN70" i="1"/>
  <c r="AN74" i="1" s="1"/>
  <c r="AN24" i="23"/>
  <c r="AN28" i="23" s="1"/>
  <c r="AN29" i="23" s="1"/>
  <c r="AN30" i="23" s="1"/>
  <c r="AN15" i="1" s="1"/>
  <c r="AM159" i="1"/>
  <c r="AM200" i="1" s="1"/>
  <c r="AM149" i="1"/>
  <c r="AM110" i="1"/>
  <c r="AM96" i="1"/>
  <c r="AM113" i="1"/>
  <c r="AM95" i="1"/>
  <c r="AM112" i="1" s="1"/>
  <c r="AM111" i="1"/>
  <c r="AO24" i="23"/>
  <c r="AO28" i="23" s="1"/>
  <c r="AO29" i="23" s="1"/>
  <c r="AO30" i="23" s="1"/>
  <c r="AO15" i="1" s="1"/>
  <c r="AO68" i="1"/>
  <c r="AP16" i="1"/>
  <c r="AL108" i="1"/>
  <c r="AL99" i="1"/>
  <c r="AL100" i="1" s="1"/>
  <c r="AL68" i="4"/>
  <c r="BO52" i="1"/>
  <c r="BO50" i="1"/>
  <c r="BO49" i="1"/>
  <c r="BO38" i="1"/>
  <c r="BO36" i="1"/>
  <c r="BR201" i="1"/>
  <c r="BR53" i="1"/>
  <c r="AJ201" i="1"/>
  <c r="AJ180" i="1"/>
  <c r="AJ53" i="1"/>
  <c r="AJ36" i="1"/>
  <c r="AJ51" i="1" s="1"/>
  <c r="AK50" i="1"/>
  <c r="AK49" i="1"/>
  <c r="BO200" i="1"/>
  <c r="BO198" i="1"/>
  <c r="BO197" i="1"/>
  <c r="BO180" i="1"/>
  <c r="BS6" i="4"/>
  <c r="BS35" i="1"/>
  <c r="F9" i="25"/>
  <c r="BS114" i="1"/>
  <c r="BS95" i="1"/>
  <c r="BS90" i="4"/>
  <c r="BS179" i="1"/>
  <c r="AK198" i="1"/>
  <c r="AK197" i="1"/>
  <c r="BT96" i="1"/>
  <c r="BT108" i="1" s="1"/>
  <c r="BT111" i="1"/>
  <c r="BT110" i="1"/>
  <c r="BT161" i="1"/>
  <c r="BT160" i="1" s="1"/>
  <c r="BT23" i="1"/>
  <c r="E16" i="25"/>
  <c r="E15" i="25" s="1"/>
  <c r="E27" i="25" s="1"/>
  <c r="AI196" i="1"/>
  <c r="BN199" i="1"/>
  <c r="AI199" i="1"/>
  <c r="BR112" i="1"/>
  <c r="AI48" i="1"/>
  <c r="BM91" i="4"/>
  <c r="BM185" i="1"/>
  <c r="BO51" i="1"/>
  <c r="BN41" i="1"/>
  <c r="BN182" i="1"/>
  <c r="BN195" i="1" s="1"/>
  <c r="BN7" i="4"/>
  <c r="BP158" i="1"/>
  <c r="BP159" i="1" s="1"/>
  <c r="BP22" i="1"/>
  <c r="BQ21" i="1"/>
  <c r="AS77" i="4"/>
  <c r="AT78" i="4"/>
  <c r="AT77" i="4" s="1"/>
  <c r="BS99" i="1"/>
  <c r="BS68" i="4"/>
  <c r="BA12" i="4"/>
  <c r="BA97" i="4" s="1"/>
  <c r="BA100" i="4"/>
  <c r="BG12" i="4"/>
  <c r="BG97" i="4" s="1"/>
  <c r="BG100" i="4"/>
  <c r="BF12" i="4"/>
  <c r="BF97" i="4" s="1"/>
  <c r="BF100" i="4"/>
  <c r="BL100" i="4"/>
  <c r="BL12" i="4"/>
  <c r="BL97" i="4" s="1"/>
  <c r="BH100" i="4"/>
  <c r="BH12" i="4"/>
  <c r="BH97" i="4" s="1"/>
  <c r="BO77" i="4"/>
  <c r="BO12" i="4"/>
  <c r="BO97" i="4" s="1"/>
  <c r="BO100" i="4"/>
  <c r="AV78" i="4"/>
  <c r="AU77" i="4"/>
  <c r="BN100" i="4"/>
  <c r="BN12" i="4"/>
  <c r="BN97" i="4" s="1"/>
  <c r="BE100" i="4"/>
  <c r="BE12" i="4"/>
  <c r="BE97" i="4" s="1"/>
  <c r="BT77" i="4"/>
  <c r="BT100" i="4"/>
  <c r="BT12" i="4"/>
  <c r="BT97" i="4" s="1"/>
  <c r="AY12" i="4"/>
  <c r="AY97" i="4" s="1"/>
  <c r="AY100" i="4"/>
  <c r="BJ100" i="4"/>
  <c r="BJ12" i="4"/>
  <c r="BJ97" i="4" s="1"/>
  <c r="AY78" i="4"/>
  <c r="AX77" i="4"/>
  <c r="BT145" i="1"/>
  <c r="BT40" i="23"/>
  <c r="BT90" i="1"/>
  <c r="BT94" i="1" s="1"/>
  <c r="BT67" i="4"/>
  <c r="BN78" i="4"/>
  <c r="BN77" i="4" s="1"/>
  <c r="BM77" i="4"/>
  <c r="BQ12" i="4"/>
  <c r="BQ97" i="4" s="1"/>
  <c r="BQ77" i="4"/>
  <c r="BQ100" i="4"/>
  <c r="BK100" i="4"/>
  <c r="BK12" i="4"/>
  <c r="BK97" i="4" s="1"/>
  <c r="BR100" i="4"/>
  <c r="BR12" i="4"/>
  <c r="BR97" i="4" s="1"/>
  <c r="BR77" i="4"/>
  <c r="AX12" i="4"/>
  <c r="AX97" i="4" s="1"/>
  <c r="AX100" i="4"/>
  <c r="BC12" i="4"/>
  <c r="BC97" i="4" s="1"/>
  <c r="BC100" i="4"/>
  <c r="BM100" i="4"/>
  <c r="BM12" i="4"/>
  <c r="BM97" i="4" s="1"/>
  <c r="BP77" i="4"/>
  <c r="BP100" i="4"/>
  <c r="BP12" i="4"/>
  <c r="BP97" i="4" s="1"/>
  <c r="BB100" i="4"/>
  <c r="BB12" i="4"/>
  <c r="BB97" i="4" s="1"/>
  <c r="BI12" i="4"/>
  <c r="BI97" i="4" s="1"/>
  <c r="BI100" i="4"/>
  <c r="BS77" i="4"/>
  <c r="BS100" i="4"/>
  <c r="BS12" i="4"/>
  <c r="BS97" i="4" s="1"/>
  <c r="AZ12" i="4"/>
  <c r="AZ97" i="4" s="1"/>
  <c r="AZ100" i="4"/>
  <c r="BD12" i="4"/>
  <c r="BD97" i="4" s="1"/>
  <c r="BD100" i="4"/>
  <c r="I79" i="8"/>
  <c r="J79" i="8" s="1"/>
  <c r="K79" i="8" s="1"/>
  <c r="AI91" i="4"/>
  <c r="AI185" i="1"/>
  <c r="AI186" i="1" s="1"/>
  <c r="AR78" i="23"/>
  <c r="AR86" i="23"/>
  <c r="AJ7" i="4"/>
  <c r="AJ41" i="1"/>
  <c r="AJ42" i="1" s="1"/>
  <c r="AJ182" i="1"/>
  <c r="AJ195" i="1" s="1"/>
  <c r="AL23" i="1"/>
  <c r="AL161" i="1"/>
  <c r="AL160" i="1" s="1"/>
  <c r="AM24" i="1"/>
  <c r="AK90" i="4"/>
  <c r="AK179" i="1"/>
  <c r="AK35" i="1"/>
  <c r="AK6" i="4"/>
  <c r="AK38" i="1"/>
  <c r="AP68" i="1" l="1"/>
  <c r="AQ16" i="1"/>
  <c r="AM109" i="1"/>
  <c r="AN113" i="1"/>
  <c r="AN96" i="1"/>
  <c r="AN111" i="1"/>
  <c r="AN95" i="1"/>
  <c r="AN112" i="1" s="1"/>
  <c r="AN110" i="1"/>
  <c r="AO13" i="1"/>
  <c r="AO22" i="1"/>
  <c r="AO52" i="1" s="1"/>
  <c r="AO151" i="1"/>
  <c r="AM108" i="1"/>
  <c r="AM68" i="4"/>
  <c r="AM99" i="1"/>
  <c r="AM100" i="1" s="1"/>
  <c r="AP18" i="1"/>
  <c r="AP24" i="23" s="1"/>
  <c r="AP28" i="23" s="1"/>
  <c r="AP29" i="23" s="1"/>
  <c r="AP30" i="23" s="1"/>
  <c r="AP15" i="1" s="1"/>
  <c r="AO70" i="1"/>
  <c r="AO74" i="1" s="1"/>
  <c r="AN22" i="1"/>
  <c r="AN52" i="1" s="1"/>
  <c r="AN13" i="1"/>
  <c r="AN151" i="1"/>
  <c r="AL49" i="1"/>
  <c r="AL50" i="1"/>
  <c r="BT114" i="1"/>
  <c r="BT95" i="1"/>
  <c r="BP52" i="1"/>
  <c r="BP50" i="1"/>
  <c r="BP49" i="1"/>
  <c r="BP38" i="1"/>
  <c r="BP36" i="1"/>
  <c r="BP51" i="1" s="1"/>
  <c r="BT6" i="4"/>
  <c r="BT35" i="1"/>
  <c r="BS53" i="1"/>
  <c r="AK53" i="1"/>
  <c r="AK36" i="1"/>
  <c r="AK51" i="1" s="1"/>
  <c r="BP200" i="1"/>
  <c r="BP198" i="1"/>
  <c r="BP197" i="1"/>
  <c r="BP180" i="1"/>
  <c r="BT179" i="1"/>
  <c r="BT90" i="4"/>
  <c r="AL198" i="1"/>
  <c r="AL197" i="1"/>
  <c r="AK201" i="1"/>
  <c r="AK180" i="1"/>
  <c r="BS201" i="1"/>
  <c r="AJ199" i="1"/>
  <c r="AJ196" i="1"/>
  <c r="BO199" i="1"/>
  <c r="BS112" i="1"/>
  <c r="AJ48" i="1"/>
  <c r="BQ158" i="1"/>
  <c r="BQ159" i="1" s="1"/>
  <c r="BR21" i="1"/>
  <c r="BQ22" i="1"/>
  <c r="BN91" i="4"/>
  <c r="BN185" i="1"/>
  <c r="BO182" i="1"/>
  <c r="BO195" i="1" s="1"/>
  <c r="BO7" i="4"/>
  <c r="BO41" i="1"/>
  <c r="BT68" i="4"/>
  <c r="BT99" i="1"/>
  <c r="AY77" i="4"/>
  <c r="AZ78" i="4"/>
  <c r="AV77" i="4"/>
  <c r="AW78" i="4"/>
  <c r="AW77" i="4" s="1"/>
  <c r="I80" i="8"/>
  <c r="J80" i="8" s="1"/>
  <c r="K80" i="8" s="1"/>
  <c r="AK7" i="4"/>
  <c r="AK182" i="1"/>
  <c r="AK195" i="1" s="1"/>
  <c r="AK41" i="1"/>
  <c r="AK42" i="1" s="1"/>
  <c r="AM23" i="1"/>
  <c r="AM161" i="1"/>
  <c r="AM160" i="1" s="1"/>
  <c r="AN24" i="1"/>
  <c r="AL6" i="4"/>
  <c r="AL35" i="1"/>
  <c r="AL38" i="1"/>
  <c r="AL179" i="1"/>
  <c r="AL90" i="4"/>
  <c r="AJ91" i="4"/>
  <c r="AJ185" i="1"/>
  <c r="AJ186" i="1" s="1"/>
  <c r="AP22" i="1" l="1"/>
  <c r="AP52" i="1" s="1"/>
  <c r="AP151" i="1"/>
  <c r="AP13" i="1"/>
  <c r="AN108" i="1"/>
  <c r="AN99" i="1"/>
  <c r="AN100" i="1" s="1"/>
  <c r="AN68" i="4"/>
  <c r="AR16" i="1"/>
  <c r="AQ68" i="1"/>
  <c r="D6" i="25"/>
  <c r="F6" i="25" s="1"/>
  <c r="AN149" i="1"/>
  <c r="AN159" i="1"/>
  <c r="AN200" i="1" s="1"/>
  <c r="AO110" i="1"/>
  <c r="AO96" i="1"/>
  <c r="AO95" i="1"/>
  <c r="AO112" i="1" s="1"/>
  <c r="AO113" i="1"/>
  <c r="AO111" i="1"/>
  <c r="AQ18" i="1"/>
  <c r="AP70" i="1"/>
  <c r="AP74" i="1" s="1"/>
  <c r="AO149" i="1"/>
  <c r="AO159" i="1"/>
  <c r="AO200" i="1" s="1"/>
  <c r="AN109" i="1"/>
  <c r="AL53" i="1"/>
  <c r="AL36" i="1"/>
  <c r="AL51" i="1" s="1"/>
  <c r="AM49" i="1"/>
  <c r="AM50" i="1"/>
  <c r="BT53" i="1"/>
  <c r="AL201" i="1"/>
  <c r="AL180" i="1"/>
  <c r="BQ52" i="1"/>
  <c r="BQ50" i="1"/>
  <c r="BQ49" i="1"/>
  <c r="BQ38" i="1"/>
  <c r="BQ36" i="1"/>
  <c r="BQ51" i="1" s="1"/>
  <c r="BQ200" i="1"/>
  <c r="BQ198" i="1"/>
  <c r="BQ197" i="1"/>
  <c r="BQ180" i="1"/>
  <c r="AM197" i="1"/>
  <c r="AM198" i="1"/>
  <c r="BT201" i="1"/>
  <c r="AK199" i="1"/>
  <c r="BP199" i="1"/>
  <c r="AK196" i="1"/>
  <c r="BT112" i="1"/>
  <c r="AK48" i="1"/>
  <c r="BO185" i="1"/>
  <c r="BO91" i="4"/>
  <c r="BP41" i="1"/>
  <c r="BP182" i="1"/>
  <c r="BP195" i="1" s="1"/>
  <c r="BP7" i="4"/>
  <c r="BS21" i="1"/>
  <c r="BR158" i="1"/>
  <c r="BR159" i="1" s="1"/>
  <c r="BR22" i="1"/>
  <c r="AZ77" i="4"/>
  <c r="BA78" i="4"/>
  <c r="I81" i="8"/>
  <c r="J81" i="8" s="1"/>
  <c r="K81" i="8" s="1"/>
  <c r="AL7" i="4"/>
  <c r="AL182" i="1"/>
  <c r="AL195" i="1" s="1"/>
  <c r="AL41" i="1"/>
  <c r="AL42" i="1" s="1"/>
  <c r="AM179" i="1"/>
  <c r="AM90" i="4"/>
  <c r="AN23" i="1"/>
  <c r="AN161" i="1"/>
  <c r="AN160" i="1" s="1"/>
  <c r="AO24" i="1"/>
  <c r="AM6" i="4"/>
  <c r="AM35" i="1"/>
  <c r="AM38" i="1"/>
  <c r="AK91" i="4"/>
  <c r="AK185" i="1"/>
  <c r="AK186" i="1" s="1"/>
  <c r="AO109" i="1" l="1"/>
  <c r="AP109" i="1" s="1"/>
  <c r="AP113" i="1"/>
  <c r="AP110" i="1"/>
  <c r="AP111" i="1"/>
  <c r="AP96" i="1"/>
  <c r="AP95" i="1"/>
  <c r="AP112" i="1" s="1"/>
  <c r="AQ24" i="23"/>
  <c r="AQ28" i="23" s="1"/>
  <c r="AQ29" i="23" s="1"/>
  <c r="AQ30" i="23" s="1"/>
  <c r="AQ15" i="1" s="1"/>
  <c r="AR18" i="1"/>
  <c r="AR70" i="1" s="1"/>
  <c r="AR74" i="1" s="1"/>
  <c r="AQ70" i="1"/>
  <c r="AQ74" i="1" s="1"/>
  <c r="AO108" i="1"/>
  <c r="AO99" i="1"/>
  <c r="AO100" i="1" s="1"/>
  <c r="AO68" i="4"/>
  <c r="AP159" i="1"/>
  <c r="AP200" i="1" s="1"/>
  <c r="AP149" i="1"/>
  <c r="AR24" i="23"/>
  <c r="AR28" i="23" s="1"/>
  <c r="AR29" i="23" s="1"/>
  <c r="AR30" i="23" s="1"/>
  <c r="AR15" i="1" s="1"/>
  <c r="AR68" i="1"/>
  <c r="AN198" i="1"/>
  <c r="AN197" i="1"/>
  <c r="AM180" i="1"/>
  <c r="AM201" i="1"/>
  <c r="BR52" i="1"/>
  <c r="BR49" i="1"/>
  <c r="BR50" i="1"/>
  <c r="BR38" i="1"/>
  <c r="BR36" i="1"/>
  <c r="BR51" i="1" s="1"/>
  <c r="AM53" i="1"/>
  <c r="AM36" i="1"/>
  <c r="AM51" i="1" s="1"/>
  <c r="AN50" i="1"/>
  <c r="AN49" i="1"/>
  <c r="BR200" i="1"/>
  <c r="BR197" i="1"/>
  <c r="BR198" i="1"/>
  <c r="BR180" i="1"/>
  <c r="AL196" i="1"/>
  <c r="BQ199" i="1"/>
  <c r="AL199" i="1"/>
  <c r="AL48" i="1"/>
  <c r="BQ7" i="4"/>
  <c r="BQ182" i="1"/>
  <c r="BQ195" i="1" s="1"/>
  <c r="BQ41" i="1"/>
  <c r="BS158" i="1"/>
  <c r="BS159" i="1" s="1"/>
  <c r="BT21" i="1"/>
  <c r="E10" i="25" s="1"/>
  <c r="BS22" i="1"/>
  <c r="BP185" i="1"/>
  <c r="BP91" i="4"/>
  <c r="BB78" i="4"/>
  <c r="BA77" i="4"/>
  <c r="I82" i="8"/>
  <c r="J82" i="8" s="1"/>
  <c r="K82" i="8" s="1"/>
  <c r="AO23" i="1"/>
  <c r="AO161" i="1"/>
  <c r="AO160" i="1" s="1"/>
  <c r="AP24" i="1"/>
  <c r="AN35" i="1"/>
  <c r="AN6" i="4"/>
  <c r="AN38" i="1"/>
  <c r="AM7" i="4"/>
  <c r="AM182" i="1"/>
  <c r="AM195" i="1" s="1"/>
  <c r="AM41" i="1"/>
  <c r="AM42" i="1" s="1"/>
  <c r="AN90" i="4"/>
  <c r="AN179" i="1"/>
  <c r="AL91" i="4"/>
  <c r="AL185" i="1"/>
  <c r="AL186" i="1" s="1"/>
  <c r="D8" i="25" l="1"/>
  <c r="F8" i="25" s="1"/>
  <c r="AR13" i="1"/>
  <c r="AR22" i="1"/>
  <c r="AR52" i="1" s="1"/>
  <c r="AR151" i="1"/>
  <c r="AR110" i="1"/>
  <c r="AR95" i="1"/>
  <c r="AR112" i="1" s="1"/>
  <c r="AR113" i="1"/>
  <c r="AR96" i="1"/>
  <c r="AR111" i="1"/>
  <c r="AP108" i="1"/>
  <c r="AP99" i="1"/>
  <c r="AP100" i="1" s="1"/>
  <c r="AP68" i="4"/>
  <c r="AQ13" i="1"/>
  <c r="AQ22" i="1"/>
  <c r="AQ52" i="1" s="1"/>
  <c r="AQ151" i="1"/>
  <c r="D5" i="25"/>
  <c r="AQ96" i="1"/>
  <c r="AQ113" i="1"/>
  <c r="AQ111" i="1"/>
  <c r="AQ110" i="1"/>
  <c r="AQ95" i="1"/>
  <c r="AQ112" i="1" s="1"/>
  <c r="F10" i="25"/>
  <c r="E12" i="25"/>
  <c r="AO49" i="1"/>
  <c r="AO50" i="1"/>
  <c r="BS200" i="1"/>
  <c r="BS198" i="1"/>
  <c r="BS197" i="1"/>
  <c r="BS180" i="1"/>
  <c r="AO198" i="1"/>
  <c r="AO197" i="1"/>
  <c r="AN53" i="1"/>
  <c r="AN36" i="1"/>
  <c r="AN180" i="1"/>
  <c r="AN201" i="1"/>
  <c r="BS52" i="1"/>
  <c r="BS50" i="1"/>
  <c r="BS49" i="1"/>
  <c r="BS38" i="1"/>
  <c r="BS36" i="1"/>
  <c r="BS51" i="1" s="1"/>
  <c r="AM199" i="1"/>
  <c r="BR199" i="1"/>
  <c r="AM196" i="1"/>
  <c r="AM48" i="1"/>
  <c r="AN51" i="1"/>
  <c r="BQ91" i="4"/>
  <c r="BQ185" i="1"/>
  <c r="BT22" i="1"/>
  <c r="BT158" i="1"/>
  <c r="BT159" i="1" s="1"/>
  <c r="BR182" i="1"/>
  <c r="BR195" i="1" s="1"/>
  <c r="BR7" i="4"/>
  <c r="BR41" i="1"/>
  <c r="BC78" i="4"/>
  <c r="BB77" i="4"/>
  <c r="I83" i="8"/>
  <c r="J83" i="8" s="1"/>
  <c r="K83" i="8" s="1"/>
  <c r="AM91" i="4"/>
  <c r="AM185" i="1"/>
  <c r="AM186" i="1" s="1"/>
  <c r="AN7" i="4"/>
  <c r="AN41" i="1"/>
  <c r="AN42" i="1" s="1"/>
  <c r="AN182" i="1"/>
  <c r="AN195" i="1" s="1"/>
  <c r="AO179" i="1"/>
  <c r="AO90" i="4"/>
  <c r="AP23" i="1"/>
  <c r="AP161" i="1"/>
  <c r="AP160" i="1" s="1"/>
  <c r="AQ24" i="1"/>
  <c r="AO35" i="1"/>
  <c r="AO6" i="4"/>
  <c r="AO38" i="1"/>
  <c r="AQ109" i="1" l="1"/>
  <c r="AR109" i="1" s="1"/>
  <c r="AS109" i="1" s="1"/>
  <c r="AT109" i="1" s="1"/>
  <c r="AU109" i="1" s="1"/>
  <c r="AV109" i="1" s="1"/>
  <c r="AW109" i="1" s="1"/>
  <c r="AX109" i="1" s="1"/>
  <c r="AY109" i="1" s="1"/>
  <c r="AZ109" i="1" s="1"/>
  <c r="BA109" i="1" s="1"/>
  <c r="BB109" i="1" s="1"/>
  <c r="BC109" i="1" s="1"/>
  <c r="BD109" i="1" s="1"/>
  <c r="BE109" i="1" s="1"/>
  <c r="BF109" i="1" s="1"/>
  <c r="BG109" i="1" s="1"/>
  <c r="BH109" i="1" s="1"/>
  <c r="BI109" i="1" s="1"/>
  <c r="BJ109" i="1" s="1"/>
  <c r="BK109" i="1" s="1"/>
  <c r="BL109" i="1" s="1"/>
  <c r="BM109" i="1" s="1"/>
  <c r="BN109" i="1" s="1"/>
  <c r="BO109" i="1" s="1"/>
  <c r="BP109" i="1" s="1"/>
  <c r="BQ109" i="1" s="1"/>
  <c r="BR109" i="1" s="1"/>
  <c r="BS109" i="1" s="1"/>
  <c r="BT109" i="1" s="1"/>
  <c r="D12" i="25"/>
  <c r="F12" i="25" s="1"/>
  <c r="F5" i="25"/>
  <c r="AR108" i="1"/>
  <c r="AR68" i="4"/>
  <c r="AR99" i="1"/>
  <c r="AR159" i="1"/>
  <c r="AR200" i="1" s="1"/>
  <c r="AR149" i="1"/>
  <c r="AQ159" i="1"/>
  <c r="AQ200" i="1" s="1"/>
  <c r="AQ149" i="1"/>
  <c r="AQ108" i="1"/>
  <c r="AQ68" i="4"/>
  <c r="AQ99" i="1"/>
  <c r="AQ100" i="1" s="1"/>
  <c r="AP198" i="1"/>
  <c r="AP197" i="1"/>
  <c r="BT52" i="1"/>
  <c r="BT50" i="1"/>
  <c r="BT49" i="1"/>
  <c r="BT38" i="1"/>
  <c r="BT36" i="1"/>
  <c r="BT51" i="1" s="1"/>
  <c r="AP49" i="1"/>
  <c r="AP50" i="1"/>
  <c r="AO53" i="1"/>
  <c r="AO36" i="1"/>
  <c r="AO51" i="1" s="1"/>
  <c r="AO201" i="1"/>
  <c r="AO180" i="1"/>
  <c r="BT200" i="1"/>
  <c r="BT198" i="1"/>
  <c r="BT197" i="1"/>
  <c r="BT180" i="1"/>
  <c r="BS199" i="1"/>
  <c r="AN199" i="1"/>
  <c r="AN196" i="1"/>
  <c r="AN48" i="1"/>
  <c r="BS7" i="4"/>
  <c r="BS41" i="1"/>
  <c r="BS182" i="1"/>
  <c r="BS195" i="1" s="1"/>
  <c r="BR185" i="1"/>
  <c r="BR91" i="4"/>
  <c r="BC77" i="4"/>
  <c r="BD78" i="4"/>
  <c r="I84" i="8"/>
  <c r="J84" i="8" s="1"/>
  <c r="K84" i="8" s="1"/>
  <c r="AQ23" i="1"/>
  <c r="AQ161" i="1"/>
  <c r="AQ160" i="1" s="1"/>
  <c r="AR24" i="1"/>
  <c r="D16" i="25" s="1"/>
  <c r="AP6" i="4"/>
  <c r="AP35" i="1"/>
  <c r="AP38" i="1"/>
  <c r="AO182" i="1"/>
  <c r="AO195" i="1" s="1"/>
  <c r="AO7" i="4"/>
  <c r="AO41" i="1"/>
  <c r="AO42" i="1" s="1"/>
  <c r="AP90" i="4"/>
  <c r="AP179" i="1"/>
  <c r="AN91" i="4"/>
  <c r="AN185" i="1"/>
  <c r="AN186" i="1" s="1"/>
  <c r="AO196" i="1" l="1"/>
  <c r="AR100" i="1"/>
  <c r="AS100" i="1" s="1"/>
  <c r="AT100" i="1" s="1"/>
  <c r="AU100" i="1" s="1"/>
  <c r="AV100" i="1" s="1"/>
  <c r="AW100" i="1" s="1"/>
  <c r="AX100" i="1" s="1"/>
  <c r="AY100" i="1" s="1"/>
  <c r="AZ100" i="1" s="1"/>
  <c r="BA100" i="1" s="1"/>
  <c r="BB100" i="1" s="1"/>
  <c r="BC100" i="1" s="1"/>
  <c r="BD100" i="1" s="1"/>
  <c r="BE100" i="1" s="1"/>
  <c r="BF100" i="1" s="1"/>
  <c r="BG100" i="1" s="1"/>
  <c r="BH100" i="1" s="1"/>
  <c r="BI100" i="1" s="1"/>
  <c r="BJ100" i="1" s="1"/>
  <c r="BK100" i="1" s="1"/>
  <c r="BL100" i="1" s="1"/>
  <c r="BM100" i="1" s="1"/>
  <c r="BN100" i="1" s="1"/>
  <c r="BO100" i="1" s="1"/>
  <c r="BP100" i="1" s="1"/>
  <c r="BQ100" i="1" s="1"/>
  <c r="BR100" i="1" s="1"/>
  <c r="BS100" i="1" s="1"/>
  <c r="BT100" i="1" s="1"/>
  <c r="AP201" i="1"/>
  <c r="AP180" i="1"/>
  <c r="AP53" i="1"/>
  <c r="AP36" i="1"/>
  <c r="AP51" i="1" s="1"/>
  <c r="AQ50" i="1"/>
  <c r="AQ49" i="1"/>
  <c r="D15" i="25"/>
  <c r="D27" i="25" s="1"/>
  <c r="F27" i="25" s="1"/>
  <c r="F16" i="25"/>
  <c r="F15" i="25" s="1"/>
  <c r="AQ198" i="1"/>
  <c r="AQ197" i="1"/>
  <c r="BT199" i="1"/>
  <c r="AO199" i="1"/>
  <c r="AO48" i="1"/>
  <c r="BT7" i="4"/>
  <c r="BT41" i="1"/>
  <c r="BT182" i="1"/>
  <c r="BT195" i="1" s="1"/>
  <c r="BS91" i="4"/>
  <c r="BS185" i="1"/>
  <c r="BE78" i="4"/>
  <c r="BD77" i="4"/>
  <c r="I85" i="8"/>
  <c r="J85" i="8" s="1"/>
  <c r="K85" i="8" s="1"/>
  <c r="AP7" i="4"/>
  <c r="AP182" i="1"/>
  <c r="AP195" i="1" s="1"/>
  <c r="AP41" i="1"/>
  <c r="AP42" i="1" s="1"/>
  <c r="AQ90" i="4"/>
  <c r="AQ179" i="1"/>
  <c r="AO185" i="1"/>
  <c r="AO186" i="1" s="1"/>
  <c r="AO91" i="4"/>
  <c r="AR23" i="1"/>
  <c r="AR161" i="1"/>
  <c r="AR160" i="1" s="1"/>
  <c r="AQ6" i="4"/>
  <c r="AQ35" i="1"/>
  <c r="AQ38" i="1"/>
  <c r="AR198" i="1" l="1"/>
  <c r="AR197" i="1"/>
  <c r="AQ201" i="1"/>
  <c r="AQ180" i="1"/>
  <c r="AQ199" i="1" s="1"/>
  <c r="AR50" i="1"/>
  <c r="AR49" i="1"/>
  <c r="AQ53" i="1"/>
  <c r="AQ36" i="1"/>
  <c r="AP196" i="1"/>
  <c r="AP199" i="1"/>
  <c r="AP48" i="1"/>
  <c r="AQ51" i="1"/>
  <c r="BT91" i="4"/>
  <c r="BT185" i="1"/>
  <c r="BF78" i="4"/>
  <c r="BE77" i="4"/>
  <c r="AQ7" i="4"/>
  <c r="AQ182" i="1"/>
  <c r="AQ195" i="1" s="1"/>
  <c r="AQ41" i="1"/>
  <c r="AQ42" i="1" s="1"/>
  <c r="AR6" i="4"/>
  <c r="AR35" i="1"/>
  <c r="AR38" i="1"/>
  <c r="AP91" i="4"/>
  <c r="AP185" i="1"/>
  <c r="AP186" i="1" s="1"/>
  <c r="I86" i="8"/>
  <c r="J86" i="8" s="1"/>
  <c r="K86" i="8" s="1"/>
  <c r="AR90" i="4"/>
  <c r="AR179" i="1"/>
  <c r="AR201" i="1" l="1"/>
  <c r="AR180" i="1"/>
  <c r="AR53" i="1"/>
  <c r="AR36" i="1"/>
  <c r="AR51" i="1" s="1"/>
  <c r="AQ196" i="1"/>
  <c r="AQ48" i="1"/>
  <c r="BG78" i="4"/>
  <c r="BF77" i="4"/>
  <c r="I87" i="8"/>
  <c r="J87" i="8" s="1"/>
  <c r="K87" i="8" s="1"/>
  <c r="AR7" i="4"/>
  <c r="AR182" i="1"/>
  <c r="AR195" i="1" s="1"/>
  <c r="AR41" i="1"/>
  <c r="AR42" i="1" s="1"/>
  <c r="AS42" i="1" s="1"/>
  <c r="AT42" i="1" s="1"/>
  <c r="AU42" i="1" s="1"/>
  <c r="AV42" i="1" s="1"/>
  <c r="AW42" i="1" s="1"/>
  <c r="AX42" i="1" s="1"/>
  <c r="AY42" i="1" s="1"/>
  <c r="AZ42" i="1" s="1"/>
  <c r="BA42" i="1" s="1"/>
  <c r="BB42" i="1" s="1"/>
  <c r="BC42" i="1" s="1"/>
  <c r="BD42" i="1" s="1"/>
  <c r="BE42" i="1" s="1"/>
  <c r="BF42" i="1" s="1"/>
  <c r="BG42" i="1" s="1"/>
  <c r="BH42" i="1" s="1"/>
  <c r="BI42" i="1" s="1"/>
  <c r="BJ42" i="1" s="1"/>
  <c r="BK42" i="1" s="1"/>
  <c r="BL42" i="1" s="1"/>
  <c r="BM42" i="1" s="1"/>
  <c r="BN42" i="1" s="1"/>
  <c r="BO42" i="1" s="1"/>
  <c r="BP42" i="1" s="1"/>
  <c r="BQ42" i="1" s="1"/>
  <c r="BR42" i="1" s="1"/>
  <c r="BS42" i="1" s="1"/>
  <c r="BT42" i="1" s="1"/>
  <c r="AQ185" i="1"/>
  <c r="AQ186" i="1" s="1"/>
  <c r="AQ91" i="4"/>
  <c r="AR196" i="1" l="1"/>
  <c r="AS196" i="1" s="1"/>
  <c r="AT196" i="1" s="1"/>
  <c r="AU196" i="1" s="1"/>
  <c r="AV196" i="1" s="1"/>
  <c r="AW196" i="1" s="1"/>
  <c r="AX196" i="1" s="1"/>
  <c r="AY196" i="1" s="1"/>
  <c r="AZ196" i="1" s="1"/>
  <c r="BA196" i="1" s="1"/>
  <c r="BB196" i="1" s="1"/>
  <c r="BC196" i="1" s="1"/>
  <c r="BD196" i="1" s="1"/>
  <c r="BE196" i="1" s="1"/>
  <c r="BF196" i="1" s="1"/>
  <c r="BG196" i="1" s="1"/>
  <c r="BH196" i="1" s="1"/>
  <c r="BI196" i="1" s="1"/>
  <c r="BJ196" i="1" s="1"/>
  <c r="BK196" i="1" s="1"/>
  <c r="BL196" i="1" s="1"/>
  <c r="BM196" i="1" s="1"/>
  <c r="BN196" i="1" s="1"/>
  <c r="BO196" i="1" s="1"/>
  <c r="BP196" i="1" s="1"/>
  <c r="BQ196" i="1" s="1"/>
  <c r="BR196" i="1" s="1"/>
  <c r="BS196" i="1" s="1"/>
  <c r="BT196" i="1" s="1"/>
  <c r="AR199" i="1"/>
  <c r="AR48" i="1"/>
  <c r="AS48" i="1" s="1"/>
  <c r="AT48" i="1" s="1"/>
  <c r="AU48" i="1" s="1"/>
  <c r="AV48" i="1" s="1"/>
  <c r="AW48" i="1" s="1"/>
  <c r="AX48" i="1" s="1"/>
  <c r="AY48" i="1" s="1"/>
  <c r="AZ48" i="1" s="1"/>
  <c r="BA48" i="1" s="1"/>
  <c r="BB48" i="1" s="1"/>
  <c r="BC48" i="1" s="1"/>
  <c r="BD48" i="1" s="1"/>
  <c r="BE48" i="1" s="1"/>
  <c r="BF48" i="1" s="1"/>
  <c r="BG48" i="1" s="1"/>
  <c r="BH48" i="1" s="1"/>
  <c r="BI48" i="1" s="1"/>
  <c r="BJ48" i="1" s="1"/>
  <c r="BK48" i="1" s="1"/>
  <c r="BL48" i="1" s="1"/>
  <c r="BM48" i="1" s="1"/>
  <c r="BN48" i="1" s="1"/>
  <c r="BO48" i="1" s="1"/>
  <c r="BP48" i="1" s="1"/>
  <c r="BQ48" i="1" s="1"/>
  <c r="BR48" i="1" s="1"/>
  <c r="BS48" i="1" s="1"/>
  <c r="BT48" i="1" s="1"/>
  <c r="BG77" i="4"/>
  <c r="BH78" i="4"/>
  <c r="I88" i="8"/>
  <c r="J88" i="8" s="1"/>
  <c r="K88" i="8" s="1"/>
  <c r="AR91" i="4"/>
  <c r="AR185" i="1"/>
  <c r="AR186" i="1" s="1"/>
  <c r="AS186" i="1" s="1"/>
  <c r="AT186" i="1" s="1"/>
  <c r="AU186" i="1" s="1"/>
  <c r="AV186" i="1" s="1"/>
  <c r="AW186" i="1" s="1"/>
  <c r="AX186" i="1" s="1"/>
  <c r="AY186" i="1" s="1"/>
  <c r="AZ186" i="1" s="1"/>
  <c r="BA186" i="1" s="1"/>
  <c r="BB186" i="1" s="1"/>
  <c r="BC186" i="1" s="1"/>
  <c r="BD186" i="1" s="1"/>
  <c r="BE186" i="1" s="1"/>
  <c r="BF186" i="1" s="1"/>
  <c r="BG186" i="1" s="1"/>
  <c r="BH186" i="1" s="1"/>
  <c r="BI186" i="1" s="1"/>
  <c r="BJ186" i="1" s="1"/>
  <c r="BK186" i="1" s="1"/>
  <c r="BL186" i="1" s="1"/>
  <c r="BM186" i="1" s="1"/>
  <c r="BN186" i="1" s="1"/>
  <c r="BO186" i="1" s="1"/>
  <c r="BP186" i="1" s="1"/>
  <c r="BQ186" i="1" s="1"/>
  <c r="BR186" i="1" s="1"/>
  <c r="BS186" i="1" s="1"/>
  <c r="BT186" i="1" s="1"/>
  <c r="BH77" i="4" l="1"/>
  <c r="BI78" i="4"/>
  <c r="I89" i="8"/>
  <c r="J89" i="8" s="1"/>
  <c r="K89" i="8" s="1"/>
  <c r="BI77" i="4" l="1"/>
  <c r="BJ78" i="4"/>
  <c r="BJ77" i="4" s="1"/>
  <c r="I90" i="8"/>
  <c r="J90" i="8" s="1"/>
  <c r="K90" i="8" s="1"/>
  <c r="I91" i="8" l="1"/>
  <c r="J91" i="8" s="1"/>
  <c r="K91" i="8" s="1"/>
  <c r="I92" i="8" l="1"/>
  <c r="J92" i="8" s="1"/>
  <c r="K92" i="8" s="1"/>
  <c r="I93" i="8" l="1"/>
  <c r="J93" i="8" s="1"/>
  <c r="K93" i="8" s="1"/>
  <c r="I94" i="8" l="1"/>
  <c r="J94" i="8" s="1"/>
  <c r="K94" i="8" s="1"/>
  <c r="M94" i="8"/>
  <c r="I95" i="8" l="1"/>
  <c r="J95" i="8" s="1"/>
  <c r="K95" i="8" s="1"/>
  <c r="M95" i="8"/>
  <c r="I96" i="8" l="1"/>
  <c r="J96" i="8" s="1"/>
  <c r="K96" i="8" s="1"/>
  <c r="M96" i="8"/>
  <c r="I97" i="8" l="1"/>
  <c r="J97" i="8" s="1"/>
  <c r="K97" i="8" s="1"/>
  <c r="M97" i="8"/>
  <c r="I98" i="8" l="1"/>
  <c r="J98" i="8" s="1"/>
  <c r="K98" i="8" s="1"/>
  <c r="M98" i="8"/>
  <c r="I99" i="8" l="1"/>
  <c r="J99" i="8" s="1"/>
  <c r="K99" i="8" s="1"/>
  <c r="M99" i="8"/>
  <c r="I100" i="8" l="1"/>
  <c r="J100" i="8" s="1"/>
  <c r="K100" i="8" s="1"/>
  <c r="M100" i="8"/>
  <c r="I101" i="8" l="1"/>
  <c r="J101" i="8" s="1"/>
  <c r="K101" i="8" s="1"/>
  <c r="M101" i="8"/>
  <c r="I102" i="8" l="1"/>
  <c r="J102" i="8" s="1"/>
  <c r="K102" i="8" s="1"/>
  <c r="M102" i="8"/>
  <c r="I103" i="8" l="1"/>
  <c r="J103" i="8" s="1"/>
  <c r="K103" i="8" s="1"/>
  <c r="M103" i="8"/>
  <c r="I104" i="8" l="1"/>
  <c r="J104" i="8" s="1"/>
  <c r="K104" i="8" s="1"/>
  <c r="M104" i="8"/>
  <c r="I105" i="8" l="1"/>
  <c r="J105" i="8" s="1"/>
  <c r="K105" i="8" s="1"/>
  <c r="M105" i="8"/>
  <c r="I106" i="8" l="1"/>
  <c r="J106" i="8" s="1"/>
  <c r="K106" i="8" s="1"/>
  <c r="M106" i="8"/>
  <c r="I107" i="8" l="1"/>
  <c r="J107" i="8" s="1"/>
  <c r="K107" i="8" s="1"/>
</calcChain>
</file>

<file path=xl/comments1.xml><?xml version="1.0" encoding="utf-8"?>
<comments xmlns="http://schemas.openxmlformats.org/spreadsheetml/2006/main">
  <authors>
    <author>mic</author>
  </authors>
  <commentList>
    <comment ref="F4" authorId="0" shapeId="0">
      <text>
        <r>
          <rPr>
            <b/>
            <sz val="9"/>
            <color indexed="81"/>
            <rFont val="Tahoma"/>
            <family val="2"/>
          </rPr>
          <t>mic:</t>
        </r>
        <r>
          <rPr>
            <sz val="9"/>
            <color indexed="81"/>
            <rFont val="Tahoma"/>
            <family val="2"/>
          </rPr>
          <t xml:space="preserve">
Selon grille conseil du trésor</t>
        </r>
      </text>
    </comment>
    <comment ref="C41" authorId="0" shapeId="0">
      <text>
        <r>
          <rPr>
            <b/>
            <sz val="9"/>
            <color indexed="81"/>
            <rFont val="Tahoma"/>
            <family val="2"/>
          </rPr>
          <t>mic:</t>
        </r>
        <r>
          <rPr>
            <sz val="9"/>
            <color indexed="81"/>
            <rFont val="Tahoma"/>
            <family val="2"/>
          </rPr>
          <t xml:space="preserve">
Hypothèse que parents épongent la différence</t>
        </r>
      </text>
    </comment>
    <comment ref="N60" authorId="0" shapeId="0">
      <text>
        <r>
          <rPr>
            <b/>
            <sz val="9"/>
            <color indexed="81"/>
            <rFont val="Tahoma"/>
            <family val="2"/>
          </rPr>
          <t>mic:</t>
        </r>
        <r>
          <rPr>
            <sz val="9"/>
            <color indexed="81"/>
            <rFont val="Tahoma"/>
            <family val="2"/>
          </rPr>
          <t xml:space="preserve">
Rachat1 - déductible.  27 semaines absences car période exonérée de 21 semaine pour congé maternité.</t>
        </r>
      </text>
    </comment>
    <comment ref="P60" authorId="0" shapeId="0">
      <text>
        <r>
          <rPr>
            <b/>
            <sz val="9"/>
            <color indexed="81"/>
            <rFont val="Tahoma"/>
            <family val="2"/>
          </rPr>
          <t>mic:</t>
        </r>
        <r>
          <rPr>
            <sz val="9"/>
            <color indexed="81"/>
            <rFont val="Tahoma"/>
            <family val="2"/>
          </rPr>
          <t xml:space="preserve">
Rachat2 - déductible, 21 semaines exonérées-rachat de 27 semaines</t>
        </r>
      </text>
    </comment>
    <comment ref="AX65" authorId="0" shapeId="0">
      <text>
        <r>
          <rPr>
            <b/>
            <sz val="9"/>
            <color indexed="81"/>
            <rFont val="Tahoma"/>
            <family val="2"/>
          </rPr>
          <t>mic:</t>
        </r>
        <r>
          <rPr>
            <sz val="9"/>
            <color indexed="81"/>
            <rFont val="Tahoma"/>
            <family val="2"/>
          </rPr>
          <t xml:space="preserve">
Fractionnement (Qc)</t>
        </r>
      </text>
    </comment>
    <comment ref="AS66" authorId="0" shapeId="0">
      <text>
        <r>
          <rPr>
            <b/>
            <sz val="9"/>
            <color indexed="81"/>
            <rFont val="Tahoma"/>
            <family val="2"/>
          </rPr>
          <t>mic:</t>
        </r>
        <r>
          <rPr>
            <sz val="9"/>
            <color indexed="81"/>
            <rFont val="Tahoma"/>
            <family val="2"/>
          </rPr>
          <t xml:space="preserve">
Prise en compte du  fractionnement (Féd) et des crédits pour revenus de pension/retraite.</t>
        </r>
      </text>
    </comment>
    <comment ref="T80" authorId="0" shapeId="0">
      <text>
        <r>
          <rPr>
            <b/>
            <sz val="9"/>
            <color indexed="81"/>
            <rFont val="Tahoma"/>
            <family val="2"/>
          </rPr>
          <t>mic:</t>
        </r>
        <r>
          <rPr>
            <sz val="9"/>
            <color indexed="81"/>
            <rFont val="Tahoma"/>
            <family val="2"/>
          </rPr>
          <t xml:space="preserve">
1er enfant âgé de 6 ans.</t>
        </r>
      </text>
    </comment>
    <comment ref="V80" authorId="0" shapeId="0">
      <text>
        <r>
          <rPr>
            <b/>
            <sz val="9"/>
            <color indexed="81"/>
            <rFont val="Tahoma"/>
            <family val="2"/>
          </rPr>
          <t>mic:</t>
        </r>
        <r>
          <rPr>
            <sz val="9"/>
            <color indexed="81"/>
            <rFont val="Tahoma"/>
            <family val="2"/>
          </rPr>
          <t xml:space="preserve">
2e enfant agé d 6 ans</t>
        </r>
      </text>
    </comment>
    <comment ref="P81" authorId="0" shapeId="0">
      <text>
        <r>
          <rPr>
            <b/>
            <sz val="9"/>
            <color indexed="81"/>
            <rFont val="Tahoma"/>
            <family val="2"/>
          </rPr>
          <t>mic:</t>
        </r>
        <r>
          <rPr>
            <sz val="9"/>
            <color indexed="81"/>
            <rFont val="Tahoma"/>
            <family val="2"/>
          </rPr>
          <t xml:space="preserve">
Estimation de l'impact de l'allocation famille inclue</t>
        </r>
      </text>
    </comment>
    <comment ref="AE86" authorId="0" shapeId="0">
      <text>
        <r>
          <rPr>
            <b/>
            <sz val="9"/>
            <color indexed="81"/>
            <rFont val="Tahoma"/>
            <family val="2"/>
          </rPr>
          <t>mic:</t>
        </r>
        <r>
          <rPr>
            <sz val="9"/>
            <color indexed="81"/>
            <rFont val="Tahoma"/>
            <family val="2"/>
          </rPr>
          <t xml:space="preserve">
hypothèse année pleine Cégep. Lorsque l'enfant n'a pas 18 ans, le bénéfice est octroyé à la mère. Logique générale.</t>
        </r>
      </text>
    </comment>
    <comment ref="AJ98" authorId="0" shapeId="0">
      <text>
        <r>
          <rPr>
            <b/>
            <sz val="9"/>
            <color indexed="81"/>
            <rFont val="Tahoma"/>
            <family val="2"/>
          </rPr>
          <t>mic:</t>
        </r>
        <r>
          <rPr>
            <sz val="9"/>
            <color indexed="81"/>
            <rFont val="Tahoma"/>
            <family val="2"/>
          </rPr>
          <t xml:space="preserve">
Contrinbution des parents pour combler la différenece entre la consommation taxables des enfants et leur revenu. Ici, vient réduire le revenu disponible du couple.</t>
        </r>
      </text>
    </comment>
    <comment ref="C122" authorId="0" shapeId="0">
      <text>
        <r>
          <rPr>
            <b/>
            <sz val="9"/>
            <color indexed="81"/>
            <rFont val="Tahoma"/>
            <family val="2"/>
          </rPr>
          <t>mic:</t>
        </r>
        <r>
          <rPr>
            <sz val="9"/>
            <color indexed="81"/>
            <rFont val="Tahoma"/>
            <family val="2"/>
          </rPr>
          <t xml:space="preserve">
Recherche emploi et petits boulots</t>
        </r>
      </text>
    </comment>
    <comment ref="D130" authorId="0" shapeId="0">
      <text>
        <r>
          <rPr>
            <b/>
            <sz val="9"/>
            <color indexed="81"/>
            <rFont val="Tahoma"/>
            <family val="2"/>
          </rPr>
          <t>mic:</t>
        </r>
        <r>
          <rPr>
            <sz val="9"/>
            <color indexed="81"/>
            <rFont val="Tahoma"/>
            <family val="2"/>
          </rPr>
          <t xml:space="preserve">
On considère que actif du conjoint = 0 lors de la formation du couple. Celui de Ella est négatif...</t>
        </r>
      </text>
    </comment>
    <comment ref="B138" authorId="0" shapeId="0">
      <text>
        <r>
          <rPr>
            <b/>
            <sz val="9"/>
            <color indexed="81"/>
            <rFont val="Tahoma"/>
            <family val="2"/>
          </rPr>
          <t>mic:</t>
        </r>
        <r>
          <rPr>
            <sz val="9"/>
            <color indexed="81"/>
            <rFont val="Tahoma"/>
            <family val="2"/>
          </rPr>
          <t xml:space="preserve">
Utilisation de la calculatrice :  http://www.budget.finances.gouv.qc.ca/Budget/outils/garde-net-fr.asp</t>
        </r>
      </text>
    </comment>
    <comment ref="P148" authorId="0" shapeId="0">
      <text>
        <r>
          <rPr>
            <b/>
            <sz val="9"/>
            <color indexed="81"/>
            <rFont val="Tahoma"/>
            <family val="2"/>
          </rPr>
          <t>mic:</t>
        </r>
        <r>
          <rPr>
            <sz val="9"/>
            <color indexed="81"/>
            <rFont val="Tahoma"/>
            <family val="2"/>
          </rPr>
          <t xml:space="preserve">
Pas de 2e enfant, Ella et Luis travaillent à temps plein. Pas de prestation de RQAP</t>
        </r>
      </text>
    </comment>
    <comment ref="AE150" authorId="0" shapeId="0">
      <text>
        <r>
          <rPr>
            <b/>
            <sz val="9"/>
            <color indexed="81"/>
            <rFont val="Tahoma"/>
            <family val="2"/>
          </rPr>
          <t>mic:</t>
        </r>
        <r>
          <rPr>
            <sz val="9"/>
            <color indexed="81"/>
            <rFont val="Tahoma"/>
            <family val="2"/>
          </rPr>
          <t xml:space="preserve">
Hypothèse 
année pleine CÉGEP</t>
        </r>
      </text>
    </comment>
    <comment ref="AF162" authorId="0" shapeId="0">
      <text>
        <r>
          <rPr>
            <b/>
            <sz val="9"/>
            <color indexed="81"/>
            <rFont val="Tahoma"/>
            <family val="2"/>
          </rPr>
          <t>mic:</t>
        </r>
        <r>
          <rPr>
            <sz val="9"/>
            <color indexed="81"/>
            <rFont val="Tahoma"/>
            <family val="2"/>
          </rPr>
          <t xml:space="preserve">
Ella habite avec son enfant majeur. Revenu trop élevé pour l'obtention du crédit.</t>
        </r>
      </text>
    </comment>
    <comment ref="Y182" authorId="0" shapeId="0">
      <text>
        <r>
          <rPr>
            <b/>
            <sz val="9"/>
            <color indexed="81"/>
            <rFont val="Tahoma"/>
            <family val="2"/>
          </rPr>
          <t>mic:</t>
        </r>
        <r>
          <rPr>
            <sz val="9"/>
            <color indexed="81"/>
            <rFont val="Tahoma"/>
            <family val="2"/>
          </rPr>
          <t xml:space="preserve">
Inlcuant pension alimentaire</t>
        </r>
      </text>
    </comment>
    <comment ref="AH184" authorId="0" shapeId="0">
      <text>
        <r>
          <rPr>
            <b/>
            <sz val="9"/>
            <color indexed="81"/>
            <rFont val="Tahoma"/>
            <family val="2"/>
          </rPr>
          <t>mic:</t>
        </r>
        <r>
          <rPr>
            <sz val="9"/>
            <color indexed="81"/>
            <rFont val="Tahoma"/>
            <family val="2"/>
          </rPr>
          <t xml:space="preserve">
Contribution du père pour combler la différence entre le revenu de l'enfant et sa consommation taxable. Payé par le père, n'affecte pas le revenu disponible de la mère.</t>
        </r>
      </text>
    </comment>
    <comment ref="L186" authorId="0" shapeId="0">
      <text>
        <r>
          <rPr>
            <b/>
            <sz val="9"/>
            <color indexed="81"/>
            <rFont val="Tahoma"/>
            <family val="2"/>
          </rPr>
          <t>mic:</t>
        </r>
        <r>
          <rPr>
            <sz val="9"/>
            <color indexed="81"/>
            <rFont val="Tahoma"/>
            <family val="2"/>
          </rPr>
          <t xml:space="preserve">
Hypothèse conjoint solde 0.</t>
        </r>
      </text>
    </comment>
    <comment ref="Y186" authorId="0" shapeId="0">
      <text>
        <r>
          <rPr>
            <b/>
            <sz val="9"/>
            <color indexed="81"/>
            <rFont val="Tahoma"/>
            <family val="2"/>
          </rPr>
          <t>mic:</t>
        </r>
        <r>
          <rPr>
            <sz val="9"/>
            <color indexed="81"/>
            <rFont val="Tahoma"/>
            <family val="2"/>
          </rPr>
          <t xml:space="preserve">
Hyppothèse garde la moitié de l'épargne</t>
        </r>
      </text>
    </comment>
  </commentList>
</comments>
</file>

<file path=xl/comments2.xml><?xml version="1.0" encoding="utf-8"?>
<comments xmlns="http://schemas.openxmlformats.org/spreadsheetml/2006/main">
  <authors>
    <author>mic</author>
    <author>tc={F97D4E82-956B-4F1A-BF0D-2B6D5A2DC6F6}</author>
    <author>tc={63C49107-1561-4CF5-9849-24FDA0DCEE10}</author>
    <author>tc={67B0346A-3BD8-4016-BA35-2D6A5F8C705E}</author>
  </authors>
  <commentList>
    <comment ref="C12" authorId="0" shapeId="0">
      <text>
        <r>
          <rPr>
            <b/>
            <sz val="9"/>
            <color indexed="81"/>
            <rFont val="Tahoma"/>
            <family val="2"/>
          </rPr>
          <t>mic:</t>
        </r>
        <r>
          <rPr>
            <sz val="9"/>
            <color indexed="81"/>
            <rFont val="Tahoma"/>
            <family val="2"/>
          </rPr>
          <t xml:space="preserve">
Habite chez les parents</t>
        </r>
      </text>
    </comment>
    <comment ref="AK75" authorId="1"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Devient un couple sans enfants</t>
        </r>
      </text>
    </comment>
    <comment ref="BO75" authorId="2"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Redevient personne seule (rente de conjoint survivant hausse le revenu mais pas assez pour changer de classe de revenu).</t>
        </r>
      </text>
    </comment>
    <comment ref="Y98" authorId="3"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Devient monoparentale</t>
        </r>
      </text>
    </comment>
  </commentList>
</comments>
</file>

<file path=xl/comments3.xml><?xml version="1.0" encoding="utf-8"?>
<comments xmlns="http://schemas.openxmlformats.org/spreadsheetml/2006/main">
  <authors>
    <author>mic</author>
  </authors>
  <commentList>
    <comment ref="L5" authorId="0" shapeId="0">
      <text>
        <r>
          <rPr>
            <b/>
            <sz val="9"/>
            <color indexed="81"/>
            <rFont val="Tahoma"/>
            <family val="2"/>
          </rPr>
          <t>mic:</t>
        </r>
        <r>
          <rPr>
            <sz val="9"/>
            <color indexed="81"/>
            <rFont val="Tahoma"/>
            <family val="2"/>
          </rPr>
          <t xml:space="preserve">
revenus de pension</t>
        </r>
      </text>
    </comment>
    <comment ref="K45" authorId="0" shapeId="0">
      <text>
        <r>
          <rPr>
            <b/>
            <sz val="9"/>
            <color indexed="81"/>
            <rFont val="Tahoma"/>
            <family val="2"/>
          </rPr>
          <t>mic:</t>
        </r>
        <r>
          <rPr>
            <sz val="9"/>
            <color indexed="81"/>
            <rFont val="Tahoma"/>
            <family val="2"/>
          </rPr>
          <t xml:space="preserve">
Ne fonctionne pas.</t>
        </r>
      </text>
    </comment>
  </commentList>
</comments>
</file>

<file path=xl/comments4.xml><?xml version="1.0" encoding="utf-8"?>
<comments xmlns="http://schemas.openxmlformats.org/spreadsheetml/2006/main">
  <authors>
    <author>mic</author>
  </authors>
  <commentList>
    <comment ref="I25" authorId="0" shapeId="0">
      <text>
        <r>
          <rPr>
            <b/>
            <sz val="9"/>
            <color rgb="FF000000"/>
            <rFont val="Tahoma"/>
            <family val="2"/>
          </rPr>
          <t>mic:</t>
        </r>
        <r>
          <rPr>
            <sz val="9"/>
            <color rgb="FF000000"/>
            <rFont val="Tahoma"/>
            <family val="2"/>
          </rPr>
          <t xml:space="preserve">
</t>
        </r>
        <r>
          <rPr>
            <sz val="9"/>
            <color rgb="FF000000"/>
            <rFont val="Tahoma"/>
            <family val="2"/>
          </rPr>
          <t>Confirmer le calcul.</t>
        </r>
      </text>
    </comment>
  </commentList>
</comments>
</file>

<file path=xl/comments5.xml><?xml version="1.0" encoding="utf-8"?>
<comments xmlns="http://schemas.openxmlformats.org/spreadsheetml/2006/main">
  <authors>
    <author>Stéphane Crespo, Institut de la statistique du Québec.</author>
  </authors>
  <commentList>
    <comment ref="D4" authorId="0" shapeId="0">
      <text>
        <r>
          <rPr>
            <sz val="9"/>
            <color indexed="81"/>
            <rFont val="Tahoma"/>
            <family val="2"/>
          </rPr>
          <t>Intervalle de confiance (95%) : [48 579; 53 765]</t>
        </r>
      </text>
    </comment>
    <comment ref="F4" authorId="0" shapeId="0">
      <text>
        <r>
          <rPr>
            <sz val="9"/>
            <color indexed="81"/>
            <rFont val="Tahoma"/>
            <family val="2"/>
          </rPr>
          <t>Intervalle de confiance (95%) : [53 869; 58 917]</t>
        </r>
      </text>
    </comment>
    <comment ref="H4" authorId="0" shapeId="0">
      <text>
        <r>
          <rPr>
            <sz val="9"/>
            <color indexed="81"/>
            <rFont val="Tahoma"/>
            <family val="2"/>
          </rPr>
          <t>Intervalle de confiance (95%) : [51 027; 57 685]</t>
        </r>
      </text>
    </comment>
    <comment ref="J4" authorId="0" shapeId="0">
      <text>
        <r>
          <rPr>
            <sz val="9"/>
            <color indexed="81"/>
            <rFont val="Tahoma"/>
            <family val="2"/>
          </rPr>
          <t>Intervalle de confiance (95%) : [55 488; 60 994]</t>
        </r>
      </text>
    </comment>
    <comment ref="L4" authorId="0" shapeId="0">
      <text>
        <r>
          <rPr>
            <sz val="9"/>
            <color indexed="81"/>
            <rFont val="Tahoma"/>
            <family val="2"/>
          </rPr>
          <t>Intervalle de confiance (95%) : [54 970; 61 652]</t>
        </r>
      </text>
    </comment>
    <comment ref="N4" authorId="0" shapeId="0">
      <text>
        <r>
          <rPr>
            <sz val="9"/>
            <color indexed="81"/>
            <rFont val="Tahoma"/>
            <family val="2"/>
          </rPr>
          <t>Intervalle de confiance (95%) : [53 675; 59 797]</t>
        </r>
      </text>
    </comment>
    <comment ref="P4" authorId="0" shapeId="0">
      <text>
        <r>
          <rPr>
            <sz val="9"/>
            <color indexed="81"/>
            <rFont val="Tahoma"/>
            <family val="2"/>
          </rPr>
          <t>Intervalle de confiance (95%) : [55 565; 62 025]</t>
        </r>
      </text>
    </comment>
    <comment ref="D5" authorId="0" shapeId="0">
      <text>
        <r>
          <rPr>
            <sz val="9"/>
            <color indexed="81"/>
            <rFont val="Tahoma"/>
            <family val="2"/>
          </rPr>
          <t>Intervalle de confiance (95%) : [40 258; 45 599]</t>
        </r>
      </text>
    </comment>
    <comment ref="F5" authorId="0" shapeId="0">
      <text>
        <r>
          <rPr>
            <sz val="9"/>
            <color indexed="81"/>
            <rFont val="Tahoma"/>
            <family val="2"/>
          </rPr>
          <t>Intervalle de confiance (95%) : [44 524; 49 088]</t>
        </r>
      </text>
    </comment>
    <comment ref="H5" authorId="0" shapeId="0">
      <text>
        <r>
          <rPr>
            <sz val="9"/>
            <color indexed="81"/>
            <rFont val="Tahoma"/>
            <family val="2"/>
          </rPr>
          <t>Intervalle de confiance (95%) : [41 438; 47 854]</t>
        </r>
      </text>
    </comment>
    <comment ref="J5" authorId="0" shapeId="0">
      <text>
        <r>
          <rPr>
            <sz val="9"/>
            <color indexed="81"/>
            <rFont val="Tahoma"/>
            <family val="2"/>
          </rPr>
          <t>Intervalle de confiance (95%) : [45 103; 50 602]</t>
        </r>
      </text>
    </comment>
    <comment ref="L5" authorId="0" shapeId="0">
      <text>
        <r>
          <rPr>
            <sz val="9"/>
            <color indexed="81"/>
            <rFont val="Tahoma"/>
            <family val="2"/>
          </rPr>
          <t>Intervalle de confiance (95%) : [44 298; 50 605]</t>
        </r>
      </text>
    </comment>
    <comment ref="N5" authorId="0" shapeId="0">
      <text>
        <r>
          <rPr>
            <sz val="9"/>
            <color indexed="81"/>
            <rFont val="Tahoma"/>
            <family val="2"/>
          </rPr>
          <t>Intervalle de confiance (95%) : [43 082; 49 219]</t>
        </r>
      </text>
    </comment>
    <comment ref="P5" authorId="0" shapeId="0">
      <text>
        <r>
          <rPr>
            <sz val="9"/>
            <color indexed="81"/>
            <rFont val="Tahoma"/>
            <family val="2"/>
          </rPr>
          <t>Intervalle de confiance (95%) : [44 593; 50 851]</t>
        </r>
      </text>
    </comment>
    <comment ref="D6" authorId="0" shapeId="0">
      <text>
        <r>
          <rPr>
            <sz val="9"/>
            <color indexed="81"/>
            <rFont val="Tahoma"/>
            <family val="2"/>
          </rPr>
          <t>Intervalle de confiance (95%) : [6 361; 7 538]</t>
        </r>
      </text>
    </comment>
    <comment ref="F6" authorId="0" shapeId="0">
      <text>
        <r>
          <rPr>
            <sz val="9"/>
            <color indexed="81"/>
            <rFont val="Tahoma"/>
            <family val="2"/>
          </rPr>
          <t>Intervalle de confiance (95%) : [6 726; 7 779]</t>
        </r>
      </text>
    </comment>
    <comment ref="H6" authorId="0" shapeId="0">
      <text>
        <r>
          <rPr>
            <sz val="9"/>
            <color indexed="81"/>
            <rFont val="Tahoma"/>
            <family val="2"/>
          </rPr>
          <t>Intervalle de confiance (95%) : [6 317; 8 356]</t>
        </r>
      </text>
    </comment>
    <comment ref="J6" authorId="0" shapeId="0">
      <text>
        <r>
          <rPr>
            <sz val="9"/>
            <color indexed="81"/>
            <rFont val="Tahoma"/>
            <family val="2"/>
          </rPr>
          <t>Intervalle de confiance (95%) : [6 762; 8 460]</t>
        </r>
      </text>
    </comment>
    <comment ref="L6" authorId="0" shapeId="0">
      <text>
        <r>
          <rPr>
            <sz val="9"/>
            <color indexed="81"/>
            <rFont val="Tahoma"/>
            <family val="2"/>
          </rPr>
          <t>Intervalle de confiance (95%) : [6 704; 9 057]</t>
        </r>
      </text>
    </comment>
    <comment ref="N6" authorId="0" shapeId="0">
      <text>
        <r>
          <rPr>
            <sz val="9"/>
            <color indexed="81"/>
            <rFont val="Tahoma"/>
            <family val="2"/>
          </rPr>
          <t>Intervalle de confiance (95%) : [6 938; 8 248]</t>
        </r>
      </text>
    </comment>
    <comment ref="P6" authorId="0" shapeId="0">
      <text>
        <r>
          <rPr>
            <sz val="9"/>
            <color indexed="81"/>
            <rFont val="Tahoma"/>
            <family val="2"/>
          </rPr>
          <t>Intervalle de confiance (95%) : [7 268; 9 278]</t>
        </r>
      </text>
    </comment>
    <comment ref="D7" authorId="0" shapeId="0">
      <text>
        <r>
          <rPr>
            <sz val="9"/>
            <color indexed="81"/>
            <rFont val="Tahoma"/>
            <family val="2"/>
          </rPr>
          <t>Intervalle de confiance (95%) : [4 828; 5 814]</t>
        </r>
      </text>
    </comment>
    <comment ref="F7" authorId="0" shapeId="0">
      <text>
        <r>
          <rPr>
            <sz val="9"/>
            <color indexed="81"/>
            <rFont val="Tahoma"/>
            <family val="2"/>
          </rPr>
          <t>Intervalle de confiance (95%) : [5 005; 5 984]</t>
        </r>
      </text>
    </comment>
    <comment ref="H7" authorId="0" shapeId="0">
      <text>
        <r>
          <rPr>
            <sz val="9"/>
            <color indexed="81"/>
            <rFont val="Tahoma"/>
            <family val="2"/>
          </rPr>
          <t>Intervalle de confiance (95%) : [4 932; 6 820]</t>
        </r>
      </text>
    </comment>
    <comment ref="J7" authorId="0" shapeId="0">
      <text>
        <r>
          <rPr>
            <sz val="9"/>
            <color indexed="81"/>
            <rFont val="Tahoma"/>
            <family val="2"/>
          </rPr>
          <t>Intervalle de confiance (95%) : [4 934; 6 545]</t>
        </r>
      </text>
    </comment>
    <comment ref="L7" authorId="0" shapeId="0">
      <text>
        <r>
          <rPr>
            <sz val="9"/>
            <color indexed="81"/>
            <rFont val="Tahoma"/>
            <family val="2"/>
          </rPr>
          <t>Intervalle de confiance (95%) : [5 047; 7 091]</t>
        </r>
      </text>
    </comment>
    <comment ref="N7" authorId="0" shapeId="0">
      <text>
        <r>
          <rPr>
            <sz val="9"/>
            <color indexed="81"/>
            <rFont val="Tahoma"/>
            <family val="2"/>
          </rPr>
          <t>Intervalle de confiance (95%) : [5 202; 6 417]</t>
        </r>
      </text>
    </comment>
    <comment ref="P7" authorId="0" shapeId="0">
      <text>
        <r>
          <rPr>
            <sz val="9"/>
            <color indexed="81"/>
            <rFont val="Tahoma"/>
            <family val="2"/>
          </rPr>
          <t>Intervalle de confiance (95%) : [5 436; 7 258]</t>
        </r>
      </text>
    </comment>
    <comment ref="D8" authorId="0" shapeId="0">
      <text>
        <r>
          <rPr>
            <sz val="9"/>
            <color indexed="81"/>
            <rFont val="Tahoma"/>
            <family val="2"/>
          </rPr>
          <t>Intervalle de confiance (95%) : [1 338; 1 919]</t>
        </r>
      </text>
    </comment>
    <comment ref="F8" authorId="0" shapeId="0">
      <text>
        <r>
          <rPr>
            <sz val="9"/>
            <color indexed="81"/>
            <rFont val="Tahoma"/>
            <family val="2"/>
          </rPr>
          <t>Intervalle de confiance (95%) : [1 504; 2 013]</t>
        </r>
      </text>
    </comment>
    <comment ref="H8" authorId="0" shapeId="0">
      <text>
        <r>
          <rPr>
            <sz val="9"/>
            <color indexed="81"/>
            <rFont val="Tahoma"/>
            <family val="2"/>
          </rPr>
          <t>Intervalle de confiance (95%) : [1 108; 1 814]</t>
        </r>
      </text>
    </comment>
    <comment ref="J8" authorId="0" shapeId="0">
      <text>
        <r>
          <rPr>
            <sz val="9"/>
            <color indexed="81"/>
            <rFont val="Tahoma"/>
            <family val="2"/>
          </rPr>
          <t>Intervalle de confiance (95%) : [1 530; 2 213]</t>
        </r>
      </text>
    </comment>
    <comment ref="L8" authorId="0" shapeId="0">
      <text>
        <r>
          <rPr>
            <sz val="9"/>
            <color indexed="81"/>
            <rFont val="Tahoma"/>
            <family val="2"/>
          </rPr>
          <t>Intervalle de confiance (95%) : [1 259; 2 365]</t>
        </r>
      </text>
    </comment>
    <comment ref="N8" authorId="0" shapeId="0">
      <text>
        <r>
          <rPr>
            <sz val="9"/>
            <color indexed="81"/>
            <rFont val="Tahoma"/>
            <family val="2"/>
          </rPr>
          <t>Intervalle de confiance (95%) : [1 363; 2 204]</t>
        </r>
      </text>
    </comment>
    <comment ref="P8" authorId="0" shapeId="0">
      <text>
        <r>
          <rPr>
            <sz val="9"/>
            <color indexed="81"/>
            <rFont val="Tahoma"/>
            <family val="2"/>
          </rPr>
          <t>Intervalle de confiance (95%) : [1 461; 2 391]</t>
        </r>
      </text>
    </comment>
    <comment ref="D9" authorId="0" shapeId="0">
      <text>
        <r>
          <rPr>
            <sz val="9"/>
            <color indexed="81"/>
            <rFont val="Tahoma"/>
            <family val="2"/>
          </rPr>
          <t>Intervalle de confiance (95%) : [9 749; 11 575]</t>
        </r>
      </text>
    </comment>
    <comment ref="F9" authorId="0" shapeId="0">
      <text>
        <r>
          <rPr>
            <sz val="9"/>
            <color indexed="81"/>
            <rFont val="Tahoma"/>
            <family val="2"/>
          </rPr>
          <t>Intervalle de confiance (95%) : [10 844; 12 740]</t>
        </r>
      </text>
    </comment>
    <comment ref="H9" authorId="0" shapeId="0">
      <text>
        <r>
          <rPr>
            <sz val="9"/>
            <color indexed="81"/>
            <rFont val="Tahoma"/>
            <family val="2"/>
          </rPr>
          <t>Intervalle de confiance (95%) : [10 545; 12 250]</t>
        </r>
      </text>
    </comment>
    <comment ref="J9" authorId="0" shapeId="0">
      <text>
        <r>
          <rPr>
            <sz val="9"/>
            <color indexed="81"/>
            <rFont val="Tahoma"/>
            <family val="2"/>
          </rPr>
          <t>Intervalle de confiance (95%) : [11 213; 12 891]</t>
        </r>
      </text>
    </comment>
    <comment ref="L9" authorId="0" shapeId="0">
      <text>
        <r>
          <rPr>
            <sz val="9"/>
            <color indexed="81"/>
            <rFont val="Tahoma"/>
            <family val="2"/>
          </rPr>
          <t>Intervalle de confiance (95%) : [11 377; 13 269]</t>
        </r>
      </text>
    </comment>
    <comment ref="N9" authorId="0" shapeId="0">
      <text>
        <r>
          <rPr>
            <sz val="9"/>
            <color indexed="81"/>
            <rFont val="Tahoma"/>
            <family val="2"/>
          </rPr>
          <t>Intervalle de confiance (95%) : [11 447; 13 188]</t>
        </r>
      </text>
    </comment>
    <comment ref="P9" authorId="0" shapeId="0">
      <text>
        <r>
          <rPr>
            <sz val="9"/>
            <color indexed="81"/>
            <rFont val="Tahoma"/>
            <family val="2"/>
          </rPr>
          <t>Intervalle de confiance (95%) : [11 412; 13 208]</t>
        </r>
      </text>
    </comment>
    <comment ref="D10" authorId="0" shapeId="0">
      <text>
        <r>
          <rPr>
            <sz val="9"/>
            <color indexed="81"/>
            <rFont val="Tahoma"/>
            <family val="2"/>
          </rPr>
          <t>Intervalle de confiance (95%) : [9 185; 10 762]</t>
        </r>
      </text>
    </comment>
    <comment ref="F10" authorId="0" shapeId="0">
      <text>
        <r>
          <rPr>
            <sz val="9"/>
            <color indexed="81"/>
            <rFont val="Tahoma"/>
            <family val="2"/>
          </rPr>
          <t>Intervalle de confiance (95%) : [10 289; 12 079]</t>
        </r>
      </text>
    </comment>
    <comment ref="H10" authorId="0" shapeId="0">
      <text>
        <r>
          <rPr>
            <sz val="9"/>
            <color indexed="81"/>
            <rFont val="Tahoma"/>
            <family val="2"/>
          </rPr>
          <t>Intervalle de confiance (95%) : [10 148; 11 825]</t>
        </r>
      </text>
    </comment>
    <comment ref="J10" authorId="0" shapeId="0">
      <text>
        <r>
          <rPr>
            <sz val="9"/>
            <color indexed="81"/>
            <rFont val="Tahoma"/>
            <family val="2"/>
          </rPr>
          <t>Intervalle de confiance (95%) : [10 495; 12 061]</t>
        </r>
      </text>
    </comment>
    <comment ref="L10" authorId="0" shapeId="0">
      <text>
        <r>
          <rPr>
            <sz val="9"/>
            <color indexed="81"/>
            <rFont val="Tahoma"/>
            <family val="2"/>
          </rPr>
          <t>Intervalle de confiance (95%) : [10 535; 12 162]</t>
        </r>
      </text>
    </comment>
    <comment ref="N10" authorId="0" shapeId="0">
      <text>
        <r>
          <rPr>
            <sz val="9"/>
            <color indexed="81"/>
            <rFont val="Tahoma"/>
            <family val="2"/>
          </rPr>
          <t>Intervalle de confiance (95%) : [10 948; 12 619]</t>
        </r>
      </text>
    </comment>
    <comment ref="P10" authorId="0" shapeId="0">
      <text>
        <r>
          <rPr>
            <sz val="9"/>
            <color indexed="81"/>
            <rFont val="Tahoma"/>
            <family val="2"/>
          </rPr>
          <t>Intervalle de confiance (95%) : [10 420; 12 040]</t>
        </r>
      </text>
    </comment>
    <comment ref="D11" authorId="0" shapeId="0">
      <text>
        <r>
          <rPr>
            <sz val="9"/>
            <color indexed="81"/>
            <rFont val="Tahoma"/>
            <family val="2"/>
          </rPr>
          <t>Intervalle de confiance non disponible (CV &gt; 33%)</t>
        </r>
      </text>
    </comment>
    <comment ref="F11" authorId="0" shapeId="0">
      <text>
        <r>
          <rPr>
            <sz val="9"/>
            <color indexed="81"/>
            <rFont val="Tahoma"/>
            <family val="2"/>
          </rPr>
          <t>Intervalle de confiance (95%) : [335; 880]</t>
        </r>
      </text>
    </comment>
    <comment ref="H11" authorId="0" shapeId="0">
      <text>
        <r>
          <rPr>
            <sz val="9"/>
            <color indexed="81"/>
            <rFont val="Tahoma"/>
            <family val="2"/>
          </rPr>
          <t>Intervalle de confiance (95%) : [280; 542]</t>
        </r>
      </text>
    </comment>
    <comment ref="J11" authorId="0" shapeId="0">
      <text>
        <r>
          <rPr>
            <sz val="9"/>
            <color indexed="81"/>
            <rFont val="Tahoma"/>
            <family val="2"/>
          </rPr>
          <t>Intervalle de confiance (95%) : [511; 1 037]</t>
        </r>
      </text>
    </comment>
    <comment ref="L11" authorId="0" shapeId="0">
      <text>
        <r>
          <rPr>
            <sz val="9"/>
            <color indexed="81"/>
            <rFont val="Tahoma"/>
            <family val="2"/>
          </rPr>
          <t>Intervalle de confiance (95%) : [580; 1 369]</t>
        </r>
      </text>
    </comment>
    <comment ref="N11" authorId="0" shapeId="0">
      <text>
        <r>
          <rPr>
            <sz val="9"/>
            <color indexed="81"/>
            <rFont val="Tahoma"/>
            <family val="2"/>
          </rPr>
          <t>Intervalle de confiance (95%) : [338; 730]</t>
        </r>
      </text>
    </comment>
    <comment ref="P11" authorId="0" shapeId="0">
      <text>
        <r>
          <rPr>
            <sz val="9"/>
            <color indexed="81"/>
            <rFont val="Tahoma"/>
            <family val="2"/>
          </rPr>
          <t>Intervalle de confiance (95%) : [693; 1 467]</t>
        </r>
      </text>
    </comment>
    <comment ref="D12" authorId="0" shapeId="0">
      <text>
        <r>
          <rPr>
            <sz val="9"/>
            <color indexed="81"/>
            <rFont val="Tahoma"/>
            <family val="2"/>
          </rPr>
          <t>Intervalle de confiance (95%) : [2 481; 3 820]</t>
        </r>
      </text>
    </comment>
    <comment ref="F12" authorId="0" shapeId="0">
      <text>
        <r>
          <rPr>
            <sz val="9"/>
            <color indexed="81"/>
            <rFont val="Tahoma"/>
            <family val="2"/>
          </rPr>
          <t>Intervalle de confiance (95%) : [2 934; 3 553]</t>
        </r>
      </text>
    </comment>
    <comment ref="H12" authorId="0" shapeId="0">
      <text>
        <r>
          <rPr>
            <sz val="9"/>
            <color indexed="81"/>
            <rFont val="Tahoma"/>
            <family val="2"/>
          </rPr>
          <t>Intervalle de confiance (95%) : [2 732; 3 476]</t>
        </r>
      </text>
    </comment>
    <comment ref="J12" authorId="0" shapeId="0">
      <text>
        <r>
          <rPr>
            <sz val="9"/>
            <color indexed="81"/>
            <rFont val="Tahoma"/>
            <family val="2"/>
          </rPr>
          <t>Intervalle de confiance (95%) : [3 187; 4 015]</t>
        </r>
      </text>
    </comment>
    <comment ref="L12" authorId="0" shapeId="0">
      <text>
        <r>
          <rPr>
            <sz val="9"/>
            <color indexed="81"/>
            <rFont val="Tahoma"/>
            <family val="2"/>
          </rPr>
          <t>Intervalle de confiance (95%) : [3 045; 3 801]</t>
        </r>
      </text>
    </comment>
    <comment ref="N12" authorId="0" shapeId="0">
      <text>
        <r>
          <rPr>
            <sz val="9"/>
            <color indexed="81"/>
            <rFont val="Tahoma"/>
            <family val="2"/>
          </rPr>
          <t>Intervalle de confiance (95%) : [2 963; 3 780]</t>
        </r>
      </text>
    </comment>
    <comment ref="P12" authorId="0" shapeId="0">
      <text>
        <r>
          <rPr>
            <sz val="9"/>
            <color indexed="81"/>
            <rFont val="Tahoma"/>
            <family val="2"/>
          </rPr>
          <t>Intervalle de confiance (95%) : [3 337; 4 217]</t>
        </r>
      </text>
    </comment>
    <comment ref="D13" authorId="0" shapeId="0">
      <text>
        <r>
          <rPr>
            <sz val="9"/>
            <color indexed="81"/>
            <rFont val="Tahoma"/>
            <family val="2"/>
          </rPr>
          <t>Intervalle de confiance (95%) : [1 199; 1 450]</t>
        </r>
      </text>
    </comment>
    <comment ref="F13" authorId="0" shapeId="0">
      <text>
        <r>
          <rPr>
            <sz val="9"/>
            <color indexed="81"/>
            <rFont val="Tahoma"/>
            <family val="2"/>
          </rPr>
          <t>Intervalle de confiance (95%) : [1 377; 1 605]</t>
        </r>
      </text>
    </comment>
    <comment ref="H13" authorId="0" shapeId="0">
      <text>
        <r>
          <rPr>
            <sz val="9"/>
            <color indexed="81"/>
            <rFont val="Tahoma"/>
            <family val="2"/>
          </rPr>
          <t>Intervalle de confiance (95%) : [1 360; 1 610]</t>
        </r>
      </text>
    </comment>
    <comment ref="J13" authorId="0" shapeId="0">
      <text>
        <r>
          <rPr>
            <sz val="9"/>
            <color indexed="81"/>
            <rFont val="Tahoma"/>
            <family val="2"/>
          </rPr>
          <t>Intervalle de confiance (95%) : [1 510; 1 750]</t>
        </r>
      </text>
    </comment>
    <comment ref="L13" authorId="0" shapeId="0">
      <text>
        <r>
          <rPr>
            <sz val="9"/>
            <color indexed="81"/>
            <rFont val="Tahoma"/>
            <family val="2"/>
          </rPr>
          <t>Intervalle de confiance (95%) : [1 549; 1 846]</t>
        </r>
      </text>
    </comment>
    <comment ref="N13" authorId="0" shapeId="0">
      <text>
        <r>
          <rPr>
            <sz val="9"/>
            <color indexed="81"/>
            <rFont val="Tahoma"/>
            <family val="2"/>
          </rPr>
          <t>Intervalle de confiance (95%) : [1 504; 1 746]</t>
        </r>
      </text>
    </comment>
    <comment ref="P13" authorId="0" shapeId="0">
      <text>
        <r>
          <rPr>
            <sz val="9"/>
            <color indexed="81"/>
            <rFont val="Tahoma"/>
            <family val="2"/>
          </rPr>
          <t>Intervalle de confiance (95%) : [1 619; 1 901]</t>
        </r>
      </text>
    </comment>
    <comment ref="D14" authorId="0" shapeId="0">
      <text>
        <r>
          <rPr>
            <sz val="9"/>
            <color indexed="81"/>
            <rFont val="Tahoma"/>
            <family val="2"/>
          </rPr>
          <t>Intervalle de confiance (95%) : [64; 149]</t>
        </r>
      </text>
    </comment>
    <comment ref="F14" authorId="0" shapeId="0">
      <text>
        <r>
          <rPr>
            <sz val="9"/>
            <color indexed="81"/>
            <rFont val="Tahoma"/>
            <family val="2"/>
          </rPr>
          <t>Intervalle de confiance (95%) : [24; 88]</t>
        </r>
      </text>
    </comment>
    <comment ref="H14" authorId="0" shapeId="0">
      <text>
        <r>
          <rPr>
            <sz val="9"/>
            <color indexed="81"/>
            <rFont val="Tahoma"/>
            <family val="2"/>
          </rPr>
          <t>Intervalle de confiance (95%) : [35; 123]</t>
        </r>
      </text>
    </comment>
    <comment ref="J14" authorId="0" shapeId="0">
      <text>
        <r>
          <rPr>
            <sz val="9"/>
            <color indexed="81"/>
            <rFont val="Tahoma"/>
            <family val="2"/>
          </rPr>
          <t>Intervalle de confiance (95%) : [91; 319]</t>
        </r>
      </text>
    </comment>
    <comment ref="L14" authorId="0" shapeId="0">
      <text>
        <r>
          <rPr>
            <sz val="9"/>
            <color indexed="81"/>
            <rFont val="Tahoma"/>
            <family val="2"/>
          </rPr>
          <t>Intervalle de confiance (95%) : [31; 128]</t>
        </r>
      </text>
    </comment>
    <comment ref="N14" authorId="0" shapeId="0">
      <text>
        <r>
          <rPr>
            <sz val="9"/>
            <color indexed="81"/>
            <rFont val="Tahoma"/>
            <family val="2"/>
          </rPr>
          <t>Intervalle de confiance non disponible (CV &gt; 33%)</t>
        </r>
      </text>
    </comment>
    <comment ref="P14" authorId="0" shapeId="0">
      <text>
        <r>
          <rPr>
            <sz val="9"/>
            <color indexed="81"/>
            <rFont val="Tahoma"/>
            <family val="2"/>
          </rPr>
          <t>Intervalle de confiance (95%) : [45; 185]</t>
        </r>
      </text>
    </comment>
    <comment ref="D15" authorId="0" shapeId="0">
      <text>
        <r>
          <rPr>
            <sz val="9"/>
            <color indexed="81"/>
            <rFont val="Tahoma"/>
            <family val="2"/>
          </rPr>
          <t>Intervalle de confiance non disponible (CV &gt; 33%)</t>
        </r>
      </text>
    </comment>
    <comment ref="F15" authorId="0" shapeId="0">
      <text>
        <r>
          <rPr>
            <sz val="9"/>
            <color indexed="81"/>
            <rFont val="Tahoma"/>
            <family val="2"/>
          </rPr>
          <t>Intervalle de confiance (95%) : [281; 494]</t>
        </r>
      </text>
    </comment>
    <comment ref="H15" authorId="0" shapeId="0">
      <text>
        <r>
          <rPr>
            <sz val="9"/>
            <color indexed="81"/>
            <rFont val="Tahoma"/>
            <family val="2"/>
          </rPr>
          <t>Intervalle de confiance (95%) : [148; 438]</t>
        </r>
      </text>
    </comment>
    <comment ref="J15" authorId="0" shapeId="0">
      <text>
        <r>
          <rPr>
            <sz val="9"/>
            <color indexed="81"/>
            <rFont val="Tahoma"/>
            <family val="2"/>
          </rPr>
          <t>Intervalle de confiance (95%) : [89; 412]</t>
        </r>
      </text>
    </comment>
    <comment ref="L15" authorId="0" shapeId="0">
      <text>
        <r>
          <rPr>
            <sz val="9"/>
            <color indexed="81"/>
            <rFont val="Tahoma"/>
            <family val="2"/>
          </rPr>
          <t>Intervalle de confiance (95%) : [170; 508]</t>
        </r>
      </text>
    </comment>
    <comment ref="N15" authorId="0" shapeId="0">
      <text>
        <r>
          <rPr>
            <sz val="9"/>
            <color indexed="81"/>
            <rFont val="Tahoma"/>
            <family val="2"/>
          </rPr>
          <t>Intervalle de confiance (95%) : [206; 710]</t>
        </r>
      </text>
    </comment>
    <comment ref="P15" authorId="0" shapeId="0">
      <text>
        <r>
          <rPr>
            <sz val="9"/>
            <color indexed="81"/>
            <rFont val="Tahoma"/>
            <family val="2"/>
          </rPr>
          <t>Intervalle de confiance (95%) : [266; 910]</t>
        </r>
      </text>
    </comment>
    <comment ref="D16" authorId="0" shapeId="0">
      <text>
        <r>
          <rPr>
            <sz val="9"/>
            <color indexed="81"/>
            <rFont val="Tahoma"/>
            <family val="2"/>
          </rPr>
          <t>Intervalle de confiance (95%) : [174; 343]</t>
        </r>
      </text>
    </comment>
    <comment ref="F16" authorId="0" shapeId="0">
      <text>
        <r>
          <rPr>
            <sz val="9"/>
            <color indexed="81"/>
            <rFont val="Tahoma"/>
            <family val="2"/>
          </rPr>
          <t>Intervalle de confiance (95%) : [123; 209]</t>
        </r>
      </text>
    </comment>
    <comment ref="H16" authorId="0" shapeId="0">
      <text>
        <r>
          <rPr>
            <sz val="9"/>
            <color indexed="81"/>
            <rFont val="Tahoma"/>
            <family val="2"/>
          </rPr>
          <t>Intervalle de confiance (95%) : [118; 292]</t>
        </r>
      </text>
    </comment>
    <comment ref="J16" authorId="0" shapeId="0">
      <text>
        <r>
          <rPr>
            <sz val="9"/>
            <color indexed="81"/>
            <rFont val="Tahoma"/>
            <family val="2"/>
          </rPr>
          <t>Intervalle de confiance (95%) : [159; 377]</t>
        </r>
      </text>
    </comment>
    <comment ref="L16" authorId="0" shapeId="0">
      <text>
        <r>
          <rPr>
            <sz val="9"/>
            <color indexed="81"/>
            <rFont val="Tahoma"/>
            <family val="2"/>
          </rPr>
          <t>Intervalle de confiance (95%) : [136; 286]</t>
        </r>
      </text>
    </comment>
    <comment ref="N16" authorId="0" shapeId="0">
      <text>
        <r>
          <rPr>
            <sz val="9"/>
            <color indexed="81"/>
            <rFont val="Tahoma"/>
            <family val="2"/>
          </rPr>
          <t>Intervalle de confiance (95%) : [141; 294]</t>
        </r>
      </text>
    </comment>
    <comment ref="P16" authorId="0" shapeId="0">
      <text>
        <r>
          <rPr>
            <sz val="9"/>
            <color indexed="81"/>
            <rFont val="Tahoma"/>
            <family val="2"/>
          </rPr>
          <t>Intervalle de confiance (95%) : [155; 347]</t>
        </r>
      </text>
    </comment>
    <comment ref="D17" authorId="0" shapeId="0">
      <text>
        <r>
          <rPr>
            <sz val="9"/>
            <color indexed="81"/>
            <rFont val="Tahoma"/>
            <family val="2"/>
          </rPr>
          <t>Intervalle de confiance (95%) : [225; 409]</t>
        </r>
      </text>
    </comment>
    <comment ref="F17" authorId="0" shapeId="0">
      <text>
        <r>
          <rPr>
            <sz val="9"/>
            <color indexed="81"/>
            <rFont val="Tahoma"/>
            <family val="2"/>
          </rPr>
          <t>Intervalle de confiance (95%) : [225; 378]</t>
        </r>
      </text>
    </comment>
    <comment ref="H17" authorId="0" shapeId="0">
      <text>
        <r>
          <rPr>
            <sz val="9"/>
            <color indexed="81"/>
            <rFont val="Tahoma"/>
            <family val="2"/>
          </rPr>
          <t>Intervalle de confiance (95%) : [166; 306]</t>
        </r>
      </text>
    </comment>
    <comment ref="J17" authorId="0" shapeId="0">
      <text>
        <r>
          <rPr>
            <sz val="9"/>
            <color indexed="81"/>
            <rFont val="Tahoma"/>
            <family val="2"/>
          </rPr>
          <t>Intervalle de confiance (95%) : [162; 382]</t>
        </r>
      </text>
    </comment>
    <comment ref="L17" authorId="0" shapeId="0">
      <text>
        <r>
          <rPr>
            <sz val="9"/>
            <color indexed="81"/>
            <rFont val="Tahoma"/>
            <family val="2"/>
          </rPr>
          <t>Intervalle de confiance (95%) : [185; 387]</t>
        </r>
      </text>
    </comment>
    <comment ref="N17" authorId="0" shapeId="0">
      <text>
        <r>
          <rPr>
            <sz val="9"/>
            <color indexed="81"/>
            <rFont val="Tahoma"/>
            <family val="2"/>
          </rPr>
          <t>Intervalle de confiance (95%) : [221; 413]</t>
        </r>
      </text>
    </comment>
    <comment ref="P17" authorId="0" shapeId="0">
      <text>
        <r>
          <rPr>
            <sz val="9"/>
            <color indexed="81"/>
            <rFont val="Tahoma"/>
            <family val="2"/>
          </rPr>
          <t>Intervalle de confiance (95%) : [173; 349]</t>
        </r>
      </text>
    </comment>
    <comment ref="D18" authorId="0" shapeId="0">
      <text>
        <r>
          <rPr>
            <sz val="9"/>
            <color indexed="81"/>
            <rFont val="Tahoma"/>
            <family val="2"/>
          </rPr>
          <t>Intervalle de confiance (95%) : [74; 268]</t>
        </r>
      </text>
    </comment>
    <comment ref="F18" authorId="0" shapeId="0">
      <text>
        <r>
          <rPr>
            <sz val="9"/>
            <color indexed="81"/>
            <rFont val="Tahoma"/>
            <family val="2"/>
          </rPr>
          <t>Intervalle de confiance (95%) : [209; 410]</t>
        </r>
      </text>
    </comment>
    <comment ref="H18" authorId="0" shapeId="0">
      <text>
        <r>
          <rPr>
            <sz val="9"/>
            <color indexed="81"/>
            <rFont val="Tahoma"/>
            <family val="2"/>
          </rPr>
          <t>Intervalle de confiance (95%) : [172; 321]</t>
        </r>
      </text>
    </comment>
    <comment ref="J18" authorId="0" shapeId="0">
      <text>
        <r>
          <rPr>
            <sz val="9"/>
            <color indexed="81"/>
            <rFont val="Tahoma"/>
            <family val="2"/>
          </rPr>
          <t>Intervalle de confiance (95%) : [216; 607]</t>
        </r>
      </text>
    </comment>
    <comment ref="L18" authorId="0" shapeId="0">
      <text>
        <r>
          <rPr>
            <sz val="9"/>
            <color indexed="81"/>
            <rFont val="Tahoma"/>
            <family val="2"/>
          </rPr>
          <t>Intervalle de confiance (95%) : [158; 509]</t>
        </r>
      </text>
    </comment>
    <comment ref="N18" authorId="0" shapeId="0">
      <text>
        <r>
          <rPr>
            <sz val="9"/>
            <color indexed="81"/>
            <rFont val="Tahoma"/>
            <family val="2"/>
          </rPr>
          <t>Intervalle de confiance (95%) : [122; 323]</t>
        </r>
      </text>
    </comment>
    <comment ref="P18" authorId="0" shapeId="0">
      <text>
        <r>
          <rPr>
            <sz val="9"/>
            <color indexed="81"/>
            <rFont val="Tahoma"/>
            <family val="2"/>
          </rPr>
          <t>Intervalle de confiance (95%) : [147; 379]</t>
        </r>
      </text>
    </comment>
    <comment ref="D19" authorId="0" shapeId="0">
      <text>
        <r>
          <rPr>
            <sz val="9"/>
            <color indexed="81"/>
            <rFont val="Tahoma"/>
            <family val="2"/>
          </rPr>
          <t>Intervalle de confiance (95%) : [69; 153]</t>
        </r>
      </text>
    </comment>
    <comment ref="F19" authorId="0" shapeId="0">
      <text>
        <r>
          <rPr>
            <sz val="9"/>
            <color indexed="81"/>
            <rFont val="Tahoma"/>
            <family val="2"/>
          </rPr>
          <t>Intervalle de confiance (95%) : [60; 123]</t>
        </r>
      </text>
    </comment>
    <comment ref="H19" authorId="0" shapeId="0">
      <text>
        <r>
          <rPr>
            <sz val="9"/>
            <color indexed="81"/>
            <rFont val="Tahoma"/>
            <family val="2"/>
          </rPr>
          <t>Intervalle de confiance (95%) : [38; 115]</t>
        </r>
      </text>
    </comment>
    <comment ref="J19" authorId="0" shapeId="0">
      <text>
        <r>
          <rPr>
            <sz val="9"/>
            <color indexed="81"/>
            <rFont val="Tahoma"/>
            <family val="2"/>
          </rPr>
          <t>Intervalle de confiance (95%) : [55; 128]</t>
        </r>
      </text>
    </comment>
    <comment ref="L19" authorId="0" shapeId="0">
      <text>
        <r>
          <rPr>
            <sz val="9"/>
            <color indexed="81"/>
            <rFont val="Tahoma"/>
            <family val="2"/>
          </rPr>
          <t>Intervalle de confiance (95%) : [26; 113]</t>
        </r>
      </text>
    </comment>
    <comment ref="N19" authorId="0" shapeId="0">
      <text>
        <r>
          <rPr>
            <sz val="9"/>
            <color indexed="81"/>
            <rFont val="Tahoma"/>
            <family val="2"/>
          </rPr>
          <t>Intervalle de confiance (95%) : [33; 100]</t>
        </r>
      </text>
    </comment>
    <comment ref="P19" authorId="0" shapeId="0">
      <text>
        <r>
          <rPr>
            <sz val="9"/>
            <color indexed="81"/>
            <rFont val="Tahoma"/>
            <family val="2"/>
          </rPr>
          <t>Intervalle de confiance non disponible (CV &gt; 33%)</t>
        </r>
      </text>
    </comment>
    <comment ref="D20" authorId="0" shapeId="0">
      <text>
        <r>
          <rPr>
            <sz val="9"/>
            <color indexed="81"/>
            <rFont val="Tahoma"/>
            <family val="2"/>
          </rPr>
          <t>Intervalle de confiance (95%) : [185; 552]</t>
        </r>
      </text>
    </comment>
    <comment ref="F20" authorId="0" shapeId="0">
      <text>
        <r>
          <rPr>
            <sz val="9"/>
            <color indexed="81"/>
            <rFont val="Tahoma"/>
            <family val="2"/>
          </rPr>
          <t>Intervalle de confiance (95%) : [243; 639]</t>
        </r>
      </text>
    </comment>
    <comment ref="H20" authorId="0" shapeId="0">
      <text>
        <r>
          <rPr>
            <sz val="9"/>
            <color indexed="81"/>
            <rFont val="Tahoma"/>
            <family val="2"/>
          </rPr>
          <t>Intervalle de confiance (95%) : [246; 719]</t>
        </r>
      </text>
    </comment>
    <comment ref="J20" authorId="0" shapeId="0">
      <text>
        <r>
          <rPr>
            <sz val="9"/>
            <color indexed="81"/>
            <rFont val="Tahoma"/>
            <family val="2"/>
          </rPr>
          <t>Intervalle de confiance (95%) : [330; 616]</t>
        </r>
      </text>
    </comment>
    <comment ref="L20" authorId="0" shapeId="0">
      <text>
        <r>
          <rPr>
            <sz val="9"/>
            <color indexed="81"/>
            <rFont val="Tahoma"/>
            <family val="2"/>
          </rPr>
          <t>Intervalle de confiance (95%) : [249; 565]</t>
        </r>
      </text>
    </comment>
    <comment ref="N20" authorId="0" shapeId="0">
      <text>
        <r>
          <rPr>
            <sz val="9"/>
            <color indexed="81"/>
            <rFont val="Tahoma"/>
            <family val="2"/>
          </rPr>
          <t>Intervalle de confiance (95%) : [170; 646]</t>
        </r>
      </text>
    </comment>
    <comment ref="P20" authorId="0" shapeId="0">
      <text>
        <r>
          <rPr>
            <sz val="9"/>
            <color indexed="81"/>
            <rFont val="Tahoma"/>
            <family val="2"/>
          </rPr>
          <t>Intervalle de confiance (95%) : [246; 634]</t>
        </r>
      </text>
    </comment>
    <comment ref="D21" authorId="0" shapeId="0">
      <text>
        <r>
          <rPr>
            <sz val="9"/>
            <color indexed="81"/>
            <rFont val="Tahoma"/>
            <family val="2"/>
          </rPr>
          <t>Intervalle de confiance (95%) : [1 278; 1 910]</t>
        </r>
      </text>
    </comment>
    <comment ref="F21" authorId="0" shapeId="0">
      <text>
        <r>
          <rPr>
            <sz val="9"/>
            <color indexed="81"/>
            <rFont val="Tahoma"/>
            <family val="2"/>
          </rPr>
          <t>Intervalle de confiance (95%) : [1 142; 1 717]</t>
        </r>
      </text>
    </comment>
    <comment ref="H21" authorId="0" shapeId="0">
      <text>
        <r>
          <rPr>
            <sz val="9"/>
            <color indexed="81"/>
            <rFont val="Tahoma"/>
            <family val="2"/>
          </rPr>
          <t>Intervalle de confiance (95%) : [1 221; 1 768]</t>
        </r>
      </text>
    </comment>
    <comment ref="J21" authorId="0" shapeId="0">
      <text>
        <r>
          <rPr>
            <sz val="9"/>
            <color indexed="81"/>
            <rFont val="Tahoma"/>
            <family val="2"/>
          </rPr>
          <t>Intervalle de confiance (95%) : [1 331; 1 923]</t>
        </r>
      </text>
    </comment>
    <comment ref="L21" authorId="0" shapeId="0">
      <text>
        <r>
          <rPr>
            <sz val="9"/>
            <color indexed="81"/>
            <rFont val="Tahoma"/>
            <family val="2"/>
          </rPr>
          <t>Intervalle de confiance (95%) : [1 159; 1 822]</t>
        </r>
      </text>
    </comment>
    <comment ref="N21" authorId="0" shapeId="0">
      <text>
        <r>
          <rPr>
            <sz val="9"/>
            <color indexed="81"/>
            <rFont val="Tahoma"/>
            <family val="2"/>
          </rPr>
          <t>Intervalle de confiance (95%) : [1 375; 2 219]</t>
        </r>
      </text>
    </comment>
    <comment ref="P21" authorId="0" shapeId="0">
      <text>
        <r>
          <rPr>
            <sz val="9"/>
            <color indexed="81"/>
            <rFont val="Tahoma"/>
            <family val="2"/>
          </rPr>
          <t>Intervalle de confiance (95%) : [1 283; 1 947]</t>
        </r>
      </text>
    </comment>
    <comment ref="D22" authorId="0" shapeId="0">
      <text>
        <r>
          <rPr>
            <sz val="9"/>
            <color indexed="81"/>
            <rFont val="Tahoma"/>
            <family val="2"/>
          </rPr>
          <t>Intervalle de confiance (95%) : [449; 860]</t>
        </r>
      </text>
    </comment>
    <comment ref="F22" authorId="0" shapeId="0">
      <text>
        <r>
          <rPr>
            <sz val="9"/>
            <color indexed="81"/>
            <rFont val="Tahoma"/>
            <family val="2"/>
          </rPr>
          <t>Intervalle de confiance (95%) : [414; 783]</t>
        </r>
      </text>
    </comment>
    <comment ref="H22" authorId="0" shapeId="0">
      <text>
        <r>
          <rPr>
            <sz val="9"/>
            <color indexed="81"/>
            <rFont val="Tahoma"/>
            <family val="2"/>
          </rPr>
          <t>Intervalle de confiance (95%) : [416; 780]</t>
        </r>
      </text>
    </comment>
    <comment ref="J22" authorId="0" shapeId="0">
      <text>
        <r>
          <rPr>
            <sz val="9"/>
            <color indexed="81"/>
            <rFont val="Tahoma"/>
            <family val="2"/>
          </rPr>
          <t>Intervalle de confiance (95%) : [486; 962]</t>
        </r>
      </text>
    </comment>
    <comment ref="L22" authorId="0" shapeId="0">
      <text>
        <r>
          <rPr>
            <sz val="9"/>
            <color indexed="81"/>
            <rFont val="Tahoma"/>
            <family val="2"/>
          </rPr>
          <t>Intervalle de confiance (95%) : [431; 954]</t>
        </r>
      </text>
    </comment>
    <comment ref="N22" authorId="0" shapeId="0">
      <text>
        <r>
          <rPr>
            <sz val="9"/>
            <color indexed="81"/>
            <rFont val="Tahoma"/>
            <family val="2"/>
          </rPr>
          <t>Intervalle de confiance (95%) : [481; 996]</t>
        </r>
      </text>
    </comment>
    <comment ref="P22" authorId="0" shapeId="0">
      <text>
        <r>
          <rPr>
            <sz val="9"/>
            <color indexed="81"/>
            <rFont val="Tahoma"/>
            <family val="2"/>
          </rPr>
          <t>Intervalle de confiance (95%) : [418; 848]</t>
        </r>
      </text>
    </comment>
    <comment ref="D23" authorId="0" shapeId="0">
      <text>
        <r>
          <rPr>
            <sz val="9"/>
            <color indexed="81"/>
            <rFont val="Tahoma"/>
            <family val="2"/>
          </rPr>
          <t>Intervalle de confiance (95%) : [634; 1 095]</t>
        </r>
      </text>
    </comment>
    <comment ref="F23" authorId="0" shapeId="0">
      <text>
        <r>
          <rPr>
            <sz val="9"/>
            <color indexed="81"/>
            <rFont val="Tahoma"/>
            <family val="2"/>
          </rPr>
          <t>Intervalle de confiance (95%) : [602; 989]</t>
        </r>
      </text>
    </comment>
    <comment ref="H23" authorId="0" shapeId="0">
      <text>
        <r>
          <rPr>
            <sz val="9"/>
            <color indexed="81"/>
            <rFont val="Tahoma"/>
            <family val="2"/>
          </rPr>
          <t>Intervalle de confiance (95%) : [654; 982]</t>
        </r>
      </text>
    </comment>
    <comment ref="J23" authorId="0" shapeId="0">
      <text>
        <r>
          <rPr>
            <sz val="9"/>
            <color indexed="81"/>
            <rFont val="Tahoma"/>
            <family val="2"/>
          </rPr>
          <t>Intervalle de confiance (95%) : [651; 1 072]</t>
        </r>
      </text>
    </comment>
    <comment ref="L23" authorId="0" shapeId="0">
      <text>
        <r>
          <rPr>
            <sz val="9"/>
            <color indexed="81"/>
            <rFont val="Tahoma"/>
            <family val="2"/>
          </rPr>
          <t>Intervalle de confiance (95%) : [540; 919]</t>
        </r>
      </text>
    </comment>
    <comment ref="N23" authorId="0" shapeId="0">
      <text>
        <r>
          <rPr>
            <sz val="9"/>
            <color indexed="81"/>
            <rFont val="Tahoma"/>
            <family val="2"/>
          </rPr>
          <t>Intervalle de confiance (95%) : [758; 1 271]</t>
        </r>
      </text>
    </comment>
    <comment ref="P23" authorId="0" shapeId="0">
      <text>
        <r>
          <rPr>
            <sz val="9"/>
            <color indexed="81"/>
            <rFont val="Tahoma"/>
            <family val="2"/>
          </rPr>
          <t>Intervalle de confiance (95%) : [700; 1 140]</t>
        </r>
      </text>
    </comment>
    <comment ref="D24" authorId="0" shapeId="0">
      <text>
        <r>
          <rPr>
            <sz val="9"/>
            <color indexed="81"/>
            <rFont val="Tahoma"/>
            <family val="2"/>
          </rPr>
          <t>Intervalle de confiance non disponible (CV &gt; 33%)</t>
        </r>
      </text>
    </comment>
    <comment ref="F24" authorId="0" shapeId="0">
      <text>
        <r>
          <rPr>
            <sz val="9"/>
            <color indexed="81"/>
            <rFont val="Tahoma"/>
            <family val="2"/>
          </rPr>
          <t>Intervalle de confiance ne s'applique pas (CV = 0% ou CV non défini)</t>
        </r>
      </text>
    </comment>
    <comment ref="H24" authorId="0" shapeId="0">
      <text>
        <r>
          <rPr>
            <sz val="9"/>
            <color indexed="81"/>
            <rFont val="Tahoma"/>
            <family val="2"/>
          </rPr>
          <t>Intervalle de confiance non disponible (CV &gt; 33%)</t>
        </r>
      </text>
    </comment>
    <comment ref="J24" authorId="0" shapeId="0">
      <text>
        <r>
          <rPr>
            <sz val="9"/>
            <color indexed="81"/>
            <rFont val="Tahoma"/>
            <family val="2"/>
          </rPr>
          <t>Intervalle de confiance ne s'applique pas (CV = 0% ou CV non défini)</t>
        </r>
      </text>
    </comment>
    <comment ref="L24" authorId="0" shapeId="0">
      <text>
        <r>
          <rPr>
            <sz val="9"/>
            <color indexed="81"/>
            <rFont val="Tahoma"/>
            <family val="2"/>
          </rPr>
          <t>Intervalle de confiance non disponible (CV &gt; 33%)</t>
        </r>
      </text>
    </comment>
    <comment ref="N24" authorId="0" shapeId="0">
      <text>
        <r>
          <rPr>
            <sz val="9"/>
            <color indexed="81"/>
            <rFont val="Tahoma"/>
            <family val="2"/>
          </rPr>
          <t>Intervalle de confiance non disponible (CV &gt; 33%)</t>
        </r>
      </text>
    </comment>
    <comment ref="P24" authorId="0" shapeId="0">
      <text>
        <r>
          <rPr>
            <sz val="9"/>
            <color indexed="81"/>
            <rFont val="Tahoma"/>
            <family val="2"/>
          </rPr>
          <t>Intervalle de confiance non disponible (CV &gt; 33%)</t>
        </r>
      </text>
    </comment>
    <comment ref="D25" authorId="0" shapeId="0">
      <text>
        <r>
          <rPr>
            <sz val="9"/>
            <color indexed="81"/>
            <rFont val="Tahoma"/>
            <family val="2"/>
          </rPr>
          <t>Intervalle de confiance (95%) : [21; 51]</t>
        </r>
      </text>
    </comment>
    <comment ref="F25" authorId="0" shapeId="0">
      <text>
        <r>
          <rPr>
            <sz val="9"/>
            <color indexed="81"/>
            <rFont val="Tahoma"/>
            <family val="2"/>
          </rPr>
          <t>Intervalle de confiance (95%) : [20; 50]</t>
        </r>
      </text>
    </comment>
    <comment ref="H25" authorId="0" shapeId="0">
      <text>
        <r>
          <rPr>
            <sz val="9"/>
            <color indexed="81"/>
            <rFont val="Tahoma"/>
            <family val="2"/>
          </rPr>
          <t>Intervalle de confiance (95%) : [26; 49]</t>
        </r>
      </text>
    </comment>
    <comment ref="J25" authorId="0" shapeId="0">
      <text>
        <r>
          <rPr>
            <sz val="9"/>
            <color indexed="81"/>
            <rFont val="Tahoma"/>
            <family val="2"/>
          </rPr>
          <t>Intervalle de confiance (95%) : [27; 56]</t>
        </r>
      </text>
    </comment>
    <comment ref="L25" authorId="0" shapeId="0">
      <text>
        <r>
          <rPr>
            <sz val="9"/>
            <color indexed="81"/>
            <rFont val="Tahoma"/>
            <family val="2"/>
          </rPr>
          <t>Intervalle de confiance (95%) : [24; 54]</t>
        </r>
      </text>
    </comment>
    <comment ref="N25" authorId="0" shapeId="0">
      <text>
        <r>
          <rPr>
            <sz val="9"/>
            <color indexed="81"/>
            <rFont val="Tahoma"/>
            <family val="2"/>
          </rPr>
          <t>Intervalle de confiance (95%) : [24; 51]</t>
        </r>
      </text>
    </comment>
    <comment ref="P25" authorId="0" shapeId="0">
      <text>
        <r>
          <rPr>
            <sz val="9"/>
            <color indexed="81"/>
            <rFont val="Tahoma"/>
            <family val="2"/>
          </rPr>
          <t>Intervalle de confiance (95%) : [30; 64]</t>
        </r>
      </text>
    </comment>
    <comment ref="D26" authorId="0" shapeId="0">
      <text>
        <r>
          <rPr>
            <sz val="9"/>
            <color indexed="81"/>
            <rFont val="Tahoma"/>
            <family val="2"/>
          </rPr>
          <t>Intervalle de confiance (95%) : [2 229; 2 847]</t>
        </r>
      </text>
    </comment>
    <comment ref="F26" authorId="0" shapeId="0">
      <text>
        <r>
          <rPr>
            <sz val="9"/>
            <color indexed="81"/>
            <rFont val="Tahoma"/>
            <family val="2"/>
          </rPr>
          <t>Intervalle de confiance (95%) : [2 563; 3 177]</t>
        </r>
      </text>
    </comment>
    <comment ref="H26" authorId="0" shapeId="0">
      <text>
        <r>
          <rPr>
            <sz val="9"/>
            <color indexed="81"/>
            <rFont val="Tahoma"/>
            <family val="2"/>
          </rPr>
          <t>Intervalle de confiance (95%) : [2 584; 3 856]</t>
        </r>
      </text>
    </comment>
    <comment ref="J26" authorId="0" shapeId="0">
      <text>
        <r>
          <rPr>
            <sz val="9"/>
            <color indexed="81"/>
            <rFont val="Tahoma"/>
            <family val="2"/>
          </rPr>
          <t>Intervalle de confiance (95%) : [2 579; 3 310]</t>
        </r>
      </text>
    </comment>
    <comment ref="L26" authorId="0" shapeId="0">
      <text>
        <r>
          <rPr>
            <sz val="9"/>
            <color indexed="81"/>
            <rFont val="Tahoma"/>
            <family val="2"/>
          </rPr>
          <t>Intervalle de confiance (95%) : [2 448; 3 426]</t>
        </r>
      </text>
    </comment>
    <comment ref="N26" authorId="0" shapeId="0">
      <text>
        <r>
          <rPr>
            <sz val="9"/>
            <color indexed="81"/>
            <rFont val="Tahoma"/>
            <family val="2"/>
          </rPr>
          <t>Intervalle de confiance (95%) : [2 173; 3 097]</t>
        </r>
      </text>
    </comment>
    <comment ref="P26" authorId="0" shapeId="0">
      <text>
        <r>
          <rPr>
            <sz val="9"/>
            <color indexed="81"/>
            <rFont val="Tahoma"/>
            <family val="2"/>
          </rPr>
          <t>Intervalle de confiance (95%) : [2 286; 3 196]</t>
        </r>
      </text>
    </comment>
    <comment ref="D27" authorId="0" shapeId="0">
      <text>
        <r>
          <rPr>
            <sz val="9"/>
            <color indexed="81"/>
            <rFont val="Tahoma"/>
            <family val="2"/>
          </rPr>
          <t>Intervalle de confiance (95%) : [1 111; 1 544]</t>
        </r>
      </text>
    </comment>
    <comment ref="F27" authorId="0" shapeId="0">
      <text>
        <r>
          <rPr>
            <sz val="9"/>
            <color indexed="81"/>
            <rFont val="Tahoma"/>
            <family val="2"/>
          </rPr>
          <t>Intervalle de confiance (95%) : [1 262; 1 738]</t>
        </r>
      </text>
    </comment>
    <comment ref="H27" authorId="0" shapeId="0">
      <text>
        <r>
          <rPr>
            <sz val="9"/>
            <color indexed="81"/>
            <rFont val="Tahoma"/>
            <family val="2"/>
          </rPr>
          <t>Intervalle de confiance (95%) : [1 201; 1 953]</t>
        </r>
      </text>
    </comment>
    <comment ref="J27" authorId="0" shapeId="0">
      <text>
        <r>
          <rPr>
            <sz val="9"/>
            <color indexed="81"/>
            <rFont val="Tahoma"/>
            <family val="2"/>
          </rPr>
          <t>Intervalle de confiance (95%) : [1 354; 1 814]</t>
        </r>
      </text>
    </comment>
    <comment ref="L27" authorId="0" shapeId="0">
      <text>
        <r>
          <rPr>
            <sz val="9"/>
            <color indexed="81"/>
            <rFont val="Tahoma"/>
            <family val="2"/>
          </rPr>
          <t>Intervalle de confiance (95%) : [1 273; 1 806]</t>
        </r>
      </text>
    </comment>
    <comment ref="N27" authorId="0" shapeId="0">
      <text>
        <r>
          <rPr>
            <sz val="9"/>
            <color indexed="81"/>
            <rFont val="Tahoma"/>
            <family val="2"/>
          </rPr>
          <t>Intervalle de confiance (95%) : [1 089; 1 542]</t>
        </r>
      </text>
    </comment>
    <comment ref="P27" authorId="0" shapeId="0">
      <text>
        <r>
          <rPr>
            <sz val="9"/>
            <color indexed="81"/>
            <rFont val="Tahoma"/>
            <family val="2"/>
          </rPr>
          <t>Intervalle de confiance (95%) : [1 106; 1 598]</t>
        </r>
      </text>
    </comment>
    <comment ref="D28" authorId="0" shapeId="0">
      <text>
        <r>
          <rPr>
            <sz val="9"/>
            <color indexed="81"/>
            <rFont val="Tahoma"/>
            <family val="2"/>
          </rPr>
          <t>Intervalle de confiance (95%) : [673; 1 006]</t>
        </r>
      </text>
    </comment>
    <comment ref="F28" authorId="0" shapeId="0">
      <text>
        <r>
          <rPr>
            <sz val="9"/>
            <color indexed="81"/>
            <rFont val="Tahoma"/>
            <family val="2"/>
          </rPr>
          <t>Intervalle de confiance (95%) : [733; 1 040]</t>
        </r>
      </text>
    </comment>
    <comment ref="H28" authorId="0" shapeId="0">
      <text>
        <r>
          <rPr>
            <sz val="9"/>
            <color indexed="81"/>
            <rFont val="Tahoma"/>
            <family val="2"/>
          </rPr>
          <t>Intervalle de confiance (95%) : [813; 1 422]</t>
        </r>
      </text>
    </comment>
    <comment ref="J28" authorId="0" shapeId="0">
      <text>
        <r>
          <rPr>
            <sz val="9"/>
            <color indexed="81"/>
            <rFont val="Tahoma"/>
            <family val="2"/>
          </rPr>
          <t>Intervalle de confiance (95%) : [754; 1 065]</t>
        </r>
      </text>
    </comment>
    <comment ref="L28" authorId="0" shapeId="0">
      <text>
        <r>
          <rPr>
            <sz val="9"/>
            <color indexed="81"/>
            <rFont val="Tahoma"/>
            <family val="2"/>
          </rPr>
          <t>Intervalle de confiance (95%) : [634; 1 239]</t>
        </r>
      </text>
    </comment>
    <comment ref="N28" authorId="0" shapeId="0">
      <text>
        <r>
          <rPr>
            <sz val="9"/>
            <color indexed="81"/>
            <rFont val="Tahoma"/>
            <family val="2"/>
          </rPr>
          <t>Intervalle de confiance (95%) : [721; 1 232]</t>
        </r>
      </text>
    </comment>
    <comment ref="P28" authorId="0" shapeId="0">
      <text>
        <r>
          <rPr>
            <sz val="9"/>
            <color indexed="81"/>
            <rFont val="Tahoma"/>
            <family val="2"/>
          </rPr>
          <t>Intervalle de confiance (95%) : [718; 1 214]</t>
        </r>
      </text>
    </comment>
    <comment ref="D29" authorId="0" shapeId="0">
      <text>
        <r>
          <rPr>
            <sz val="9"/>
            <color indexed="81"/>
            <rFont val="Tahoma"/>
            <family val="2"/>
          </rPr>
          <t>Intervalle de confiance non disponible (CV &gt; 33%)</t>
        </r>
      </text>
    </comment>
    <comment ref="F29" authorId="0" shapeId="0">
      <text>
        <r>
          <rPr>
            <sz val="9"/>
            <color indexed="81"/>
            <rFont val="Tahoma"/>
            <family val="2"/>
          </rPr>
          <t>Intervalle de confiance non disponible (CV &gt; 33%)</t>
        </r>
      </text>
    </comment>
    <comment ref="H29" authorId="0" shapeId="0">
      <text>
        <r>
          <rPr>
            <sz val="9"/>
            <color indexed="81"/>
            <rFont val="Tahoma"/>
            <family val="2"/>
          </rPr>
          <t>Intervalle de confiance (95%) : [63; 161]</t>
        </r>
      </text>
    </comment>
    <comment ref="J29" authorId="0" shapeId="0">
      <text>
        <r>
          <rPr>
            <sz val="9"/>
            <color indexed="81"/>
            <rFont val="Tahoma"/>
            <family val="2"/>
          </rPr>
          <t>Intervalle de confiance (95%) : [42; 113]</t>
        </r>
      </text>
    </comment>
    <comment ref="L29" authorId="0" shapeId="0">
      <text>
        <r>
          <rPr>
            <sz val="9"/>
            <color indexed="81"/>
            <rFont val="Tahoma"/>
            <family val="2"/>
          </rPr>
          <t>Intervalle de confiance (95%) : [36; 132]</t>
        </r>
      </text>
    </comment>
    <comment ref="N29" authorId="0" shapeId="0">
      <text>
        <r>
          <rPr>
            <sz val="9"/>
            <color indexed="81"/>
            <rFont val="Tahoma"/>
            <family val="2"/>
          </rPr>
          <t>Intervalle de confiance non disponible (CV &gt; 33%)</t>
        </r>
      </text>
    </comment>
    <comment ref="P29" authorId="0" shapeId="0">
      <text>
        <r>
          <rPr>
            <sz val="9"/>
            <color indexed="81"/>
            <rFont val="Tahoma"/>
            <family val="2"/>
          </rPr>
          <t>Intervalle de confiance (95%) : [42; 144]</t>
        </r>
      </text>
    </comment>
    <comment ref="D30" authorId="0" shapeId="0">
      <text>
        <r>
          <rPr>
            <sz val="9"/>
            <color indexed="81"/>
            <rFont val="Tahoma"/>
            <family val="2"/>
          </rPr>
          <t>Intervalle de confiance (95%) : [171; 309]</t>
        </r>
      </text>
    </comment>
    <comment ref="F30" authorId="0" shapeId="0">
      <text>
        <r>
          <rPr>
            <sz val="9"/>
            <color indexed="81"/>
            <rFont val="Tahoma"/>
            <family val="2"/>
          </rPr>
          <t>Intervalle de confiance (95%) : [184; 394]</t>
        </r>
      </text>
    </comment>
    <comment ref="H30" authorId="0" shapeId="0">
      <text>
        <r>
          <rPr>
            <sz val="9"/>
            <color indexed="81"/>
            <rFont val="Tahoma"/>
            <family val="2"/>
          </rPr>
          <t>Intervalle de confiance (95%) : [239; 437]</t>
        </r>
      </text>
    </comment>
    <comment ref="J30" authorId="0" shapeId="0">
      <text>
        <r>
          <rPr>
            <sz val="9"/>
            <color indexed="81"/>
            <rFont val="Tahoma"/>
            <family val="2"/>
          </rPr>
          <t>Intervalle de confiance (95%) : [170; 331]</t>
        </r>
      </text>
    </comment>
    <comment ref="L30" authorId="0" shapeId="0">
      <text>
        <r>
          <rPr>
            <sz val="9"/>
            <color indexed="81"/>
            <rFont val="Tahoma"/>
            <family val="2"/>
          </rPr>
          <t>Intervalle de confiance (95%) : [201; 383]</t>
        </r>
      </text>
    </comment>
    <comment ref="N30" authorId="0" shapeId="0">
      <text>
        <r>
          <rPr>
            <sz val="9"/>
            <color indexed="81"/>
            <rFont val="Tahoma"/>
            <family val="2"/>
          </rPr>
          <t>Intervalle de confiance (95%) : [154; 285]</t>
        </r>
      </text>
    </comment>
    <comment ref="P30" authorId="0" shapeId="0">
      <text>
        <r>
          <rPr>
            <sz val="9"/>
            <color indexed="81"/>
            <rFont val="Tahoma"/>
            <family val="2"/>
          </rPr>
          <t>Intervalle de confiance (95%) : [158; 298]</t>
        </r>
      </text>
    </comment>
    <comment ref="D31" authorId="0" shapeId="0">
      <text>
        <r>
          <rPr>
            <sz val="9"/>
            <color indexed="81"/>
            <rFont val="Tahoma"/>
            <family val="2"/>
          </rPr>
          <t>Intervalle de confiance non disponible (CV &gt; 33%)</t>
        </r>
      </text>
    </comment>
    <comment ref="F31" authorId="0" shapeId="0">
      <text>
        <r>
          <rPr>
            <sz val="9"/>
            <color indexed="81"/>
            <rFont val="Tahoma"/>
            <family val="2"/>
          </rPr>
          <t>Intervalle de confiance non disponible (CV &gt; 33%)</t>
        </r>
      </text>
    </comment>
    <comment ref="H31" authorId="0" shapeId="0">
      <text>
        <r>
          <rPr>
            <sz val="9"/>
            <color indexed="81"/>
            <rFont val="Tahoma"/>
            <family val="2"/>
          </rPr>
          <t>Intervalle de confiance non disponible (CV &gt; 33%)</t>
        </r>
      </text>
    </comment>
    <comment ref="J31" authorId="0" shapeId="0">
      <text>
        <r>
          <rPr>
            <sz val="9"/>
            <color indexed="81"/>
            <rFont val="Tahoma"/>
            <family val="2"/>
          </rPr>
          <t>Intervalle de confiance non disponible (CV &gt; 33%)</t>
        </r>
      </text>
    </comment>
    <comment ref="L31" authorId="0" shapeId="0">
      <text>
        <r>
          <rPr>
            <sz val="9"/>
            <color indexed="81"/>
            <rFont val="Tahoma"/>
            <family val="2"/>
          </rPr>
          <t>Intervalle de confiance non disponible (CV &gt; 33%)</t>
        </r>
      </text>
    </comment>
    <comment ref="N31" authorId="0" shapeId="0">
      <text>
        <r>
          <rPr>
            <sz val="9"/>
            <color indexed="81"/>
            <rFont val="Tahoma"/>
            <family val="2"/>
          </rPr>
          <t>Intervalle de confiance non disponible (CV &gt; 33%)</t>
        </r>
      </text>
    </comment>
    <comment ref="P31" authorId="0" shapeId="0">
      <text>
        <r>
          <rPr>
            <sz val="9"/>
            <color indexed="81"/>
            <rFont val="Tahoma"/>
            <family val="2"/>
          </rPr>
          <t>Intervalle de confiance non disponible (CV &gt; 33%)</t>
        </r>
      </text>
    </comment>
    <comment ref="D32" authorId="0" shapeId="0">
      <text>
        <r>
          <rPr>
            <sz val="9"/>
            <color indexed="81"/>
            <rFont val="Tahoma"/>
            <family val="2"/>
          </rPr>
          <t>Intervalle de confiance non disponible (CV &gt; 33%)</t>
        </r>
      </text>
    </comment>
    <comment ref="F32" authorId="0" shapeId="0">
      <text>
        <r>
          <rPr>
            <sz val="9"/>
            <color indexed="81"/>
            <rFont val="Tahoma"/>
            <family val="2"/>
          </rPr>
          <t>Intervalle de confiance (95%) : [53; 134]</t>
        </r>
      </text>
    </comment>
    <comment ref="H32" authorId="0" shapeId="0">
      <text>
        <r>
          <rPr>
            <sz val="9"/>
            <color indexed="81"/>
            <rFont val="Tahoma"/>
            <family val="2"/>
          </rPr>
          <t>Intervalle de confiance (95%) : [27; 90]</t>
        </r>
      </text>
    </comment>
    <comment ref="J32" authorId="0" shapeId="0">
      <text>
        <r>
          <rPr>
            <sz val="9"/>
            <color indexed="81"/>
            <rFont val="Tahoma"/>
            <family val="2"/>
          </rPr>
          <t>Intervalle de confiance non disponible (CV &gt; 33%)</t>
        </r>
      </text>
    </comment>
    <comment ref="L32" authorId="0" shapeId="0">
      <text>
        <r>
          <rPr>
            <sz val="9"/>
            <color indexed="81"/>
            <rFont val="Tahoma"/>
            <family val="2"/>
          </rPr>
          <t>Intervalle de confiance (95%) : [45; 98]</t>
        </r>
      </text>
    </comment>
    <comment ref="N32" authorId="0" shapeId="0">
      <text>
        <r>
          <rPr>
            <sz val="9"/>
            <color indexed="81"/>
            <rFont val="Tahoma"/>
            <family val="2"/>
          </rPr>
          <t>Intervalle de confiance (95%) : [31; 81]</t>
        </r>
      </text>
    </comment>
    <comment ref="P32" authorId="0" shapeId="0">
      <text>
        <r>
          <rPr>
            <sz val="9"/>
            <color indexed="81"/>
            <rFont val="Tahoma"/>
            <family val="2"/>
          </rPr>
          <t>Intervalle de confiance (95%) : [16; 66]</t>
        </r>
      </text>
    </comment>
    <comment ref="D33" authorId="0" shapeId="0">
      <text>
        <r>
          <rPr>
            <sz val="9"/>
            <color indexed="81"/>
            <rFont val="Tahoma"/>
            <family val="2"/>
          </rPr>
          <t>Intervalle de confiance (95%) : [7 910; 10 377]</t>
        </r>
      </text>
    </comment>
    <comment ref="F33" authorId="0" shapeId="0">
      <text>
        <r>
          <rPr>
            <sz val="9"/>
            <color indexed="81"/>
            <rFont val="Tahoma"/>
            <family val="2"/>
          </rPr>
          <t>Intervalle de confiance (95%) : [8 078; 10 972]</t>
        </r>
      </text>
    </comment>
    <comment ref="H33" authorId="0" shapeId="0">
      <text>
        <r>
          <rPr>
            <sz val="9"/>
            <color indexed="81"/>
            <rFont val="Tahoma"/>
            <family val="2"/>
          </rPr>
          <t>Intervalle de confiance (95%) : [7 733; 10 802]</t>
        </r>
      </text>
    </comment>
    <comment ref="J33" authorId="0" shapeId="0">
      <text>
        <r>
          <rPr>
            <sz val="9"/>
            <color indexed="81"/>
            <rFont val="Tahoma"/>
            <family val="2"/>
          </rPr>
          <t>Intervalle de confiance (95%) : [7 846; 10 783]</t>
        </r>
      </text>
    </comment>
    <comment ref="L33" authorId="0" shapeId="0">
      <text>
        <r>
          <rPr>
            <sz val="9"/>
            <color indexed="81"/>
            <rFont val="Tahoma"/>
            <family val="2"/>
          </rPr>
          <t>Intervalle de confiance (95%) : [7 750; 10 614]</t>
        </r>
      </text>
    </comment>
    <comment ref="N33" authorId="0" shapeId="0">
      <text>
        <r>
          <rPr>
            <sz val="9"/>
            <color indexed="81"/>
            <rFont val="Tahoma"/>
            <family val="2"/>
          </rPr>
          <t>Intervalle de confiance (95%) : [7 333; 10 324]</t>
        </r>
      </text>
    </comment>
    <comment ref="P33" authorId="0" shapeId="0">
      <text>
        <r>
          <rPr>
            <sz val="9"/>
            <color indexed="81"/>
            <rFont val="Tahoma"/>
            <family val="2"/>
          </rPr>
          <t>Intervalle de confiance (95%) : [7 986; 11 078]</t>
        </r>
      </text>
    </comment>
    <comment ref="D34" authorId="0" shapeId="0">
      <text>
        <r>
          <rPr>
            <sz val="9"/>
            <color indexed="81"/>
            <rFont val="Tahoma"/>
            <family val="2"/>
          </rPr>
          <t>Intervalle de confiance (95%) : [7 223; 9 669]</t>
        </r>
      </text>
    </comment>
    <comment ref="F34" authorId="0" shapeId="0">
      <text>
        <r>
          <rPr>
            <sz val="9"/>
            <color indexed="81"/>
            <rFont val="Tahoma"/>
            <family val="2"/>
          </rPr>
          <t>Intervalle de confiance (95%) : [7 417; 10 328]</t>
        </r>
      </text>
    </comment>
    <comment ref="H34" authorId="0" shapeId="0">
      <text>
        <r>
          <rPr>
            <sz val="9"/>
            <color indexed="81"/>
            <rFont val="Tahoma"/>
            <family val="2"/>
          </rPr>
          <t>Intervalle de confiance (95%) : [7 127; 10 205]</t>
        </r>
      </text>
    </comment>
    <comment ref="J34" authorId="0" shapeId="0">
      <text>
        <r>
          <rPr>
            <sz val="9"/>
            <color indexed="81"/>
            <rFont val="Tahoma"/>
            <family val="2"/>
          </rPr>
          <t>Intervalle de confiance (95%) : [7 132; 10 076]</t>
        </r>
      </text>
    </comment>
    <comment ref="L34" authorId="0" shapeId="0">
      <text>
        <r>
          <rPr>
            <sz val="9"/>
            <color indexed="81"/>
            <rFont val="Tahoma"/>
            <family val="2"/>
          </rPr>
          <t>Intervalle de confiance (95%) : [7 005; 9 935]</t>
        </r>
      </text>
    </comment>
    <comment ref="N34" authorId="0" shapeId="0">
      <text>
        <r>
          <rPr>
            <sz val="9"/>
            <color indexed="81"/>
            <rFont val="Tahoma"/>
            <family val="2"/>
          </rPr>
          <t>Intervalle de confiance (95%) : [6 650; 9 640]</t>
        </r>
      </text>
    </comment>
    <comment ref="P34" authorId="0" shapeId="0">
      <text>
        <r>
          <rPr>
            <sz val="9"/>
            <color indexed="81"/>
            <rFont val="Tahoma"/>
            <family val="2"/>
          </rPr>
          <t>Intervalle de confiance (95%) : [7 316; 10 448]</t>
        </r>
      </text>
    </comment>
    <comment ref="D35" authorId="0" shapeId="0">
      <text>
        <r>
          <rPr>
            <sz val="9"/>
            <color indexed="81"/>
            <rFont val="Tahoma"/>
            <family val="2"/>
          </rPr>
          <t>Intervalle de confiance (95%) : [501; 895]</t>
        </r>
      </text>
    </comment>
    <comment ref="F35" authorId="0" shapeId="0">
      <text>
        <r>
          <rPr>
            <sz val="9"/>
            <color indexed="81"/>
            <rFont val="Tahoma"/>
            <family val="2"/>
          </rPr>
          <t>Intervalle de confiance (95%) : [509; 796]</t>
        </r>
      </text>
    </comment>
    <comment ref="H35" authorId="0" shapeId="0">
      <text>
        <r>
          <rPr>
            <sz val="9"/>
            <color indexed="81"/>
            <rFont val="Tahoma"/>
            <family val="2"/>
          </rPr>
          <t>Intervalle de confiance (95%) : [460; 743]</t>
        </r>
      </text>
    </comment>
    <comment ref="J35" authorId="0" shapeId="0">
      <text>
        <r>
          <rPr>
            <sz val="9"/>
            <color indexed="81"/>
            <rFont val="Tahoma"/>
            <family val="2"/>
          </rPr>
          <t>Intervalle de confiance (95%) : [561; 860]</t>
        </r>
      </text>
    </comment>
    <comment ref="L35" authorId="0" shapeId="0">
      <text>
        <r>
          <rPr>
            <sz val="9"/>
            <color indexed="81"/>
            <rFont val="Tahoma"/>
            <family val="2"/>
          </rPr>
          <t>Intervalle de confiance (95%) : [528; 896]</t>
        </r>
      </text>
    </comment>
    <comment ref="N35" authorId="0" shapeId="0">
      <text>
        <r>
          <rPr>
            <sz val="9"/>
            <color indexed="81"/>
            <rFont val="Tahoma"/>
            <family val="2"/>
          </rPr>
          <t>Intervalle de confiance (95%) : [415; 952]</t>
        </r>
      </text>
    </comment>
    <comment ref="P35" authorId="0" shapeId="0">
      <text>
        <r>
          <rPr>
            <sz val="9"/>
            <color indexed="81"/>
            <rFont val="Tahoma"/>
            <family val="2"/>
          </rPr>
          <t>Intervalle de confiance (95%) : [472; 828]</t>
        </r>
      </text>
    </comment>
    <comment ref="D36" authorId="0" shapeId="0">
      <text>
        <r>
          <rPr>
            <sz val="9"/>
            <color indexed="81"/>
            <rFont val="Tahoma"/>
            <family val="2"/>
          </rPr>
          <t>Intervalle de confiance (95%) : [2 169; 2 786]</t>
        </r>
      </text>
    </comment>
    <comment ref="F36" authorId="0" shapeId="0">
      <text>
        <r>
          <rPr>
            <sz val="9"/>
            <color indexed="81"/>
            <rFont val="Tahoma"/>
            <family val="2"/>
          </rPr>
          <t>Intervalle de confiance (95%) : [2 475; 3 028]</t>
        </r>
      </text>
    </comment>
    <comment ref="H36" authorId="0" shapeId="0">
      <text>
        <r>
          <rPr>
            <sz val="9"/>
            <color indexed="81"/>
            <rFont val="Tahoma"/>
            <family val="2"/>
          </rPr>
          <t>Intervalle de confiance (95%) : [2 459; 3 128]</t>
        </r>
      </text>
    </comment>
    <comment ref="J36" authorId="0" shapeId="0">
      <text>
        <r>
          <rPr>
            <sz val="9"/>
            <color indexed="81"/>
            <rFont val="Tahoma"/>
            <family val="2"/>
          </rPr>
          <t>Intervalle de confiance (95%) : [2 551; 3 183]</t>
        </r>
      </text>
    </comment>
    <comment ref="L36" authorId="0" shapeId="0">
      <text>
        <r>
          <rPr>
            <sz val="9"/>
            <color indexed="81"/>
            <rFont val="Tahoma"/>
            <family val="2"/>
          </rPr>
          <t>Intervalle de confiance (95%) : [2 501; 3 133]</t>
        </r>
      </text>
    </comment>
    <comment ref="N36" authorId="0" shapeId="0">
      <text>
        <r>
          <rPr>
            <sz val="9"/>
            <color indexed="81"/>
            <rFont val="Tahoma"/>
            <family val="2"/>
          </rPr>
          <t>Intervalle de confiance (95%) : [2 262; 2 979]</t>
        </r>
      </text>
    </comment>
    <comment ref="P36" authorId="0" shapeId="0">
      <text>
        <r>
          <rPr>
            <sz val="9"/>
            <color indexed="81"/>
            <rFont val="Tahoma"/>
            <family val="2"/>
          </rPr>
          <t>Intervalle de confiance (95%) : [2 305; 2 933]</t>
        </r>
      </text>
    </comment>
    <comment ref="D37" authorId="0" shapeId="0">
      <text>
        <r>
          <rPr>
            <sz val="9"/>
            <color indexed="81"/>
            <rFont val="Tahoma"/>
            <family val="2"/>
          </rPr>
          <t>Intervalle de confiance (95%) : [1 316; 1 885]</t>
        </r>
      </text>
    </comment>
    <comment ref="F37" authorId="0" shapeId="0">
      <text>
        <r>
          <rPr>
            <sz val="9"/>
            <color indexed="81"/>
            <rFont val="Tahoma"/>
            <family val="2"/>
          </rPr>
          <t>Intervalle de confiance (95%) : [1 387; 1 813]</t>
        </r>
      </text>
    </comment>
    <comment ref="H37" authorId="0" shapeId="0">
      <text>
        <r>
          <rPr>
            <sz val="9"/>
            <color indexed="81"/>
            <rFont val="Tahoma"/>
            <family val="2"/>
          </rPr>
          <t>Intervalle de confiance (95%) : [1 482; 2 134]</t>
        </r>
      </text>
    </comment>
    <comment ref="J37" authorId="0" shapeId="0">
      <text>
        <r>
          <rPr>
            <sz val="9"/>
            <color indexed="81"/>
            <rFont val="Tahoma"/>
            <family val="2"/>
          </rPr>
          <t>Intervalle de confiance (95%) : [1 465; 2 017]</t>
        </r>
      </text>
    </comment>
    <comment ref="L37" authorId="0" shapeId="0">
      <text>
        <r>
          <rPr>
            <sz val="9"/>
            <color indexed="81"/>
            <rFont val="Tahoma"/>
            <family val="2"/>
          </rPr>
          <t>Intervalle de confiance (95%) : [1 519; 2 099]</t>
        </r>
      </text>
    </comment>
    <comment ref="N37" authorId="0" shapeId="0">
      <text>
        <r>
          <rPr>
            <sz val="9"/>
            <color indexed="81"/>
            <rFont val="Tahoma"/>
            <family val="2"/>
          </rPr>
          <t>Intervalle de confiance (95%) : [1 375; 1 968]</t>
        </r>
      </text>
    </comment>
    <comment ref="P37" authorId="0" shapeId="0">
      <text>
        <r>
          <rPr>
            <sz val="9"/>
            <color indexed="81"/>
            <rFont val="Tahoma"/>
            <family val="2"/>
          </rPr>
          <t>Intervalle de confiance (95%) : [1 423; 2 003]</t>
        </r>
      </text>
    </comment>
    <comment ref="D38" authorId="0" shapeId="0">
      <text>
        <r>
          <rPr>
            <sz val="9"/>
            <color indexed="81"/>
            <rFont val="Tahoma"/>
            <family val="2"/>
          </rPr>
          <t>Intervalle de confiance (95%) : [761; 992]</t>
        </r>
      </text>
    </comment>
    <comment ref="F38" authorId="0" shapeId="0">
      <text>
        <r>
          <rPr>
            <sz val="9"/>
            <color indexed="81"/>
            <rFont val="Tahoma"/>
            <family val="2"/>
          </rPr>
          <t>Intervalle de confiance (95%) : [1 012; 1 291]</t>
        </r>
      </text>
    </comment>
    <comment ref="H38" authorId="0" shapeId="0">
      <text>
        <r>
          <rPr>
            <sz val="9"/>
            <color indexed="81"/>
            <rFont val="Tahoma"/>
            <family val="2"/>
          </rPr>
          <t>Intervalle de confiance (95%) : [863; 1 107]</t>
        </r>
      </text>
    </comment>
    <comment ref="J38" authorId="0" shapeId="0">
      <text>
        <r>
          <rPr>
            <sz val="9"/>
            <color indexed="81"/>
            <rFont val="Tahoma"/>
            <family val="2"/>
          </rPr>
          <t>Intervalle de confiance (95%) : [1 004; 1 249]</t>
        </r>
      </text>
    </comment>
    <comment ref="L38" authorId="0" shapeId="0">
      <text>
        <r>
          <rPr>
            <sz val="9"/>
            <color indexed="81"/>
            <rFont val="Tahoma"/>
            <family val="2"/>
          </rPr>
          <t>Intervalle de confiance (95%) : [859; 1 156]</t>
        </r>
      </text>
    </comment>
    <comment ref="N38" authorId="0" shapeId="0">
      <text>
        <r>
          <rPr>
            <sz val="9"/>
            <color indexed="81"/>
            <rFont val="Tahoma"/>
            <family val="2"/>
          </rPr>
          <t>Intervalle de confiance (95%) : [796; 1 103]</t>
        </r>
      </text>
    </comment>
    <comment ref="P38" authorId="0" shapeId="0">
      <text>
        <r>
          <rPr>
            <sz val="9"/>
            <color indexed="81"/>
            <rFont val="Tahoma"/>
            <family val="2"/>
          </rPr>
          <t>Intervalle de confiance (95%) : [783; 1 029]</t>
        </r>
      </text>
    </comment>
    <comment ref="D39" authorId="0" shapeId="0">
      <text>
        <r>
          <rPr>
            <sz val="9"/>
            <color indexed="81"/>
            <rFont val="Tahoma"/>
            <family val="2"/>
          </rPr>
          <t>Intervalle de confiance (95%) : [669; 1 304]</t>
        </r>
      </text>
    </comment>
    <comment ref="F39" authorId="0" shapeId="0">
      <text>
        <r>
          <rPr>
            <sz val="9"/>
            <color indexed="81"/>
            <rFont val="Tahoma"/>
            <family val="2"/>
          </rPr>
          <t>Intervalle de confiance (95%) : [727; 1 268]</t>
        </r>
      </text>
    </comment>
    <comment ref="H39" authorId="0" shapeId="0">
      <text>
        <r>
          <rPr>
            <sz val="9"/>
            <color indexed="81"/>
            <rFont val="Tahoma"/>
            <family val="2"/>
          </rPr>
          <t>Intervalle de confiance (95%) : [676; 972]</t>
        </r>
      </text>
    </comment>
    <comment ref="J39" authorId="0" shapeId="0">
      <text>
        <r>
          <rPr>
            <sz val="9"/>
            <color indexed="81"/>
            <rFont val="Tahoma"/>
            <family val="2"/>
          </rPr>
          <t>Intervalle de confiance (95%) : [950; 1 549]</t>
        </r>
      </text>
    </comment>
    <comment ref="L39" authorId="0" shapeId="0">
      <text>
        <r>
          <rPr>
            <sz val="9"/>
            <color indexed="81"/>
            <rFont val="Tahoma"/>
            <family val="2"/>
          </rPr>
          <t>Intervalle de confiance (95%) : [803; 1 205]</t>
        </r>
      </text>
    </comment>
    <comment ref="N39" authorId="0" shapeId="0">
      <text>
        <r>
          <rPr>
            <sz val="9"/>
            <color indexed="81"/>
            <rFont val="Tahoma"/>
            <family val="2"/>
          </rPr>
          <t>Intervalle de confiance (95%) : [818; 1 197]</t>
        </r>
      </text>
    </comment>
    <comment ref="P39" authorId="0" shapeId="0">
      <text>
        <r>
          <rPr>
            <sz val="9"/>
            <color indexed="81"/>
            <rFont val="Tahoma"/>
            <family val="2"/>
          </rPr>
          <t>Intervalle de confiance (95%) : [946; 1 424]</t>
        </r>
      </text>
    </comment>
    <comment ref="D40" authorId="0" shapeId="0">
      <text>
        <r>
          <rPr>
            <sz val="9"/>
            <color indexed="81"/>
            <rFont val="Tahoma"/>
            <family val="2"/>
          </rPr>
          <t>Intervalle de confiance (95%) : [372; 900]</t>
        </r>
      </text>
    </comment>
    <comment ref="F40" authorId="0" shapeId="0">
      <text>
        <r>
          <rPr>
            <sz val="9"/>
            <color indexed="81"/>
            <rFont val="Tahoma"/>
            <family val="2"/>
          </rPr>
          <t>Intervalle de confiance (95%) : [438; 875]</t>
        </r>
      </text>
    </comment>
    <comment ref="H40" authorId="0" shapeId="0">
      <text>
        <r>
          <rPr>
            <sz val="9"/>
            <color indexed="81"/>
            <rFont val="Tahoma"/>
            <family val="2"/>
          </rPr>
          <t>Intervalle de confiance (95%) : [247; 522]</t>
        </r>
      </text>
    </comment>
    <comment ref="J40" authorId="0" shapeId="0">
      <text>
        <r>
          <rPr>
            <sz val="9"/>
            <color indexed="81"/>
            <rFont val="Tahoma"/>
            <family val="2"/>
          </rPr>
          <t>Intervalle de confiance (95%) : [506; 1 060]</t>
        </r>
      </text>
    </comment>
    <comment ref="L40" authorId="0" shapeId="0">
      <text>
        <r>
          <rPr>
            <sz val="9"/>
            <color indexed="81"/>
            <rFont val="Tahoma"/>
            <family val="2"/>
          </rPr>
          <t>Intervalle de confiance (95%) : [288; 656]</t>
        </r>
      </text>
    </comment>
    <comment ref="N40" authorId="0" shapeId="0">
      <text>
        <r>
          <rPr>
            <sz val="9"/>
            <color indexed="81"/>
            <rFont val="Tahoma"/>
            <family val="2"/>
          </rPr>
          <t>Intervalle de confiance (95%) : [439; 791]</t>
        </r>
      </text>
    </comment>
    <comment ref="P40" authorId="0" shapeId="0">
      <text>
        <r>
          <rPr>
            <sz val="9"/>
            <color indexed="81"/>
            <rFont val="Tahoma"/>
            <family val="2"/>
          </rPr>
          <t>Intervalle de confiance (95%) : [473; 975]</t>
        </r>
      </text>
    </comment>
    <comment ref="D41" authorId="0" shapeId="0">
      <text>
        <r>
          <rPr>
            <sz val="9"/>
            <color indexed="81"/>
            <rFont val="Tahoma"/>
            <family val="2"/>
          </rPr>
          <t>Intervalle de confiance (95%) : [190; 511]</t>
        </r>
      </text>
    </comment>
    <comment ref="F41" authorId="0" shapeId="0">
      <text>
        <r>
          <rPr>
            <sz val="9"/>
            <color indexed="81"/>
            <rFont val="Tahoma"/>
            <family val="2"/>
          </rPr>
          <t>Intervalle de confiance (95%) : [200; 483]</t>
        </r>
      </text>
    </comment>
    <comment ref="H41" authorId="0" shapeId="0">
      <text>
        <r>
          <rPr>
            <sz val="9"/>
            <color indexed="81"/>
            <rFont val="Tahoma"/>
            <family val="2"/>
          </rPr>
          <t>Intervalle de confiance (95%) : [377; 504]</t>
        </r>
      </text>
    </comment>
    <comment ref="J41" authorId="0" shapeId="0">
      <text>
        <r>
          <rPr>
            <sz val="9"/>
            <color indexed="81"/>
            <rFont val="Tahoma"/>
            <family val="2"/>
          </rPr>
          <t>Intervalle de confiance (95%) : [384; 549]</t>
        </r>
      </text>
    </comment>
    <comment ref="L41" authorId="0" shapeId="0">
      <text>
        <r>
          <rPr>
            <sz val="9"/>
            <color indexed="81"/>
            <rFont val="Tahoma"/>
            <family val="2"/>
          </rPr>
          <t>Intervalle de confiance (95%) : [458; 606]</t>
        </r>
      </text>
    </comment>
    <comment ref="N41" authorId="0" shapeId="0">
      <text>
        <r>
          <rPr>
            <sz val="9"/>
            <color indexed="81"/>
            <rFont val="Tahoma"/>
            <family val="2"/>
          </rPr>
          <t>Intervalle de confiance (95%) : [328; 456]</t>
        </r>
      </text>
    </comment>
    <comment ref="P41" authorId="0" shapeId="0">
      <text>
        <r>
          <rPr>
            <sz val="9"/>
            <color indexed="81"/>
            <rFont val="Tahoma"/>
            <family val="2"/>
          </rPr>
          <t>Intervalle de confiance (95%) : [389; 533]</t>
        </r>
      </text>
    </comment>
    <comment ref="D42" authorId="0" shapeId="0">
      <text>
        <r>
          <rPr>
            <sz val="9"/>
            <color indexed="81"/>
            <rFont val="Tahoma"/>
            <family val="2"/>
          </rPr>
          <t>Intervalle de confiance (95%) : [2 106; 3 076]</t>
        </r>
      </text>
    </comment>
    <comment ref="F42" authorId="0" shapeId="0">
      <text>
        <r>
          <rPr>
            <sz val="9"/>
            <color indexed="81"/>
            <rFont val="Tahoma"/>
            <family val="2"/>
          </rPr>
          <t>Intervalle de confiance (95%) : [2 674; 3 555]</t>
        </r>
      </text>
    </comment>
    <comment ref="H42" authorId="0" shapeId="0">
      <text>
        <r>
          <rPr>
            <sz val="9"/>
            <color indexed="81"/>
            <rFont val="Tahoma"/>
            <family val="2"/>
          </rPr>
          <t>Intervalle de confiance (95%) : [1 885; 2 501]</t>
        </r>
      </text>
    </comment>
    <comment ref="J42" authorId="0" shapeId="0">
      <text>
        <r>
          <rPr>
            <sz val="9"/>
            <color indexed="81"/>
            <rFont val="Tahoma"/>
            <family val="2"/>
          </rPr>
          <t>Intervalle de confiance (95%) : [2 428; 3 498]</t>
        </r>
      </text>
    </comment>
    <comment ref="L42" authorId="0" shapeId="0">
      <text>
        <r>
          <rPr>
            <sz val="9"/>
            <color indexed="81"/>
            <rFont val="Tahoma"/>
            <family val="2"/>
          </rPr>
          <t>Intervalle de confiance (95%) : [2 318; 3 262]</t>
        </r>
      </text>
    </comment>
    <comment ref="N42" authorId="0" shapeId="0">
      <text>
        <r>
          <rPr>
            <sz val="9"/>
            <color indexed="81"/>
            <rFont val="Tahoma"/>
            <family val="2"/>
          </rPr>
          <t>Intervalle de confiance (95%) : [1 985; 3 742]</t>
        </r>
      </text>
    </comment>
    <comment ref="P42" authorId="0" shapeId="0">
      <text>
        <r>
          <rPr>
            <sz val="9"/>
            <color indexed="81"/>
            <rFont val="Tahoma"/>
            <family val="2"/>
          </rPr>
          <t>Intervalle de confiance (95%) : [2 316; 3 468]</t>
        </r>
      </text>
    </comment>
    <comment ref="D43" authorId="0" shapeId="0">
      <text>
        <r>
          <rPr>
            <sz val="9"/>
            <color indexed="81"/>
            <rFont val="Tahoma"/>
            <family val="2"/>
          </rPr>
          <t>Intervalle de confiance (95%) : [321; 906]</t>
        </r>
      </text>
    </comment>
    <comment ref="F43" authorId="0" shapeId="0">
      <text>
        <r>
          <rPr>
            <sz val="9"/>
            <color indexed="81"/>
            <rFont val="Tahoma"/>
            <family val="2"/>
          </rPr>
          <t>Intervalle de confiance (95%) : [500; 900]</t>
        </r>
      </text>
    </comment>
    <comment ref="H43" authorId="0" shapeId="0">
      <text>
        <r>
          <rPr>
            <sz val="9"/>
            <color indexed="81"/>
            <rFont val="Tahoma"/>
            <family val="2"/>
          </rPr>
          <t>Intervalle de confiance (95%) : [304; 655]</t>
        </r>
      </text>
    </comment>
    <comment ref="J43" authorId="0" shapeId="0">
      <text>
        <r>
          <rPr>
            <sz val="9"/>
            <color indexed="81"/>
            <rFont val="Tahoma"/>
            <family val="2"/>
          </rPr>
          <t>Intervalle de confiance (95%) : [458; 1 086]</t>
        </r>
      </text>
    </comment>
    <comment ref="L43" authorId="0" shapeId="0">
      <text>
        <r>
          <rPr>
            <sz val="9"/>
            <color indexed="81"/>
            <rFont val="Tahoma"/>
            <family val="2"/>
          </rPr>
          <t>Intervalle de confiance (95%) : [368; 890]</t>
        </r>
      </text>
    </comment>
    <comment ref="N43" authorId="0" shapeId="0">
      <text>
        <r>
          <rPr>
            <sz val="9"/>
            <color indexed="81"/>
            <rFont val="Tahoma"/>
            <family val="2"/>
          </rPr>
          <t>Intervalle de confiance non disponible (CV &gt; 33%)</t>
        </r>
      </text>
    </comment>
    <comment ref="P43" authorId="0" shapeId="0">
      <text>
        <r>
          <rPr>
            <sz val="9"/>
            <color indexed="81"/>
            <rFont val="Tahoma"/>
            <family val="2"/>
          </rPr>
          <t>Intervalle de confiance (95%) : [323; 977]</t>
        </r>
      </text>
    </comment>
    <comment ref="D44" authorId="0" shapeId="0">
      <text>
        <r>
          <rPr>
            <sz val="9"/>
            <color indexed="81"/>
            <rFont val="Tahoma"/>
            <family val="2"/>
          </rPr>
          <t>Intervalle de confiance (95%) : [303; 550]</t>
        </r>
      </text>
    </comment>
    <comment ref="F44" authorId="0" shapeId="0">
      <text>
        <r>
          <rPr>
            <sz val="9"/>
            <color indexed="81"/>
            <rFont val="Tahoma"/>
            <family val="2"/>
          </rPr>
          <t>Intervalle de confiance (95%) : [214; 352]</t>
        </r>
      </text>
    </comment>
    <comment ref="H44" authorId="0" shapeId="0">
      <text>
        <r>
          <rPr>
            <sz val="9"/>
            <color indexed="81"/>
            <rFont val="Tahoma"/>
            <family val="2"/>
          </rPr>
          <t>Intervalle de confiance (95%) : [142; 317]</t>
        </r>
      </text>
    </comment>
    <comment ref="J44" authorId="0" shapeId="0">
      <text>
        <r>
          <rPr>
            <sz val="9"/>
            <color indexed="81"/>
            <rFont val="Tahoma"/>
            <family val="2"/>
          </rPr>
          <t>Intervalle de confiance (95%) : [164; 299]</t>
        </r>
      </text>
    </comment>
    <comment ref="L44" authorId="0" shapeId="0">
      <text>
        <r>
          <rPr>
            <sz val="9"/>
            <color indexed="81"/>
            <rFont val="Tahoma"/>
            <family val="2"/>
          </rPr>
          <t>Intervalle de confiance (95%) : [177; 330]</t>
        </r>
      </text>
    </comment>
    <comment ref="N44" authorId="0" shapeId="0">
      <text>
        <r>
          <rPr>
            <sz val="9"/>
            <color indexed="81"/>
            <rFont val="Tahoma"/>
            <family val="2"/>
          </rPr>
          <t>Intervalle de confiance (95%) : [162; 374]</t>
        </r>
      </text>
    </comment>
    <comment ref="P44" authorId="0" shapeId="0">
      <text>
        <r>
          <rPr>
            <sz val="9"/>
            <color indexed="81"/>
            <rFont val="Tahoma"/>
            <family val="2"/>
          </rPr>
          <t>Intervalle de confiance (95%) : [86; 176]</t>
        </r>
      </text>
    </comment>
    <comment ref="D45" authorId="0" shapeId="0">
      <text>
        <r>
          <rPr>
            <sz val="9"/>
            <color indexed="81"/>
            <rFont val="Tahoma"/>
            <family val="2"/>
          </rPr>
          <t>Intervalle de confiance (95%) : [954; 1 382]</t>
        </r>
      </text>
    </comment>
    <comment ref="F45" authorId="0" shapeId="0">
      <text>
        <r>
          <rPr>
            <sz val="9"/>
            <color indexed="81"/>
            <rFont val="Tahoma"/>
            <family val="2"/>
          </rPr>
          <t>Intervalle de confiance (95%) : [1 150; 1 571]</t>
        </r>
      </text>
    </comment>
    <comment ref="H45" authorId="0" shapeId="0">
      <text>
        <r>
          <rPr>
            <sz val="9"/>
            <color indexed="81"/>
            <rFont val="Tahoma"/>
            <family val="2"/>
          </rPr>
          <t>Intervalle de confiance (95%) : [1 036; 1 430]</t>
        </r>
      </text>
    </comment>
    <comment ref="J45" authorId="0" shapeId="0">
      <text>
        <r>
          <rPr>
            <sz val="9"/>
            <color indexed="81"/>
            <rFont val="Tahoma"/>
            <family val="2"/>
          </rPr>
          <t>Intervalle de confiance (95%) : [1 260; 1 960]</t>
        </r>
      </text>
    </comment>
    <comment ref="L45" authorId="0" shapeId="0">
      <text>
        <r>
          <rPr>
            <sz val="9"/>
            <color indexed="81"/>
            <rFont val="Tahoma"/>
            <family val="2"/>
          </rPr>
          <t>Intervalle de confiance (95%) : [1 145; 1 591]</t>
        </r>
      </text>
    </comment>
    <comment ref="N45" authorId="0" shapeId="0">
      <text>
        <r>
          <rPr>
            <sz val="9"/>
            <color indexed="81"/>
            <rFont val="Tahoma"/>
            <family val="2"/>
          </rPr>
          <t>Intervalle de confiance (95%) : [1 061; 1 407]</t>
        </r>
      </text>
    </comment>
    <comment ref="P45" authorId="0" shapeId="0">
      <text>
        <r>
          <rPr>
            <sz val="9"/>
            <color indexed="81"/>
            <rFont val="Tahoma"/>
            <family val="2"/>
          </rPr>
          <t>Intervalle de confiance (95%) : [1 212; 1 710]</t>
        </r>
      </text>
    </comment>
    <comment ref="D46" authorId="0" shapeId="0">
      <text>
        <r>
          <rPr>
            <sz val="9"/>
            <color indexed="81"/>
            <rFont val="Tahoma"/>
            <family val="2"/>
          </rPr>
          <t>Intervalle de confiance (95%) : [170; 596]</t>
        </r>
      </text>
    </comment>
    <comment ref="F46" authorId="0" shapeId="0">
      <text>
        <r>
          <rPr>
            <sz val="9"/>
            <color indexed="81"/>
            <rFont val="Tahoma"/>
            <family val="2"/>
          </rPr>
          <t>Intervalle de confiance (95%) : [425; 1 116]</t>
        </r>
      </text>
    </comment>
    <comment ref="H46" authorId="0" shapeId="0">
      <text>
        <r>
          <rPr>
            <sz val="9"/>
            <color indexed="81"/>
            <rFont val="Tahoma"/>
            <family val="2"/>
          </rPr>
          <t>Intervalle de confiance (95%) : [141; 362]</t>
        </r>
      </text>
    </comment>
    <comment ref="J46" authorId="0" shapeId="0">
      <text>
        <r>
          <rPr>
            <sz val="9"/>
            <color indexed="81"/>
            <rFont val="Tahoma"/>
            <family val="2"/>
          </rPr>
          <t>Intervalle de confiance non disponible (CV &gt; 33%)</t>
        </r>
      </text>
    </comment>
    <comment ref="L46" authorId="0" shapeId="0">
      <text>
        <r>
          <rPr>
            <sz val="9"/>
            <color indexed="81"/>
            <rFont val="Tahoma"/>
            <family val="2"/>
          </rPr>
          <t>Intervalle de confiance (95%) : [234; 844]</t>
        </r>
      </text>
    </comment>
    <comment ref="N46" authorId="0" shapeId="0">
      <text>
        <r>
          <rPr>
            <sz val="9"/>
            <color indexed="81"/>
            <rFont val="Tahoma"/>
            <family val="2"/>
          </rPr>
          <t>Intervalle de confiance non disponible (CV &gt; 33%)</t>
        </r>
      </text>
    </comment>
    <comment ref="P46" authorId="0" shapeId="0">
      <text>
        <r>
          <rPr>
            <sz val="9"/>
            <color indexed="81"/>
            <rFont val="Tahoma"/>
            <family val="2"/>
          </rPr>
          <t>Intervalle de confiance (95%) : [250; 1 048]</t>
        </r>
      </text>
    </comment>
    <comment ref="D47" authorId="0" shapeId="0">
      <text>
        <r>
          <rPr>
            <sz val="9"/>
            <color indexed="81"/>
            <rFont val="Tahoma"/>
            <family val="2"/>
          </rPr>
          <t>Intervalle de confiance (95%) : [272; 531]</t>
        </r>
      </text>
    </comment>
    <comment ref="F47" authorId="0" shapeId="0">
      <text>
        <r>
          <rPr>
            <sz val="9"/>
            <color indexed="81"/>
            <rFont val="Tahoma"/>
            <family val="2"/>
          </rPr>
          <t>Intervalle de confiance (95%) : [445; 847]</t>
        </r>
      </text>
    </comment>
    <comment ref="H47" authorId="0" shapeId="0">
      <text>
        <r>
          <rPr>
            <sz val="9"/>
            <color indexed="81"/>
            <rFont val="Tahoma"/>
            <family val="2"/>
          </rPr>
          <t>Intervalle de confiance (95%) : [387; 883]</t>
        </r>
      </text>
    </comment>
    <comment ref="J47" authorId="0" shapeId="0">
      <text>
        <r>
          <rPr>
            <sz val="9"/>
            <color indexed="81"/>
            <rFont val="Tahoma"/>
            <family val="2"/>
          </rPr>
          <t>Intervalle de confiance (95%) : [438; 1 038]</t>
        </r>
      </text>
    </comment>
    <comment ref="L47" authorId="0" shapeId="0">
      <text>
        <r>
          <rPr>
            <sz val="9"/>
            <color indexed="81"/>
            <rFont val="Tahoma"/>
            <family val="2"/>
          </rPr>
          <t>Intervalle de confiance (95%) : [348; 1 120]</t>
        </r>
      </text>
    </comment>
    <comment ref="N47" authorId="0" shapeId="0">
      <text>
        <r>
          <rPr>
            <sz val="9"/>
            <color indexed="81"/>
            <rFont val="Tahoma"/>
            <family val="2"/>
          </rPr>
          <t>Intervalle de confiance (95%) : [400; 734]</t>
        </r>
      </text>
    </comment>
    <comment ref="P47" authorId="0" shapeId="0">
      <text>
        <r>
          <rPr>
            <sz val="9"/>
            <color indexed="81"/>
            <rFont val="Tahoma"/>
            <family val="2"/>
          </rPr>
          <t>Intervalle de confiance (95%) : [348; 820]</t>
        </r>
      </text>
    </comment>
    <comment ref="D48" authorId="0" shapeId="0">
      <text>
        <r>
          <rPr>
            <sz val="9"/>
            <color indexed="81"/>
            <rFont val="Tahoma"/>
            <family val="2"/>
          </rPr>
          <t>Intervalle de confiance (95%) : [257; 509]</t>
        </r>
      </text>
    </comment>
    <comment ref="F48" authorId="0" shapeId="0">
      <text>
        <r>
          <rPr>
            <sz val="9"/>
            <color indexed="81"/>
            <rFont val="Tahoma"/>
            <family val="2"/>
          </rPr>
          <t>Intervalle de confiance (95%) : [414; 814]</t>
        </r>
      </text>
    </comment>
    <comment ref="H48" authorId="0" shapeId="0">
      <text>
        <r>
          <rPr>
            <sz val="9"/>
            <color indexed="81"/>
            <rFont val="Tahoma"/>
            <family val="2"/>
          </rPr>
          <t>Intervalle de confiance (95%) : [378; 866]</t>
        </r>
      </text>
    </comment>
    <comment ref="J48" authorId="0" shapeId="0">
      <text>
        <r>
          <rPr>
            <sz val="9"/>
            <color indexed="81"/>
            <rFont val="Tahoma"/>
            <family val="2"/>
          </rPr>
          <t>Intervalle de confiance (95%) : [411; 983]</t>
        </r>
      </text>
    </comment>
    <comment ref="L48" authorId="0" shapeId="0">
      <text>
        <r>
          <rPr>
            <sz val="9"/>
            <color indexed="81"/>
            <rFont val="Tahoma"/>
            <family val="2"/>
          </rPr>
          <t>Intervalle de confiance (95%) : [261; 1 023]</t>
        </r>
      </text>
    </comment>
    <comment ref="N48" authorId="0" shapeId="0">
      <text>
        <r>
          <rPr>
            <sz val="9"/>
            <color indexed="81"/>
            <rFont val="Tahoma"/>
            <family val="2"/>
          </rPr>
          <t>Intervalle de confiance (95%) : [315; 625]</t>
        </r>
      </text>
    </comment>
    <comment ref="P48" authorId="0" shapeId="0">
      <text>
        <r>
          <rPr>
            <sz val="9"/>
            <color indexed="81"/>
            <rFont val="Tahoma"/>
            <family val="2"/>
          </rPr>
          <t>Intervalle de confiance (95%) : [295; 743]</t>
        </r>
      </text>
    </comment>
    <comment ref="D49" authorId="0" shapeId="0">
      <text>
        <r>
          <rPr>
            <sz val="9"/>
            <color indexed="81"/>
            <rFont val="Tahoma"/>
            <family val="2"/>
          </rPr>
          <t>Intervalle de confiance non disponible (CV &gt; 33%)</t>
        </r>
      </text>
    </comment>
    <comment ref="F49" authorId="0" shapeId="0">
      <text>
        <r>
          <rPr>
            <sz val="9"/>
            <color indexed="81"/>
            <rFont val="Tahoma"/>
            <family val="2"/>
          </rPr>
          <t>Intervalle de confiance non disponible (CV &gt; 33%)</t>
        </r>
      </text>
    </comment>
    <comment ref="H49" authorId="0" shapeId="0">
      <text>
        <r>
          <rPr>
            <sz val="9"/>
            <color indexed="81"/>
            <rFont val="Tahoma"/>
            <family val="2"/>
          </rPr>
          <t>Intervalle de confiance non disponible (CV &gt; 33%)</t>
        </r>
      </text>
    </comment>
    <comment ref="J49" authorId="0" shapeId="0">
      <text>
        <r>
          <rPr>
            <sz val="9"/>
            <color indexed="81"/>
            <rFont val="Tahoma"/>
            <family val="2"/>
          </rPr>
          <t>Intervalle de confiance non disponible (CV &gt; 33%)</t>
        </r>
      </text>
    </comment>
    <comment ref="L49" authorId="0" shapeId="0">
      <text>
        <r>
          <rPr>
            <sz val="9"/>
            <color indexed="81"/>
            <rFont val="Tahoma"/>
            <family val="2"/>
          </rPr>
          <t>Intervalle de confiance (95%) : [43; 142]</t>
        </r>
      </text>
    </comment>
    <comment ref="N49" authorId="0" shapeId="0">
      <text>
        <r>
          <rPr>
            <sz val="9"/>
            <color indexed="81"/>
            <rFont val="Tahoma"/>
            <family val="2"/>
          </rPr>
          <t>Intervalle de confiance (95%) : [44; 151]</t>
        </r>
      </text>
    </comment>
    <comment ref="P49" authorId="0" shapeId="0">
      <text>
        <r>
          <rPr>
            <sz val="9"/>
            <color indexed="81"/>
            <rFont val="Tahoma"/>
            <family val="2"/>
          </rPr>
          <t>Intervalle de confiance non disponible (CV &gt; 33%)</t>
        </r>
      </text>
    </comment>
    <comment ref="D50" authorId="0" shapeId="0">
      <text>
        <r>
          <rPr>
            <sz val="9"/>
            <color indexed="81"/>
            <rFont val="Tahoma"/>
            <family val="2"/>
          </rPr>
          <t>Intervalle de confiance (95%) : [101; 188]</t>
        </r>
      </text>
    </comment>
    <comment ref="F50" authorId="0" shapeId="0">
      <text>
        <r>
          <rPr>
            <sz val="9"/>
            <color indexed="81"/>
            <rFont val="Tahoma"/>
            <family val="2"/>
          </rPr>
          <t>Intervalle de confiance (95%) : [110; 264]</t>
        </r>
      </text>
    </comment>
    <comment ref="H50" authorId="0" shapeId="0">
      <text>
        <r>
          <rPr>
            <sz val="9"/>
            <color indexed="81"/>
            <rFont val="Tahoma"/>
            <family val="2"/>
          </rPr>
          <t>Intervalle de confiance non disponible (CV &gt; 33%)</t>
        </r>
      </text>
    </comment>
    <comment ref="J50" authorId="0" shapeId="0">
      <text>
        <r>
          <rPr>
            <sz val="9"/>
            <color indexed="81"/>
            <rFont val="Tahoma"/>
            <family val="2"/>
          </rPr>
          <t>Intervalle de confiance (95%) : [86; 280]</t>
        </r>
      </text>
    </comment>
    <comment ref="L50" authorId="0" shapeId="0">
      <text>
        <r>
          <rPr>
            <sz val="9"/>
            <color indexed="81"/>
            <rFont val="Tahoma"/>
            <family val="2"/>
          </rPr>
          <t>Intervalle de confiance (95%) : [80; 178]</t>
        </r>
      </text>
    </comment>
    <comment ref="N50" authorId="0" shapeId="0">
      <text>
        <r>
          <rPr>
            <sz val="9"/>
            <color indexed="81"/>
            <rFont val="Tahoma"/>
            <family val="2"/>
          </rPr>
          <t>Intervalle de confiance (95%) : [103; 212]</t>
        </r>
      </text>
    </comment>
    <comment ref="P50" authorId="0" shapeId="0">
      <text>
        <r>
          <rPr>
            <sz val="9"/>
            <color indexed="81"/>
            <rFont val="Tahoma"/>
            <family val="2"/>
          </rPr>
          <t>Intervalle de confiance (95%) : [58; 172]</t>
        </r>
      </text>
    </comment>
    <comment ref="D51" authorId="0" shapeId="0">
      <text>
        <r>
          <rPr>
            <sz val="9"/>
            <color indexed="81"/>
            <rFont val="Tahoma"/>
            <family val="2"/>
          </rPr>
          <t>Intervalle de confiance (95%) : [12; 35]</t>
        </r>
      </text>
    </comment>
    <comment ref="F51" authorId="0" shapeId="0">
      <text>
        <r>
          <rPr>
            <sz val="9"/>
            <color indexed="81"/>
            <rFont val="Tahoma"/>
            <family val="2"/>
          </rPr>
          <t>Intervalle de confiance non disponible (CV &gt; 33%)</t>
        </r>
      </text>
    </comment>
    <comment ref="H51" authorId="0" shapeId="0">
      <text>
        <r>
          <rPr>
            <sz val="9"/>
            <color indexed="81"/>
            <rFont val="Tahoma"/>
            <family val="2"/>
          </rPr>
          <t>Intervalle de confiance non disponible (CV &gt; 33%)</t>
        </r>
      </text>
    </comment>
    <comment ref="J51" authorId="0" shapeId="0">
      <text>
        <r>
          <rPr>
            <sz val="9"/>
            <color indexed="81"/>
            <rFont val="Tahoma"/>
            <family val="2"/>
          </rPr>
          <t>Intervalle de confiance non disponible (CV &gt; 33%)</t>
        </r>
      </text>
    </comment>
    <comment ref="L51" authorId="0" shapeId="0">
      <text>
        <r>
          <rPr>
            <sz val="9"/>
            <color indexed="81"/>
            <rFont val="Tahoma"/>
            <family val="2"/>
          </rPr>
          <t>Intervalle de confiance non disponible (CV &gt; 33%)</t>
        </r>
      </text>
    </comment>
    <comment ref="N51" authorId="0" shapeId="0">
      <text>
        <r>
          <rPr>
            <sz val="9"/>
            <color indexed="81"/>
            <rFont val="Tahoma"/>
            <family val="2"/>
          </rPr>
          <t>Intervalle de confiance non disponible (CV &gt; 33%)</t>
        </r>
      </text>
    </comment>
    <comment ref="P51" authorId="0" shapeId="0">
      <text>
        <r>
          <rPr>
            <sz val="9"/>
            <color indexed="81"/>
            <rFont val="Tahoma"/>
            <family val="2"/>
          </rPr>
          <t>Intervalle de confiance non disponible (CV &gt; 33%)</t>
        </r>
      </text>
    </comment>
    <comment ref="D52" authorId="0" shapeId="0">
      <text>
        <r>
          <rPr>
            <sz val="9"/>
            <color indexed="81"/>
            <rFont val="Tahoma"/>
            <family val="2"/>
          </rPr>
          <t>Intervalle de confiance (95%) : [15; 45]</t>
        </r>
      </text>
    </comment>
    <comment ref="F52" authorId="0" shapeId="0">
      <text>
        <r>
          <rPr>
            <sz val="9"/>
            <color indexed="81"/>
            <rFont val="Tahoma"/>
            <family val="2"/>
          </rPr>
          <t>Intervalle de confiance (95%) : [10; 32]</t>
        </r>
      </text>
    </comment>
    <comment ref="H52" authorId="0" shapeId="0">
      <text>
        <r>
          <rPr>
            <sz val="9"/>
            <color indexed="81"/>
            <rFont val="Tahoma"/>
            <family val="2"/>
          </rPr>
          <t>Intervalle de confiance non disponible (CV &gt; 33%)</t>
        </r>
      </text>
    </comment>
    <comment ref="J52" authorId="0" shapeId="0">
      <text>
        <r>
          <rPr>
            <sz val="9"/>
            <color indexed="81"/>
            <rFont val="Tahoma"/>
            <family val="2"/>
          </rPr>
          <t>Intervalle de confiance non disponible (CV &gt; 33%)</t>
        </r>
      </text>
    </comment>
    <comment ref="L52" authorId="0" shapeId="0">
      <text>
        <r>
          <rPr>
            <sz val="9"/>
            <color indexed="81"/>
            <rFont val="Tahoma"/>
            <family val="2"/>
          </rPr>
          <t>Intervalle de confiance non disponible (CV &gt; 33%)</t>
        </r>
      </text>
    </comment>
    <comment ref="N52" authorId="0" shapeId="0">
      <text>
        <r>
          <rPr>
            <sz val="9"/>
            <color indexed="81"/>
            <rFont val="Tahoma"/>
            <family val="2"/>
          </rPr>
          <t>Intervalle de confiance non disponible (CV &gt; 33%)</t>
        </r>
      </text>
    </comment>
    <comment ref="P52" authorId="0" shapeId="0">
      <text>
        <r>
          <rPr>
            <sz val="9"/>
            <color indexed="81"/>
            <rFont val="Tahoma"/>
            <family val="2"/>
          </rPr>
          <t>Intervalle de confiance non disponible (CV &gt; 33%)</t>
        </r>
      </text>
    </comment>
    <comment ref="D53" authorId="0" shapeId="0">
      <text>
        <r>
          <rPr>
            <sz val="9"/>
            <color indexed="81"/>
            <rFont val="Tahoma"/>
            <family val="2"/>
          </rPr>
          <t>Intervalle de confiance (95%) : [44; 121]</t>
        </r>
      </text>
    </comment>
    <comment ref="F53" authorId="0" shapeId="0">
      <text>
        <r>
          <rPr>
            <sz val="9"/>
            <color indexed="81"/>
            <rFont val="Tahoma"/>
            <family val="2"/>
          </rPr>
          <t>Intervalle de confiance (95%) : [33; 147]</t>
        </r>
      </text>
    </comment>
    <comment ref="H53" authorId="0" shapeId="0">
      <text>
        <r>
          <rPr>
            <sz val="9"/>
            <color indexed="81"/>
            <rFont val="Tahoma"/>
            <family val="2"/>
          </rPr>
          <t>Intervalle de confiance non disponible (CV &gt; 33%)</t>
        </r>
      </text>
    </comment>
    <comment ref="J53" authorId="0" shapeId="0">
      <text>
        <r>
          <rPr>
            <sz val="9"/>
            <color indexed="81"/>
            <rFont val="Tahoma"/>
            <family val="2"/>
          </rPr>
          <t>Intervalle de confiance non disponible (CV &gt; 33%)</t>
        </r>
      </text>
    </comment>
    <comment ref="L53" authorId="0" shapeId="0">
      <text>
        <r>
          <rPr>
            <sz val="9"/>
            <color indexed="81"/>
            <rFont val="Tahoma"/>
            <family val="2"/>
          </rPr>
          <t>Intervalle de confiance (95%) : [56; 86]</t>
        </r>
      </text>
    </comment>
    <comment ref="N53" authorId="0" shapeId="0">
      <text>
        <r>
          <rPr>
            <sz val="9"/>
            <color indexed="81"/>
            <rFont val="Tahoma"/>
            <family val="2"/>
          </rPr>
          <t>Intervalle de confiance (95%) : [52; 96]</t>
        </r>
      </text>
    </comment>
    <comment ref="P53" authorId="0" shapeId="0">
      <text>
        <r>
          <rPr>
            <sz val="9"/>
            <color indexed="81"/>
            <rFont val="Tahoma"/>
            <family val="2"/>
          </rPr>
          <t>Intervalle de confiance (95%) : [34; 110]</t>
        </r>
      </text>
    </comment>
    <comment ref="D54" authorId="0" shapeId="0">
      <text>
        <r>
          <rPr>
            <sz val="9"/>
            <color indexed="81"/>
            <rFont val="Tahoma"/>
            <family val="2"/>
          </rPr>
          <t>Intervalle de confiance non disponible (CV &gt; 33%)</t>
        </r>
      </text>
    </comment>
    <comment ref="F54" authorId="0" shapeId="0">
      <text>
        <r>
          <rPr>
            <sz val="9"/>
            <color indexed="81"/>
            <rFont val="Tahoma"/>
            <family val="2"/>
          </rPr>
          <t>Intervalle de confiance non disponible (CV &gt; 33%)</t>
        </r>
      </text>
    </comment>
    <comment ref="H54" authorId="0" shapeId="0">
      <text>
        <r>
          <rPr>
            <sz val="9"/>
            <color indexed="81"/>
            <rFont val="Tahoma"/>
            <family val="2"/>
          </rPr>
          <t>Intervalle de confiance non disponible (CV &gt; 33%)</t>
        </r>
      </text>
    </comment>
    <comment ref="J54" authorId="0" shapeId="0">
      <text>
        <r>
          <rPr>
            <sz val="9"/>
            <color indexed="81"/>
            <rFont val="Tahoma"/>
            <family val="2"/>
          </rPr>
          <t>Intervalle de confiance non disponible (CV &gt; 33%)</t>
        </r>
      </text>
    </comment>
    <comment ref="L54" authorId="0" shapeId="0">
      <text>
        <r>
          <rPr>
            <sz val="9"/>
            <color indexed="81"/>
            <rFont val="Tahoma"/>
            <family val="2"/>
          </rPr>
          <t>Intervalle de confiance non disponible (CV &gt; 33%)</t>
        </r>
      </text>
    </comment>
    <comment ref="N54" authorId="0" shapeId="0">
      <text>
        <r>
          <rPr>
            <sz val="9"/>
            <color indexed="81"/>
            <rFont val="Tahoma"/>
            <family val="2"/>
          </rPr>
          <t>Intervalle de confiance non disponible (CV &gt; 33%)</t>
        </r>
      </text>
    </comment>
    <comment ref="P54" authorId="0" shapeId="0">
      <text>
        <r>
          <rPr>
            <sz val="9"/>
            <color indexed="81"/>
            <rFont val="Tahoma"/>
            <family val="2"/>
          </rPr>
          <t>Intervalle de confiance non disponible (CV &gt; 33%)</t>
        </r>
      </text>
    </comment>
    <comment ref="D55" authorId="0" shapeId="0">
      <text>
        <r>
          <rPr>
            <sz val="9"/>
            <color indexed="81"/>
            <rFont val="Tahoma"/>
            <family val="2"/>
          </rPr>
          <t>Intervalle de confiance non disponible (CV &gt; 33%)</t>
        </r>
      </text>
    </comment>
    <comment ref="F55" authorId="0" shapeId="0">
      <text>
        <r>
          <rPr>
            <sz val="9"/>
            <color indexed="81"/>
            <rFont val="Tahoma"/>
            <family val="2"/>
          </rPr>
          <t>Intervalle de confiance non disponible (CV &gt; 33%)</t>
        </r>
      </text>
    </comment>
    <comment ref="H55" authorId="0" shapeId="0">
      <text>
        <r>
          <rPr>
            <sz val="9"/>
            <color indexed="81"/>
            <rFont val="Tahoma"/>
            <family val="2"/>
          </rPr>
          <t>Intervalle de confiance non disponible (CV &gt; 33%)</t>
        </r>
      </text>
    </comment>
    <comment ref="J55" authorId="0" shapeId="0">
      <text>
        <r>
          <rPr>
            <sz val="9"/>
            <color indexed="81"/>
            <rFont val="Tahoma"/>
            <family val="2"/>
          </rPr>
          <t>Intervalle de confiance non disponible (CV &gt; 33%)</t>
        </r>
      </text>
    </comment>
    <comment ref="L55" authorId="0" shapeId="0">
      <text>
        <r>
          <rPr>
            <sz val="9"/>
            <color indexed="81"/>
            <rFont val="Tahoma"/>
            <family val="2"/>
          </rPr>
          <t>Intervalle de confiance non disponible (CV &gt; 33%)</t>
        </r>
      </text>
    </comment>
    <comment ref="N55" authorId="0" shapeId="0">
      <text>
        <r>
          <rPr>
            <sz val="9"/>
            <color indexed="81"/>
            <rFont val="Tahoma"/>
            <family val="2"/>
          </rPr>
          <t>Intervalle de confiance non disponible (CV &gt; 33%)</t>
        </r>
      </text>
    </comment>
    <comment ref="P55" authorId="0" shapeId="0">
      <text>
        <r>
          <rPr>
            <sz val="9"/>
            <color indexed="81"/>
            <rFont val="Tahoma"/>
            <family val="2"/>
          </rPr>
          <t>Intervalle de confiance non disponible (CV &gt; 33%)</t>
        </r>
      </text>
    </comment>
    <comment ref="D56" authorId="0" shapeId="0">
      <text>
        <r>
          <rPr>
            <sz val="9"/>
            <color indexed="81"/>
            <rFont val="Tahoma"/>
            <family val="2"/>
          </rPr>
          <t>Intervalle de confiance (95%) : [887; 1 559]</t>
        </r>
      </text>
    </comment>
    <comment ref="F56" authorId="0" shapeId="0">
      <text>
        <r>
          <rPr>
            <sz val="9"/>
            <color indexed="81"/>
            <rFont val="Tahoma"/>
            <family val="2"/>
          </rPr>
          <t>Intervalle de confiance (95%) : [1 208; 2 154]</t>
        </r>
      </text>
    </comment>
    <comment ref="H56" authorId="0" shapeId="0">
      <text>
        <r>
          <rPr>
            <sz val="9"/>
            <color indexed="81"/>
            <rFont val="Tahoma"/>
            <family val="2"/>
          </rPr>
          <t>Intervalle de confiance (95%) : [785; 1 562]</t>
        </r>
      </text>
    </comment>
    <comment ref="J56" authorId="0" shapeId="0">
      <text>
        <r>
          <rPr>
            <sz val="9"/>
            <color indexed="81"/>
            <rFont val="Tahoma"/>
            <family val="2"/>
          </rPr>
          <t>Intervalle de confiance (95%) : [1 011; 1 815]</t>
        </r>
      </text>
    </comment>
    <comment ref="L56" authorId="0" shapeId="0">
      <text>
        <r>
          <rPr>
            <sz val="9"/>
            <color indexed="81"/>
            <rFont val="Tahoma"/>
            <family val="2"/>
          </rPr>
          <t>Intervalle de confiance (95%) : [900; 1 622]</t>
        </r>
      </text>
    </comment>
    <comment ref="N56" authorId="0" shapeId="0">
      <text>
        <r>
          <rPr>
            <sz val="9"/>
            <color indexed="81"/>
            <rFont val="Tahoma"/>
            <family val="2"/>
          </rPr>
          <t>Intervalle de confiance (95%) : [874; 1 547]</t>
        </r>
      </text>
    </comment>
    <comment ref="P56" authorId="0" shapeId="0">
      <text>
        <r>
          <rPr>
            <sz val="9"/>
            <color indexed="81"/>
            <rFont val="Tahoma"/>
            <family val="2"/>
          </rPr>
          <t>Intervalle de confiance (95%) : [625; 1 147]</t>
        </r>
      </text>
    </comment>
    <comment ref="D57" authorId="0" shapeId="0">
      <text>
        <r>
          <rPr>
            <sz val="9"/>
            <color indexed="81"/>
            <rFont val="Tahoma"/>
            <family val="2"/>
          </rPr>
          <t>Intervalle de confiance (95%) : [195; 463]</t>
        </r>
      </text>
    </comment>
    <comment ref="F57" authorId="0" shapeId="0">
      <text>
        <r>
          <rPr>
            <sz val="9"/>
            <color indexed="81"/>
            <rFont val="Tahoma"/>
            <family val="2"/>
          </rPr>
          <t>Intervalle de confiance (95%) : [299; 690]</t>
        </r>
      </text>
    </comment>
    <comment ref="H57" authorId="0" shapeId="0">
      <text>
        <r>
          <rPr>
            <sz val="9"/>
            <color indexed="81"/>
            <rFont val="Tahoma"/>
            <family val="2"/>
          </rPr>
          <t>Intervalle de confiance (95%) : [142; 513]</t>
        </r>
      </text>
    </comment>
    <comment ref="J57" authorId="0" shapeId="0">
      <text>
        <r>
          <rPr>
            <sz val="9"/>
            <color indexed="81"/>
            <rFont val="Tahoma"/>
            <family val="2"/>
          </rPr>
          <t>Intervalle de confiance (95%) : [146; 573]</t>
        </r>
      </text>
    </comment>
    <comment ref="L57" authorId="0" shapeId="0">
      <text>
        <r>
          <rPr>
            <sz val="9"/>
            <color indexed="81"/>
            <rFont val="Tahoma"/>
            <family val="2"/>
          </rPr>
          <t>Intervalle de confiance (95%) : [164; 641]</t>
        </r>
      </text>
    </comment>
    <comment ref="N57" authorId="0" shapeId="0">
      <text>
        <r>
          <rPr>
            <sz val="9"/>
            <color indexed="81"/>
            <rFont val="Tahoma"/>
            <family val="2"/>
          </rPr>
          <t>Intervalle de confiance (95%) : [141; 464]</t>
        </r>
      </text>
    </comment>
    <comment ref="P57" authorId="0" shapeId="0">
      <text>
        <r>
          <rPr>
            <sz val="9"/>
            <color indexed="81"/>
            <rFont val="Tahoma"/>
            <family val="2"/>
          </rPr>
          <t>Intervalle de confiance (95%) : [104; 384]</t>
        </r>
      </text>
    </comment>
    <comment ref="D58" authorId="0" shapeId="0">
      <text>
        <r>
          <rPr>
            <sz val="9"/>
            <color indexed="81"/>
            <rFont val="Tahoma"/>
            <family val="2"/>
          </rPr>
          <t>Intervalle de confiance (95%) : [631; 1 157]</t>
        </r>
      </text>
    </comment>
    <comment ref="F58" authorId="0" shapeId="0">
      <text>
        <r>
          <rPr>
            <sz val="9"/>
            <color indexed="81"/>
            <rFont val="Tahoma"/>
            <family val="2"/>
          </rPr>
          <t>Intervalle de confiance (95%) : [810; 1 564]</t>
        </r>
      </text>
    </comment>
    <comment ref="H58" authorId="0" shapeId="0">
      <text>
        <r>
          <rPr>
            <sz val="9"/>
            <color indexed="81"/>
            <rFont val="Tahoma"/>
            <family val="2"/>
          </rPr>
          <t>Intervalle de confiance (95%) : [570; 1 123]</t>
        </r>
      </text>
    </comment>
    <comment ref="J58" authorId="0" shapeId="0">
      <text>
        <r>
          <rPr>
            <sz val="9"/>
            <color indexed="81"/>
            <rFont val="Tahoma"/>
            <family val="2"/>
          </rPr>
          <t>Intervalle de confiance (95%) : [730; 1 377]</t>
        </r>
      </text>
    </comment>
    <comment ref="L58" authorId="0" shapeId="0">
      <text>
        <r>
          <rPr>
            <sz val="9"/>
            <color indexed="81"/>
            <rFont val="Tahoma"/>
            <family val="2"/>
          </rPr>
          <t>Intervalle de confiance (95%) : [614; 1 104]</t>
        </r>
      </text>
    </comment>
    <comment ref="N58" authorId="0" shapeId="0">
      <text>
        <r>
          <rPr>
            <sz val="9"/>
            <color indexed="81"/>
            <rFont val="Tahoma"/>
            <family val="2"/>
          </rPr>
          <t>Intervalle de confiance (95%) : [619; 1 197]</t>
        </r>
      </text>
    </comment>
    <comment ref="P58" authorId="0" shapeId="0">
      <text>
        <r>
          <rPr>
            <sz val="9"/>
            <color indexed="81"/>
            <rFont val="Tahoma"/>
            <family val="2"/>
          </rPr>
          <t>Intervalle de confiance (95%) : [443; 841]</t>
        </r>
      </text>
    </comment>
    <comment ref="D59" authorId="0" shapeId="0">
      <text>
        <r>
          <rPr>
            <sz val="9"/>
            <color indexed="81"/>
            <rFont val="Tahoma"/>
            <family val="2"/>
          </rPr>
          <t>Intervalle de confiance (95%) : [91; 261]</t>
        </r>
      </text>
    </comment>
    <comment ref="F59" authorId="0" shapeId="0">
      <text>
        <r>
          <rPr>
            <sz val="9"/>
            <color indexed="81"/>
            <rFont val="Tahoma"/>
            <family val="2"/>
          </rPr>
          <t>Intervalle de confiance (95%) : [89; 170]</t>
        </r>
      </text>
    </comment>
    <comment ref="H59" authorId="0" shapeId="0">
      <text>
        <r>
          <rPr>
            <sz val="9"/>
            <color indexed="81"/>
            <rFont val="Tahoma"/>
            <family val="2"/>
          </rPr>
          <t>Intervalle de confiance (95%) : [70; 192]</t>
        </r>
      </text>
    </comment>
    <comment ref="J59" authorId="0" shapeId="0">
      <text>
        <r>
          <rPr>
            <sz val="9"/>
            <color indexed="81"/>
            <rFont val="Tahoma"/>
            <family val="2"/>
          </rPr>
          <t>Intervalle de confiance (95%) : [94; 219]</t>
        </r>
      </text>
    </comment>
    <comment ref="L59" authorId="0" shapeId="0">
      <text>
        <r>
          <rPr>
            <sz val="9"/>
            <color indexed="81"/>
            <rFont val="Tahoma"/>
            <family val="2"/>
          </rPr>
          <t>Intervalle de confiance (95%) : [129; 308]</t>
        </r>
      </text>
    </comment>
    <comment ref="N59" authorId="0" shapeId="0">
      <text>
        <r>
          <rPr>
            <sz val="9"/>
            <color indexed="81"/>
            <rFont val="Tahoma"/>
            <family val="2"/>
          </rPr>
          <t>Intervalle de confiance (95%) : [74; 234]</t>
        </r>
      </text>
    </comment>
    <comment ref="P59" authorId="0" shapeId="0">
      <text>
        <r>
          <rPr>
            <sz val="9"/>
            <color indexed="81"/>
            <rFont val="Tahoma"/>
            <family val="2"/>
          </rPr>
          <t>Intervalle de confiance (95%) : [44; 114]</t>
        </r>
      </text>
    </comment>
    <comment ref="D60" authorId="0" shapeId="0">
      <text>
        <r>
          <rPr>
            <sz val="9"/>
            <color indexed="81"/>
            <rFont val="Tahoma"/>
            <family val="2"/>
          </rPr>
          <t>Intervalle de confiance (95%) : [70; 191]</t>
        </r>
      </text>
    </comment>
    <comment ref="F60" authorId="0" shapeId="0">
      <text>
        <r>
          <rPr>
            <sz val="9"/>
            <color indexed="81"/>
            <rFont val="Tahoma"/>
            <family val="2"/>
          </rPr>
          <t>Intervalle de confiance (95%) : [86; 163]</t>
        </r>
      </text>
    </comment>
    <comment ref="H60" authorId="0" shapeId="0">
      <text>
        <r>
          <rPr>
            <sz val="9"/>
            <color indexed="81"/>
            <rFont val="Tahoma"/>
            <family val="2"/>
          </rPr>
          <t>Intervalle de confiance (95%) : [70; 192]</t>
        </r>
      </text>
    </comment>
    <comment ref="J60" authorId="0" shapeId="0">
      <text>
        <r>
          <rPr>
            <sz val="9"/>
            <color indexed="81"/>
            <rFont val="Tahoma"/>
            <family val="2"/>
          </rPr>
          <t>Intervalle de confiance (95%) : [93; 218]</t>
        </r>
      </text>
    </comment>
    <comment ref="L60" authorId="0" shapeId="0">
      <text>
        <r>
          <rPr>
            <sz val="9"/>
            <color indexed="81"/>
            <rFont val="Tahoma"/>
            <family val="2"/>
          </rPr>
          <t>Intervalle de confiance (95%) : [107; 250]</t>
        </r>
      </text>
    </comment>
    <comment ref="N60" authorId="0" shapeId="0">
      <text>
        <r>
          <rPr>
            <sz val="9"/>
            <color indexed="81"/>
            <rFont val="Tahoma"/>
            <family val="2"/>
          </rPr>
          <t>Intervalle de confiance (95%) : [64; 222]</t>
        </r>
      </text>
    </comment>
    <comment ref="P60" authorId="0" shapeId="0">
      <text>
        <r>
          <rPr>
            <sz val="9"/>
            <color indexed="81"/>
            <rFont val="Tahoma"/>
            <family val="2"/>
          </rPr>
          <t>Intervalle de confiance (95%) : [36; 96]</t>
        </r>
      </text>
    </comment>
    <comment ref="D61" authorId="0" shapeId="0">
      <text>
        <r>
          <rPr>
            <sz val="9"/>
            <color indexed="81"/>
            <rFont val="Tahoma"/>
            <family val="2"/>
          </rPr>
          <t>Intervalle de confiance non disponible (CV &gt; 33%)</t>
        </r>
      </text>
    </comment>
    <comment ref="F61" authorId="0" shapeId="0">
      <text>
        <r>
          <rPr>
            <sz val="9"/>
            <color indexed="81"/>
            <rFont val="Tahoma"/>
            <family val="2"/>
          </rPr>
          <t>Intervalle de confiance non disponible (CV &gt; 33%)</t>
        </r>
      </text>
    </comment>
    <comment ref="H61" authorId="0" shapeId="0">
      <text>
        <r>
          <rPr>
            <sz val="9"/>
            <color indexed="81"/>
            <rFont val="Tahoma"/>
            <family val="2"/>
          </rPr>
          <t>Intervalle de confiance ne s'applique pas (CV = 0% ou CV non défini)</t>
        </r>
      </text>
    </comment>
    <comment ref="J61" authorId="0" shapeId="0">
      <text>
        <r>
          <rPr>
            <sz val="9"/>
            <color indexed="81"/>
            <rFont val="Tahoma"/>
            <family val="2"/>
          </rPr>
          <t>Intervalle de confiance non disponible (CV &gt; 33%)</t>
        </r>
      </text>
    </comment>
    <comment ref="L61" authorId="0" shapeId="0">
      <text>
        <r>
          <rPr>
            <sz val="9"/>
            <color indexed="81"/>
            <rFont val="Tahoma"/>
            <family val="2"/>
          </rPr>
          <t>Intervalle de confiance non disponible (CV &gt; 33%)</t>
        </r>
      </text>
    </comment>
    <comment ref="N61" authorId="0" shapeId="0">
      <text>
        <r>
          <rPr>
            <sz val="9"/>
            <color indexed="81"/>
            <rFont val="Tahoma"/>
            <family val="2"/>
          </rPr>
          <t>Intervalle de confiance non disponible (CV &gt; 33%)</t>
        </r>
      </text>
    </comment>
    <comment ref="P61" authorId="0" shapeId="0">
      <text>
        <r>
          <rPr>
            <sz val="9"/>
            <color indexed="81"/>
            <rFont val="Tahoma"/>
            <family val="2"/>
          </rPr>
          <t>Intervalle de confiance non disponible (CV &gt; 33%)</t>
        </r>
      </text>
    </comment>
    <comment ref="D62" authorId="0" shapeId="0">
      <text>
        <r>
          <rPr>
            <sz val="9"/>
            <color indexed="81"/>
            <rFont val="Tahoma"/>
            <family val="2"/>
          </rPr>
          <t>Intervalle de confiance (95%) : [604; 1 180]</t>
        </r>
      </text>
    </comment>
    <comment ref="F62" authorId="0" shapeId="0">
      <text>
        <r>
          <rPr>
            <sz val="9"/>
            <color indexed="81"/>
            <rFont val="Tahoma"/>
            <family val="2"/>
          </rPr>
          <t>Intervalle de confiance (95%) : [994; 1 380]</t>
        </r>
      </text>
    </comment>
    <comment ref="H62" authorId="0" shapeId="0">
      <text>
        <r>
          <rPr>
            <sz val="9"/>
            <color indexed="81"/>
            <rFont val="Tahoma"/>
            <family val="2"/>
          </rPr>
          <t>Intervalle de confiance (95%) : [778; 1 080]</t>
        </r>
      </text>
    </comment>
    <comment ref="J62" authorId="0" shapeId="0">
      <text>
        <r>
          <rPr>
            <sz val="9"/>
            <color indexed="81"/>
            <rFont val="Tahoma"/>
            <family val="2"/>
          </rPr>
          <t>Intervalle de confiance (95%) : [922; 1 344]</t>
        </r>
      </text>
    </comment>
    <comment ref="L62" authorId="0" shapeId="0">
      <text>
        <r>
          <rPr>
            <sz val="9"/>
            <color indexed="81"/>
            <rFont val="Tahoma"/>
            <family val="2"/>
          </rPr>
          <t>Intervalle de confiance (95%) : [1 012; 1 512]</t>
        </r>
      </text>
    </comment>
    <comment ref="N62" authorId="0" shapeId="0">
      <text>
        <r>
          <rPr>
            <sz val="9"/>
            <color indexed="81"/>
            <rFont val="Tahoma"/>
            <family val="2"/>
          </rPr>
          <t>Intervalle de confiance (95%) : [836; 1 219]</t>
        </r>
      </text>
    </comment>
    <comment ref="P62" authorId="0" shapeId="0">
      <text>
        <r>
          <rPr>
            <sz val="9"/>
            <color indexed="81"/>
            <rFont val="Tahoma"/>
            <family val="2"/>
          </rPr>
          <t>Intervalle de confiance (95%) : [910; 1 318]</t>
        </r>
      </text>
    </comment>
    <comment ref="D63" authorId="0" shapeId="0">
      <text>
        <r>
          <rPr>
            <sz val="9"/>
            <color indexed="81"/>
            <rFont val="Tahoma"/>
            <family val="2"/>
          </rPr>
          <t>Intervalle de confiance (95%) : [154; 219]</t>
        </r>
      </text>
    </comment>
    <comment ref="F63" authorId="0" shapeId="0">
      <text>
        <r>
          <rPr>
            <sz val="9"/>
            <color indexed="81"/>
            <rFont val="Tahoma"/>
            <family val="2"/>
          </rPr>
          <t>Intervalle de confiance (95%) : [418; 649]</t>
        </r>
      </text>
    </comment>
    <comment ref="H63" authorId="0" shapeId="0">
      <text>
        <r>
          <rPr>
            <sz val="9"/>
            <color indexed="81"/>
            <rFont val="Tahoma"/>
            <family val="2"/>
          </rPr>
          <t>Intervalle de confiance (95%) : [284; 505]</t>
        </r>
      </text>
    </comment>
    <comment ref="J63" authorId="0" shapeId="0">
      <text>
        <r>
          <rPr>
            <sz val="9"/>
            <color indexed="81"/>
            <rFont val="Tahoma"/>
            <family val="2"/>
          </rPr>
          <t>Intervalle de confiance (95%) : [324; 607]</t>
        </r>
      </text>
    </comment>
    <comment ref="L63" authorId="0" shapeId="0">
      <text>
        <r>
          <rPr>
            <sz val="9"/>
            <color indexed="81"/>
            <rFont val="Tahoma"/>
            <family val="2"/>
          </rPr>
          <t>Intervalle de confiance (95%) : [308; 701]</t>
        </r>
      </text>
    </comment>
    <comment ref="N63" authorId="0" shapeId="0">
      <text>
        <r>
          <rPr>
            <sz val="9"/>
            <color indexed="81"/>
            <rFont val="Tahoma"/>
            <family val="2"/>
          </rPr>
          <t>Intervalle de confiance (95%) : [251; 476]</t>
        </r>
      </text>
    </comment>
    <comment ref="P63" authorId="0" shapeId="0">
      <text>
        <r>
          <rPr>
            <sz val="9"/>
            <color indexed="81"/>
            <rFont val="Tahoma"/>
            <family val="2"/>
          </rPr>
          <t>Intervalle de confiance (95%) : [327; 635]</t>
        </r>
      </text>
    </comment>
    <comment ref="D64" authorId="0" shapeId="0">
      <text>
        <r>
          <rPr>
            <sz val="9"/>
            <color indexed="81"/>
            <rFont val="Tahoma"/>
            <family val="2"/>
          </rPr>
          <t>Intervalle de confiance (95%) : [419; 992]</t>
        </r>
      </text>
    </comment>
    <comment ref="F64" authorId="0" shapeId="0">
      <text>
        <r>
          <rPr>
            <sz val="9"/>
            <color indexed="81"/>
            <rFont val="Tahoma"/>
            <family val="2"/>
          </rPr>
          <t>Intervalle de confiance (95%) : [510; 797]</t>
        </r>
      </text>
    </comment>
    <comment ref="H64" authorId="0" shapeId="0">
      <text>
        <r>
          <rPr>
            <sz val="9"/>
            <color indexed="81"/>
            <rFont val="Tahoma"/>
            <family val="2"/>
          </rPr>
          <t>Intervalle de confiance (95%) : [420; 649]</t>
        </r>
      </text>
    </comment>
    <comment ref="J64" authorId="0" shapeId="0">
      <text>
        <r>
          <rPr>
            <sz val="9"/>
            <color indexed="81"/>
            <rFont val="Tahoma"/>
            <family val="2"/>
          </rPr>
          <t>Intervalle de confiance (95%) : [521; 813]</t>
        </r>
      </text>
    </comment>
    <comment ref="L64" authorId="0" shapeId="0">
      <text>
        <r>
          <rPr>
            <sz val="9"/>
            <color indexed="81"/>
            <rFont val="Tahoma"/>
            <family val="2"/>
          </rPr>
          <t>Intervalle de confiance (95%) : [621; 894]</t>
        </r>
      </text>
    </comment>
    <comment ref="N64" authorId="0" shapeId="0">
      <text>
        <r>
          <rPr>
            <sz val="9"/>
            <color indexed="81"/>
            <rFont val="Tahoma"/>
            <family val="2"/>
          </rPr>
          <t>Intervalle de confiance (95%) : [503; 825]</t>
        </r>
      </text>
    </comment>
    <comment ref="P64" authorId="0" shapeId="0">
      <text>
        <r>
          <rPr>
            <sz val="9"/>
            <color indexed="81"/>
            <rFont val="Tahoma"/>
            <family val="2"/>
          </rPr>
          <t>Intervalle de confiance (95%) : [498; 768]</t>
        </r>
      </text>
    </comment>
    <comment ref="D65" authorId="0" shapeId="0">
      <text>
        <r>
          <rPr>
            <sz val="9"/>
            <color indexed="81"/>
            <rFont val="Tahoma"/>
            <family val="2"/>
          </rPr>
          <t>Intervalle de confiance (95%) : [4 422; 5 442]</t>
        </r>
      </text>
    </comment>
    <comment ref="F65" authorId="0" shapeId="0">
      <text>
        <r>
          <rPr>
            <sz val="9"/>
            <color indexed="81"/>
            <rFont val="Tahoma"/>
            <family val="2"/>
          </rPr>
          <t>Intervalle de confiance (95%) : [5 051; 6 041]</t>
        </r>
      </text>
    </comment>
    <comment ref="H65" authorId="0" shapeId="0">
      <text>
        <r>
          <rPr>
            <sz val="9"/>
            <color indexed="81"/>
            <rFont val="Tahoma"/>
            <family val="2"/>
          </rPr>
          <t>Intervalle de confiance (95%) : [5 480; 6 517]</t>
        </r>
      </text>
    </comment>
    <comment ref="J65" authorId="0" shapeId="0">
      <text>
        <r>
          <rPr>
            <sz val="9"/>
            <color indexed="81"/>
            <rFont val="Tahoma"/>
            <family val="2"/>
          </rPr>
          <t>Intervalle de confiance (95%) : [5 977; 7 041]</t>
        </r>
      </text>
    </comment>
    <comment ref="L65" authorId="0" shapeId="0">
      <text>
        <r>
          <rPr>
            <sz val="9"/>
            <color indexed="81"/>
            <rFont val="Tahoma"/>
            <family val="2"/>
          </rPr>
          <t>Intervalle de confiance (95%) : [5 939; 7 061]</t>
        </r>
      </text>
    </comment>
    <comment ref="N65" authorId="0" shapeId="0">
      <text>
        <r>
          <rPr>
            <sz val="9"/>
            <color indexed="81"/>
            <rFont val="Tahoma"/>
            <family val="2"/>
          </rPr>
          <t>Intervalle de confiance (95%) : [5 915; 6 835]</t>
        </r>
      </text>
    </comment>
    <comment ref="P65" authorId="0" shapeId="0">
      <text>
        <r>
          <rPr>
            <sz val="9"/>
            <color indexed="81"/>
            <rFont val="Tahoma"/>
            <family val="2"/>
          </rPr>
          <t>Intervalle de confiance (95%) : [6 341; 7 467]</t>
        </r>
      </text>
    </comment>
    <comment ref="D66" authorId="0" shapeId="0">
      <text>
        <r>
          <rPr>
            <sz val="9"/>
            <color indexed="81"/>
            <rFont val="Tahoma"/>
            <family val="2"/>
          </rPr>
          <t>Intervalle de confiance (95%) : [2 559; 3 084]</t>
        </r>
      </text>
    </comment>
    <comment ref="F66" authorId="0" shapeId="0">
      <text>
        <r>
          <rPr>
            <sz val="9"/>
            <color indexed="81"/>
            <rFont val="Tahoma"/>
            <family val="2"/>
          </rPr>
          <t>Intervalle de confiance (95%) : [2 886; 3 622]</t>
        </r>
      </text>
    </comment>
    <comment ref="H66" authorId="0" shapeId="0">
      <text>
        <r>
          <rPr>
            <sz val="9"/>
            <color indexed="81"/>
            <rFont val="Tahoma"/>
            <family val="2"/>
          </rPr>
          <t>Intervalle de confiance (95%) : [2 833; 3 363]</t>
        </r>
      </text>
    </comment>
    <comment ref="J66" authorId="0" shapeId="0">
      <text>
        <r>
          <rPr>
            <sz val="9"/>
            <color indexed="81"/>
            <rFont val="Tahoma"/>
            <family val="2"/>
          </rPr>
          <t>Intervalle de confiance (95%) : [3 023; 3 574]</t>
        </r>
      </text>
    </comment>
    <comment ref="L66" authorId="0" shapeId="0">
      <text>
        <r>
          <rPr>
            <sz val="9"/>
            <color indexed="81"/>
            <rFont val="Tahoma"/>
            <family val="2"/>
          </rPr>
          <t>Intervalle de confiance (95%) : [3 051; 3 695]</t>
        </r>
      </text>
    </comment>
    <comment ref="N66" authorId="0" shapeId="0">
      <text>
        <r>
          <rPr>
            <sz val="9"/>
            <color indexed="81"/>
            <rFont val="Tahoma"/>
            <family val="2"/>
          </rPr>
          <t>Intervalle de confiance (95%) : [3 130; 3 758]</t>
        </r>
      </text>
    </comment>
    <comment ref="P66" authorId="0" shapeId="0">
      <text>
        <r>
          <rPr>
            <sz val="9"/>
            <color indexed="81"/>
            <rFont val="Tahoma"/>
            <family val="2"/>
          </rPr>
          <t>Intervalle de confiance (95%) : [2 982; 3 564]</t>
        </r>
      </text>
    </comment>
    <comment ref="D67" authorId="0" shapeId="0">
      <text>
        <r>
          <rPr>
            <sz val="9"/>
            <color rgb="FF000000"/>
            <rFont val="Tahoma"/>
            <family val="2"/>
          </rPr>
          <t>Intervalle de confiance (95%) : [339; 403]</t>
        </r>
      </text>
    </comment>
    <comment ref="F67" authorId="0" shapeId="0">
      <text>
        <r>
          <rPr>
            <sz val="9"/>
            <color indexed="81"/>
            <rFont val="Tahoma"/>
            <family val="2"/>
          </rPr>
          <t>Intervalle de confiance (95%) : [511; 602]</t>
        </r>
      </text>
    </comment>
    <comment ref="H67" authorId="0" shapeId="0">
      <text>
        <r>
          <rPr>
            <sz val="9"/>
            <color indexed="81"/>
            <rFont val="Tahoma"/>
            <family val="2"/>
          </rPr>
          <t>Intervalle de confiance (95%) : [520; 610]</t>
        </r>
      </text>
    </comment>
    <comment ref="J67" authorId="0" shapeId="0">
      <text>
        <r>
          <rPr>
            <sz val="9"/>
            <color indexed="81"/>
            <rFont val="Tahoma"/>
            <family val="2"/>
          </rPr>
          <t>Intervalle de confiance (95%) : [542; 648]</t>
        </r>
      </text>
    </comment>
    <comment ref="L67" authorId="0" shapeId="0">
      <text>
        <r>
          <rPr>
            <sz val="9"/>
            <color indexed="81"/>
            <rFont val="Tahoma"/>
            <family val="2"/>
          </rPr>
          <t>Intervalle de confiance (95%) : [528; 635]</t>
        </r>
      </text>
    </comment>
    <comment ref="N67" authorId="0" shapeId="0">
      <text>
        <r>
          <rPr>
            <sz val="9"/>
            <color indexed="81"/>
            <rFont val="Tahoma"/>
            <family val="2"/>
          </rPr>
          <t>Intervalle de confiance (95%) : [581; 687]</t>
        </r>
      </text>
    </comment>
    <comment ref="P67" authorId="0" shapeId="0">
      <text>
        <r>
          <rPr>
            <sz val="9"/>
            <color indexed="81"/>
            <rFont val="Tahoma"/>
            <family val="2"/>
          </rPr>
          <t>Intervalle de confiance (95%) : [542; 644]</t>
        </r>
      </text>
    </comment>
    <comment ref="D68" authorId="0" shapeId="0">
      <text>
        <r>
          <rPr>
            <sz val="9"/>
            <color indexed="81"/>
            <rFont val="Tahoma"/>
            <family val="2"/>
          </rPr>
          <t>Intervalle de confiance (95%) : [1 657; 2 106]</t>
        </r>
      </text>
    </comment>
    <comment ref="F68" authorId="0" shapeId="0">
      <text>
        <r>
          <rPr>
            <sz val="9"/>
            <color indexed="81"/>
            <rFont val="Tahoma"/>
            <family val="2"/>
          </rPr>
          <t>Intervalle de confiance (95%) : [1 700; 2 096]</t>
        </r>
      </text>
    </comment>
    <comment ref="H68" authorId="0" shapeId="0">
      <text>
        <r>
          <rPr>
            <sz val="9"/>
            <color indexed="81"/>
            <rFont val="Tahoma"/>
            <family val="2"/>
          </rPr>
          <t>Intervalle de confiance (95%) : [1 748; 2 129]</t>
        </r>
      </text>
    </comment>
    <comment ref="J68" authorId="0" shapeId="0">
      <text>
        <r>
          <rPr>
            <sz val="9"/>
            <color indexed="81"/>
            <rFont val="Tahoma"/>
            <family val="2"/>
          </rPr>
          <t>Intervalle de confiance (95%) : [1 918; 2 361]</t>
        </r>
      </text>
    </comment>
    <comment ref="L68" authorId="0" shapeId="0">
      <text>
        <r>
          <rPr>
            <sz val="9"/>
            <color indexed="81"/>
            <rFont val="Tahoma"/>
            <family val="2"/>
          </rPr>
          <t>Intervalle de confiance (95%) : [1 867; 2 350]</t>
        </r>
      </text>
    </comment>
    <comment ref="N68" authorId="0" shapeId="0">
      <text>
        <r>
          <rPr>
            <sz val="9"/>
            <color indexed="81"/>
            <rFont val="Tahoma"/>
            <family val="2"/>
          </rPr>
          <t>Intervalle de confiance (95%) : [2 050; 2 562]</t>
        </r>
      </text>
    </comment>
    <comment ref="P68" authorId="0" shapeId="0">
      <text>
        <r>
          <rPr>
            <sz val="9"/>
            <color indexed="81"/>
            <rFont val="Tahoma"/>
            <family val="2"/>
          </rPr>
          <t>Intervalle de confiance (95%) : [1 900; 2 354]</t>
        </r>
      </text>
    </comment>
    <comment ref="D69" authorId="0" shapeId="0">
      <text>
        <r>
          <rPr>
            <sz val="9"/>
            <color indexed="81"/>
            <rFont val="Tahoma"/>
            <family val="2"/>
          </rPr>
          <t>Intervalle de confiance non disponible (CV &gt; 33%)</t>
        </r>
      </text>
    </comment>
    <comment ref="F69" authorId="0" shapeId="0">
      <text>
        <r>
          <rPr>
            <sz val="9"/>
            <color indexed="81"/>
            <rFont val="Tahoma"/>
            <family val="2"/>
          </rPr>
          <t>Intervalle de confiance non disponible (CV &gt; 33%)</t>
        </r>
      </text>
    </comment>
    <comment ref="H69" authorId="0" shapeId="0">
      <text>
        <r>
          <rPr>
            <sz val="9"/>
            <color indexed="81"/>
            <rFont val="Tahoma"/>
            <family val="2"/>
          </rPr>
          <t>Intervalle de confiance non disponible (CV &gt; 33%)</t>
        </r>
      </text>
    </comment>
    <comment ref="J69" authorId="0" shapeId="0">
      <text>
        <r>
          <rPr>
            <sz val="9"/>
            <color indexed="81"/>
            <rFont val="Tahoma"/>
            <family val="2"/>
          </rPr>
          <t>Intervalle de confiance non disponible (CV &gt; 33%)</t>
        </r>
      </text>
    </comment>
    <comment ref="L69" authorId="0" shapeId="0">
      <text>
        <r>
          <rPr>
            <sz val="9"/>
            <color indexed="81"/>
            <rFont val="Tahoma"/>
            <family val="2"/>
          </rPr>
          <t>Intervalle de confiance non disponible (CV &gt; 33%)</t>
        </r>
      </text>
    </comment>
    <comment ref="N69" authorId="0" shapeId="0">
      <text>
        <r>
          <rPr>
            <sz val="9"/>
            <color indexed="81"/>
            <rFont val="Tahoma"/>
            <family val="2"/>
          </rPr>
          <t>Intervalle de confiance non disponible (CV &gt; 33%)</t>
        </r>
      </text>
    </comment>
    <comment ref="P69" authorId="0" shapeId="0">
      <text>
        <r>
          <rPr>
            <sz val="9"/>
            <color indexed="81"/>
            <rFont val="Tahoma"/>
            <family val="2"/>
          </rPr>
          <t>Intervalle de confiance non disponible (CV &gt; 33%)</t>
        </r>
      </text>
    </comment>
    <comment ref="D70" authorId="0" shapeId="0">
      <text>
        <r>
          <rPr>
            <sz val="9"/>
            <color indexed="81"/>
            <rFont val="Tahoma"/>
            <family val="2"/>
          </rPr>
          <t>Intervalle de confiance (95%) : [380; 674]</t>
        </r>
      </text>
    </comment>
    <comment ref="F70" authorId="0" shapeId="0">
      <text>
        <r>
          <rPr>
            <sz val="9"/>
            <color indexed="81"/>
            <rFont val="Tahoma"/>
            <family val="2"/>
          </rPr>
          <t>Intervalle de confiance (95%) : [455; 774]</t>
        </r>
      </text>
    </comment>
    <comment ref="H70" authorId="0" shapeId="0">
      <text>
        <r>
          <rPr>
            <sz val="9"/>
            <color indexed="81"/>
            <rFont val="Tahoma"/>
            <family val="2"/>
          </rPr>
          <t>Intervalle de confiance (95%) : [407; 647]</t>
        </r>
      </text>
    </comment>
    <comment ref="J70" authorId="0" shapeId="0">
      <text>
        <r>
          <rPr>
            <sz val="9"/>
            <color indexed="81"/>
            <rFont val="Tahoma"/>
            <family val="2"/>
          </rPr>
          <t>Intervalle de confiance (95%) : [439; 604]</t>
        </r>
      </text>
    </comment>
    <comment ref="L70" authorId="0" shapeId="0">
      <text>
        <r>
          <rPr>
            <sz val="9"/>
            <color indexed="81"/>
            <rFont val="Tahoma"/>
            <family val="2"/>
          </rPr>
          <t>Intervalle de confiance (95%) : [405; 607]</t>
        </r>
      </text>
    </comment>
    <comment ref="N70" authorId="0" shapeId="0">
      <text>
        <r>
          <rPr>
            <sz val="9"/>
            <color indexed="81"/>
            <rFont val="Tahoma"/>
            <family val="2"/>
          </rPr>
          <t>Intervalle de confiance (95%) : [338; 504]</t>
        </r>
      </text>
    </comment>
    <comment ref="P70" authorId="0" shapeId="0">
      <text>
        <r>
          <rPr>
            <sz val="9"/>
            <color indexed="81"/>
            <rFont val="Tahoma"/>
            <family val="2"/>
          </rPr>
          <t>Intervalle de confiance (95%) : [430; 638]</t>
        </r>
      </text>
    </comment>
    <comment ref="D71" authorId="0" shapeId="0">
      <text>
        <r>
          <rPr>
            <sz val="9"/>
            <color indexed="81"/>
            <rFont val="Tahoma"/>
            <family val="2"/>
          </rPr>
          <t>Intervalle de confiance (95%) : [353; 627]</t>
        </r>
      </text>
    </comment>
    <comment ref="F71" authorId="0" shapeId="0">
      <text>
        <r>
          <rPr>
            <sz val="9"/>
            <color indexed="81"/>
            <rFont val="Tahoma"/>
            <family val="2"/>
          </rPr>
          <t>Intervalle de confiance (95%) : [515; 1 059]</t>
        </r>
      </text>
    </comment>
    <comment ref="H71" authorId="0" shapeId="0">
      <text>
        <r>
          <rPr>
            <sz val="9"/>
            <color indexed="81"/>
            <rFont val="Tahoma"/>
            <family val="2"/>
          </rPr>
          <t>Intervalle de confiance (95%) : [445; 782]</t>
        </r>
      </text>
    </comment>
    <comment ref="J71" authorId="0" shapeId="0">
      <text>
        <r>
          <rPr>
            <sz val="9"/>
            <color indexed="81"/>
            <rFont val="Tahoma"/>
            <family val="2"/>
          </rPr>
          <t>Intervalle de confiance (95%) : [347; 814]</t>
        </r>
      </text>
    </comment>
    <comment ref="L71" authorId="0" shapeId="0">
      <text>
        <r>
          <rPr>
            <sz val="9"/>
            <color indexed="81"/>
            <rFont val="Tahoma"/>
            <family val="2"/>
          </rPr>
          <t>Intervalle de confiance (95%) : [757; 1 217]</t>
        </r>
      </text>
    </comment>
    <comment ref="N71" authorId="0" shapeId="0">
      <text>
        <r>
          <rPr>
            <sz val="9"/>
            <color indexed="81"/>
            <rFont val="Tahoma"/>
            <family val="2"/>
          </rPr>
          <t>Intervalle de confiance (95%) : [524; 1 009]</t>
        </r>
      </text>
    </comment>
    <comment ref="P71" authorId="0" shapeId="0">
      <text>
        <r>
          <rPr>
            <sz val="9"/>
            <color indexed="81"/>
            <rFont val="Tahoma"/>
            <family val="2"/>
          </rPr>
          <t>Intervalle de confiance (95%) : [622; 1 172]</t>
        </r>
      </text>
    </comment>
    <comment ref="D72" authorId="0" shapeId="0">
      <text>
        <r>
          <rPr>
            <sz val="9"/>
            <color indexed="81"/>
            <rFont val="Tahoma"/>
            <family val="2"/>
          </rPr>
          <t>Intervalle de confiance (95%) : [226; 497]</t>
        </r>
      </text>
    </comment>
    <comment ref="F72" authorId="0" shapeId="0">
      <text>
        <r>
          <rPr>
            <sz val="9"/>
            <color indexed="81"/>
            <rFont val="Tahoma"/>
            <family val="2"/>
          </rPr>
          <t>Intervalle de confiance (95%) : [313; 816]</t>
        </r>
      </text>
    </comment>
    <comment ref="H72" authorId="0" shapeId="0">
      <text>
        <r>
          <rPr>
            <sz val="9"/>
            <color indexed="81"/>
            <rFont val="Tahoma"/>
            <family val="2"/>
          </rPr>
          <t>Intervalle de confiance (95%) : [296; 628]</t>
        </r>
      </text>
    </comment>
    <comment ref="J72" authorId="0" shapeId="0">
      <text>
        <r>
          <rPr>
            <sz val="9"/>
            <color indexed="81"/>
            <rFont val="Tahoma"/>
            <family val="2"/>
          </rPr>
          <t>Intervalle de confiance (95%) : [195; 638]</t>
        </r>
      </text>
    </comment>
    <comment ref="L72" authorId="0" shapeId="0">
      <text>
        <r>
          <rPr>
            <sz val="9"/>
            <color indexed="81"/>
            <rFont val="Tahoma"/>
            <family val="2"/>
          </rPr>
          <t>Intervalle de confiance (95%) : [576; 1 032]</t>
        </r>
      </text>
    </comment>
    <comment ref="N72" authorId="0" shapeId="0">
      <text>
        <r>
          <rPr>
            <sz val="9"/>
            <color indexed="81"/>
            <rFont val="Tahoma"/>
            <family val="2"/>
          </rPr>
          <t>Intervalle de confiance (95%) : [401; 865]</t>
        </r>
      </text>
    </comment>
    <comment ref="P72" authorId="0" shapeId="0">
      <text>
        <r>
          <rPr>
            <sz val="9"/>
            <color indexed="81"/>
            <rFont val="Tahoma"/>
            <family val="2"/>
          </rPr>
          <t>Intervalle de confiance (95%) : [471; 1 059]</t>
        </r>
      </text>
    </comment>
    <comment ref="D73" authorId="0" shapeId="0">
      <text>
        <r>
          <rPr>
            <sz val="9"/>
            <color indexed="81"/>
            <rFont val="Tahoma"/>
            <family val="2"/>
          </rPr>
          <t>Intervalle de confiance (95%) : [114; 329]</t>
        </r>
      </text>
    </comment>
    <comment ref="F73" authorId="0" shapeId="0">
      <text>
        <r>
          <rPr>
            <sz val="9"/>
            <color indexed="81"/>
            <rFont val="Tahoma"/>
            <family val="2"/>
          </rPr>
          <t>Intervalle de confiance (95%) : [104; 206]</t>
        </r>
      </text>
    </comment>
    <comment ref="H73" authorId="0" shapeId="0">
      <text>
        <r>
          <rPr>
            <sz val="9"/>
            <color indexed="81"/>
            <rFont val="Tahoma"/>
            <family val="2"/>
          </rPr>
          <t>Intervalle de confiance (95%) : [133; 343]</t>
        </r>
      </text>
    </comment>
    <comment ref="J73" authorId="0" shapeId="0">
      <text>
        <r>
          <rPr>
            <sz val="9"/>
            <color indexed="81"/>
            <rFont val="Tahoma"/>
            <family val="2"/>
          </rPr>
          <t>Intervalle de confiance non disponible (CV &gt; 33%)</t>
        </r>
      </text>
    </comment>
    <comment ref="L73" authorId="0" shapeId="0">
      <text>
        <r>
          <rPr>
            <sz val="9"/>
            <color indexed="81"/>
            <rFont val="Tahoma"/>
            <family val="2"/>
          </rPr>
          <t>Intervalle de confiance (95%) : [331; 630]</t>
        </r>
      </text>
    </comment>
    <comment ref="N73" authorId="0" shapeId="0">
      <text>
        <r>
          <rPr>
            <sz val="9"/>
            <color indexed="81"/>
            <rFont val="Tahoma"/>
            <family val="2"/>
          </rPr>
          <t>Intervalle de confiance (95%) : [237; 493]</t>
        </r>
      </text>
    </comment>
    <comment ref="P73" authorId="0" shapeId="0">
      <text>
        <r>
          <rPr>
            <sz val="9"/>
            <color indexed="81"/>
            <rFont val="Tahoma"/>
            <family val="2"/>
          </rPr>
          <t>Intervalle de confiance (95%) : [294; 802]</t>
        </r>
      </text>
    </comment>
    <comment ref="D74" authorId="0" shapeId="0">
      <text>
        <r>
          <rPr>
            <sz val="9"/>
            <color indexed="81"/>
            <rFont val="Tahoma"/>
            <family val="2"/>
          </rPr>
          <t>Intervalle de confiance non disponible (CV &gt; 33%)</t>
        </r>
      </text>
    </comment>
    <comment ref="F74" authorId="0" shapeId="0">
      <text>
        <r>
          <rPr>
            <sz val="9"/>
            <color indexed="81"/>
            <rFont val="Tahoma"/>
            <family val="2"/>
          </rPr>
          <t>Intervalle de confiance (95%) : [27; 124]</t>
        </r>
      </text>
    </comment>
    <comment ref="H74" authorId="0" shapeId="0">
      <text>
        <r>
          <rPr>
            <sz val="9"/>
            <color indexed="81"/>
            <rFont val="Tahoma"/>
            <family val="2"/>
          </rPr>
          <t>Intervalle de confiance non disponible (CV &gt; 33%)</t>
        </r>
      </text>
    </comment>
    <comment ref="J74" authorId="0" shapeId="0">
      <text>
        <r>
          <rPr>
            <sz val="9"/>
            <color indexed="81"/>
            <rFont val="Tahoma"/>
            <family val="2"/>
          </rPr>
          <t>Intervalle de confiance (95%) : [41; 155]</t>
        </r>
      </text>
    </comment>
    <comment ref="L74" authorId="0" shapeId="0">
      <text>
        <r>
          <rPr>
            <sz val="9"/>
            <color indexed="81"/>
            <rFont val="Tahoma"/>
            <family val="2"/>
          </rPr>
          <t>Intervalle de confiance non disponible (CV &gt; 33%)</t>
        </r>
      </text>
    </comment>
    <comment ref="N74" authorId="0" shapeId="0">
      <text>
        <r>
          <rPr>
            <sz val="9"/>
            <color indexed="81"/>
            <rFont val="Tahoma"/>
            <family val="2"/>
          </rPr>
          <t>Intervalle de confiance non disponible (CV &gt; 33%)</t>
        </r>
      </text>
    </comment>
    <comment ref="P74" authorId="0" shapeId="0">
      <text>
        <r>
          <rPr>
            <sz val="9"/>
            <color indexed="81"/>
            <rFont val="Tahoma"/>
            <family val="2"/>
          </rPr>
          <t>Intervalle de confiance non disponible (CV &gt; 33%)</t>
        </r>
      </text>
    </comment>
    <comment ref="D75" authorId="0" shapeId="0">
      <text>
        <r>
          <rPr>
            <sz val="9"/>
            <color indexed="81"/>
            <rFont val="Tahoma"/>
            <family val="2"/>
          </rPr>
          <t>Intervalle de confiance non disponible (CV &gt; 33%)</t>
        </r>
      </text>
    </comment>
    <comment ref="F75" authorId="0" shapeId="0">
      <text>
        <r>
          <rPr>
            <sz val="9"/>
            <color indexed="81"/>
            <rFont val="Tahoma"/>
            <family val="2"/>
          </rPr>
          <t>Intervalle de confiance non disponible (CV &gt; 33%)</t>
        </r>
      </text>
    </comment>
    <comment ref="H75" authorId="0" shapeId="0">
      <text>
        <r>
          <rPr>
            <sz val="9"/>
            <color indexed="81"/>
            <rFont val="Tahoma"/>
            <family val="2"/>
          </rPr>
          <t>Intervalle de confiance non disponible (CV &gt; 33%)</t>
        </r>
      </text>
    </comment>
    <comment ref="J75" authorId="0" shapeId="0">
      <text>
        <r>
          <rPr>
            <sz val="9"/>
            <color indexed="81"/>
            <rFont val="Tahoma"/>
            <family val="2"/>
          </rPr>
          <t>Intervalle de confiance non disponible (CV &gt; 33%)</t>
        </r>
      </text>
    </comment>
    <comment ref="L75" authorId="0" shapeId="0">
      <text>
        <r>
          <rPr>
            <sz val="9"/>
            <color indexed="81"/>
            <rFont val="Tahoma"/>
            <family val="2"/>
          </rPr>
          <t>Intervalle de confiance non disponible (CV &gt; 33%)</t>
        </r>
      </text>
    </comment>
    <comment ref="N75" authorId="0" shapeId="0">
      <text>
        <r>
          <rPr>
            <sz val="9"/>
            <color indexed="81"/>
            <rFont val="Tahoma"/>
            <family val="2"/>
          </rPr>
          <t>Intervalle de confiance non disponible (CV &gt; 33%)</t>
        </r>
      </text>
    </comment>
    <comment ref="P75" authorId="0" shapeId="0">
      <text>
        <r>
          <rPr>
            <sz val="9"/>
            <color indexed="81"/>
            <rFont val="Tahoma"/>
            <family val="2"/>
          </rPr>
          <t>Intervalle de confiance non disponible (CV &gt; 33%)</t>
        </r>
      </text>
    </comment>
    <comment ref="D76" authorId="0" shapeId="0">
      <text>
        <r>
          <rPr>
            <sz val="9"/>
            <color indexed="81"/>
            <rFont val="Tahoma"/>
            <family val="2"/>
          </rPr>
          <t>Intervalle de confiance (95%) : [101; 156]</t>
        </r>
      </text>
    </comment>
    <comment ref="F76" authorId="0" shapeId="0">
      <text>
        <r>
          <rPr>
            <sz val="9"/>
            <color indexed="81"/>
            <rFont val="Tahoma"/>
            <family val="2"/>
          </rPr>
          <t>Intervalle de confiance (95%) : [117; 328]</t>
        </r>
      </text>
    </comment>
    <comment ref="H76" authorId="0" shapeId="0">
      <text>
        <r>
          <rPr>
            <sz val="9"/>
            <color indexed="81"/>
            <rFont val="Tahoma"/>
            <family val="2"/>
          </rPr>
          <t>Intervalle de confiance (95%) : [117; 187]</t>
        </r>
      </text>
    </comment>
    <comment ref="J76" authorId="0" shapeId="0">
      <text>
        <r>
          <rPr>
            <sz val="9"/>
            <color indexed="81"/>
            <rFont val="Tahoma"/>
            <family val="2"/>
          </rPr>
          <t>Intervalle de confiance (95%) : [121; 206]</t>
        </r>
      </text>
    </comment>
    <comment ref="L76" authorId="0" shapeId="0">
      <text>
        <r>
          <rPr>
            <sz val="9"/>
            <color indexed="81"/>
            <rFont val="Tahoma"/>
            <family val="2"/>
          </rPr>
          <t>Intervalle de confiance (95%) : [141; 224]</t>
        </r>
      </text>
    </comment>
    <comment ref="N76" authorId="0" shapeId="0">
      <text>
        <r>
          <rPr>
            <sz val="9"/>
            <color indexed="81"/>
            <rFont val="Tahoma"/>
            <family val="2"/>
          </rPr>
          <t>Intervalle de confiance (95%) : [96; 171]</t>
        </r>
      </text>
    </comment>
    <comment ref="P76" authorId="0" shapeId="0">
      <text>
        <r>
          <rPr>
            <sz val="9"/>
            <color indexed="81"/>
            <rFont val="Tahoma"/>
            <family val="2"/>
          </rPr>
          <t>Intervalle de confiance (95%) : [99; 165]</t>
        </r>
      </text>
    </comment>
  </commentList>
</comments>
</file>

<file path=xl/sharedStrings.xml><?xml version="1.0" encoding="utf-8"?>
<sst xmlns="http://schemas.openxmlformats.org/spreadsheetml/2006/main" count="3841" uniqueCount="1125">
  <si>
    <t>Période</t>
  </si>
  <si>
    <t>Age</t>
  </si>
  <si>
    <t>Revenu de travail - Elle</t>
  </si>
  <si>
    <t>Cotisations syndicales - Elle (ligne 42 si RQAP)</t>
  </si>
  <si>
    <t>Cotisations RREGOP - Elle (ligne 43 si RQAP)</t>
  </si>
  <si>
    <t>Revenu de travail net</t>
  </si>
  <si>
    <t>Prêt pour études reçu- Elle</t>
  </si>
  <si>
    <t>Revenu de retraite- Elle (RREGOP)</t>
  </si>
  <si>
    <t>1.</t>
  </si>
  <si>
    <t>Elle - Sans enfants</t>
  </si>
  <si>
    <t>Prélèvements fiscaux</t>
  </si>
  <si>
    <t>Impôts</t>
  </si>
  <si>
    <t>Québec</t>
  </si>
  <si>
    <t>Fédéral</t>
  </si>
  <si>
    <t>RRQ</t>
  </si>
  <si>
    <t>Cotisations RQAP</t>
  </si>
  <si>
    <t>A-E</t>
  </si>
  <si>
    <t>Taxes à la consommation</t>
  </si>
  <si>
    <t>Fonds de service de santé</t>
  </si>
  <si>
    <t>Régime d'assurance-médicament du Québec</t>
  </si>
  <si>
    <t>Total prélèvements</t>
  </si>
  <si>
    <t>Bénéfices publics</t>
  </si>
  <si>
    <t>Transferts financiers</t>
  </si>
  <si>
    <t>Crédit pour la TPS</t>
  </si>
  <si>
    <t>Crédit pour solidarité</t>
  </si>
  <si>
    <t>Aide financière aux études</t>
  </si>
  <si>
    <t>Pension de la sécurité de la vieillesse</t>
  </si>
  <si>
    <t>Crédit impôt maintien à domicile</t>
  </si>
  <si>
    <t xml:space="preserve">Dépenses publiques </t>
  </si>
  <si>
    <t>Soins de santé</t>
  </si>
  <si>
    <t>Services d'enseignement supérieur</t>
  </si>
  <si>
    <t>Prestations publiques</t>
  </si>
  <si>
    <t>Régime de rentes (Qc)</t>
  </si>
  <si>
    <t>Assurance médicaments</t>
  </si>
  <si>
    <t>Total bénéfices</t>
  </si>
  <si>
    <t>Revenu disponible après impôt</t>
  </si>
  <si>
    <t>Pour information</t>
  </si>
  <si>
    <t>Consommation totale (incluant taxes à la consommation)</t>
  </si>
  <si>
    <t>Contribution des parents</t>
  </si>
  <si>
    <t>Épargne</t>
  </si>
  <si>
    <r>
      <t xml:space="preserve">Solde (Actif) - </t>
    </r>
    <r>
      <rPr>
        <sz val="11"/>
        <color rgb="FFC00000"/>
        <rFont val="Calibri"/>
        <family val="2"/>
        <scheme val="minor"/>
      </rPr>
      <t>Placement CELI (pas d'impact fiscal)</t>
    </r>
    <r>
      <rPr>
        <sz val="11"/>
        <color theme="1"/>
        <rFont val="Calibri"/>
        <family val="2"/>
        <scheme val="minor"/>
      </rPr>
      <t>/Marge de crédit</t>
    </r>
  </si>
  <si>
    <t>Statut/événement</t>
  </si>
  <si>
    <t>Cégep</t>
  </si>
  <si>
    <t>Entrée sur marché du travail</t>
  </si>
  <si>
    <t>Travail</t>
  </si>
  <si>
    <t>Retraite</t>
  </si>
  <si>
    <t>Décès</t>
  </si>
  <si>
    <t>Revenu de travail avec période de RQAP</t>
  </si>
  <si>
    <t>RRQ révisé</t>
  </si>
  <si>
    <t>Cotisations RQAP révisé</t>
  </si>
  <si>
    <t>A-E révisé</t>
  </si>
  <si>
    <t>Cotisations syndicales révisées</t>
  </si>
  <si>
    <t>Cotisations RREGOP révisées (rachat de service)</t>
  </si>
  <si>
    <t>2.</t>
  </si>
  <si>
    <t>Elle - avec enfants (en couple)</t>
  </si>
  <si>
    <t>Revenus de marché familial brut</t>
  </si>
  <si>
    <t>Contribution supplémentaire pour frais de garde</t>
  </si>
  <si>
    <t>Pension de la sécurié de la vieillesse</t>
  </si>
  <si>
    <t>Allocation canadienne pour enfants</t>
  </si>
  <si>
    <t>Paiement de soutien aux enfants</t>
  </si>
  <si>
    <t>Allocation pour fournitures scolaires</t>
  </si>
  <si>
    <t>Subvention - Services de garde à contribution réduite</t>
  </si>
  <si>
    <t>Subvention - Services de garde en milieu scolaire</t>
  </si>
  <si>
    <t xml:space="preserve">Services d'enseignement primaire et secondaire </t>
  </si>
  <si>
    <t>Régime québécois assurance-parentale</t>
  </si>
  <si>
    <t xml:space="preserve">Revenu disponible après impôt </t>
  </si>
  <si>
    <t>Consommation (incluant taxes à la consommation)</t>
  </si>
  <si>
    <t>Contribution des parents de Ella/Contribution pour enfants</t>
  </si>
  <si>
    <t>Solde (Actif) CELI-Marge de crédit  à taux zéro…</t>
  </si>
  <si>
    <t>Travail+conjoint</t>
  </si>
  <si>
    <t>Travail+Congé de parentalité</t>
  </si>
  <si>
    <t>Lui</t>
  </si>
  <si>
    <t>Âge</t>
  </si>
  <si>
    <t>Revenu de travail privé</t>
  </si>
  <si>
    <t>Cotisations REER</t>
  </si>
  <si>
    <t>Revenu de travail net conjoint</t>
  </si>
  <si>
    <t>Revenu de retraite privé</t>
  </si>
  <si>
    <t>Revenu RRQ</t>
  </si>
  <si>
    <t>Actif</t>
  </si>
  <si>
    <t>% croissance salaire</t>
  </si>
  <si>
    <t>Enfant 1 (garcon)</t>
  </si>
  <si>
    <t>Naissance</t>
  </si>
  <si>
    <t>Garderie</t>
  </si>
  <si>
    <t>Maternelle</t>
  </si>
  <si>
    <t>Primaire</t>
  </si>
  <si>
    <t>Secondaire</t>
  </si>
  <si>
    <t>Trouve emploi et quitte la famille</t>
  </si>
  <si>
    <t>Frais de garde (place de garde subventionnée)</t>
  </si>
  <si>
    <t>Enfant 2 (fille)</t>
  </si>
  <si>
    <t>Trouve emploi et quitte famille</t>
  </si>
  <si>
    <t>Frais de garde</t>
  </si>
  <si>
    <t>Revenu familial net (estimation)</t>
  </si>
  <si>
    <t>3.</t>
  </si>
  <si>
    <t>Elle avec enfants (monoparentale à 40 ans)</t>
  </si>
  <si>
    <t>Allocation pour manuels scolaires</t>
  </si>
  <si>
    <t>Services d'enseignement primaire et secondaire</t>
  </si>
  <si>
    <t>Contribution des parents de Elle/Contribution pour enfant</t>
  </si>
  <si>
    <t>Solde (Actif)</t>
  </si>
  <si>
    <t>Travail+rupture</t>
  </si>
  <si>
    <t>Enfant 1</t>
  </si>
  <si>
    <t>Quitte la famille</t>
  </si>
  <si>
    <t>Pension alimentaire</t>
  </si>
  <si>
    <t>CÉGEP</t>
  </si>
  <si>
    <t xml:space="preserve">Montant </t>
  </si>
  <si>
    <t>Année de référence</t>
  </si>
  <si>
    <t>Commentaires</t>
  </si>
  <si>
    <t>Montant indexé (2018)</t>
  </si>
  <si>
    <t>Revenu d'emploi médian collégial technique des bénéf. du prog. prêts et bourses (incluant revenus nuls).</t>
  </si>
  <si>
    <t>2015-2016</t>
  </si>
  <si>
    <t>Source:</t>
  </si>
  <si>
    <t>Statistiques de l'aide financière aux études 2015-2016 Tableau 1.6.1. p. 34</t>
  </si>
  <si>
    <t>Habite chez ses parents</t>
  </si>
  <si>
    <t>Pas de crédit d'impot solidarité (portion logement)</t>
  </si>
  <si>
    <t xml:space="preserve">72% des étudiants de CÉGEP résident chez leurs parents </t>
  </si>
  <si>
    <t>Parents revenus de 90000</t>
  </si>
  <si>
    <t>Québec. Enquête sur les conditions de vie des étudiantes et étudiants de la formation professionnelle au secondaire, du collégial et de l'Université. Tableau 1.2.3. p. 22.</t>
  </si>
  <si>
    <t>Note supp. Les non-bénéficiaires de l'AFE sont plus nombreux à travailler pendant l'année scolaire et l'été.</t>
  </si>
  <si>
    <t>Un autre enfant de deux ans de plus</t>
  </si>
  <si>
    <t>http://www.afe.gouv.qc.ca/fileadmin/AFE/documents/Publications/AFE/PUBL_enquete_conditions_vie_2013.pdf</t>
  </si>
  <si>
    <t>Frais de scolarité *2 sessions (temps plein)</t>
  </si>
  <si>
    <t>https://www.cegeptr.qc.ca/cout-etudes-collegiales/</t>
  </si>
  <si>
    <t>Montant pour études post-secondaires (Annexe S Québec)</t>
  </si>
  <si>
    <t>Montant des frais de scolarité (utilisé pour annexe T-Québec)</t>
  </si>
  <si>
    <t xml:space="preserve">Transféré aux parents car impôt insuffisant </t>
  </si>
  <si>
    <t>Frais de scolarité admissibles fédéral (Annexe 11)</t>
  </si>
  <si>
    <t>Non utilisé car impôt insuffisant et non reporté</t>
  </si>
  <si>
    <t>Pas de cotisation d'ass. médicament à payer</t>
  </si>
  <si>
    <t>Ref. case 54 annexe K.</t>
  </si>
  <si>
    <t>Bénéfice lié à l'assurance-médicament</t>
  </si>
  <si>
    <t xml:space="preserve">Source : </t>
  </si>
  <si>
    <t>Tableau AM.06</t>
  </si>
  <si>
    <t>Principales variables selon la catégorie de personnes assurées Régime public d'assurance médicaments, Québec, 2016. Coûts/assurés</t>
  </si>
  <si>
    <t xml:space="preserve">Bénéfice lié à la dépense en soins de santé </t>
  </si>
  <si>
    <t>ICIS, voir onglet</t>
  </si>
  <si>
    <t>18-19 ans</t>
  </si>
  <si>
    <t>Tarif exigé des étudiants internationaux (techniques humaines)</t>
  </si>
  <si>
    <t>2018-2019</t>
  </si>
  <si>
    <t>Régime budgétaire et financier des cégeps Année scolaire 2017-2018. p. Anexe C010 - p.1 de 6.</t>
  </si>
  <si>
    <t>par session</t>
  </si>
  <si>
    <t>http://www.education.gouv.qc.ca/fileadmin/site_web/documents/enseignement-superieur/collegial/Regime_bud_cegep_2017-2018_v25.pdf</t>
  </si>
  <si>
    <t>Pas de prêts et bourses - DEC général</t>
  </si>
  <si>
    <t>Vor PDF</t>
  </si>
  <si>
    <t>VIE SEULE</t>
  </si>
  <si>
    <t xml:space="preserve">Loue un appartement </t>
  </si>
  <si>
    <t>Crédit pers. Seule</t>
  </si>
  <si>
    <t xml:space="preserve">Espérance de vie 65 ans </t>
  </si>
  <si>
    <t>Crédit Solidarité portion logement</t>
  </si>
  <si>
    <t>Emploi adjoint administratifs de bureau (général, juridique et médical) (salaire annuel moyen-public)</t>
  </si>
  <si>
    <t>http://www.emploiquebec.gouv.qc.ca/publications/pdf/00_IMT_Perspectives_2015-24.pdf</t>
  </si>
  <si>
    <t>Les emplois techniques sont les plus fréquents parmi la population du Québec et permet d'arriver au 90 000/100000</t>
  </si>
  <si>
    <t>L'échelle salariale a plutôt été utilisée</t>
  </si>
  <si>
    <t>Grille de rémunération technicien administration Conseil du Trésor</t>
  </si>
  <si>
    <t>https://www.tresor.gouv.qc.ca/fileadmin/PDF/echelles_traitement/fp_tech.pdf</t>
  </si>
  <si>
    <t>Cotisations syndicales</t>
  </si>
  <si>
    <t>https://www.sfpq.qc.ca/qui-sommes-nous/syndiquer-avec-sfpq/</t>
  </si>
  <si>
    <t>Syndicat de la fonction publique du Quebec (SFPQ)</t>
  </si>
  <si>
    <t xml:space="preserve">Bénéfice lié à l'assurance-médicament </t>
  </si>
  <si>
    <t>18-64 ans</t>
  </si>
  <si>
    <t>65+ qui ne reçoit pas de SRG</t>
  </si>
  <si>
    <t>20-24</t>
  </si>
  <si>
    <t>25-29</t>
  </si>
  <si>
    <t>30-34</t>
  </si>
  <si>
    <t>35-39</t>
  </si>
  <si>
    <t>40-44</t>
  </si>
  <si>
    <t>45-49</t>
  </si>
  <si>
    <t>50-54</t>
  </si>
  <si>
    <t>55-59</t>
  </si>
  <si>
    <t>60-64</t>
  </si>
  <si>
    <t>65-69</t>
  </si>
  <si>
    <t>70-74</t>
  </si>
  <si>
    <t>75-79</t>
  </si>
  <si>
    <t>80-84</t>
  </si>
  <si>
    <t>85-87</t>
  </si>
  <si>
    <t>https://www.mfa.gouv.qc.ca/fr/Famille/chiffres-famille-quebec/bulletin_quelle_famille/Pages/ete2014_no2_tab13.aspx</t>
  </si>
  <si>
    <t>VIE EN COUPLE</t>
  </si>
  <si>
    <t>Aussi : une part des femmes avec diplome universitaire occupent un emploi de type technique</t>
  </si>
  <si>
    <t>Conjoint</t>
  </si>
  <si>
    <t>Emploi avec formation secondaire : Conducteur de camion de transport</t>
  </si>
  <si>
    <t>Chauffeurs-livreurs et chauffeuses-livreuses – services de livraison et de messagerie</t>
  </si>
  <si>
    <t>http://www.stat.gouv.qc.ca/statistiques/travail-remuneration/resultats-erg-2017.pdf</t>
  </si>
  <si>
    <t>CNP : 7514</t>
  </si>
  <si>
    <t>Salaire annuel-moyen (secteur fabrication)</t>
  </si>
  <si>
    <t>Utilisation des salaires de la grille</t>
  </si>
  <si>
    <t>Salaire minimum - secteur fabrication (si grille)</t>
  </si>
  <si>
    <t>Salaire maximum - secteur fabrication (si grille)</t>
  </si>
  <si>
    <t>http://www.stat.gouv.qc.ca/statistiques/population-demographie/deces-mortalite/4p1.htm</t>
  </si>
  <si>
    <t>RETRAITE</t>
  </si>
  <si>
    <t>ELLE</t>
  </si>
  <si>
    <t>PSV</t>
  </si>
  <si>
    <t>Prise à 65 ans</t>
  </si>
  <si>
    <t>Max selon taxp prep 2018</t>
  </si>
  <si>
    <t>https://www.canada.ca/fr/services/prestations/pensionspubliques/rpc/securite-vieillesse/paiements.html#tbl1</t>
  </si>
  <si>
    <t>RREGOP</t>
  </si>
  <si>
    <t>Taux de cotisation 2018</t>
  </si>
  <si>
    <t>https://www.retraitequebec.gouv.qc.ca/fr/publications/rrsp/rregop/Pages/rregop.aspx</t>
  </si>
  <si>
    <t>MGA</t>
  </si>
  <si>
    <t>Admissible à rente entière à compter de 35 ans de service. Pourrait augmenter rente jusqu'à 40 ans.</t>
  </si>
  <si>
    <t>Pas avantageux dans cette situation.</t>
  </si>
  <si>
    <t>cotisations calculées sur l'excédent de :</t>
  </si>
  <si>
    <t>https://www.rrq.gouv.qc.ca/SiteCollectionDocuments/www.rrq.gouv.qc/Francais/publications/regime_rentes/retraite/1036f-calcul-rente.pdf</t>
  </si>
  <si>
    <t>taux de réduction</t>
  </si>
  <si>
    <t>RENTE DE BASE</t>
  </si>
  <si>
    <t xml:space="preserve">Années de services reconnues </t>
  </si>
  <si>
    <t xml:space="preserve">Rachat pour périodes de congé de maternité </t>
  </si>
  <si>
    <t>X</t>
  </si>
  <si>
    <t>Taux d'accumulation</t>
  </si>
  <si>
    <t>comprenant une période exonérée de 21 semaines (congé maternité)</t>
  </si>
  <si>
    <t>Salaire admissible moyen 5 meilleures années</t>
  </si>
  <si>
    <t>Enfant2</t>
  </si>
  <si>
    <t>Égale rente de base annuelle</t>
  </si>
  <si>
    <t>Estimateur :</t>
  </si>
  <si>
    <t>https://estimationrachat.carra.gouv.qc.ca/Estimation/Sommaire</t>
  </si>
  <si>
    <t>Les rachats sont déductiobles et affectent le FE</t>
  </si>
  <si>
    <t>COORDINATION AVEC RRQ à 65 ANS (PRISE DE LA RENTE).</t>
  </si>
  <si>
    <t>https://www.carra.gouv.qc.ca/fra/guide/administration/rachat_06_ss23.htm</t>
  </si>
  <si>
    <t>Preuves PDF.</t>
  </si>
  <si>
    <t>Taux annuel de coordination</t>
  </si>
  <si>
    <t xml:space="preserve">Moins élevé </t>
  </si>
  <si>
    <t>Salaire admissible moyen de ses 5 dernières années de service  ou</t>
  </si>
  <si>
    <t>Moyenne des MGA de ses 5 dernières années de service (2018)</t>
  </si>
  <si>
    <t>Diminution de la rente RREGOP</t>
  </si>
  <si>
    <t>Net</t>
  </si>
  <si>
    <t>Avec prestations débutant à 61 ans (statistiques femme RRQ)</t>
  </si>
  <si>
    <t>RÉGIE DES RENTES</t>
  </si>
  <si>
    <t>Montant maximal (2018)</t>
  </si>
  <si>
    <t>Age prise RRQ</t>
  </si>
  <si>
    <t>60 ans</t>
  </si>
  <si>
    <t>61 ans</t>
  </si>
  <si>
    <t>62 ans</t>
  </si>
  <si>
    <t>63 ans</t>
  </si>
  <si>
    <t>64 ans</t>
  </si>
  <si>
    <t>65 ans</t>
  </si>
  <si>
    <t>66 ans</t>
  </si>
  <si>
    <t>67 ans</t>
  </si>
  <si>
    <t>68 ans</t>
  </si>
  <si>
    <t>69 ans</t>
  </si>
  <si>
    <t>70 ans</t>
  </si>
  <si>
    <t>Revenus exclus (2018)</t>
  </si>
  <si>
    <t>Taux de réduction/bonification</t>
  </si>
  <si>
    <t>25% de la moyenne des revenus cotisés (2018)</t>
  </si>
  <si>
    <t>Rente annuelles</t>
  </si>
  <si>
    <t>Période de cotisation (ramenée en années)</t>
  </si>
  <si>
    <t xml:space="preserve">Nombre d’années </t>
  </si>
  <si>
    <t>Retrait de 15% des périodes avec revenus les plus faibles</t>
  </si>
  <si>
    <t>Revenu de travail admissible</t>
  </si>
  <si>
    <t>sans période de RQAP</t>
  </si>
  <si>
    <t>Rente annuelle RRQ</t>
  </si>
  <si>
    <t>Retrait des années avec réception de Paiement de soutien aux enfants</t>
  </si>
  <si>
    <t>Rente ajustée</t>
  </si>
  <si>
    <t>Retrait année de naissance</t>
  </si>
  <si>
    <t>Retrait années naissance</t>
  </si>
  <si>
    <t>Couple</t>
  </si>
  <si>
    <t>Rente annuelle</t>
  </si>
  <si>
    <t>avec 2 périodes de RQAP</t>
  </si>
  <si>
    <t>ajustée</t>
  </si>
  <si>
    <t>Mono</t>
  </si>
  <si>
    <t>avec 1 période de RQAP</t>
  </si>
  <si>
    <t>CONJOINT</t>
  </si>
  <si>
    <t>Avec prestations débutant à 63 ans (âge de prise de retraite secteur privé)</t>
  </si>
  <si>
    <t>Retrait de 15% des périodes avec revenus les plus faibles (premières années)</t>
  </si>
  <si>
    <t>Rente anticipée</t>
  </si>
  <si>
    <t>Montant total touché si prise à 63 ans :</t>
  </si>
  <si>
    <t>https://www.rrq.gouv.qc.ca/fr/travail/travail_retraite/prendre_retraite/Pages/prendre_retraite_rrq.aspx</t>
  </si>
  <si>
    <t>PRESTATION DE DÉCÈS RRQ</t>
  </si>
  <si>
    <t xml:space="preserve">Imposable </t>
  </si>
  <si>
    <t>Non pris en compte</t>
  </si>
  <si>
    <t>RENTE DE CONJOINT SURVIVANT RRQ</t>
  </si>
  <si>
    <t>https://www.rrq.gouv.qc.ca/fra/porrq/Content/110_Calculs/113/PO113-60.htm</t>
  </si>
  <si>
    <t>Maximum de l'un ou l'autre</t>
  </si>
  <si>
    <t xml:space="preserve">60% des deux rentes </t>
  </si>
  <si>
    <t>conjoint survivant plus de 65 ans</t>
  </si>
  <si>
    <t>100%+37,5%</t>
  </si>
  <si>
    <t>Plafond</t>
  </si>
  <si>
    <t>PÉRIODES DE CONGÉ POUR L'ARRIVÉE DES ENFANTS</t>
  </si>
  <si>
    <t>Régime de base</t>
  </si>
  <si>
    <t>1er enfant</t>
  </si>
  <si>
    <t>Congé de maternité</t>
  </si>
  <si>
    <t>taux</t>
  </si>
  <si>
    <t>Semaines</t>
  </si>
  <si>
    <t>Simulateur</t>
  </si>
  <si>
    <t>Congé de paternité</t>
  </si>
  <si>
    <t>voir si vaut la peine</t>
  </si>
  <si>
    <t>http://www.rqapenligne.gouv.qc.ca/fap/fap121web/simuler.aspx?lang=fra</t>
  </si>
  <si>
    <t>Annuel</t>
  </si>
  <si>
    <t>Semaine</t>
  </si>
  <si>
    <t>Congé parental mère</t>
  </si>
  <si>
    <t>Salaire utilisé femme</t>
  </si>
  <si>
    <t>Salaire utilisé homme</t>
  </si>
  <si>
    <t>Congé parental mère (2)</t>
  </si>
  <si>
    <t xml:space="preserve">Congé parental père </t>
  </si>
  <si>
    <t>Total</t>
  </si>
  <si>
    <t>Elle total</t>
  </si>
  <si>
    <t>On fait travailler Elle 4 semaines.</t>
  </si>
  <si>
    <t>Lui Total</t>
  </si>
  <si>
    <t>On fait travailler Lui 45 semaines.</t>
  </si>
  <si>
    <t>2e enfant</t>
  </si>
  <si>
    <t>Enfants</t>
  </si>
  <si>
    <t>Premier enfant est un garcon:</t>
  </si>
  <si>
    <t>Comme c’est le cas chaque année, il est né en 2017 un peu plus de garçons (42 900) que de filles (41 000). Le rapport de masculinité à la naissance est d’environ 105 garçons pour 100 filles.</t>
  </si>
  <si>
    <t>http://www.stat.gouv.qc.ca/statistiques/population-demographie/bulletins/coupdoeil-no65.pdf</t>
  </si>
  <si>
    <t>Hypothèses</t>
  </si>
  <si>
    <t>Célibataire, couple, monoparentale</t>
  </si>
  <si>
    <t>Montant pour personne seule</t>
  </si>
  <si>
    <t>Déduction pour RPA</t>
  </si>
  <si>
    <t>Déduction/crédit pour cotisation syndicale</t>
  </si>
  <si>
    <t>Crédit pour maintien à domicile (Qc)</t>
  </si>
  <si>
    <t>Montant pour revenu de pension (Fédéral)</t>
  </si>
  <si>
    <t>Montant pour revenus de retraite (Qc)</t>
  </si>
  <si>
    <t>Montant en raison de l'âge (Féd et Qc)</t>
  </si>
  <si>
    <t>Frais de garde pour enfant 1</t>
  </si>
  <si>
    <t>Frais de garde pour enfant 2</t>
  </si>
  <si>
    <t>Montant pour revenu de pension du conjoint (Fédéral)</t>
  </si>
  <si>
    <t>Montant pour revenus de retraite du conjoint (Qc)</t>
  </si>
  <si>
    <t>Montant en raison de l'âge du conjoint (Féd et Qc)</t>
  </si>
  <si>
    <t>Frais médicaux (Féd)</t>
  </si>
  <si>
    <t>Fractionnement du revenu de pension (Fédéral)</t>
  </si>
  <si>
    <t>Fractionnement du revenu de pension (Qc)</t>
  </si>
  <si>
    <t>Montant pour études post-secondaires (enfant 2 mineur)</t>
  </si>
  <si>
    <t>Montant pour études post-secondaires (enfant 2 majeur)</t>
  </si>
  <si>
    <t>Frais de scolarité transférés (enfant 2)</t>
  </si>
  <si>
    <t>Prise en compte du revenu de l'enfant 2 (incl. cot. sociales et autres)</t>
  </si>
  <si>
    <t>Couple, monoparentale</t>
  </si>
  <si>
    <t>Montant pour études post-secondaires (enfant 1 mineur)</t>
  </si>
  <si>
    <t>Montant pour études post-secondaires (enfant 1 majeur)</t>
  </si>
  <si>
    <t>Prise en compte du revenu de l'enfant 1 (incl. cot. sociales et autres)</t>
  </si>
  <si>
    <t>Monoparentale</t>
  </si>
  <si>
    <t>Frais de scolarité transférés (enfant 1)</t>
  </si>
  <si>
    <t>Perte du crédit pour pers. vivant seule</t>
  </si>
  <si>
    <t>Montant pour pers. charge adm.</t>
  </si>
  <si>
    <t>Célibataire</t>
  </si>
  <si>
    <t>Revenu de travail</t>
  </si>
  <si>
    <t>Cotisation RPA</t>
  </si>
  <si>
    <t>Cotisation syndicale</t>
  </si>
  <si>
    <t>PRPA</t>
  </si>
  <si>
    <t>RRRQ</t>
  </si>
  <si>
    <t>Déduction pour travaileurs</t>
  </si>
  <si>
    <t>Montant pers. de base</t>
  </si>
  <si>
    <t>Montant pers. Seule (et revenus de retraite et âge)</t>
  </si>
  <si>
    <t>Crédit cotisations syndicales</t>
  </si>
  <si>
    <t>Impôts du Qc</t>
  </si>
  <si>
    <t>Net - Impôt du Qc à payer</t>
  </si>
  <si>
    <t>Déduction RPA</t>
  </si>
  <si>
    <t>Montant pers. de base (et revenu de pension+âge)</t>
  </si>
  <si>
    <t>Crédit cotisations sociales</t>
  </si>
  <si>
    <t>Montant canadien emploi</t>
  </si>
  <si>
    <t>Impôt du Canada</t>
  </si>
  <si>
    <t>Net Impôt du Canada</t>
  </si>
  <si>
    <t>Abattement</t>
  </si>
  <si>
    <t>Impôt à payer</t>
  </si>
  <si>
    <t>Revenu de travail  - Ella</t>
  </si>
  <si>
    <t>Prestation RQAP - Ella</t>
  </si>
  <si>
    <t>Cotisation RPA - Ella</t>
  </si>
  <si>
    <t>Cotisation syndicale - Ella</t>
  </si>
  <si>
    <t>PRPA - Ella</t>
  </si>
  <si>
    <t>PSV - Ella</t>
  </si>
  <si>
    <t>RRRQ - Ella</t>
  </si>
  <si>
    <t>Revenu de travail - Luis</t>
  </si>
  <si>
    <t>Prestation RQAP - Luis</t>
  </si>
  <si>
    <t>Cotisation REER - Luis</t>
  </si>
  <si>
    <t>Revenu REER - Luis</t>
  </si>
  <si>
    <t>PSV-Luis</t>
  </si>
  <si>
    <t>RRRQ -Luis</t>
  </si>
  <si>
    <t>Québec - Ella</t>
  </si>
  <si>
    <t>Montant pers. Seule (et revenus de retraite/ âge/additionnel pers. vivant seule)</t>
  </si>
  <si>
    <t>Montant pers. à charge et enfant majeur aux études post-secondaires</t>
  </si>
  <si>
    <t>Crédit pour frais de scol. ou d'examen transféré d'un enfant</t>
  </si>
  <si>
    <t>Fédéral - Ella</t>
  </si>
  <si>
    <t>Frais de garde d'enfants</t>
  </si>
  <si>
    <t>Montant pers. à charge admi.</t>
  </si>
  <si>
    <t>Frais médicaux</t>
  </si>
  <si>
    <t>Frais scol. transf. d'un enfant</t>
  </si>
  <si>
    <t>Québec - Luis</t>
  </si>
  <si>
    <t>Déduction pour REER</t>
  </si>
  <si>
    <t>Montant pers. de base et rev. retraite</t>
  </si>
  <si>
    <t>Fédéral - Luis</t>
  </si>
  <si>
    <t>Déduction REER</t>
  </si>
  <si>
    <t>Frais de scolarité</t>
  </si>
  <si>
    <t>Luis+Ella</t>
  </si>
  <si>
    <t xml:space="preserve">Impôt Québec </t>
  </si>
  <si>
    <t>Impôt fédéral</t>
  </si>
  <si>
    <t>Ligne 275 Ella</t>
  </si>
  <si>
    <t>Ligne 275 Luis</t>
  </si>
  <si>
    <t>Revenu familial</t>
  </si>
  <si>
    <t>Montant base enfant 1</t>
  </si>
  <si>
    <t>Montant base enfant 2</t>
  </si>
  <si>
    <t>Montant de base</t>
  </si>
  <si>
    <t>Excédent</t>
  </si>
  <si>
    <t>Taux de réduction</t>
  </si>
  <si>
    <t>Réduction</t>
  </si>
  <si>
    <t>Allocation annuelle</t>
  </si>
  <si>
    <t>1er Janv. 2019-30 juin 2019</t>
  </si>
  <si>
    <t>https://www.rrq.gouv.qc.ca/fr/enfants/naissance/paiement_soutien_enfants/Pages/montant.aspx#note1</t>
  </si>
  <si>
    <t>Elle - sans enfants</t>
  </si>
  <si>
    <t xml:space="preserve">Retraite </t>
  </si>
  <si>
    <t xml:space="preserve">Revenu total </t>
  </si>
  <si>
    <t>Revenu disponible</t>
  </si>
  <si>
    <t>Dépenses totales, incluant taxes à la consommation</t>
  </si>
  <si>
    <t>Frais de scolarité de Elle (ajouté car retrait des dép. non taxables)</t>
  </si>
  <si>
    <t>Consommation régulière- pour validation</t>
  </si>
  <si>
    <t>Consommation non taxable moyenne EDM</t>
  </si>
  <si>
    <t>Consommation non taxable EDM (régression Antoine Mars 2019)</t>
  </si>
  <si>
    <t>Consommation taxable EDM (régression Antoine Mars 2019)</t>
  </si>
  <si>
    <t>Consommation taxable dérivée (métho utilisée par Antoine)</t>
  </si>
  <si>
    <t>Taxes de vente (métho utilisée par Antoine)</t>
  </si>
  <si>
    <t>TPS</t>
  </si>
  <si>
    <t>TVQ</t>
  </si>
  <si>
    <t>Note : La moyenne de dépenses associées au loyer, nourriture achetée en épicerie, loterie et dons était de  14728 $ en 2015.</t>
  </si>
  <si>
    <t>TEST</t>
  </si>
  <si>
    <t>$ tax</t>
  </si>
  <si>
    <t>cons. non taxable/cons. Tot</t>
  </si>
  <si>
    <t>Comment.</t>
  </si>
  <si>
    <t>Dépense non taxable moyenne</t>
  </si>
  <si>
    <t>Suzie</t>
  </si>
  <si>
    <t>Antoine</t>
  </si>
  <si>
    <t>EDM type ménage,moy</t>
  </si>
  <si>
    <t>EDM 3e quintile</t>
  </si>
  <si>
    <t>Modèle</t>
  </si>
  <si>
    <t>EDM (par type de ménage)</t>
  </si>
  <si>
    <t>Cadre alternatif</t>
  </si>
  <si>
    <t>Célibataire 100%</t>
  </si>
  <si>
    <t>OK</t>
  </si>
  <si>
    <t>Trop élevé, trop de consommation</t>
  </si>
  <si>
    <t>Inclusion des taxes à la consommation dans le concept de charge fiscale</t>
  </si>
  <si>
    <t>Couple (100+67% Suzie)</t>
  </si>
  <si>
    <t>Voir %</t>
  </si>
  <si>
    <t>Trop élevé, trop de consommation car devrait être plus faible puisque revenus utilisés correspondent à environ 200% voir possibilité de geler la part non taxable à un certain niveau</t>
  </si>
  <si>
    <t>Comparaison interprovinciale</t>
  </si>
  <si>
    <t>Couple avec enfants (100+67 Suzie)</t>
  </si>
  <si>
    <t>Document de travail 2016/05</t>
  </si>
  <si>
    <t>Mono (2 enfants pour Suzie)</t>
  </si>
  <si>
    <t>EDM (CANSIM 203-0022) présente dépenses selon revenu  avant impôt.</t>
  </si>
  <si>
    <t>Dépenses des ménages selon le quintile de revenu du ménage, Canada, régions et provinces c 1 2 3 4 5</t>
  </si>
  <si>
    <t>Annuelle</t>
  </si>
  <si>
    <t>Tableau: 11-10-0223-01 (anciennement CANSIM 203-0022)</t>
  </si>
  <si>
    <t>Géographie: Canada</t>
  </si>
  <si>
    <t>Québec (carte)</t>
  </si>
  <si>
    <t>Tous les quintiles</t>
  </si>
  <si>
    <t>Quintile inférieur</t>
  </si>
  <si>
    <t>Deuxième quintile</t>
  </si>
  <si>
    <t>Troisième quintile</t>
  </si>
  <si>
    <t>Quatrième quintile</t>
  </si>
  <si>
    <t>Quintile supérieur</t>
  </si>
  <si>
    <t>Dépenses des ménages, catégories de niveau sommaire</t>
  </si>
  <si>
    <t>Dépense moyenne par ménage</t>
  </si>
  <si>
    <t>Dollars</t>
  </si>
  <si>
    <t>Dépenses totales</t>
  </si>
  <si>
    <t>Corrections :</t>
  </si>
  <si>
    <t>[FR]Date :</t>
  </si>
  <si>
    <t>[FR]Note :</t>
  </si>
  <si>
    <t>2017-11-09T05:00:00Z</t>
  </si>
  <si>
    <t>Le 9 novembre 2017, les données de 2014 ont été corrigées pour la série « Maquillage, soins de la peau, produits pour manucures et parfums ». En conséquence, les séries « Produits de soins personnels », « Soins personnels », « Consommation courante totale » et « Dépenses totales » pourraient aussi avoir changé.</t>
  </si>
  <si>
    <t>Renvois :</t>
  </si>
  <si>
    <t>Tous les ménages sont classés par ordre croissant selon leur revenu avant impôt. La population est ensuite divisée en cinq groupes comprenant un nombre égal d'unités, appelées les quintiles. Les limites de revenus sont disponibles sur demande auprès du Service à la clientèle.</t>
  </si>
  <si>
    <t>Pour plus de renseignements sur la méthodologie, la qualité des données, la définition des variables et les produits de données de l'enquête, voir le Guide de l'utilisateur de l'Enquête sur les dépenses des ménages (numéro 62F0026MIF au catalogue) qui est disponible gratuitement sur le site web de Statistique Canada : Série de documents de recherche sur les dépenses des ménages.</t>
  </si>
  <si>
    <t>Pour 2012, des données sur les dépenses des ménages ont également été collectées pour les trois territoires. Ces données sont disponibles dans le tableau CANSIM 203-0030. Il faut cependant faire preuve de prudence lors de la comparaison des données provinciales et territoriales puisque les méthodes de collecte diffèrent.</t>
  </si>
  <si>
    <t>L'Enquête sur les dépenses des ménages utilise des poids d'enquête qui tiennent compte des projections démographiques basées sur le Recensement de 2011.</t>
  </si>
  <si>
    <t>Afin d'assurer la qualité des données, la suppression des estimations de dépenses est basée sur le coefficient de variation (CV). Les dépenses ayant un CV supérieur ou égal à 35 % sont supprimées puisqu'elles ne sont pas assez fiables pour être publiées.</t>
  </si>
  <si>
    <t>Comment citer le produit :   Statistique Canada. Tableau 11-10-0223-01 Dépenses des ménages selon le quintile de revenu du ménage, Canada, régions et provinces</t>
  </si>
  <si>
    <t>https://www150.statcan.gc.ca/t1/tbl1/fr/tv.action?pid=1110022301</t>
  </si>
  <si>
    <t>Elle - avec conjoint et 2 enfants</t>
  </si>
  <si>
    <t>Décès conjoint</t>
  </si>
  <si>
    <t>En couple</t>
  </si>
  <si>
    <t>1er enfant école</t>
  </si>
  <si>
    <t>2e enfant école</t>
  </si>
  <si>
    <t>1er enfant quitte famille</t>
  </si>
  <si>
    <t>2e enfant quitte la famille</t>
  </si>
  <si>
    <t>Revenu total</t>
  </si>
  <si>
    <t>RQAP</t>
  </si>
  <si>
    <t>Frais de scolarité de Elle  (ajouté car retrait des dép. non taxables)</t>
  </si>
  <si>
    <t>Frais de garde de Elle (ajouté car retrait des dép. non taxables)</t>
  </si>
  <si>
    <t>Elle avec enfant (monoparentale à 40 ans)</t>
  </si>
  <si>
    <t>Rupture union</t>
  </si>
  <si>
    <t>Source : CEFQ, Se tourner vers l'avenir du Québec, vol 1, p. 226 et suivantes</t>
  </si>
  <si>
    <t>Calculs tirés du fichier d'Antoine - Comparaison calcul  des taxes à la consommation</t>
  </si>
  <si>
    <t>1 point de TVQ</t>
  </si>
  <si>
    <t>Revenu de travail/pension</t>
  </si>
  <si>
    <t>cple 2 présco</t>
  </si>
  <si>
    <t>cple 2 age sco</t>
  </si>
  <si>
    <t>couple 1 présco</t>
  </si>
  <si>
    <t>mono un presco</t>
  </si>
  <si>
    <t>mono age sco</t>
  </si>
  <si>
    <t>seule</t>
  </si>
  <si>
    <t>cple sans</t>
  </si>
  <si>
    <t>cple +65</t>
  </si>
  <si>
    <t>À NE PAS PUBLIER</t>
  </si>
  <si>
    <t>points</t>
  </si>
  <si>
    <t>Seule 0 revenu</t>
  </si>
  <si>
    <t>Couple 1 présco, pas de revenu</t>
  </si>
  <si>
    <t>Étudiant</t>
  </si>
  <si>
    <t>Âgée seule</t>
  </si>
  <si>
    <t>Étudiant+prêt</t>
  </si>
  <si>
    <t>Moyenne</t>
  </si>
  <si>
    <t>Cas manquants</t>
  </si>
  <si>
    <t>Méthode de la moyenne des deux plus proches</t>
  </si>
  <si>
    <t>Méthode par droite de régression</t>
  </si>
  <si>
    <t>cple 1 présco+1 sco</t>
  </si>
  <si>
    <t>cple 1 age sco</t>
  </si>
  <si>
    <t>seule+65</t>
  </si>
  <si>
    <t>Pente</t>
  </si>
  <si>
    <t>Constante</t>
  </si>
  <si>
    <t>Pourcentage du revenu - données de base</t>
  </si>
  <si>
    <t>Pourcentage du revenu - Moyenne des 2 plus proches</t>
  </si>
  <si>
    <t>Pourcentage du revenu - Régression</t>
  </si>
  <si>
    <t>Pourcentage du revenu méthode originale</t>
  </si>
  <si>
    <t>Étudiant post-secondaire</t>
  </si>
  <si>
    <t>Bénéficiaire de l'aide sociale</t>
  </si>
  <si>
    <t>Jeune famille</t>
  </si>
  <si>
    <t>Famille en milieu de vie</t>
  </si>
  <si>
    <t>Famille monoparentale</t>
  </si>
  <si>
    <t>Couple sans enfant</t>
  </si>
  <si>
    <t>Personne seule</t>
  </si>
  <si>
    <t>Retraités</t>
  </si>
  <si>
    <t>Seul</t>
  </si>
  <si>
    <t>Couple avec enfant</t>
  </si>
  <si>
    <t>2 enfants en SGCR</t>
  </si>
  <si>
    <t>2 enfants en garderie privée</t>
  </si>
  <si>
    <t>2 enfants à l'école publique</t>
  </si>
  <si>
    <t>2 enfants à l'école privée</t>
  </si>
  <si>
    <t>1 enfant en SGCR</t>
  </si>
  <si>
    <t>Couple avec un travailleur retraité</t>
  </si>
  <si>
    <t>Couple avec deux travailleurs retraités</t>
  </si>
  <si>
    <t>Revenus autonomes</t>
  </si>
  <si>
    <t>Revenus de travail</t>
  </si>
  <si>
    <t>Revenus de retraite autonomes</t>
  </si>
  <si>
    <t>Taux TPS+TVQ sur revenu autonome</t>
  </si>
  <si>
    <t>Statistiques fiscales des particuliers 2015</t>
  </si>
  <si>
    <t>http://www.finances.gouv.qc.ca/documents/statistiques/fr/STAFR_sfp_2015.pdf</t>
  </si>
  <si>
    <t>Nombre avec revenu de travail</t>
  </si>
  <si>
    <t>Nombre de cotisants</t>
  </si>
  <si>
    <t>%</t>
  </si>
  <si>
    <t>Montant</t>
  </si>
  <si>
    <t>Moyenne par cotisants</t>
  </si>
  <si>
    <t>Moyenne par cotisants indéxé</t>
  </si>
  <si>
    <t>35000-39999</t>
  </si>
  <si>
    <t>40000-44999</t>
  </si>
  <si>
    <t>45000-49999</t>
  </si>
  <si>
    <t>50000-59999</t>
  </si>
  <si>
    <t>60000-69999</t>
  </si>
  <si>
    <t>Pour validation</t>
  </si>
  <si>
    <t>Utilisation du simulateur RRQ (SimulR)</t>
  </si>
  <si>
    <t>https://www.rrq.gouv.qc.ca/fr/planification/simulr/Pages/rapport.aspx</t>
  </si>
  <si>
    <t>Cotisations utilisées : cotisation moyenne hebdomadaire:</t>
  </si>
  <si>
    <t>Résultat :</t>
  </si>
  <si>
    <t>REER</t>
  </si>
  <si>
    <t>63 et 64 ans :</t>
  </si>
  <si>
    <t>65+</t>
  </si>
  <si>
    <t>Attention, rente RRQ calculée pour un revenu de travail annuel de 56403 alors que calcul utilisé est basé sur revenu réel.</t>
  </si>
  <si>
    <t>Accumulation revenus de retraite</t>
  </si>
  <si>
    <t>Sources : Fichier de Anna</t>
  </si>
  <si>
    <t>Inputs</t>
  </si>
  <si>
    <t>Allocation</t>
  </si>
  <si>
    <t>Conservative</t>
  </si>
  <si>
    <t>Balanced</t>
  </si>
  <si>
    <t>Aggressive</t>
  </si>
  <si>
    <t>Percent of salary invested</t>
  </si>
  <si>
    <t>Short-term</t>
  </si>
  <si>
    <t>Inflation rate</t>
  </si>
  <si>
    <t>Fixed-income</t>
  </si>
  <si>
    <t>Short-term return</t>
  </si>
  <si>
    <t>Canadian equities</t>
  </si>
  <si>
    <t>Fixed-income return</t>
  </si>
  <si>
    <t>Foreign developed market equities</t>
  </si>
  <si>
    <t>Canadian equities return</t>
  </si>
  <si>
    <t>Emerging market equities</t>
  </si>
  <si>
    <t>Foreign developed market equities return</t>
  </si>
  <si>
    <t>Gross return before fees</t>
  </si>
  <si>
    <t>Emerging market equities return</t>
  </si>
  <si>
    <t>Assumed fees</t>
  </si>
  <si>
    <t>Borrowing rate</t>
  </si>
  <si>
    <t>Net return after fees</t>
  </si>
  <si>
    <t>MPE growth rate</t>
  </si>
  <si>
    <t>Rounded net return</t>
  </si>
  <si>
    <t>Disposable income</t>
  </si>
  <si>
    <t>Portfolio type</t>
  </si>
  <si>
    <t>Principal</t>
  </si>
  <si>
    <t>Return on investment</t>
  </si>
  <si>
    <r>
      <t>Interest earned (</t>
    </r>
    <r>
      <rPr>
        <sz val="11"/>
        <color rgb="FFFF0000"/>
        <rFont val="Calibri"/>
        <family val="2"/>
        <scheme val="minor"/>
      </rPr>
      <t>discounted</t>
    </r>
    <r>
      <rPr>
        <sz val="11"/>
        <color theme="1"/>
        <rFont val="Calibri"/>
        <family val="2"/>
        <scheme val="minor"/>
      </rPr>
      <t>)</t>
    </r>
  </si>
  <si>
    <t>Yearly earnings</t>
  </si>
  <si>
    <t>Cumulative savings</t>
  </si>
  <si>
    <t>Withdrawals</t>
  </si>
  <si>
    <t>Note: Le revenu de travail n'est que de 46232 (naissance enfnat 2) mais le revenu de RQAP est de 4940. Total : 51172</t>
  </si>
  <si>
    <t>Consevative</t>
  </si>
  <si>
    <t>Source</t>
  </si>
  <si>
    <t>Retrait % du solde</t>
  </si>
  <si>
    <t>Retrait minimum</t>
  </si>
  <si>
    <t>https://www.cqff.com/tableaux_utiles/tab_retraitferr.pdf</t>
  </si>
  <si>
    <t>Règles du FERR</t>
  </si>
  <si>
    <t>Crédit d'impôt pour maintien à domicile des aînés</t>
  </si>
  <si>
    <t>Répartition de la population de 15 ans et plus selon la situation conjugale, le groupe d'âge et le sexe, Québec, 2016</t>
  </si>
  <si>
    <t>75+</t>
  </si>
  <si>
    <t>Sexe et groupe d'âge</t>
  </si>
  <si>
    <t>Vivant avec un conjoint</t>
  </si>
  <si>
    <t>Ne vivant pas avec un conjoint</t>
  </si>
  <si>
    <t xml:space="preserve">Nombre de contribuables </t>
  </si>
  <si>
    <t>Marié</t>
  </si>
  <si>
    <t>Union libre</t>
  </si>
  <si>
    <t>Jamais marié</t>
  </si>
  <si>
    <t>Séparé</t>
  </si>
  <si>
    <t xml:space="preserve">  Divorcé</t>
  </si>
  <si>
    <t xml:space="preserve">  Veuf</t>
  </si>
  <si>
    <t>bénéficiaires du crédit</t>
  </si>
  <si>
    <t>1 par couple</t>
  </si>
  <si>
    <t>peut viser 2 personnes</t>
  </si>
  <si>
    <t>n</t>
  </si>
  <si>
    <t>Sexes réunis</t>
  </si>
  <si>
    <t>46% vivent avec conjoint</t>
  </si>
  <si>
    <t>15 et plus</t>
  </si>
  <si>
    <t>Vivant avec conjoint</t>
  </si>
  <si>
    <t xml:space="preserve">  15-19</t>
  </si>
  <si>
    <t>Contribuable ajusté</t>
  </si>
  <si>
    <t xml:space="preserve">  20-24</t>
  </si>
  <si>
    <t xml:space="preserve">  25-29</t>
  </si>
  <si>
    <t xml:space="preserve">  30-34</t>
  </si>
  <si>
    <t>Valeur du crédit moyen par contribuable</t>
  </si>
  <si>
    <t xml:space="preserve">  35-39</t>
  </si>
  <si>
    <t>Taux du crédit</t>
  </si>
  <si>
    <t xml:space="preserve">  40-44</t>
  </si>
  <si>
    <t>Dépense moyenne</t>
  </si>
  <si>
    <t xml:space="preserve">  45-49</t>
  </si>
  <si>
    <t xml:space="preserve">Dépense indexée moyenne </t>
  </si>
  <si>
    <t xml:space="preserve">  50-54</t>
  </si>
  <si>
    <t xml:space="preserve">  55-59</t>
  </si>
  <si>
    <t>Source : Statistiques fiscales des particuliers 2015</t>
  </si>
  <si>
    <t xml:space="preserve">  60-64</t>
  </si>
  <si>
    <t xml:space="preserve">  65-69</t>
  </si>
  <si>
    <t>Dépense indexée pour le couple :</t>
  </si>
  <si>
    <t xml:space="preserve">  70-74</t>
  </si>
  <si>
    <t xml:space="preserve">  75-79</t>
  </si>
  <si>
    <t xml:space="preserve">  80-84</t>
  </si>
  <si>
    <t xml:space="preserve">  85 et plus</t>
  </si>
  <si>
    <t>Hommes</t>
  </si>
  <si>
    <t>Femmes</t>
  </si>
  <si>
    <t>Note : L'arrondissement des données peut entraîner des écarts mineurs entre le total et la somme des parties.</t>
  </si>
  <si>
    <t>Source : Statistique Canada, Recensement de 2016. Adapté par l'Institut de la statistique du Québec.</t>
  </si>
  <si>
    <t>12 décembre 2017</t>
  </si>
  <si>
    <t>http://www.stat.gouv.qc.ca/statistiques/population-demographie/familles-menages/202_2016.htm</t>
  </si>
  <si>
    <t>Source :</t>
  </si>
  <si>
    <t>ISQ,  Répartition de la population de 15 ans et plus selon la situation conjugale, le groupe d'âge et le sexe, Québec, 2016</t>
  </si>
  <si>
    <t>Scénario 1</t>
  </si>
  <si>
    <t>Études post-secondaires</t>
  </si>
  <si>
    <t>Vie active seule</t>
  </si>
  <si>
    <t>Vie à la retraite seule</t>
  </si>
  <si>
    <t>Scénario 2</t>
  </si>
  <si>
    <t>Vie active en couple</t>
  </si>
  <si>
    <t>Vie à la retraite en couple</t>
  </si>
  <si>
    <t>Vie à la retraite seule (2)</t>
  </si>
  <si>
    <t>Scénario 3</t>
  </si>
  <si>
    <t>Vie active monoparentale</t>
  </si>
  <si>
    <t>Âge moyen de formation des couples</t>
  </si>
  <si>
    <t>Par ailleurs, pour être considérés comme vivant en couple au recensement, les partenaires en union libre doivent résider à la même adresse (cette condition n’est pas nécessaire pour les conjoints mariés (Statistique Canada, 2016a)). Or, certaines personnes entretiennent une relation de couple stable sans nécessairement vivre sous le même toit. On parle alors d’«union non cohabitante» ou de «couples vivant chacun chez soi» (VCCS), «living apart together» (LAT) en anglais. Selon les plus récentes données disponibles de l’Enquête sociale générale sur la famille, en 2011 au Québec, 7% des personnes de 20 ans et plus faisaient partie d’un couple non cohabitant (Statistique Canada, demande spéciale). Si les jeunes adultes sont plus susceptibles d’être dans ce type de relation, cette réalité peut s’observer à tous les âges (Turcotte, 2013).</t>
  </si>
  <si>
    <t>J'ai trouvé une tableau de: Répartition de la population de 15 ans et plus selon la situation conjugale, le groupe d'âge et le sexe, Québec, 2011</t>
  </si>
  <si>
    <t>Le bilan démographique du Québec Édition 2017 p.103</t>
  </si>
  <si>
    <t>ISQ, Statistiques et publications, Population et démographie, Familles et ménages,
Tableau: Répartition de la population de 15 ans et plus selon la situation conjugale, le groupe d'âge et le sexe</t>
  </si>
  <si>
    <t>La définition du recensement nécessite cohaitation mais ne stipule pas sur la durée de cette cohabitation.</t>
  </si>
  <si>
    <t>http://www.stat.gouv.qc.ca/statistiques/population-demographie/familles-menages/202_2011.htm</t>
  </si>
  <si>
    <t>La définition fiscale : vivre maritalement depuis au moins 12 mois avec conjoint. Il faut comprendre que cette période ne s'Applique pas dans le cas de personnes mariées qui deviennet conjoint au sens de l'impôt dès le marriage.</t>
  </si>
  <si>
    <t>Impact : perte plus rapide du crédit impôt solidarité et crédit TPS pour chacun des conjoints.</t>
  </si>
  <si>
    <t>Marriage:</t>
  </si>
  <si>
    <t>Pas utilisé car :</t>
  </si>
  <si>
    <t>"En 2015, l’âge moyen au premier mariage est de 33,3 ans chez les hommes et de 31,8 ans chez les femmes"</t>
  </si>
  <si>
    <t>Fréquentation avant mariage - conjoint au sens de l'impôt</t>
  </si>
  <si>
    <t>P2 deuxième colonne, Coup d'œil sociodémographique, Les marriages au Québec en 2015, ISQ</t>
  </si>
  <si>
    <t>Elle : enfant à 29 ans</t>
  </si>
  <si>
    <t xml:space="preserve">http://www.stat.gouv.qc.ca/statistiques/population-demographie/bulletins/coupdoeil-no49.pdf </t>
  </si>
  <si>
    <t>Alternatif :</t>
  </si>
  <si>
    <t>En 2016, c’est à 30 ans que les premiers mariages sont les plus fréquents chez les hommes, avec un taux de primo-nuptialité de près de 19 pour mille. Chez les femmes, les taux culminent à 22 pour mille à l’âge de 28 ans.</t>
  </si>
  <si>
    <t>Différence d'âge moyenne au sein des couples hétérosexuels</t>
  </si>
  <si>
    <t xml:space="preserve">L'homme est en moyenne plus vieux de 2.6 ans (2001)
</t>
  </si>
  <si>
    <t>Hypothèse de formation du couple 1 an avant le mariage. 27 ans</t>
  </si>
  <si>
    <t>Chez les couples de sexe opposé, l’écart d’âge</t>
  </si>
  <si>
    <t>entre les conjoints qui se sont mariés en 2016 est de</t>
  </si>
  <si>
    <t>4,3 ans en moyenne.</t>
  </si>
  <si>
    <r>
      <t xml:space="preserve">On constate que les cas les plus fréquents sont les mariages qui unissent deux conjoints du même âge et ceux dont l’homme a un an de plus que sa conjointe (environ 11,5 % chacun). D’ailleurs, les couples ayant un écart d’âge de </t>
    </r>
    <r>
      <rPr>
        <b/>
        <i/>
        <sz val="11"/>
        <color theme="1"/>
        <rFont val="Calibri"/>
        <family val="2"/>
        <scheme val="minor"/>
      </rPr>
      <t>trois ans ou moins comptent pour un peu plus de la moitié des mariages de 2016.</t>
    </r>
  </si>
  <si>
    <t>Source : Le bilan démographique du Québec Édition 2017 p.105</t>
  </si>
  <si>
    <t>Hypothèse d'écart de trois ans (compromis entre fréquence et moyenne - médiane estimée)</t>
  </si>
  <si>
    <t>Âge moyen de la mère au moment de la naissance du premier enfant</t>
  </si>
  <si>
    <t>29 ans, 2015</t>
  </si>
  <si>
    <t>P36, section La fécondité selon le rang de naissance
Le bilan démographique du Québec, Édition 2016, ISQ</t>
  </si>
  <si>
    <t>http://www.stat.gouv.qc.ca/statistiques/population-demographie/bilan2016.pdf#page=31</t>
  </si>
  <si>
    <t>Âge moyen de la mère à la naissance du second enfant</t>
  </si>
  <si>
    <t>31.1 ans, 2015</t>
  </si>
  <si>
    <t xml:space="preserve"> </t>
  </si>
  <si>
    <t>Durée moyenne du congé de maternité et du congé de paternité, idéalement en fonction de l'âge et du nombre d'enfants</t>
  </si>
  <si>
    <t>Note: Il existe deux type de régime, le regime de base et particulier. Le régime particulier offre des congés plus cours mais des des prestation plus généreuse. Le régime de base est le plus populaire (voir onglet "congé maternité")</t>
  </si>
  <si>
    <t>Mère: 47,7 semaines</t>
  </si>
  <si>
    <t>Père: 6,6 semaines</t>
  </si>
  <si>
    <t>RAPPORT SUR LE PORTRAIT DES PRESTATAIRES DU RÉGIME QUÉBÉCOIS D’ASSURANCE PARENTALE 2014 
Tableau 4, p7</t>
  </si>
  <si>
    <t>http://www.cgap.gouv.qc.ca/statistiques/portrait.asp</t>
  </si>
  <si>
    <t xml:space="preserve">http://www.cgap.gouv.qc.ca/publications/pdf/Rapport_Portrait_Prestataires_RQAP-2014.pdf </t>
  </si>
  <si>
    <t>Âge moyen de prise de la retraite, idéalement selon le genre, la profession ou le niveau de salaire</t>
  </si>
  <si>
    <t>Âge moyen de la retraite, CANADA, 2015:</t>
  </si>
  <si>
    <t>Employé du secteur privé, Homme: 64.4 ans</t>
  </si>
  <si>
    <t>Employé du secteur public, Femme: 61.3 ans</t>
  </si>
  <si>
    <t>Tableau CANSIM 282-0051</t>
  </si>
  <si>
    <t>Cela dit, j'ai l'impression que l'âge de la retraite est plus faible au Québec.</t>
  </si>
  <si>
    <t>1)</t>
  </si>
  <si>
    <t>Âge moyen de la retraite au Québec en 2006: 59.9 ans (hommes) et 59.6 ans (femmes)
Âge moyen de la retraite au Canada en 2006: 62.1 ans (hommes) et 60.7 ans (femmes), (moyenne 61.5 ans)</t>
  </si>
  <si>
    <t>3)</t>
  </si>
  <si>
    <t>Québec, ISQ</t>
  </si>
  <si>
    <t>Canada, SC</t>
  </si>
  <si>
    <t>Différence</t>
  </si>
  <si>
    <t>Top p86, Le vieillissement émographique: de nombreux enjaux à déchiffrer, IQS</t>
  </si>
  <si>
    <t>Âge médian, 2007:</t>
  </si>
  <si>
    <t>Homme</t>
  </si>
  <si>
    <t xml:space="preserve">Femme </t>
  </si>
  <si>
    <t xml:space="preserve">http://www.stat.gouv.qc.ca/statistiques/conditions-vie-societe/vieillissement.pdf </t>
  </si>
  <si>
    <t>Secteur publique</t>
  </si>
  <si>
    <t>Seteur privé</t>
  </si>
  <si>
    <t>Trav. Indépendant</t>
  </si>
  <si>
    <t>?</t>
  </si>
  <si>
    <t>p136</t>
  </si>
  <si>
    <t>2)</t>
  </si>
  <si>
    <t xml:space="preserve">http://www.stat.gouv.qc.ca/statistiques/conditions-vie-societe/donnees-sociales09.pdf </t>
  </si>
  <si>
    <t>"... durant la période 1999-2004, les hommes prennent leur retraite en moyenne environ un an plus tôt au Québec que dans l’ensemble du Canada"</t>
  </si>
  <si>
    <t>Vie des générations et personnes âgées: aujourd'hui et demain, Volume 2, ISQ
Chapitre 11, fin p217.</t>
  </si>
  <si>
    <t xml:space="preserve">http://www.bdso.gouv.qc.ca/docs-ken/multimedia/PB01614FR_VieGenerationVo2_2007.pdf#page=217 </t>
  </si>
  <si>
    <t>Espérance de vie moyenne, idéalement selon le genre, la profession ou le niveau de salaire</t>
  </si>
  <si>
    <t>QC, à la naissance, 2017:</t>
  </si>
  <si>
    <t>QC, à 65 ans, 2017</t>
  </si>
  <si>
    <t>Femme: 84.5 ans</t>
  </si>
  <si>
    <t>Femme</t>
  </si>
  <si>
    <t>Homme: 80.6 ans</t>
  </si>
  <si>
    <t>p2, premier paragraphe,
Coup d'œil sociodémographique, La mortalité et l'espérance de vie au Québec en 2015, ISQ
Mai 2016, Numéro 48</t>
  </si>
  <si>
    <t xml:space="preserve">http://www.stat.gouv.qc.ca/statistiques/population-demographie/bulletins/coupdoeil-no48.pdf </t>
  </si>
  <si>
    <t>Espérance de vie en fonction de la santé, à la naissance et à 65 ans, selon le sexe et le revenu, Qc, 2005-2007</t>
  </si>
  <si>
    <t>Donnée par quintile de revenu</t>
  </si>
  <si>
    <t>Table 102-0122, CANSIM</t>
  </si>
  <si>
    <t>Taux d'épargne-retraite privée moyen, idéalement selon le genre</t>
  </si>
  <si>
    <t>En 2012 au Québec, médianne et moyenne des  régimes de pension privés (REER, FERR,CRI, RPA, autre) CELI, obligation d'épargne, etc. 
Par groupe d'âge et type de famille (familles de 2 ou +, personnes seules)</t>
  </si>
  <si>
    <t>CANSIM, Tableau 205-0002, 
Enquête sur la sécurité financière (ESF), composition de l'actif (incluant les régimes de pension agréés offerts par l'employeur évalués sur une base de terminaison) et de la dette détenus par l'ensemble des unités familiales, par groupe d'âge, Canada et provinces</t>
  </si>
  <si>
    <t>Cotisation médiane à un REER ($), par sex, Québec, 2015</t>
  </si>
  <si>
    <t>cansim, Tableau: 111-0039, Cotisations à un Régime enregistré d'épargne-retraite (REER), selon les caractéristiques des cotisants</t>
  </si>
  <si>
    <t>Pour 2013 au Québec. Tableau contenant la cotisation moyenne des individus cotisant au REER et au RCR celon le revenu (50 000$ et moins; 50 000% et plus)
Inclue le % de la population qui cotise</t>
  </si>
  <si>
    <t>P20, tableau 6, Consultation publique sur le régime de rentes du Québec, Constats sur la retraite au Québec</t>
  </si>
  <si>
    <t>http://www.rrq.gouv.qc.ca/SiteCollectionDocuments/www.rrq.gouv.qc/Francais/publications/regime_rentes/consultation_publique/1601f-constats-sur-la-retraite.pdf</t>
  </si>
  <si>
    <t>Taux d'épargne personelle moyen, Québec, 2008: 2.15%</t>
  </si>
  <si>
    <t>Tableau 1, p13
L'épargne au Québec: sa mesure et son importance 1981-2006, Vaillancourt, Laberge, Roy-César, Nadeau
Cirano, 2011</t>
  </si>
  <si>
    <t>https://www.cirano.qc.ca/fr/sommaires/2011RP-03</t>
  </si>
  <si>
    <t xml:space="preserve">https://www.cirano.qc.ca/files/publications/2011RP-03.pdf </t>
  </si>
  <si>
    <t>Étude CIRANO, 2006</t>
  </si>
  <si>
    <t>Pourrais être utile:
Répartition du revenu total moyen pour les contribuable de 50 ans et plus, par groupe d'âge, hommes et femmes, année 2005, Québec</t>
  </si>
  <si>
    <t>Tableau 2, p18,
Les revenus de retraite au Québec: Déternimamts de la situation actuelle et projection jusqu'en 2013
Régie des rentes du Québec</t>
  </si>
  <si>
    <t xml:space="preserve">https://www.rrq.gouv.qc.ca/SiteCollectionDocuments/www.rrq.gouv.qc/Francais/publications/etudes/etude_revenus_retraite.pdf </t>
  </si>
  <si>
    <t>Niveau d’épargne typique des travailleurs</t>
  </si>
  <si>
    <t>Au Québec, entre les sources différentes on trouve des taux d’épargne différents, mais par des facteurs de 0.2 %. Selon CIRANO, en 2015 les travailleurs au Québec épargnaient en moyen 5.4 % de leur revenu disponible, ce qui faisait un montant de 717 $ par an pour un ménage gagnant 40,927 $ avant les impôts (et donc 26,857 $ de revenu disponible). Statistique Canada met un pourcentage de 5.2 % pour 2015 et 5.0 % pour 2016. Malheureusement ces chiffres ne sont pas disponibles pour différents types de ménages</t>
  </si>
  <si>
    <t>Durée moyenne d’un mariage</t>
  </si>
  <si>
    <t>Selon Statistique Canada, la durée moyenne d’un mariage qui se terminait en divorce (en 2008) était 13.4 ans. Ce taux reste stable depuis 2001 avec une variance de +/- 0.1 an. Pour être cohérent, l’âge moyen des hommes au premier mariage en 2008 était 32.17 et pour les femmes c’était 30.30.</t>
  </si>
  <si>
    <t>40 ans (27+13)</t>
  </si>
  <si>
    <t>Enfants en CPE</t>
  </si>
  <si>
    <t>Enfants utilisent services de garde en milieu scolaire</t>
  </si>
  <si>
    <t>L'utilisation  croît avec revenu et niveau d'éducation de la mère</t>
  </si>
  <si>
    <t>ISQ. Volume 5, Fascicule 1, Juin 2010</t>
  </si>
  <si>
    <t>Les milieux de garde de la naissance à 8 ans :</t>
  </si>
  <si>
    <t>utilisation et effets sur le développement des enfants</t>
  </si>
  <si>
    <t>La majorité des familles (53%) a recours à une PCR</t>
  </si>
  <si>
    <t>Cette proportion augmente si les 2 parents travaillent.</t>
  </si>
  <si>
    <t>et 72% des enfants de moins de cinq ans gardés réglièerement le sont en PCR</t>
  </si>
  <si>
    <t>La grande majorité des familles québécoises ayant des enfants de moins de cinq ans recourent à la garde, qu’elle soit régulière ou irrégulière (environ 93 %)</t>
  </si>
  <si>
    <t>Lorsque les parents travaillent tous les 2, les enfants son gardés</t>
  </si>
  <si>
    <t>Enquête sur l’utilisation, les besoins et les préférences des familles en matière de services de garde, 2009</t>
  </si>
  <si>
    <t xml:space="preserve">Note : lorsque l'on considère l'ensemble des caractéristiques de nos personnages (revenu, études, travail), la majorité des enfants sont gardés de façon régulière. </t>
  </si>
  <si>
    <t>69,6% des ménages avec enfant de 5 a 11 ans utilisent services de garde en milieu scolaire</t>
  </si>
  <si>
    <t>Le recours à la garde habituelle pour les ménages en 2006.</t>
  </si>
  <si>
    <t>enfants âgés de 5 à 11 ans seulement : 69,6%</t>
  </si>
  <si>
    <t>enfants agés de moins de 5 ans et de 5 à 11 ans : 73,9%</t>
  </si>
  <si>
    <t>enfants agés de 5 à 11 ans et 12 ans et plus : 43,5%</t>
  </si>
  <si>
    <t>Institut de la statistique du Québec.</t>
  </si>
  <si>
    <t>Données sociodémographiques en bref | Volume 16, numéro 1, 2011</t>
  </si>
  <si>
    <r>
      <t xml:space="preserve">On pose l'hypothèse que les enfants utilisent le service de garde </t>
    </r>
    <r>
      <rPr>
        <b/>
        <i/>
        <sz val="11"/>
        <color rgb="FFC00000"/>
        <rFont val="Calibri"/>
        <family val="2"/>
        <scheme val="minor"/>
      </rPr>
      <t>de base</t>
    </r>
    <r>
      <rPr>
        <i/>
        <sz val="11"/>
        <color rgb="FFC00000"/>
        <rFont val="Calibri"/>
        <family val="2"/>
        <scheme val="minor"/>
      </rPr>
      <t xml:space="preserve">  en milieu scolaire jusqu'à ce que le plus vieux ait 12 ans.</t>
    </r>
  </si>
  <si>
    <t>Tarif 8,20$ par jour pour 198 jours (180 jours d'école, 18 pédagogiques)</t>
  </si>
  <si>
    <t>Été : camps de vacance.</t>
  </si>
  <si>
    <t>Je considère que les enfants n'utilisent pas car pas trouvé de données concluantes.</t>
  </si>
  <si>
    <t>Tableau 326-0021 Indice des prix à la consommation (IPC), annuel (2002=100)(2,9)</t>
  </si>
  <si>
    <t>Enquête ou programme::</t>
  </si>
  <si>
    <t>Indice des prix à la consommation - 2301</t>
  </si>
  <si>
    <t>Géographie</t>
  </si>
  <si>
    <t>Produits et groupes de produits</t>
  </si>
  <si>
    <t>Ensemble</t>
  </si>
  <si>
    <t>Ensemble excluant les boissons alcoolisées, les produits du tabac et les articles pour fumeurs</t>
  </si>
  <si>
    <t>Inflation 2018 selon budget 208-2019, page E.23 = 1,8%</t>
  </si>
  <si>
    <t>L'Indice des prix à la consommation (IPC) n'est pas un indice du coût de la vie. L'objectif d'un indice du coût de la vie est de mesurer les changements nécessaires dans les dépenses qui permettront aux consommateurs de maintenir leur niveau de vie. Le principe de base est que les consommateurs remplaceront normalement un produit par un autre produit équivalent selon les variations du prix relatif de ces produits. Par exemple, si le thé apporte la même satisfaction aux consommateurs que le café, on pourra remplacer le café par le thé lorsque le prix du thé diminue par rapport à celui du café. Ainsi, au produit le plus cher, on peut toujours substituer un produit équivalent moins cher. On pourrait calculer un indice du coût de la vie pour une seule personne, à la condition de connaître tous les goûts et toutes les habitudes de consommation de cette personne. Remplir cette condition pour un grand nombre de personnes n'est évidemment pas possible, et encore moins pour l'ensemble de la population du Canada. Les indices des prix à la consommation qui sont publiés régulièrement sont donc fondés sur le principe du panier fixe et non sur le principe du coût de la vie.</t>
  </si>
  <si>
    <t>Ce tableau remplace le tableau 326-0002 de CANSIM qui est archivé avec la diffusion des données d'avril 2007.</t>
  </si>
  <si>
    <t>Tous les biens et services inclus dans l'Indice des prix à la consommation (IPC) sont organisés dans une structure hiérarchique ayant comme premier niveau « IPC d'ensemble » avec les huit composantes principales suivantes : « aliments », « logement », « dépenses courantes, ameublement et équipement du ménage », « vêtements et chaussures », « transports », « soins de santé et soins personnels », « loisirs, formation et lecture » et « boissons alcoolisées et produits du tabac ». Ces composantes principales sont constituées de diverses sous-composantes qui sont à leur tour divisées en d'autres sous-composantes. Les sous-composantes sont décalées afin de montrer les divers niveaux d'agrégation. Par exemple, les huit composantes principales sont décalées d'un espace. NOTA : Certains éléments sont combinés à l'extérieur de la structure principale afin de calculer des agrégations spéciales tels que « IPC d'ensemble excluant les aliments et l'énergie », « énergie », « biens », « services » ou « fruits et légumes frais ». Ces agrégations spéciales se situent après les sous-composantes de la composante principale intitulée « boissons alcoolisées et produits du tabac ».</t>
  </si>
  <si>
    <t>L'agrégation « énergie » inclut les composantes suivantes : « électricité », « gaz naturel », « mazout et autres combustibles », « essence » et « carburant, pièces et accessoires pour véhicules de loisirs ».</t>
  </si>
  <si>
    <t>Statistique Canada. Tableau 326-0021 - Indice des prix à la consommation (IPC), annuel (2002=100 sauf indication contraire)</t>
  </si>
  <si>
    <t>(site consulté le 26 mars 2018)</t>
  </si>
  <si>
    <t>Base</t>
  </si>
  <si>
    <t>Commentaire Janvier 2019</t>
  </si>
  <si>
    <t>RENTE DE CONJOINT SURVIVANT : vérifier si correspond bien à 60%+60%.</t>
  </si>
  <si>
    <t>Corrigé. Plafonné à rente maximale.</t>
  </si>
  <si>
    <t xml:space="preserve">Source: </t>
  </si>
  <si>
    <t>https://www.rrq.gouv.qc.ca/fra/porrq/Content/110_Calculs/113/PO113-20.htm</t>
  </si>
  <si>
    <t>Statuer sur inclusion-exclusion des enfants après 18 ans.</t>
  </si>
  <si>
    <t>Corrigé. Cohérence avec le cas de Elle.</t>
  </si>
  <si>
    <t>Enfants quittent seulement après fin du CÉGEP ?</t>
  </si>
  <si>
    <t>Utilisation de 27 ans (Elle) pour la formation du couple. Fait du sens vs. Date de naissance de l'enfant mais à documenter.</t>
  </si>
  <si>
    <t>Rien trouvé de plus.</t>
  </si>
  <si>
    <t>Taxes à la consommation utiliser modèle de Suzie (nécessite microdonnées EDM à jour) ?</t>
  </si>
  <si>
    <t>Corrigé utilisation EDM, modellisation Anna.</t>
  </si>
  <si>
    <t>Base de calcul : Revenus de travail, revenus de travail nets ?, RRQ et pension inclus. OK ? Utiliser plutôt revenu après impôt et prestations.</t>
  </si>
  <si>
    <t>Corriger/ajuster la consommation non taxable ou trouver source pour justifier hypothèse utilisée.</t>
  </si>
  <si>
    <t>Divergences avec :</t>
  </si>
  <si>
    <t>https://cffp.recherche.usherbrooke.ca/wp-content/uploads/2011-01-La-perception-du-caract%C3%A8re-regressif-des-taxes.pdf</t>
  </si>
  <si>
    <t>Le niveau de dépenses non taxables devrait-il progresser avec le revenu ??</t>
  </si>
  <si>
    <t>Hypothèse utilisée: dépenses de consommation non taxables =min de la dépense moyenne indexée pour le type de ménage indéxée ou du calcul basé sur le modèle d'Antoine.</t>
  </si>
  <si>
    <t>Une étude documente que les dépenses d'alimentation sont fortement influencées par la composition du ménage, ce qui est conceptuellement intuitif</t>
  </si>
  <si>
    <t>https://archipel.uqam.ca/5618/1/M13009.pdf</t>
  </si>
  <si>
    <t>Par contre, le modèle est davantage basé sur le revenu pour évaluer la hauteur de la consommation non taxable.</t>
  </si>
  <si>
    <t>Au niveau du logement, la dépense des personnes âgées serait à la baisse.</t>
  </si>
  <si>
    <t>Revoir hypothèses de consommation à partir de la retraite. M'apparaissent trop élevées.</t>
  </si>
  <si>
    <t>Elle : valider impact des cotisations RREGOP sur la déduction pour RPA. Cotiser au REER pour l'excédent ?</t>
  </si>
  <si>
    <t>Ok, similaire au REER.</t>
  </si>
  <si>
    <t>Confirmer calcul de la pension alimentaire</t>
  </si>
  <si>
    <t>Rien trouvé de plus. Voir si Suzie à commentaire.</t>
  </si>
  <si>
    <t>Revenus des personnes agées correspond à un cas moyen ?</t>
  </si>
  <si>
    <t>Ok, validation effectuée.</t>
  </si>
  <si>
    <t>les conjoints se retirent approximativement au même moment, peu importe leur différence d'âge.</t>
  </si>
  <si>
    <t>http://www.nber.org/papers/w25030.pdf</t>
  </si>
  <si>
    <t>La majorité des individus ne vivent pas leurs dernières années de vie en institution. La majorité ne présente pas d'incapacité entre 80 et 89 ans et moins de 10% vivent en institution (établissements du réseau de la santé).</t>
  </si>
  <si>
    <t>Les fumeurs passent plus de nuits à l'hopital, consultant davanatage de spécialistes et meurent plus jeunes (mort avec 2 incapacités ou moins et en ménage privé).</t>
  </si>
  <si>
    <t>Ok, hypothèse la plus probable utilisée - demeurent chez eux jusqu'au décès</t>
  </si>
  <si>
    <t>Individus n'ayant jamais fumé recourrent plus longtemps au service de soin à domicile</t>
  </si>
  <si>
    <t>http://www.cedia.ca/sites/cedia.ca/files/rapport_compas_santequebec_14-07.pdf</t>
  </si>
  <si>
    <t>Partage du revenu couple agé</t>
  </si>
  <si>
    <t>Les revenus du conjoint à la retraite sont trop faibles  (il manque la valeur de la maison…) voir Bilan moyen:</t>
  </si>
  <si>
    <t>Prendre en compte CELI (pas d'impact fiscal)</t>
  </si>
  <si>
    <t>https://www150.statcan.gc.ca/n1/fr/pub/11f0027m/11f0027m2011074-fra.pdf?st=ZA56bHVA</t>
  </si>
  <si>
    <t>Évluation prise de RRQ dès fin du travail : impact global négatif. Par conséquent, choix d'attendre 65 ans.</t>
  </si>
  <si>
    <t>Non - prise de RRQ sera cohérente avec statistiqes RRQ</t>
  </si>
  <si>
    <t>De plus, en moyenne, les Québécoises demandent leur rente un peu plus tôt, soit à 61,6 ans (en 2013), tandis que les hommes du Québec la demandent à 61,9 ans.</t>
  </si>
  <si>
    <t>https://www.rrq.gouv.qc.ca/SiteCollectionDocuments/www.rrq.gouv.qc/Francais/publications/regime_rentes/consultation_publique/1601f-constats-sur-la-retraite.pdf</t>
  </si>
  <si>
    <t>OK, inclu</t>
  </si>
  <si>
    <t>Dépenses de consommation</t>
  </si>
  <si>
    <t>Selon métho Antoine, les dépenses du couple sont inférieures au couple de 65+</t>
  </si>
  <si>
    <t>Évaluation basée sur EDM</t>
  </si>
  <si>
    <t>Selon S.C. , dépenses des personnes agées légèrement plus faibles.</t>
  </si>
  <si>
    <t>https://www150.statcan.gc.ca/n1/pub/11f0027m/2011067/part-partie1-fra.htm</t>
  </si>
  <si>
    <t>Voir aussi :</t>
  </si>
  <si>
    <t>http://www.ic.gc.ca/eic/site/oca-bc.nsf/fra/ca02117.html</t>
  </si>
  <si>
    <t>Un ainé dépense moins qu'une personne seule</t>
  </si>
  <si>
    <t>Épargne résiduelle placée dans CELI et dette sur marge de crédit</t>
  </si>
  <si>
    <t>Ok</t>
  </si>
  <si>
    <t>Enfants au primaire, ajouter frais de garde à l'école ?... Et déduction fédérale ??? Discuter</t>
  </si>
  <si>
    <t>Fait</t>
  </si>
  <si>
    <t>Supplémentaire</t>
  </si>
  <si>
    <t>Voir 2e tour</t>
  </si>
  <si>
    <t>Ajouter taxes d'accise pour cigarettes et boisson alcoolisée. Voir impact sur modèle de consommation.</t>
  </si>
  <si>
    <t>CHSLD/soin d’autonomie ?</t>
  </si>
  <si>
    <t>Modèle d’épargne (incluant une maison?), accumulation et décaissement</t>
  </si>
  <si>
    <t>Sanity check : Montant moyen utilisé pour logement principal de la famille est de :</t>
  </si>
  <si>
    <t>Mise de fonds. Hypothèse</t>
  </si>
  <si>
    <t>Prix médian d'une maison unifamiliale</t>
  </si>
  <si>
    <t>Hypothèque (annuelle)</t>
  </si>
  <si>
    <t>Taux</t>
  </si>
  <si>
    <t>Amortissement</t>
  </si>
  <si>
    <t>25 ans</t>
  </si>
  <si>
    <t>https://www.centris.ca/fr/outils/statistiques-immobilieres</t>
  </si>
  <si>
    <t>Note : EDM utilise Revenu total</t>
  </si>
  <si>
    <t>Modèle de Anna, Suzie utilise plutôt revenu disponible. Pose problème ?</t>
  </si>
  <si>
    <t>http://www23.statcan.gc.ca/imdb/p3Var_f.pl?Function=DECI&amp;Id=295133</t>
  </si>
  <si>
    <t>soit revenu de marché avant impôt + prestations</t>
  </si>
  <si>
    <t>Outil de calcul des pensions alimentaires pour enfants</t>
  </si>
  <si>
    <t>https://services12.justice.gouv.qc.ca/CPA/CPA/fr/PensionAlimentaireEnfants/Calculateur</t>
  </si>
  <si>
    <t>Enfant mineur</t>
  </si>
  <si>
    <t>Revenus des parents</t>
  </si>
  <si>
    <t>Père</t>
  </si>
  <si>
    <t>Mère</t>
  </si>
  <si>
    <t>Salaire brut</t>
  </si>
  <si>
    <t>Revenu disponible des deux parents</t>
  </si>
  <si>
    <t>Facteur de répartition des revenus</t>
  </si>
  <si>
    <t>Nombre d'enfant</t>
  </si>
  <si>
    <t>Contribution alimentaire parentale de base</t>
  </si>
  <si>
    <t>Contribution alimentaire des deux parents</t>
  </si>
  <si>
    <t>Pension à payer</t>
  </si>
  <si>
    <t>Enfant majeur</t>
  </si>
  <si>
    <t>Une pension alimentaire est versée à la mère pour études post secondaires de l'enfant.</t>
  </si>
  <si>
    <t>https://www.educaloi.qc.ca/capsules/la-pension-alimentaire-pour-lenfant-majeur-aux-etudes</t>
  </si>
  <si>
    <t>Hypothèses pour revenu des conjoints :</t>
  </si>
  <si>
    <t>Le revenu de marché familial médian/moyen : 90 000-100 000</t>
  </si>
  <si>
    <t>Réf. Encore un paradis des familles</t>
  </si>
  <si>
    <t>Le conjoint doit toucher un revenu supérieur à la conjointe.</t>
  </si>
  <si>
    <t>Contribution de la femme au revenu familial fixé à 40%</t>
  </si>
  <si>
    <t>Sur la base que le % de familles avec enfants ou la femme génère 26 à 50% est la plus élevée (37%).</t>
  </si>
  <si>
    <t>CANSIM 111-0021</t>
  </si>
  <si>
    <t>Donc la femme devrait toucher un revenu "moyen sur la durée de vie" de 26000 - 50000 ...</t>
  </si>
  <si>
    <t>Statistiquement, les familles biparentales les plus communes ont 2 parents issus de l'université, avec 2 DES en 2e position</t>
  </si>
  <si>
    <t>Aussi, le nombre de femmes avec diplôme universitaire (la plus important) légèrement supérieur au nombre de femmes issus des écoles des métiers.</t>
  </si>
  <si>
    <t>Du côté des hommes, plus grande proportion avec DES</t>
  </si>
  <si>
    <t>Il est peu fréquent que les parents soients tous deux issus du collégial</t>
  </si>
  <si>
    <t>https://www.mfa.gouv.qc.ca/fr/publication/Documents/SF_Portrait_stat_chapitre3-1_11.pdf</t>
  </si>
  <si>
    <t>page 157.</t>
  </si>
  <si>
    <t>CEPENDANT</t>
  </si>
  <si>
    <t xml:space="preserve">En utilisant 2 personnes avec diplôme universitaire le revenu familial surpasse largement 100 000/ an </t>
  </si>
  <si>
    <t>Ref.</t>
  </si>
  <si>
    <t>Nous pourrions avoir une femme avec scolarité universitaire et homme niveau collégal (avec resp. de gestion). Mais problématique du revenu trop élevé demeure.</t>
  </si>
  <si>
    <t>De plus, une femme formera rarement un couple avec homme qui a moins de scolarité</t>
  </si>
  <si>
    <t>PAR CONSÉQUENT</t>
  </si>
  <si>
    <t xml:space="preserve">Utiliser 1 personne issues du collégial et un DES pour le couple permet de respecter les critère de revenu de marché familial autour de 100000 </t>
  </si>
  <si>
    <t>Il s'agit d'un compromis statistique , un homme avec DES touchera raement plus qu'une femme avec DEC , mais justifié du fait que vu que les couples des familles biparentales sont clairement divisé entre les couples universitaires d'un côté et de l'autres, les couples avec l'équivalent d'un diplome d'études secondaire.</t>
  </si>
  <si>
    <t xml:space="preserve">On peut supporter cette position par le fait que la grande majorité des emplois au Québec sont de niveau technique. </t>
  </si>
  <si>
    <t>https://www.cpmt.gouv.qc.ca/publications/pdf/BernierMichaudPoulet_ProjetAdequation_10287-17677.pdf</t>
  </si>
  <si>
    <t>Autres sources nécessaires</t>
  </si>
  <si>
    <t>La syndicalisation est fortement liée au secteur d'appartenance de l'employé (taux élevé dans secteur public, sinon, taux généralement inférieur à 50%</t>
  </si>
  <si>
    <t>http://www.stat.gouv.qc.ca/statistiques/travail-remuneration/presence-syndicale/presence_syndicale.html</t>
  </si>
  <si>
    <t>Les femmes ont souvent une scolarité supérieure</t>
  </si>
  <si>
    <t>http://www.stat.gouv.qc.ca/statistiques/travail-remuneration/bulletins/cap-remuneration-201603.pdf</t>
  </si>
  <si>
    <t>L'emploi dans le secteur public ne compte que pour 22% des emplois en 2017.</t>
  </si>
  <si>
    <t>http://www.stat.gouv.qc.ca/statistiques/travail-remuneration/bulletins/etat-marche-travail-2017.pdf</t>
  </si>
  <si>
    <t>Seulement 30% des femmes travaillent dans le secteur public (au Canada).</t>
  </si>
  <si>
    <t>https://www150.statcan.gc.ca/n1/fr/pub/89-503-x/2015001/article/14694-fra.pdf?st=vA0oQshV</t>
  </si>
  <si>
    <r>
      <t>Cependant, les femmes occupent 63% des emplois du secteur public -</t>
    </r>
    <r>
      <rPr>
        <sz val="11"/>
        <color rgb="FFFF0000"/>
        <rFont val="Calibri"/>
        <family val="2"/>
        <scheme val="minor"/>
      </rPr>
      <t xml:space="preserve"> compromis statistique ici encore : utilisation d'une femme travaillant dans le secteur public.</t>
    </r>
  </si>
  <si>
    <t>http://www.stat.gouv.qc.ca/statistiques/infographies/8mars_femmes-marche-travail-2017.pdf</t>
  </si>
  <si>
    <t>Les femmes occupent surtout des emplois techniques/paraprofessionnels, dans le domaine de la vente et services. Par contre, ces deux faits n'étant pas totalement cohérents, nous nous sommes repliés sur le 2e domaine d'emploi le plus fréquent : Affaires, finances et administration</t>
  </si>
  <si>
    <t>http://www.emploiquebec.gouv.qc.ca/uploads/tx_fceqpubform/00_chiffres-cles-emploi_2016.pdf</t>
  </si>
  <si>
    <t>Conducteur de camion est l'une des professions les plus courante chez les hommes (tableau 4)</t>
  </si>
  <si>
    <t>https://www12.statcan.gc.ca/nhs-enm/2011/as-sa/99-012-x/99-012-x2011002-fra.cfm</t>
  </si>
  <si>
    <t>Budget de dépense 2018-2019 - Québec</t>
  </si>
  <si>
    <t>CPE</t>
  </si>
  <si>
    <t>Soutien financier aux CPE</t>
  </si>
  <si>
    <t>Subvention financement infrastructures des CPE</t>
  </si>
  <si>
    <t>Régime de retraite à l'intention d'employés *</t>
  </si>
  <si>
    <t>Régime d'assurance collective et de congés de maternité</t>
  </si>
  <si>
    <t>Nombre de place</t>
  </si>
  <si>
    <t>MFA, 30 juin 2018</t>
  </si>
  <si>
    <t>Coût par place</t>
  </si>
  <si>
    <t>Milieu familial</t>
  </si>
  <si>
    <t>Soutien financier aux bureaux coordonateurs de la garde en milieu familial et aux personnes responsables d'un service de garde en milieu familial</t>
  </si>
  <si>
    <t>Garderie subv.</t>
  </si>
  <si>
    <t>Soutien financier aux garderies</t>
  </si>
  <si>
    <t>Nombre de places</t>
  </si>
  <si>
    <t>Moyenne pondérée</t>
  </si>
  <si>
    <t>Note : Approximation car donnée applicable aux CPE seulement non disponible</t>
  </si>
  <si>
    <t>Frais de garde d'enfants en service de garde subventionné - contribution supplémentaire pour couple (scénario 2)</t>
  </si>
  <si>
    <t>Age Ella</t>
  </si>
  <si>
    <t>Age enfant 1</t>
  </si>
  <si>
    <t>Age enfant 2</t>
  </si>
  <si>
    <t>Revenu brut Ella</t>
  </si>
  <si>
    <t>Déduction pour travailleur</t>
  </si>
  <si>
    <t>Revenu net Ella</t>
  </si>
  <si>
    <t>Revenu brut Luis</t>
  </si>
  <si>
    <t>Revenu net Luis</t>
  </si>
  <si>
    <t>Cont. supp. Scénario 2</t>
  </si>
  <si>
    <t>Frais garde cont. réduite</t>
  </si>
  <si>
    <t>Serv. garde milieu scolaire</t>
  </si>
  <si>
    <t>Montant de frais de garde (fédéral)</t>
  </si>
  <si>
    <t>Frais de gardes nets de cont. supp.</t>
  </si>
  <si>
    <t>Frais de garde d'enfants en service de garde subventionné - contribution supplémentaire pour couple (scénario 3)</t>
  </si>
  <si>
    <t>Cont. supp. Scénario 3</t>
  </si>
  <si>
    <t>Calculatrice :</t>
  </si>
  <si>
    <t>http://www.budget.finances.gouv.qc.ca/budget/outils/garde-ras-fr.asp</t>
  </si>
  <si>
    <t>Ajusté 60%</t>
  </si>
  <si>
    <t>Ajusté selon % de financement</t>
  </si>
  <si>
    <t>Tarif exigé des élèves internationaux</t>
  </si>
  <si>
    <t>Éducation primaire</t>
  </si>
  <si>
    <t>estimé par comité d'experts en 2012-2013</t>
  </si>
  <si>
    <t>Valeur locative</t>
  </si>
  <si>
    <t>Enseignement secondaire</t>
  </si>
  <si>
    <t>Établissements d'enseignement privés agréés aux fins de subventions</t>
  </si>
  <si>
    <t>http://www.education.gouv.qc.ca/fileadmin/site_web/documents/PSG/ress_financieres/rb/RB_EEPA_1819_amend_juil18_diffusion.pdf</t>
  </si>
  <si>
    <t>Validation</t>
  </si>
  <si>
    <t>Chiffres de 2012-2013</t>
  </si>
  <si>
    <t>ESTIMATION DES MONTANTS DE BASE POUR LES ÉLÈVES ORDINAIRES DES ÉTABLISSEMENTS PRIVÉS SUR LA BASE DE L’ANNÉE SCOLAIRE 2012-2013</t>
  </si>
  <si>
    <t>Préscolaire</t>
  </si>
  <si>
    <t>Coût par élève</t>
  </si>
  <si>
    <t>Indexé</t>
  </si>
  <si>
    <t>Rapport du Comité d'experts sur le financement, l'Administration, la gestion et la gouvernance des commissions scolaires</t>
  </si>
  <si>
    <t>http://www.education.gouv.qc.ca/fileadmin/site_web/documents/PSG/politiques_orientations/rapport_comiteCS_mai2014v3p.pdf</t>
  </si>
  <si>
    <r>
      <t>Tableau O.2</t>
    </r>
    <r>
      <rPr>
        <sz val="12"/>
        <rFont val="Arial"/>
        <family val="2"/>
      </rPr>
      <t xml:space="preserve"> Dépenses de santé des gouvernements provinciaux et territoriaux, selon l’âge, le sexe et l’affectation des fonds, par province et territoire et au Canada</t>
    </r>
  </si>
  <si>
    <t>Année</t>
  </si>
  <si>
    <t>Entité administrative</t>
  </si>
  <si>
    <t>Secteur</t>
  </si>
  <si>
    <t>Affectation 
des fonds</t>
  </si>
  <si>
    <t>Groupe d’âge</t>
  </si>
  <si>
    <t>Sexe</t>
  </si>
  <si>
    <t>Dollars courants</t>
  </si>
  <si>
    <t>Dollars courants par habitant</t>
  </si>
  <si>
    <t>Gouvernement provincial ou territorial</t>
  </si>
  <si>
    <t>&lt;1</t>
  </si>
  <si>
    <t>F</t>
  </si>
  <si>
    <t>1-4</t>
  </si>
  <si>
    <t>5-9</t>
  </si>
  <si>
    <t>10-14</t>
  </si>
  <si>
    <t>15-19</t>
  </si>
  <si>
    <t>85-89</t>
  </si>
  <si>
    <t>90+</t>
  </si>
  <si>
    <t>M</t>
  </si>
  <si>
    <t>Source: ICIS, Tendances des dépenses nationales de santé, 1975 à 2017 : données ouvertes</t>
  </si>
  <si>
    <t>https://www.cihi.ca/sites/default/files/document/open_data-nhex2017-fr.xlsx</t>
  </si>
  <si>
    <t>Period</t>
  </si>
  <si>
    <t>Salaire annuel</t>
  </si>
  <si>
    <t>Salaire bi-semaine</t>
  </si>
  <si>
    <t>RQAP cotisation</t>
  </si>
  <si>
    <t>Cotisation  par an</t>
  </si>
  <si>
    <t>Source : https://www.revenuquebec.ca/documents/en/formulaires/tp/tp-1015.ta-v%282018-01%29.pdf</t>
  </si>
  <si>
    <r>
      <t>Dépenses moyennes des ménages en dollars courants, selon le poste de dépenses, ménages d'une personne, Québec, 2010-2015</t>
    </r>
    <r>
      <rPr>
        <b/>
        <vertAlign val="superscript"/>
        <sz val="11"/>
        <color theme="1"/>
        <rFont val="Calibri"/>
        <family val="2"/>
        <scheme val="minor"/>
      </rPr>
      <t>1,2</t>
    </r>
  </si>
  <si>
    <t>Non taxable/Taxable</t>
  </si>
  <si>
    <t>D. Non tax</t>
  </si>
  <si>
    <t>D. analysées</t>
  </si>
  <si>
    <t>Niveau</t>
  </si>
  <si>
    <t>Manqe certains niveaux de détails mais inspiré de   : https://cffp.recherche.usherbrooke.ca/wp-content/uploads/2011-01-La-perception-du-caract%C3%A8re-regressif-des-taxes.pdf</t>
  </si>
  <si>
    <t>$</t>
  </si>
  <si>
    <t>Consommation totale courante</t>
  </si>
  <si>
    <t>Dépenses alimentaires</t>
  </si>
  <si>
    <t>N</t>
  </si>
  <si>
    <t>Aliments achetés au magasin</t>
  </si>
  <si>
    <t>T</t>
  </si>
  <si>
    <t>Aliments achetés au restaurant</t>
  </si>
  <si>
    <t>*</t>
  </si>
  <si>
    <t>Logement</t>
  </si>
  <si>
    <t>Logement principal</t>
  </si>
  <si>
    <t>Autres logements</t>
  </si>
  <si>
    <t>**</t>
  </si>
  <si>
    <t>Dépenses courantes</t>
  </si>
  <si>
    <t>Communications</t>
  </si>
  <si>
    <t>Aide domestique et autres services d'entretien ménager (sauf services de garde)</t>
  </si>
  <si>
    <t>Dépenses pour les animaux domestiques</t>
  </si>
  <si>
    <t>Produits et équipement de nettoyage</t>
  </si>
  <si>
    <t>Articles en papier, en plastique et en aluminium</t>
  </si>
  <si>
    <t>Fournitures de jardinage et autres services</t>
  </si>
  <si>
    <t>Autres accessoires pour la maison</t>
  </si>
  <si>
    <t>Garde d'enfants</t>
  </si>
  <si>
    <t>Ameublement et équipement ménagers</t>
  </si>
  <si>
    <t>Ameublement ménager</t>
  </si>
  <si>
    <t>Équipement ménager</t>
  </si>
  <si>
    <t>Entretien et réparation d'ameublement et d'équipement ménager</t>
  </si>
  <si>
    <t>Services liés à l'ameublement et à l'équipement ménager</t>
  </si>
  <si>
    <t>Vêtements et accessoires</t>
  </si>
  <si>
    <t>Vêtements pour femmes et filles (femmes et filles âgées de 4 ans et plus)</t>
  </si>
  <si>
    <t>Vêtements pour hommes et garçons (hommes et garçons âgés de 4 ans et plus)</t>
  </si>
  <si>
    <t>Vêtements pour enfants (enfants âgés de moins de 4 ans)</t>
  </si>
  <si>
    <t>Cadeaux de vêtements à des personnes autres que les membres du ménage</t>
  </si>
  <si>
    <t>Tissus pour vêtements, laine, fil et autres menus articles de couture</t>
  </si>
  <si>
    <t>Services vestimentaires</t>
  </si>
  <si>
    <t>Transport</t>
  </si>
  <si>
    <t>Transport privé</t>
  </si>
  <si>
    <t>Transport public</t>
  </si>
  <si>
    <t>Frais directs de soins de santé défrayés par le ménage</t>
  </si>
  <si>
    <t>Primes d'assurance-maladie</t>
  </si>
  <si>
    <t>Soins personnels</t>
  </si>
  <si>
    <t>Produits de soins personnels</t>
  </si>
  <si>
    <t>Services de soins personnels</t>
  </si>
  <si>
    <t>Loisirs</t>
  </si>
  <si>
    <t>Matériel de loisirs et services connexes</t>
  </si>
  <si>
    <t>Matériel et services de divertissement au foyer</t>
  </si>
  <si>
    <t>Services de loisirs</t>
  </si>
  <si>
    <t>Véhicules récréatifs et services connexes</t>
  </si>
  <si>
    <t>Éducation</t>
  </si>
  <si>
    <t>Manuels et fournitures scolaires</t>
  </si>
  <si>
    <t>Matériel de lecture et autres imprimés</t>
  </si>
  <si>
    <t>Journaux</t>
  </si>
  <si>
    <t>Revues et publications périodiques</t>
  </si>
  <si>
    <t>Livres et livres numériques (sauf manuels scolaires)</t>
  </si>
  <si>
    <t>Cartes géographiques, partitions de musique et autres produits imprimés</t>
  </si>
  <si>
    <t>Services liés au matériel de lecture (ex. : reproduction, frais de bibliothèque)</t>
  </si>
  <si>
    <t>Produits de tabac et boissons alcoolisées</t>
  </si>
  <si>
    <t>Produits de tabac et articles pour fumeurs</t>
  </si>
  <si>
    <t>Boissons alcoolisées</t>
  </si>
  <si>
    <t>Jeux de hasard</t>
  </si>
  <si>
    <t>Billets de loteries sous administration publique</t>
  </si>
  <si>
    <t>Autres jeux de hasard</t>
  </si>
  <si>
    <t>Dépenses diverses</t>
  </si>
  <si>
    <t>Services financiers</t>
  </si>
  <si>
    <t>Autres biens et services divers</t>
  </si>
  <si>
    <t>Impôts sur le revenu</t>
  </si>
  <si>
    <t>Paiements d'assurance individuelle et cotisations à des régimes de pension de retraite</t>
  </si>
  <si>
    <t>Primes d'assurance-emploi et d'assurance-parentale du Québec</t>
  </si>
  <si>
    <t>Cotisations à des caisses de retraite ou de pension</t>
  </si>
  <si>
    <t>Contrats de rentes et argent transféré à des FERR</t>
  </si>
  <si>
    <t>Primes d'assurance-vie, d'assurances temporaires et d'assurances mixtes</t>
  </si>
  <si>
    <t>Cadeaux en argent, pensions alimentaires et dons de bienfaisance</t>
  </si>
  <si>
    <t>Cadeaux en argent et pensions alimentaires</t>
  </si>
  <si>
    <t>Cadeaux en argent à des personnes habitant au Canada</t>
  </si>
  <si>
    <t>Cadeaux en argent à des personnes habitant à l'extérieur du Canada</t>
  </si>
  <si>
    <t>Pensions alimentaires</t>
  </si>
  <si>
    <t>Dons de bienfaisance</t>
  </si>
  <si>
    <t>* Coefficient de variation entre 15 % et 25 %; interpréter avec prudence.</t>
  </si>
  <si>
    <t>** Coefficient de variation entre 25 % et 33 %; estimation imprécise, fournie à titre indicatif seulement.</t>
  </si>
  <si>
    <t>F Donnée peu fiable, ne peut être diffusée.</t>
  </si>
  <si>
    <t>1. La dépense moyenne pour un poste est calculée par rapport à tous les ménages, incluant ceux n'ayant pas effectué la dépense.</t>
  </si>
  <si>
    <t>2. Pour une définition exhaustive des postes de dépenses, consulter le fichier Excel « Description exhaustive des postes de dépenses et collecte de données selon l'année ».</t>
  </si>
  <si>
    <r>
      <t xml:space="preserve">Source : Statistique Canada, </t>
    </r>
    <r>
      <rPr>
        <i/>
        <sz val="11"/>
        <color theme="1"/>
        <rFont val="Calibri"/>
        <family val="2"/>
        <scheme val="minor"/>
      </rPr>
      <t xml:space="preserve">Enquête sur les dépenses des ménages </t>
    </r>
    <r>
      <rPr>
        <sz val="11"/>
        <color theme="1"/>
        <rFont val="Calibri"/>
        <family val="2"/>
        <scheme val="minor"/>
      </rPr>
      <t>(EDM)</t>
    </r>
    <r>
      <rPr>
        <i/>
        <sz val="11"/>
        <color theme="1"/>
        <rFont val="Calibri"/>
        <family val="2"/>
        <scheme val="minor"/>
      </rPr>
      <t>,</t>
    </r>
    <r>
      <rPr>
        <sz val="11"/>
        <color theme="1"/>
        <rFont val="Calibri"/>
        <family val="2"/>
        <scheme val="minor"/>
      </rPr>
      <t xml:space="preserve"> fichiers maîtres. Adapté par l'Institut de la statistique du Québec.</t>
    </r>
  </si>
  <si>
    <t>Rapport dépenses taxables/dépenses totales (estimation)</t>
  </si>
  <si>
    <r>
      <t>Dépenses moyennes des ménages en dollars courants, selon le poste de dépenses, couples sans enfants, Québec, 2010-2015</t>
    </r>
    <r>
      <rPr>
        <b/>
        <vertAlign val="superscript"/>
        <sz val="11"/>
        <color theme="1"/>
        <rFont val="Calibri"/>
        <family val="2"/>
        <scheme val="minor"/>
      </rPr>
      <t>1,2</t>
    </r>
  </si>
  <si>
    <t>http://www.stat.gouv.qc.ca/statistiques/conditions-vie-societe/depenses-avoirs-dettes/depenses/depenses_2_2.htm</t>
  </si>
  <si>
    <r>
      <t>Dépenses moyennes des ménages en dollars courants, selon le poste de dépenses, couples avec enfants, Québec, 2010-2015</t>
    </r>
    <r>
      <rPr>
        <b/>
        <vertAlign val="superscript"/>
        <sz val="11"/>
        <color theme="1"/>
        <rFont val="Calibri"/>
        <family val="2"/>
        <scheme val="minor"/>
      </rPr>
      <t>1,2</t>
    </r>
  </si>
  <si>
    <t>http://www.stat.gouv.qc.ca/statistiques/conditions-vie-societe/depenses-avoirs-dettes/depenses/depenses_2_3.htm</t>
  </si>
  <si>
    <r>
      <t>Dépenses moyennes des ménages en dollars courants, selon le poste de dépenses, familles monoparentales, Québec, 2010-2015</t>
    </r>
    <r>
      <rPr>
        <b/>
        <vertAlign val="superscript"/>
        <sz val="11"/>
        <color theme="1"/>
        <rFont val="Calibri"/>
        <family val="2"/>
        <scheme val="minor"/>
      </rPr>
      <t>1,2</t>
    </r>
  </si>
  <si>
    <t>http://www.stat.gouv.qc.ca/statistiques/conditions-vie-societe/depenses-avoirs-dettes/depenses/depenses_2_4.htm</t>
  </si>
  <si>
    <r>
      <t>Dépenses moyennes des ménages en dollars courants, selon le poste de dépenses, ménages du troisième quintile de revenu total, Québec, 2010-2016</t>
    </r>
    <r>
      <rPr>
        <b/>
        <vertAlign val="superscript"/>
        <sz val="11"/>
        <color theme="1"/>
        <rFont val="Calibri"/>
        <family val="2"/>
        <scheme val="minor"/>
      </rPr>
      <t>1,2</t>
    </r>
  </si>
  <si>
    <r>
      <t xml:space="preserve">Sources : Statistique Canada, </t>
    </r>
    <r>
      <rPr>
        <i/>
        <sz val="11"/>
        <color theme="1"/>
        <rFont val="Calibri"/>
        <family val="2"/>
        <scheme val="minor"/>
      </rPr>
      <t xml:space="preserve">Enquête sur les dépenses des ménages </t>
    </r>
    <r>
      <rPr>
        <sz val="11"/>
        <color theme="1"/>
        <rFont val="Calibri"/>
        <family val="2"/>
        <scheme val="minor"/>
      </rPr>
      <t>(EDM)</t>
    </r>
    <r>
      <rPr>
        <i/>
        <sz val="11"/>
        <color theme="1"/>
        <rFont val="Calibri"/>
        <family val="2"/>
        <scheme val="minor"/>
      </rPr>
      <t>,</t>
    </r>
    <r>
      <rPr>
        <sz val="11"/>
        <color theme="1"/>
        <rFont val="Calibri"/>
        <family val="2"/>
        <scheme val="minor"/>
      </rPr>
      <t xml:space="preserve"> fichiers maîtres; </t>
    </r>
    <r>
      <rPr>
        <i/>
        <sz val="11"/>
        <color theme="1"/>
        <rFont val="Calibri"/>
        <family val="2"/>
        <scheme val="minor"/>
      </rPr>
      <t>Tableau 203-0021 - Enquête sur les dépenses des ménages (EDM), dépenses des ménages, Canada, régions et provinces, annuel (dollars)</t>
    </r>
    <r>
      <rPr>
        <sz val="11"/>
        <color theme="1"/>
        <rFont val="Calibri"/>
        <family val="2"/>
        <scheme val="minor"/>
      </rPr>
      <t>, [En ligne], CANSIM. [https://www150.statcan.gc.ca/t1/tbl1/fr/tv.action?pid=1110022301] (Consulté le 3 avril 2018). Adapté par l'Institut de la statistique du Québec.</t>
    </r>
  </si>
  <si>
    <t>Cumulatif</t>
  </si>
  <si>
    <t>CFN incluant taxes de ventes</t>
  </si>
  <si>
    <t>CFN incluant taxes de ventes, dépenses et prestations publiques</t>
  </si>
  <si>
    <t>CFN</t>
  </si>
  <si>
    <t>Pour simplifier les calculs, hypothèse de rente égale dans tous les scénarios (différence faible)</t>
  </si>
  <si>
    <t>Couple-retraite</t>
  </si>
  <si>
    <t>Seule-veuve retraite</t>
  </si>
  <si>
    <t>Seule-retraite</t>
  </si>
  <si>
    <t>Monparentale-vie active avec enfant</t>
  </si>
  <si>
    <t>Couple-vie active avec enfant</t>
  </si>
  <si>
    <t>Couple-vie active</t>
  </si>
  <si>
    <t>Seule-vie active</t>
  </si>
  <si>
    <t>Seule-études</t>
  </si>
  <si>
    <t>Couple-vie active avec enfants</t>
  </si>
  <si>
    <t>Revenu disponible après impôt / Revenu de marché</t>
  </si>
  <si>
    <t>Métho: soutenabilité budgétaire</t>
  </si>
  <si>
    <t>Coûts de santé améliorés</t>
  </si>
  <si>
    <t>Bénéfices - prélèvements</t>
  </si>
  <si>
    <t>Revenu de marché, seule, aux études</t>
  </si>
  <si>
    <t>Revenu de marché, seule, vie active</t>
  </si>
  <si>
    <t>Revenu de marché</t>
  </si>
  <si>
    <t>Prélèvements</t>
  </si>
  <si>
    <t>Impôts du Québec</t>
  </si>
  <si>
    <t>Taxes à la consommation (TPS et TVQ)</t>
  </si>
  <si>
    <t>Prestations</t>
  </si>
  <si>
    <t>Assurance-médicaments</t>
  </si>
  <si>
    <t>Total bénéfices publics</t>
  </si>
  <si>
    <t>Seule</t>
  </si>
  <si>
    <t xml:space="preserve">Études </t>
  </si>
  <si>
    <t>Vie active</t>
  </si>
  <si>
    <t>Revenu de marché, seule, à la retraite</t>
  </si>
  <si>
    <t>Prélèvements en proportion du revenu de marché</t>
  </si>
  <si>
    <t>Bénéfices  en proportion du revenu de marché</t>
  </si>
  <si>
    <t>Croissance salariale annuelle estimée ($)</t>
  </si>
  <si>
    <t>Allocation famille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</si>
</sst>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 * #,##0.00_)\ &quot;$&quot;_ ;_ * \(#,##0.00\)\ &quot;$&quot;_ ;_ * &quot;-&quot;??_)\ &quot;$&quot;_ ;_ @_ "/>
    <numFmt numFmtId="164" formatCode="_ * #,##0_)\ _$_ ;_ * \(#,##0\)\ _$_ ;_ * &quot;-&quot;_)\ _$_ ;_ @_ "/>
    <numFmt numFmtId="165" formatCode="_ * #,##0.00_)\ _$_ ;_ * \(#,##0.00\)\ _$_ ;_ * &quot;-&quot;??_)\ _$_ ;_ @_ "/>
    <numFmt numFmtId="166" formatCode="0.0%"/>
    <numFmt numFmtId="167" formatCode="_ * #,##0_)\ _$_ ;_ * \(#,##0\)\ _$_ ;_ * &quot;-&quot;??_)\ _$_ ;_ @_ "/>
    <numFmt numFmtId="168" formatCode="#,##0\ _$"/>
    <numFmt numFmtId="169" formatCode="#\ ##0"/>
    <numFmt numFmtId="170" formatCode="0.000"/>
    <numFmt numFmtId="171" formatCode="#,##0\ &quot;$&quot;"/>
    <numFmt numFmtId="172" formatCode="0.0"/>
  </numFmts>
  <fonts count="5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8"/>
      <color theme="1"/>
      <name val="Calibri"/>
      <family val="2"/>
      <scheme val="minor"/>
    </font>
    <font>
      <sz val="14"/>
      <color theme="1"/>
      <name val="Calibri"/>
      <family val="2"/>
      <scheme val="minor"/>
    </font>
    <font>
      <u/>
      <sz val="11"/>
      <color theme="10"/>
      <name val="Calibri"/>
      <family val="2"/>
      <scheme val="minor"/>
    </font>
    <font>
      <sz val="11"/>
      <color theme="1"/>
      <name val="Arial"/>
      <family val="2"/>
    </font>
    <font>
      <sz val="12"/>
      <color theme="1"/>
      <name val="Arial"/>
      <family val="2"/>
    </font>
    <font>
      <b/>
      <sz val="12"/>
      <name val="Arial"/>
      <family val="2"/>
    </font>
    <font>
      <sz val="12"/>
      <name val="Arial"/>
      <family val="2"/>
    </font>
    <font>
      <b/>
      <sz val="11"/>
      <color theme="0"/>
      <name val="Arial"/>
      <family val="2"/>
    </font>
    <font>
      <sz val="11"/>
      <name val="Calibri"/>
      <family val="2"/>
      <scheme val="minor"/>
    </font>
    <font>
      <sz val="11"/>
      <color rgb="FFC00000"/>
      <name val="Calibri"/>
      <family val="2"/>
      <scheme val="minor"/>
    </font>
    <font>
      <b/>
      <sz val="11"/>
      <name val="Calibri"/>
      <family val="2"/>
      <scheme val="minor"/>
    </font>
    <font>
      <u/>
      <sz val="11"/>
      <color theme="1"/>
      <name val="Calibri"/>
      <family val="2"/>
      <scheme val="minor"/>
    </font>
    <font>
      <sz val="9"/>
      <color indexed="81"/>
      <name val="Tahoma"/>
      <family val="2"/>
    </font>
    <font>
      <b/>
      <vertAlign val="superscript"/>
      <sz val="11"/>
      <color theme="1"/>
      <name val="Calibri"/>
      <family val="2"/>
      <scheme val="minor"/>
    </font>
    <font>
      <b/>
      <sz val="9"/>
      <color indexed="81"/>
      <name val="Tahoma"/>
      <family val="2"/>
    </font>
    <font>
      <sz val="11"/>
      <color theme="1"/>
      <name val="Calibri"/>
      <family val="2"/>
    </font>
    <font>
      <sz val="10"/>
      <color theme="1"/>
      <name val="Arial"/>
      <family val="2"/>
    </font>
    <font>
      <b/>
      <sz val="14"/>
      <color theme="1"/>
      <name val="Calibri"/>
      <family val="2"/>
      <scheme val="minor"/>
    </font>
    <font>
      <b/>
      <sz val="11"/>
      <color rgb="FFFF0000"/>
      <name val="Calibri"/>
      <family val="2"/>
      <scheme val="minor"/>
    </font>
    <font>
      <b/>
      <sz val="12"/>
      <color theme="1"/>
      <name val="Calibri"/>
      <family val="2"/>
      <scheme val="minor"/>
    </font>
    <font>
      <b/>
      <i/>
      <sz val="11"/>
      <color theme="1"/>
      <name val="Calibri"/>
      <family val="2"/>
      <scheme val="minor"/>
    </font>
    <font>
      <i/>
      <u/>
      <sz val="11"/>
      <color theme="10"/>
      <name val="Calibri"/>
      <family val="2"/>
      <scheme val="minor"/>
    </font>
    <font>
      <sz val="12"/>
      <color theme="1"/>
      <name val="Calibri"/>
      <family val="2"/>
      <scheme val="minor"/>
    </font>
    <font>
      <sz val="9"/>
      <color theme="1"/>
      <name val="Calibri"/>
      <family val="2"/>
      <scheme val="minor"/>
    </font>
    <font>
      <u/>
      <sz val="11"/>
      <color rgb="FFC00000"/>
      <name val="Calibri"/>
      <family val="2"/>
      <scheme val="minor"/>
    </font>
    <font>
      <b/>
      <sz val="9"/>
      <color rgb="FF000000"/>
      <name val="Tahoma"/>
      <family val="2"/>
    </font>
    <font>
      <sz val="9"/>
      <color rgb="FF000000"/>
      <name val="Tahoma"/>
      <family val="2"/>
    </font>
    <font>
      <u/>
      <sz val="11"/>
      <color rgb="FFFF0000"/>
      <name val="Calibri"/>
      <family val="2"/>
      <scheme val="minor"/>
    </font>
    <font>
      <i/>
      <sz val="11"/>
      <name val="Calibri"/>
      <family val="2"/>
      <scheme val="minor"/>
    </font>
    <font>
      <i/>
      <sz val="11"/>
      <color rgb="FFC00000"/>
      <name val="Calibri"/>
      <family val="2"/>
      <scheme val="minor"/>
    </font>
    <font>
      <b/>
      <i/>
      <sz val="11"/>
      <color rgb="FFC00000"/>
      <name val="Calibri"/>
      <family val="2"/>
      <scheme val="minor"/>
    </font>
    <font>
      <sz val="11"/>
      <color theme="0"/>
      <name val="Calibri"/>
      <family val="2"/>
      <scheme val="minor"/>
    </font>
    <font>
      <sz val="10"/>
      <color theme="1"/>
      <name val="Franklin Gothic Book"/>
      <family val="2"/>
    </font>
    <font>
      <sz val="10"/>
      <color theme="1"/>
      <name val="Calibri"/>
      <family val="2"/>
      <scheme val="minor"/>
    </font>
    <font>
      <sz val="8"/>
      <color theme="1"/>
      <name val="Franklin Gothic Book"/>
      <family val="2"/>
    </font>
    <font>
      <sz val="11"/>
      <color theme="5" tint="-0.249977111117893"/>
      <name val="Calibri"/>
      <family val="2"/>
      <scheme val="minor"/>
    </font>
    <font>
      <sz val="11"/>
      <color theme="5" tint="0.39997558519241921"/>
      <name val="Calibri"/>
      <family val="2"/>
      <scheme val="minor"/>
    </font>
    <font>
      <sz val="14"/>
      <color rgb="FFFF0000"/>
      <name val="Calibri"/>
      <family val="2"/>
      <scheme val="minor"/>
    </font>
    <font>
      <b/>
      <sz val="11"/>
      <color rgb="FFC00000"/>
      <name val="Calibri"/>
      <family val="2"/>
      <scheme val="minor"/>
    </font>
    <font>
      <sz val="10"/>
      <color rgb="FFFF0000"/>
      <name val="Franklin Gothic Book"/>
      <family val="2"/>
    </font>
    <font>
      <sz val="10"/>
      <color rgb="FFFF0000"/>
      <name val="Calibri"/>
      <family val="2"/>
      <scheme val="minor"/>
    </font>
    <font>
      <sz val="10"/>
      <name val="Arial"/>
      <family val="2"/>
    </font>
    <font>
      <b/>
      <sz val="10"/>
      <name val="Arial"/>
      <family val="2"/>
    </font>
    <font>
      <strike/>
      <sz val="14"/>
      <color theme="1"/>
      <name val="Calibri"/>
      <family val="2"/>
      <scheme val="minor"/>
    </font>
    <font>
      <strike/>
      <sz val="11"/>
      <color theme="1"/>
      <name val="Calibri"/>
      <family val="2"/>
      <scheme val="minor"/>
    </font>
    <font>
      <strike/>
      <sz val="14"/>
      <name val="Calibri"/>
      <family val="2"/>
      <scheme val="minor"/>
    </font>
    <font>
      <strike/>
      <sz val="11"/>
      <name val="Calibri"/>
      <family val="2"/>
      <scheme val="minor"/>
    </font>
    <font>
      <sz val="14"/>
      <name val="Calibri"/>
      <family val="2"/>
      <scheme val="minor"/>
    </font>
    <font>
      <sz val="14"/>
      <color rgb="FFC00000"/>
      <name val="Calibri"/>
      <family val="2"/>
      <scheme val="minor"/>
    </font>
    <font>
      <strike/>
      <sz val="11"/>
      <color rgb="FFC00000"/>
      <name val="Calibri"/>
      <family val="2"/>
      <scheme val="minor"/>
    </font>
    <font>
      <b/>
      <sz val="9"/>
      <color theme="0"/>
      <name val="Arial"/>
      <family val="2"/>
    </font>
  </fonts>
  <fills count="25">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tint="-4.9989318521683403E-2"/>
        <bgColor indexed="64"/>
      </patternFill>
    </fill>
    <fill>
      <patternFill patternType="solid">
        <fgColor rgb="FF58595B"/>
        <bgColor indexed="64"/>
      </patternFill>
    </fill>
    <fill>
      <patternFill patternType="solid">
        <fgColor theme="0"/>
        <bgColor indexed="64"/>
      </patternFill>
    </fill>
    <fill>
      <patternFill patternType="solid">
        <fgColor theme="7"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8" tint="0.79998168889431442"/>
        <bgColor indexed="64"/>
      </patternFill>
    </fill>
  </fills>
  <borders count="32">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theme="0"/>
      </right>
      <top style="thin">
        <color auto="1"/>
      </top>
      <bottom style="thin">
        <color auto="1"/>
      </bottom>
      <diagonal/>
    </border>
    <border>
      <left/>
      <right/>
      <top style="thin">
        <color indexed="64"/>
      </top>
      <bottom style="thin">
        <color indexed="64"/>
      </bottom>
      <diagonal/>
    </border>
    <border>
      <left style="thin">
        <color theme="0"/>
      </left>
      <right/>
      <top style="thin">
        <color indexed="64"/>
      </top>
      <bottom style="thin">
        <color auto="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right/>
      <top style="medium">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7">
    <xf numFmtId="0" fontId="0" fillId="0" borderId="0"/>
    <xf numFmtId="9" fontId="1" fillId="0" borderId="0" applyFont="0" applyFill="0" applyBorder="0" applyAlignment="0" applyProtection="0"/>
    <xf numFmtId="165" fontId="1" fillId="0" borderId="0" applyFont="0" applyFill="0" applyBorder="0" applyAlignment="0" applyProtection="0"/>
    <xf numFmtId="0" fontId="8" fillId="0" borderId="0" applyNumberFormat="0" applyFill="0" applyBorder="0" applyAlignment="0" applyProtection="0"/>
    <xf numFmtId="0" fontId="10" fillId="0" borderId="0" applyNumberFormat="0" applyProtection="0">
      <alignment horizontal="left" vertical="top"/>
    </xf>
    <xf numFmtId="0" fontId="13" fillId="5" borderId="12" applyNumberFormat="0" applyProtection="0">
      <alignment horizontal="left" vertical="top"/>
    </xf>
    <xf numFmtId="44" fontId="1" fillId="0" borderId="0" applyFont="0" applyFill="0" applyBorder="0" applyAlignment="0" applyProtection="0"/>
  </cellStyleXfs>
  <cellXfs count="481">
    <xf numFmtId="0" fontId="0" fillId="0" borderId="0" xfId="0"/>
    <xf numFmtId="0" fontId="0" fillId="2" borderId="0" xfId="0" applyFill="1"/>
    <xf numFmtId="166" fontId="0" fillId="0" borderId="0" xfId="1" applyNumberFormat="1" applyFont="1"/>
    <xf numFmtId="0" fontId="5" fillId="0" borderId="0" xfId="0" applyFont="1"/>
    <xf numFmtId="0" fontId="2" fillId="0" borderId="0" xfId="0" applyFont="1"/>
    <xf numFmtId="0" fontId="0" fillId="4" borderId="0" xfId="0" applyFill="1"/>
    <xf numFmtId="0" fontId="0" fillId="0" borderId="3" xfId="0" applyBorder="1"/>
    <xf numFmtId="0" fontId="0" fillId="0" borderId="4" xfId="0" applyBorder="1"/>
    <xf numFmtId="0" fontId="0" fillId="0" borderId="6" xfId="0" applyBorder="1"/>
    <xf numFmtId="0" fontId="3" fillId="0" borderId="6" xfId="0" applyFont="1" applyBorder="1"/>
    <xf numFmtId="0" fontId="0" fillId="0" borderId="9" xfId="0" applyBorder="1"/>
    <xf numFmtId="0" fontId="7" fillId="0" borderId="1" xfId="0" applyFont="1" applyBorder="1"/>
    <xf numFmtId="0" fontId="7" fillId="0" borderId="0" xfId="0" applyFont="1"/>
    <xf numFmtId="0" fontId="3" fillId="0" borderId="0" xfId="0" applyFont="1" applyAlignment="1">
      <alignment horizontal="center"/>
    </xf>
    <xf numFmtId="0" fontId="0" fillId="0" borderId="0" xfId="0" applyAlignment="1">
      <alignment horizontal="center"/>
    </xf>
    <xf numFmtId="0" fontId="0" fillId="2" borderId="0" xfId="0" applyFill="1" applyAlignment="1">
      <alignment horizontal="center"/>
    </xf>
    <xf numFmtId="0" fontId="0" fillId="0" borderId="6" xfId="0" applyBorder="1" applyAlignment="1">
      <alignment horizontal="left" indent="1"/>
    </xf>
    <xf numFmtId="0" fontId="3" fillId="0" borderId="0" xfId="0" applyFont="1"/>
    <xf numFmtId="166" fontId="3" fillId="0" borderId="0" xfId="1" applyNumberFormat="1" applyFont="1"/>
    <xf numFmtId="2" fontId="0" fillId="0" borderId="0" xfId="0" applyNumberFormat="1"/>
    <xf numFmtId="0" fontId="0" fillId="0" borderId="0" xfId="0" applyAlignment="1">
      <alignment horizontal="center" wrapText="1"/>
    </xf>
    <xf numFmtId="0" fontId="3" fillId="0" borderId="0" xfId="0" applyFont="1" applyAlignment="1">
      <alignment horizontal="left" vertical="center"/>
    </xf>
    <xf numFmtId="167" fontId="0" fillId="0" borderId="0" xfId="2" applyNumberFormat="1" applyFont="1" applyAlignment="1">
      <alignment horizontal="center"/>
    </xf>
    <xf numFmtId="0" fontId="0" fillId="0" borderId="0" xfId="0" applyAlignment="1">
      <alignment horizontal="right" wrapText="1"/>
    </xf>
    <xf numFmtId="0" fontId="3" fillId="2" borderId="0" xfId="0" applyFont="1" applyFill="1"/>
    <xf numFmtId="0" fontId="2" fillId="0" borderId="0" xfId="0" applyFont="1" applyAlignment="1">
      <alignment horizontal="center"/>
    </xf>
    <xf numFmtId="0" fontId="8" fillId="0" borderId="0" xfId="3"/>
    <xf numFmtId="0" fontId="0" fillId="0" borderId="0" xfId="0" applyAlignment="1">
      <alignment horizontal="left"/>
    </xf>
    <xf numFmtId="0" fontId="9" fillId="0" borderId="11" xfId="0" applyFont="1" applyBorder="1"/>
    <xf numFmtId="3" fontId="9" fillId="0" borderId="11" xfId="0" applyNumberFormat="1" applyFont="1" applyBorder="1"/>
    <xf numFmtId="0" fontId="11" fillId="0" borderId="0" xfId="4" applyFont="1">
      <alignment horizontal="left" vertical="top"/>
    </xf>
    <xf numFmtId="0" fontId="13" fillId="5" borderId="13" xfId="5" applyBorder="1" applyAlignment="1">
      <alignment horizontal="left" wrapText="1"/>
    </xf>
    <xf numFmtId="0" fontId="13" fillId="5" borderId="14" xfId="5" applyBorder="1" applyAlignment="1">
      <alignment horizontal="left" wrapText="1"/>
    </xf>
    <xf numFmtId="0" fontId="13" fillId="5" borderId="14" xfId="5" applyBorder="1" applyAlignment="1">
      <alignment horizontal="center" wrapText="1"/>
    </xf>
    <xf numFmtId="3" fontId="0" fillId="0" borderId="0" xfId="0" applyNumberFormat="1" applyAlignment="1">
      <alignment horizontal="center"/>
    </xf>
    <xf numFmtId="0" fontId="15" fillId="0" borderId="0" xfId="0" applyFont="1"/>
    <xf numFmtId="168" fontId="0" fillId="0" borderId="0" xfId="0" applyNumberFormat="1"/>
    <xf numFmtId="1" fontId="0" fillId="2" borderId="0" xfId="0" applyNumberFormat="1" applyFill="1"/>
    <xf numFmtId="1" fontId="0" fillId="0" borderId="0" xfId="0" applyNumberFormat="1"/>
    <xf numFmtId="0" fontId="0" fillId="6" borderId="0" xfId="0" applyFill="1"/>
    <xf numFmtId="10" fontId="0" fillId="0" borderId="0" xfId="0" applyNumberFormat="1" applyAlignment="1">
      <alignment horizontal="center"/>
    </xf>
    <xf numFmtId="0" fontId="16" fillId="4" borderId="0" xfId="0" applyFont="1" applyFill="1"/>
    <xf numFmtId="0" fontId="14" fillId="4" borderId="0" xfId="0" applyFont="1" applyFill="1"/>
    <xf numFmtId="0" fontId="17" fillId="0" borderId="0" xfId="0" applyFont="1"/>
    <xf numFmtId="10" fontId="0" fillId="0" borderId="0" xfId="0" applyNumberFormat="1"/>
    <xf numFmtId="9" fontId="0" fillId="0" borderId="0" xfId="0" applyNumberFormat="1"/>
    <xf numFmtId="0" fontId="0" fillId="0" borderId="1" xfId="0" applyBorder="1"/>
    <xf numFmtId="0" fontId="21" fillId="0" borderId="0" xfId="0" applyFont="1" applyAlignment="1">
      <alignment horizontal="center"/>
    </xf>
    <xf numFmtId="1" fontId="22" fillId="0" borderId="0" xfId="0" quotePrefix="1" applyNumberFormat="1" applyFont="1" applyAlignment="1">
      <alignment horizontal="center"/>
    </xf>
    <xf numFmtId="1" fontId="0" fillId="0" borderId="0" xfId="0" applyNumberFormat="1" applyAlignment="1">
      <alignment horizontal="center"/>
    </xf>
    <xf numFmtId="0" fontId="23" fillId="0" borderId="0" xfId="0" applyFont="1"/>
    <xf numFmtId="167" fontId="0" fillId="0" borderId="0" xfId="2" applyNumberFormat="1" applyFont="1"/>
    <xf numFmtId="0" fontId="3" fillId="0" borderId="2" xfId="0" applyFont="1" applyBorder="1"/>
    <xf numFmtId="0" fontId="0" fillId="0" borderId="2" xfId="0" applyBorder="1"/>
    <xf numFmtId="167" fontId="0" fillId="0" borderId="1" xfId="2" applyNumberFormat="1" applyFont="1" applyBorder="1"/>
    <xf numFmtId="167" fontId="3" fillId="0" borderId="0" xfId="0" applyNumberFormat="1" applyFont="1" applyAlignment="1">
      <alignment horizontal="center"/>
    </xf>
    <xf numFmtId="167" fontId="0" fillId="0" borderId="0" xfId="0" applyNumberFormat="1"/>
    <xf numFmtId="167" fontId="3" fillId="0" borderId="0" xfId="0" applyNumberFormat="1" applyFont="1"/>
    <xf numFmtId="167" fontId="3" fillId="0" borderId="0" xfId="2" applyNumberFormat="1" applyFont="1"/>
    <xf numFmtId="170" fontId="0" fillId="0" borderId="0" xfId="0" applyNumberFormat="1"/>
    <xf numFmtId="1" fontId="0" fillId="0" borderId="1" xfId="0" applyNumberFormat="1" applyBorder="1"/>
    <xf numFmtId="166" fontId="1" fillId="0" borderId="0" xfId="1" applyNumberFormat="1"/>
    <xf numFmtId="0" fontId="3" fillId="0" borderId="0" xfId="0" applyFont="1" applyAlignment="1">
      <alignment wrapText="1"/>
    </xf>
    <xf numFmtId="169" fontId="0" fillId="0" borderId="0" xfId="0" applyNumberFormat="1"/>
    <xf numFmtId="0" fontId="0" fillId="12" borderId="0" xfId="0" applyFill="1"/>
    <xf numFmtId="0" fontId="0" fillId="12" borderId="15" xfId="0" applyFill="1" applyBorder="1"/>
    <xf numFmtId="0" fontId="3" fillId="12" borderId="0" xfId="0" applyFont="1" applyFill="1"/>
    <xf numFmtId="0" fontId="0" fillId="9" borderId="0" xfId="0" applyFill="1"/>
    <xf numFmtId="0" fontId="8" fillId="6" borderId="0" xfId="3" applyFill="1"/>
    <xf numFmtId="0" fontId="0" fillId="9" borderId="0" xfId="0" applyFill="1" applyAlignment="1">
      <alignment horizontal="center"/>
    </xf>
    <xf numFmtId="0" fontId="2" fillId="9" borderId="0" xfId="0" applyFont="1" applyFill="1"/>
    <xf numFmtId="9" fontId="0" fillId="9" borderId="0" xfId="0" applyNumberFormat="1" applyFill="1"/>
    <xf numFmtId="167" fontId="2" fillId="0" borderId="0" xfId="0" applyNumberFormat="1" applyFont="1"/>
    <xf numFmtId="0" fontId="7" fillId="2" borderId="8" xfId="0" applyFont="1" applyFill="1" applyBorder="1"/>
    <xf numFmtId="0" fontId="0" fillId="9" borderId="4" xfId="0" applyFill="1" applyBorder="1"/>
    <xf numFmtId="168" fontId="0" fillId="9" borderId="0" xfId="0" applyNumberFormat="1" applyFill="1"/>
    <xf numFmtId="0" fontId="0" fillId="9" borderId="5" xfId="0" applyFill="1" applyBorder="1"/>
    <xf numFmtId="0" fontId="0" fillId="9" borderId="7" xfId="0" applyFill="1" applyBorder="1"/>
    <xf numFmtId="168" fontId="0" fillId="0" borderId="0" xfId="0" applyNumberFormat="1" applyAlignment="1">
      <alignment horizontal="center"/>
    </xf>
    <xf numFmtId="168" fontId="0" fillId="2" borderId="0" xfId="0" applyNumberFormat="1" applyFill="1" applyAlignment="1">
      <alignment horizontal="center"/>
    </xf>
    <xf numFmtId="171" fontId="0" fillId="0" borderId="0" xfId="0" applyNumberFormat="1"/>
    <xf numFmtId="0" fontId="8" fillId="0" borderId="0" xfId="3" applyAlignment="1">
      <alignment horizontal="left"/>
    </xf>
    <xf numFmtId="0" fontId="0" fillId="9" borderId="0" xfId="0" applyFill="1" applyAlignment="1">
      <alignment wrapText="1"/>
    </xf>
    <xf numFmtId="0" fontId="0" fillId="0" borderId="13" xfId="0" applyBorder="1" applyAlignment="1">
      <alignment vertical="center" wrapText="1"/>
    </xf>
    <xf numFmtId="0" fontId="0" fillId="0" borderId="13" xfId="0" applyBorder="1" applyAlignment="1">
      <alignment wrapText="1"/>
    </xf>
    <xf numFmtId="0" fontId="0" fillId="9" borderId="13" xfId="0" applyFill="1" applyBorder="1" applyAlignment="1">
      <alignment wrapText="1"/>
    </xf>
    <xf numFmtId="0" fontId="0" fillId="0" borderId="2" xfId="0" applyBorder="1" applyAlignment="1">
      <alignment wrapText="1"/>
    </xf>
    <xf numFmtId="0" fontId="0" fillId="0" borderId="1" xfId="0" applyBorder="1" applyAlignment="1">
      <alignment horizontal="right"/>
    </xf>
    <xf numFmtId="0" fontId="6" fillId="0" borderId="1" xfId="0" applyFont="1" applyBorder="1" applyAlignment="1">
      <alignment horizontal="left"/>
    </xf>
    <xf numFmtId="0" fontId="0" fillId="0" borderId="0" xfId="0" applyAlignment="1">
      <alignment horizontal="left" wrapText="1" indent="1"/>
    </xf>
    <xf numFmtId="2" fontId="0" fillId="0" borderId="0" xfId="0" applyNumberFormat="1" applyAlignment="1">
      <alignment horizontal="left"/>
    </xf>
    <xf numFmtId="169" fontId="0" fillId="9" borderId="0" xfId="0" applyNumberFormat="1" applyFill="1" applyAlignment="1">
      <alignment horizontal="right"/>
    </xf>
    <xf numFmtId="169" fontId="6" fillId="9" borderId="0" xfId="0" applyNumberFormat="1" applyFont="1" applyFill="1" applyAlignment="1">
      <alignment horizontal="left"/>
    </xf>
    <xf numFmtId="169" fontId="0" fillId="0" borderId="13" xfId="0" applyNumberFormat="1" applyBorder="1" applyAlignment="1">
      <alignment horizontal="right" vertical="center"/>
    </xf>
    <xf numFmtId="169" fontId="6" fillId="0" borderId="13" xfId="0" applyNumberFormat="1" applyFont="1" applyBorder="1" applyAlignment="1">
      <alignment horizontal="left" vertical="center"/>
    </xf>
    <xf numFmtId="169" fontId="0" fillId="0" borderId="0" xfId="0" applyNumberFormat="1" applyAlignment="1">
      <alignment horizontal="right"/>
    </xf>
    <xf numFmtId="169" fontId="6" fillId="0" borderId="0" xfId="0" applyNumberFormat="1" applyFont="1" applyAlignment="1">
      <alignment horizontal="left"/>
    </xf>
    <xf numFmtId="169" fontId="0" fillId="0" borderId="13" xfId="0" applyNumberFormat="1" applyBorder="1" applyAlignment="1">
      <alignment horizontal="right"/>
    </xf>
    <xf numFmtId="169" fontId="6" fillId="0" borderId="13" xfId="0" applyNumberFormat="1" applyFont="1" applyBorder="1" applyAlignment="1">
      <alignment horizontal="left"/>
    </xf>
    <xf numFmtId="169" fontId="0" fillId="9" borderId="13" xfId="0" applyNumberFormat="1" applyFill="1" applyBorder="1" applyAlignment="1">
      <alignment horizontal="right"/>
    </xf>
    <xf numFmtId="169" fontId="6" fillId="9" borderId="13" xfId="0" applyNumberFormat="1" applyFont="1" applyFill="1" applyBorder="1" applyAlignment="1">
      <alignment horizontal="left"/>
    </xf>
    <xf numFmtId="169" fontId="6" fillId="0" borderId="1" xfId="0" applyNumberFormat="1" applyFont="1" applyBorder="1" applyAlignment="1">
      <alignment horizontal="left"/>
    </xf>
    <xf numFmtId="169" fontId="0" fillId="0" borderId="2" xfId="0" applyNumberFormat="1" applyBorder="1" applyAlignment="1">
      <alignment horizontal="right"/>
    </xf>
    <xf numFmtId="169" fontId="6" fillId="0" borderId="2" xfId="0" applyNumberFormat="1" applyFont="1" applyBorder="1" applyAlignment="1">
      <alignment horizontal="left"/>
    </xf>
    <xf numFmtId="2" fontId="0" fillId="0" borderId="4" xfId="0" applyNumberFormat="1" applyBorder="1" applyAlignment="1">
      <alignment horizontal="left"/>
    </xf>
    <xf numFmtId="0" fontId="0" fillId="0" borderId="4" xfId="0" applyBorder="1" applyAlignment="1">
      <alignment horizontal="left"/>
    </xf>
    <xf numFmtId="0" fontId="25" fillId="0" borderId="0" xfId="0" applyFont="1"/>
    <xf numFmtId="1" fontId="0" fillId="7" borderId="0" xfId="0" applyNumberFormat="1" applyFill="1"/>
    <xf numFmtId="1" fontId="0" fillId="13" borderId="0" xfId="0" applyNumberFormat="1" applyFill="1" applyAlignment="1">
      <alignment horizontal="center"/>
    </xf>
    <xf numFmtId="168" fontId="0" fillId="13" borderId="0" xfId="0" applyNumberFormat="1" applyFill="1" applyAlignment="1">
      <alignment horizontal="center"/>
    </xf>
    <xf numFmtId="0" fontId="3" fillId="2" borderId="0" xfId="0" applyFont="1" applyFill="1" applyAlignment="1">
      <alignment horizontal="center"/>
    </xf>
    <xf numFmtId="0" fontId="0" fillId="0" borderId="19" xfId="0" applyBorder="1"/>
    <xf numFmtId="0" fontId="0" fillId="0" borderId="20" xfId="0" applyBorder="1"/>
    <xf numFmtId="0" fontId="0" fillId="0" borderId="3"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3" fillId="0" borderId="6" xfId="0" applyFont="1" applyBorder="1" applyAlignment="1">
      <alignment horizontal="center"/>
    </xf>
    <xf numFmtId="168" fontId="2" fillId="0" borderId="0" xfId="0" applyNumberFormat="1" applyFont="1" applyAlignment="1">
      <alignment horizontal="center"/>
    </xf>
    <xf numFmtId="0" fontId="0" fillId="0" borderId="8" xfId="0" applyBorder="1" applyAlignment="1">
      <alignment horizontal="center"/>
    </xf>
    <xf numFmtId="0" fontId="0" fillId="0" borderId="9" xfId="0" applyBorder="1" applyAlignment="1">
      <alignment horizontal="center"/>
    </xf>
    <xf numFmtId="0" fontId="7" fillId="0" borderId="1" xfId="0" applyFont="1" applyBorder="1" applyAlignment="1">
      <alignment horizontal="center"/>
    </xf>
    <xf numFmtId="0" fontId="5" fillId="0" borderId="0" xfId="0" applyFont="1" applyAlignment="1">
      <alignment horizontal="center"/>
    </xf>
    <xf numFmtId="0" fontId="0" fillId="13" borderId="0" xfId="0" applyFill="1" applyAlignment="1">
      <alignment horizontal="center"/>
    </xf>
    <xf numFmtId="0" fontId="0" fillId="3" borderId="0" xfId="0" applyFill="1" applyAlignment="1">
      <alignment horizontal="center"/>
    </xf>
    <xf numFmtId="0" fontId="24" fillId="0" borderId="0" xfId="0" applyFont="1" applyAlignment="1">
      <alignment horizontal="center"/>
    </xf>
    <xf numFmtId="0" fontId="7" fillId="0" borderId="0" xfId="0" applyFont="1" applyAlignment="1">
      <alignment horizontal="center"/>
    </xf>
    <xf numFmtId="0" fontId="7" fillId="2" borderId="0" xfId="0" applyFont="1" applyFill="1" applyAlignment="1">
      <alignment horizontal="center"/>
    </xf>
    <xf numFmtId="168" fontId="0" fillId="7" borderId="0" xfId="0" applyNumberFormat="1" applyFill="1" applyAlignment="1">
      <alignment horizontal="center"/>
    </xf>
    <xf numFmtId="0" fontId="0" fillId="7" borderId="0" xfId="0" applyFill="1" applyAlignment="1">
      <alignment horizontal="center"/>
    </xf>
    <xf numFmtId="168" fontId="5" fillId="13" borderId="0" xfId="0" applyNumberFormat="1" applyFont="1" applyFill="1" applyAlignment="1">
      <alignment horizontal="center"/>
    </xf>
    <xf numFmtId="168" fontId="5" fillId="7" borderId="0" xfId="0" applyNumberFormat="1" applyFont="1" applyFill="1" applyAlignment="1">
      <alignment horizontal="center"/>
    </xf>
    <xf numFmtId="1" fontId="0" fillId="7" borderId="0" xfId="0" applyNumberFormat="1" applyFill="1" applyAlignment="1">
      <alignment horizontal="center"/>
    </xf>
    <xf numFmtId="164" fontId="0" fillId="7" borderId="0" xfId="0" applyNumberFormat="1" applyFill="1" applyAlignment="1">
      <alignment horizontal="center"/>
    </xf>
    <xf numFmtId="0" fontId="0" fillId="13" borderId="9" xfId="0" applyFill="1" applyBorder="1" applyAlignment="1">
      <alignment horizontal="center"/>
    </xf>
    <xf numFmtId="0" fontId="4" fillId="0" borderId="3" xfId="0" applyFont="1" applyBorder="1" applyAlignment="1">
      <alignment horizontal="center"/>
    </xf>
    <xf numFmtId="0" fontId="0" fillId="13" borderId="4"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0" fillId="7" borderId="7" xfId="0" applyFill="1" applyBorder="1" applyAlignment="1">
      <alignment horizontal="center"/>
    </xf>
    <xf numFmtId="0" fontId="0" fillId="2" borderId="6" xfId="0" applyFill="1" applyBorder="1" applyAlignment="1">
      <alignment horizontal="center"/>
    </xf>
    <xf numFmtId="166" fontId="0" fillId="13" borderId="9" xfId="1" applyNumberFormat="1" applyFont="1" applyFill="1" applyBorder="1" applyAlignment="1">
      <alignment horizontal="center"/>
    </xf>
    <xf numFmtId="166" fontId="0" fillId="7" borderId="9" xfId="1" applyNumberFormat="1" applyFont="1" applyFill="1" applyBorder="1" applyAlignment="1">
      <alignment horizontal="center"/>
    </xf>
    <xf numFmtId="0" fontId="0" fillId="7" borderId="9" xfId="0" applyFill="1" applyBorder="1" applyAlignment="1">
      <alignment horizontal="center"/>
    </xf>
    <xf numFmtId="0" fontId="0" fillId="7" borderId="10" xfId="0" applyFill="1" applyBorder="1" applyAlignment="1">
      <alignment horizontal="center"/>
    </xf>
    <xf numFmtId="0" fontId="2" fillId="7" borderId="0" xfId="0" applyFont="1" applyFill="1" applyAlignment="1">
      <alignment horizontal="center"/>
    </xf>
    <xf numFmtId="0" fontId="4" fillId="0" borderId="0" xfId="0" applyFont="1" applyAlignment="1">
      <alignment horizontal="center"/>
    </xf>
    <xf numFmtId="168" fontId="0" fillId="11" borderId="0" xfId="0" applyNumberFormat="1" applyFill="1" applyAlignment="1">
      <alignment horizontal="center"/>
    </xf>
    <xf numFmtId="168" fontId="0" fillId="9" borderId="0" xfId="0" applyNumberFormat="1" applyFill="1" applyAlignment="1">
      <alignment horizontal="center"/>
    </xf>
    <xf numFmtId="0" fontId="5" fillId="13" borderId="0" xfId="0" applyFont="1" applyFill="1" applyAlignment="1">
      <alignment horizontal="center"/>
    </xf>
    <xf numFmtId="0" fontId="15" fillId="0" borderId="0" xfId="0" applyFont="1" applyAlignment="1">
      <alignment horizontal="center"/>
    </xf>
    <xf numFmtId="0" fontId="15" fillId="7" borderId="0" xfId="0" applyFont="1" applyFill="1" applyAlignment="1">
      <alignment horizontal="center"/>
    </xf>
    <xf numFmtId="0" fontId="3" fillId="0" borderId="1" xfId="0" applyFont="1" applyBorder="1" applyAlignment="1">
      <alignment horizontal="left"/>
    </xf>
    <xf numFmtId="0" fontId="0" fillId="0" borderId="0" xfId="0" applyAlignment="1">
      <alignment horizontal="left" vertical="center"/>
    </xf>
    <xf numFmtId="0" fontId="26" fillId="0" borderId="0" xfId="0" applyFont="1" applyAlignment="1">
      <alignment wrapText="1"/>
    </xf>
    <xf numFmtId="0" fontId="5" fillId="0" borderId="0" xfId="0" applyFont="1" applyAlignment="1">
      <alignment wrapText="1"/>
    </xf>
    <xf numFmtId="0" fontId="8" fillId="0" borderId="0" xfId="3" applyAlignment="1">
      <alignment wrapText="1"/>
    </xf>
    <xf numFmtId="0" fontId="27" fillId="0" borderId="0" xfId="3" applyFont="1" applyAlignment="1">
      <alignment wrapText="1"/>
    </xf>
    <xf numFmtId="0" fontId="27" fillId="0" borderId="0" xfId="3" applyFont="1"/>
    <xf numFmtId="0" fontId="26" fillId="9" borderId="0" xfId="0" applyFont="1" applyFill="1" applyAlignment="1">
      <alignment wrapText="1"/>
    </xf>
    <xf numFmtId="0" fontId="5" fillId="9" borderId="0" xfId="0" applyFont="1" applyFill="1" applyAlignment="1">
      <alignment wrapText="1"/>
    </xf>
    <xf numFmtId="0" fontId="5" fillId="9" borderId="0" xfId="0" applyFont="1" applyFill="1"/>
    <xf numFmtId="0" fontId="8" fillId="9" borderId="0" xfId="3" applyFill="1"/>
    <xf numFmtId="0" fontId="27" fillId="9" borderId="0" xfId="3" applyFont="1" applyFill="1" applyAlignment="1">
      <alignment wrapText="1"/>
    </xf>
    <xf numFmtId="0" fontId="28" fillId="0" borderId="0" xfId="0" applyFont="1" applyAlignment="1">
      <alignment vertical="center"/>
    </xf>
    <xf numFmtId="0" fontId="5" fillId="2" borderId="0" xfId="0" applyFont="1" applyFill="1"/>
    <xf numFmtId="0" fontId="29" fillId="0" borderId="0" xfId="0" applyFont="1"/>
    <xf numFmtId="0" fontId="0" fillId="0" borderId="23" xfId="0" applyBorder="1"/>
    <xf numFmtId="0" fontId="0" fillId="0" borderId="24" xfId="0" applyBorder="1"/>
    <xf numFmtId="166" fontId="1" fillId="0" borderId="22" xfId="1" applyNumberFormat="1" applyBorder="1"/>
    <xf numFmtId="10" fontId="1" fillId="0" borderId="0" xfId="1" applyNumberFormat="1"/>
    <xf numFmtId="10" fontId="1" fillId="0" borderId="22" xfId="1" applyNumberFormat="1" applyBorder="1"/>
    <xf numFmtId="0" fontId="0" fillId="0" borderId="25" xfId="0" applyBorder="1"/>
    <xf numFmtId="166" fontId="1" fillId="0" borderId="26" xfId="1" applyNumberFormat="1" applyBorder="1"/>
    <xf numFmtId="10" fontId="1" fillId="0" borderId="1" xfId="1" applyNumberFormat="1" applyBorder="1"/>
    <xf numFmtId="10" fontId="1" fillId="0" borderId="26" xfId="1" applyNumberFormat="1" applyBorder="1"/>
    <xf numFmtId="0" fontId="0" fillId="0" borderId="16" xfId="0" applyBorder="1"/>
    <xf numFmtId="0" fontId="0" fillId="0" borderId="17" xfId="0" applyBorder="1"/>
    <xf numFmtId="44" fontId="1" fillId="0" borderId="17" xfId="6" applyBorder="1"/>
    <xf numFmtId="10" fontId="0" fillId="0" borderId="17" xfId="0" applyNumberFormat="1" applyBorder="1"/>
    <xf numFmtId="0" fontId="0" fillId="7" borderId="16" xfId="0" applyFill="1" applyBorder="1"/>
    <xf numFmtId="166" fontId="14" fillId="0" borderId="22" xfId="1" applyNumberFormat="1" applyFont="1" applyBorder="1"/>
    <xf numFmtId="0" fontId="0" fillId="0" borderId="27" xfId="0" applyBorder="1" applyAlignment="1">
      <alignment horizontal="center"/>
    </xf>
    <xf numFmtId="0" fontId="0" fillId="0" borderId="22" xfId="0" applyBorder="1" applyAlignment="1">
      <alignment horizontal="center"/>
    </xf>
    <xf numFmtId="168" fontId="0" fillId="0" borderId="22" xfId="0" applyNumberFormat="1" applyBorder="1" applyAlignment="1">
      <alignment horizontal="center"/>
    </xf>
    <xf numFmtId="9" fontId="2" fillId="0" borderId="0" xfId="0" applyNumberFormat="1" applyFont="1"/>
    <xf numFmtId="0" fontId="14" fillId="0" borderId="0" xfId="0" applyFont="1" applyAlignment="1">
      <alignment horizontal="center"/>
    </xf>
    <xf numFmtId="169" fontId="0" fillId="11" borderId="0" xfId="0" applyNumberFormat="1" applyFill="1"/>
    <xf numFmtId="9" fontId="15" fillId="0" borderId="0" xfId="0" applyNumberFormat="1" applyFont="1"/>
    <xf numFmtId="0" fontId="14" fillId="0" borderId="6" xfId="0" applyFont="1" applyBorder="1" applyAlignment="1">
      <alignment horizontal="center"/>
    </xf>
    <xf numFmtId="0" fontId="14" fillId="7" borderId="0" xfId="0" applyFont="1" applyFill="1" applyAlignment="1">
      <alignment horizontal="center"/>
    </xf>
    <xf numFmtId="168" fontId="14" fillId="7" borderId="0" xfId="0" applyNumberFormat="1" applyFont="1" applyFill="1" applyAlignment="1">
      <alignment horizontal="center"/>
    </xf>
    <xf numFmtId="168" fontId="14" fillId="13" borderId="0" xfId="0" applyNumberFormat="1" applyFont="1" applyFill="1" applyAlignment="1">
      <alignment horizontal="center"/>
    </xf>
    <xf numFmtId="1" fontId="14" fillId="7" borderId="0" xfId="0" applyNumberFormat="1" applyFont="1" applyFill="1" applyAlignment="1">
      <alignment horizontal="center"/>
    </xf>
    <xf numFmtId="0" fontId="14" fillId="7" borderId="7" xfId="0" applyFont="1" applyFill="1" applyBorder="1" applyAlignment="1">
      <alignment horizontal="center"/>
    </xf>
    <xf numFmtId="0" fontId="0" fillId="0" borderId="29" xfId="0" applyBorder="1"/>
    <xf numFmtId="169" fontId="0" fillId="9" borderId="2" xfId="0" applyNumberFormat="1" applyFill="1" applyBorder="1" applyAlignment="1">
      <alignment horizontal="right"/>
    </xf>
    <xf numFmtId="169" fontId="6" fillId="9" borderId="2" xfId="0" applyNumberFormat="1" applyFont="1" applyFill="1" applyBorder="1" applyAlignment="1">
      <alignment horizontal="left"/>
    </xf>
    <xf numFmtId="169" fontId="0" fillId="0" borderId="1" xfId="0" applyNumberFormat="1" applyBorder="1" applyAlignment="1">
      <alignment horizontal="right"/>
    </xf>
    <xf numFmtId="0" fontId="0" fillId="0" borderId="0" xfId="0" applyAlignment="1">
      <alignment horizontal="right"/>
    </xf>
    <xf numFmtId="0" fontId="6" fillId="0" borderId="0" xfId="0" applyFont="1" applyAlignment="1">
      <alignment horizontal="left"/>
    </xf>
    <xf numFmtId="166" fontId="15" fillId="0" borderId="0" xfId="0" applyNumberFormat="1" applyFont="1"/>
    <xf numFmtId="166" fontId="0" fillId="0" borderId="0" xfId="0" applyNumberFormat="1"/>
    <xf numFmtId="166" fontId="3" fillId="0" borderId="0" xfId="0" applyNumberFormat="1" applyFont="1"/>
    <xf numFmtId="168" fontId="2" fillId="0" borderId="0" xfId="0" applyNumberFormat="1" applyFont="1"/>
    <xf numFmtId="168" fontId="3" fillId="0" borderId="0" xfId="0" applyNumberFormat="1" applyFont="1"/>
    <xf numFmtId="0" fontId="30" fillId="2" borderId="0" xfId="0" applyFont="1" applyFill="1"/>
    <xf numFmtId="0" fontId="15" fillId="2" borderId="0" xfId="0" applyFont="1" applyFill="1"/>
    <xf numFmtId="168" fontId="0" fillId="0" borderId="4" xfId="0" applyNumberFormat="1" applyBorder="1"/>
    <xf numFmtId="168" fontId="0" fillId="0" borderId="9" xfId="0" applyNumberFormat="1" applyBorder="1"/>
    <xf numFmtId="168" fontId="0" fillId="0" borderId="20" xfId="0" applyNumberFormat="1" applyBorder="1"/>
    <xf numFmtId="168" fontId="0" fillId="0" borderId="21" xfId="0" applyNumberFormat="1" applyBorder="1"/>
    <xf numFmtId="168" fontId="0" fillId="9" borderId="4" xfId="0" applyNumberFormat="1" applyFill="1" applyBorder="1"/>
    <xf numFmtId="168" fontId="0" fillId="9" borderId="5" xfId="0" applyNumberFormat="1" applyFill="1" applyBorder="1"/>
    <xf numFmtId="168" fontId="0" fillId="9" borderId="7" xfId="0" applyNumberFormat="1" applyFill="1" applyBorder="1"/>
    <xf numFmtId="9" fontId="24" fillId="0" borderId="0" xfId="0" applyNumberFormat="1" applyFont="1"/>
    <xf numFmtId="168" fontId="0" fillId="0" borderId="19" xfId="0" applyNumberFormat="1" applyBorder="1"/>
    <xf numFmtId="0" fontId="26" fillId="2" borderId="0" xfId="0" applyFont="1" applyFill="1" applyAlignment="1">
      <alignment wrapText="1"/>
    </xf>
    <xf numFmtId="0" fontId="33" fillId="0" borderId="0" xfId="3" applyFont="1"/>
    <xf numFmtId="9" fontId="0" fillId="0" borderId="0" xfId="0" applyNumberFormat="1" applyAlignment="1">
      <alignment horizontal="center"/>
    </xf>
    <xf numFmtId="0" fontId="14" fillId="0" borderId="0" xfId="3" applyFont="1"/>
    <xf numFmtId="168" fontId="0" fillId="9" borderId="19" xfId="0" applyNumberFormat="1" applyFill="1" applyBorder="1"/>
    <xf numFmtId="168" fontId="0" fillId="9" borderId="20" xfId="0" applyNumberFormat="1" applyFill="1" applyBorder="1"/>
    <xf numFmtId="0" fontId="24" fillId="0" borderId="0" xfId="0" applyFont="1"/>
    <xf numFmtId="1" fontId="3" fillId="0" borderId="0" xfId="0" applyNumberFormat="1" applyFont="1"/>
    <xf numFmtId="37" fontId="2" fillId="0" borderId="0" xfId="0" applyNumberFormat="1" applyFont="1"/>
    <xf numFmtId="0" fontId="24" fillId="2" borderId="0" xfId="0" applyFont="1" applyFill="1" applyAlignment="1">
      <alignment horizontal="center"/>
    </xf>
    <xf numFmtId="0" fontId="16" fillId="0" borderId="0" xfId="0" applyFont="1" applyAlignment="1">
      <alignment horizontal="center"/>
    </xf>
    <xf numFmtId="0" fontId="0" fillId="9" borderId="19" xfId="0" applyFill="1" applyBorder="1"/>
    <xf numFmtId="0" fontId="0" fillId="9" borderId="20" xfId="0" applyFill="1" applyBorder="1"/>
    <xf numFmtId="164" fontId="0" fillId="13" borderId="0" xfId="0" applyNumberFormat="1" applyFill="1" applyAlignment="1">
      <alignment horizontal="center"/>
    </xf>
    <xf numFmtId="168" fontId="14" fillId="0" borderId="0" xfId="0" applyNumberFormat="1" applyFont="1" applyAlignment="1">
      <alignment horizontal="center"/>
    </xf>
    <xf numFmtId="168" fontId="3" fillId="7" borderId="0" xfId="0" applyNumberFormat="1" applyFont="1" applyFill="1" applyAlignment="1">
      <alignment horizontal="center"/>
    </xf>
    <xf numFmtId="168" fontId="14" fillId="0" borderId="0" xfId="0" applyNumberFormat="1" applyFont="1"/>
    <xf numFmtId="168" fontId="0" fillId="7" borderId="19" xfId="0" applyNumberFormat="1" applyFill="1" applyBorder="1"/>
    <xf numFmtId="168" fontId="0" fillId="7" borderId="20" xfId="0" applyNumberFormat="1" applyFill="1" applyBorder="1"/>
    <xf numFmtId="168" fontId="3" fillId="13" borderId="0" xfId="0" applyNumberFormat="1" applyFont="1" applyFill="1" applyAlignment="1">
      <alignment horizontal="center"/>
    </xf>
    <xf numFmtId="168" fontId="16" fillId="7" borderId="0" xfId="0" applyNumberFormat="1" applyFont="1" applyFill="1" applyAlignment="1">
      <alignment horizontal="center"/>
    </xf>
    <xf numFmtId="168" fontId="34" fillId="7" borderId="0" xfId="0" applyNumberFormat="1" applyFont="1" applyFill="1" applyAlignment="1">
      <alignment horizontal="center"/>
    </xf>
    <xf numFmtId="0" fontId="2" fillId="2" borderId="0" xfId="0" applyFont="1" applyFill="1"/>
    <xf numFmtId="0" fontId="35" fillId="0" borderId="0" xfId="0" applyFont="1"/>
    <xf numFmtId="0" fontId="35" fillId="7" borderId="0" xfId="0" applyFont="1" applyFill="1"/>
    <xf numFmtId="168" fontId="3" fillId="11" borderId="0" xfId="0" applyNumberFormat="1" applyFont="1" applyFill="1" applyAlignment="1">
      <alignment horizontal="center"/>
    </xf>
    <xf numFmtId="168" fontId="5" fillId="9" borderId="0" xfId="0" applyNumberFormat="1" applyFont="1" applyFill="1" applyAlignment="1">
      <alignment horizontal="center"/>
    </xf>
    <xf numFmtId="168" fontId="5" fillId="11" borderId="0" xfId="0" applyNumberFormat="1" applyFont="1" applyFill="1" applyAlignment="1">
      <alignment horizontal="center"/>
    </xf>
    <xf numFmtId="168" fontId="0" fillId="8" borderId="0" xfId="0" applyNumberFormat="1" applyFill="1" applyAlignment="1">
      <alignment horizontal="center"/>
    </xf>
    <xf numFmtId="166" fontId="14" fillId="0" borderId="0" xfId="1" applyNumberFormat="1" applyFont="1"/>
    <xf numFmtId="0" fontId="0" fillId="14" borderId="0" xfId="0" applyFill="1"/>
    <xf numFmtId="0" fontId="0" fillId="0" borderId="15" xfId="0" applyBorder="1"/>
    <xf numFmtId="0" fontId="38" fillId="0" borderId="0" xfId="0" applyFont="1" applyAlignment="1">
      <alignment horizontal="center" vertical="center" wrapText="1"/>
    </xf>
    <xf numFmtId="9" fontId="38" fillId="0" borderId="0" xfId="0" applyNumberFormat="1" applyFont="1" applyAlignment="1">
      <alignment horizontal="center" vertical="center" wrapText="1"/>
    </xf>
    <xf numFmtId="10" fontId="38" fillId="0" borderId="0" xfId="0" applyNumberFormat="1" applyFont="1" applyAlignment="1">
      <alignment horizontal="center" vertical="center" wrapText="1"/>
    </xf>
    <xf numFmtId="10" fontId="39" fillId="0" borderId="0" xfId="0" applyNumberFormat="1" applyFont="1" applyAlignment="1">
      <alignment horizontal="center"/>
    </xf>
    <xf numFmtId="9" fontId="39" fillId="0" borderId="0" xfId="0" applyNumberFormat="1" applyFont="1" applyAlignment="1">
      <alignment horizontal="center"/>
    </xf>
    <xf numFmtId="171" fontId="38" fillId="0" borderId="0" xfId="0" applyNumberFormat="1" applyFont="1" applyAlignment="1">
      <alignment horizontal="center" vertical="center" wrapText="1"/>
    </xf>
    <xf numFmtId="0" fontId="38" fillId="0" borderId="2" xfId="0" applyFont="1" applyBorder="1" applyAlignment="1">
      <alignment horizontal="center" vertical="center" wrapText="1"/>
    </xf>
    <xf numFmtId="0" fontId="39" fillId="0" borderId="9" xfId="0" applyFont="1" applyBorder="1" applyAlignment="1">
      <alignment horizontal="center"/>
    </xf>
    <xf numFmtId="171" fontId="39" fillId="0" borderId="9" xfId="0" applyNumberFormat="1" applyFont="1" applyBorder="1" applyAlignment="1">
      <alignment horizontal="center"/>
    </xf>
    <xf numFmtId="0" fontId="38" fillId="0" borderId="9" xfId="0" applyFont="1" applyBorder="1" applyAlignment="1">
      <alignment horizontal="center" vertical="center" wrapText="1"/>
    </xf>
    <xf numFmtId="0" fontId="39" fillId="0" borderId="2" xfId="0" applyFont="1" applyBorder="1" applyAlignment="1">
      <alignment horizontal="center" vertical="center"/>
    </xf>
    <xf numFmtId="168" fontId="2" fillId="13" borderId="0" xfId="0" applyNumberFormat="1" applyFont="1" applyFill="1" applyAlignment="1">
      <alignment horizontal="center"/>
    </xf>
    <xf numFmtId="0" fontId="40" fillId="0" borderId="2" xfId="0" applyFont="1" applyBorder="1" applyAlignment="1">
      <alignment horizontal="center" vertical="center" wrapText="1"/>
    </xf>
    <xf numFmtId="0" fontId="40" fillId="0" borderId="0" xfId="0" applyFont="1" applyAlignment="1">
      <alignment horizontal="center" vertical="center" wrapText="1"/>
    </xf>
    <xf numFmtId="0" fontId="40" fillId="0" borderId="9" xfId="0" applyFont="1" applyBorder="1" applyAlignment="1">
      <alignment horizontal="center" vertical="center" wrapText="1"/>
    </xf>
    <xf numFmtId="0" fontId="14" fillId="0" borderId="0" xfId="0" applyFont="1"/>
    <xf numFmtId="168" fontId="14" fillId="0" borderId="28" xfId="0" applyNumberFormat="1" applyFont="1" applyBorder="1"/>
    <xf numFmtId="168" fontId="3" fillId="9" borderId="0" xfId="0" applyNumberFormat="1" applyFont="1" applyFill="1" applyAlignment="1">
      <alignment horizontal="center"/>
    </xf>
    <xf numFmtId="168" fontId="2" fillId="9" borderId="0" xfId="0" applyNumberFormat="1" applyFont="1" applyFill="1" applyAlignment="1">
      <alignment horizontal="center"/>
    </xf>
    <xf numFmtId="172" fontId="0" fillId="0" borderId="0" xfId="0" applyNumberFormat="1" applyAlignment="1">
      <alignment horizontal="center"/>
    </xf>
    <xf numFmtId="168" fontId="15" fillId="0" borderId="0" xfId="0" applyNumberFormat="1" applyFont="1" applyAlignment="1">
      <alignment horizontal="center"/>
    </xf>
    <xf numFmtId="171" fontId="3" fillId="0" borderId="11" xfId="0" applyNumberFormat="1" applyFont="1" applyBorder="1"/>
    <xf numFmtId="1" fontId="15" fillId="7" borderId="0" xfId="0" applyNumberFormat="1" applyFont="1" applyFill="1" applyAlignment="1">
      <alignment horizontal="center"/>
    </xf>
    <xf numFmtId="168" fontId="15" fillId="13" borderId="0" xfId="0" applyNumberFormat="1" applyFont="1" applyFill="1" applyAlignment="1">
      <alignment horizontal="center"/>
    </xf>
    <xf numFmtId="0" fontId="4" fillId="0" borderId="0" xfId="0" applyFont="1"/>
    <xf numFmtId="168" fontId="3" fillId="0" borderId="0" xfId="0" applyNumberFormat="1" applyFont="1" applyAlignment="1">
      <alignment horizontal="center"/>
    </xf>
    <xf numFmtId="1" fontId="14" fillId="13" borderId="0" xfId="0" applyNumberFormat="1" applyFont="1" applyFill="1" applyAlignment="1">
      <alignment horizontal="center"/>
    </xf>
    <xf numFmtId="0" fontId="41" fillId="13" borderId="0" xfId="0" applyFont="1" applyFill="1" applyAlignment="1">
      <alignment horizontal="center"/>
    </xf>
    <xf numFmtId="168" fontId="41" fillId="13" borderId="0" xfId="0" applyNumberFormat="1" applyFont="1" applyFill="1" applyAlignment="1">
      <alignment horizontal="center"/>
    </xf>
    <xf numFmtId="168" fontId="3" fillId="0" borderId="20" xfId="0" applyNumberFormat="1" applyFont="1" applyBorder="1"/>
    <xf numFmtId="0" fontId="42" fillId="0" borderId="0" xfId="0" applyFont="1"/>
    <xf numFmtId="168" fontId="15" fillId="8" borderId="0" xfId="0" applyNumberFormat="1" applyFont="1" applyFill="1"/>
    <xf numFmtId="1" fontId="0" fillId="8" borderId="0" xfId="0" applyNumberFormat="1" applyFill="1" applyAlignment="1">
      <alignment horizontal="center"/>
    </xf>
    <xf numFmtId="168" fontId="0" fillId="16" borderId="0" xfId="0" applyNumberFormat="1" applyFill="1" applyAlignment="1">
      <alignment horizontal="center"/>
    </xf>
    <xf numFmtId="168" fontId="3" fillId="16" borderId="0" xfId="0" applyNumberFormat="1" applyFont="1" applyFill="1" applyAlignment="1">
      <alignment horizontal="center"/>
    </xf>
    <xf numFmtId="168" fontId="5" fillId="16" borderId="0" xfId="0" applyNumberFormat="1" applyFont="1" applyFill="1" applyAlignment="1">
      <alignment horizontal="center"/>
    </xf>
    <xf numFmtId="0" fontId="0" fillId="16" borderId="17" xfId="0" applyFill="1" applyBorder="1" applyAlignment="1">
      <alignment horizontal="center"/>
    </xf>
    <xf numFmtId="168" fontId="14" fillId="16" borderId="17" xfId="0" applyNumberFormat="1" applyFont="1" applyFill="1" applyBorder="1" applyAlignment="1">
      <alignment horizontal="center"/>
    </xf>
    <xf numFmtId="166" fontId="0" fillId="16" borderId="18" xfId="1" applyNumberFormat="1" applyFont="1" applyFill="1" applyBorder="1" applyAlignment="1">
      <alignment horizontal="center"/>
    </xf>
    <xf numFmtId="1" fontId="0" fillId="16" borderId="0" xfId="0" applyNumberFormat="1" applyFill="1" applyAlignment="1">
      <alignment horizontal="center"/>
    </xf>
    <xf numFmtId="0" fontId="0" fillId="16" borderId="0" xfId="0" applyFill="1" applyAlignment="1">
      <alignment horizontal="center"/>
    </xf>
    <xf numFmtId="0" fontId="43" fillId="0" borderId="0" xfId="0" applyFont="1"/>
    <xf numFmtId="168" fontId="2" fillId="8" borderId="0" xfId="0" applyNumberFormat="1" applyFont="1" applyFill="1"/>
    <xf numFmtId="168" fontId="2" fillId="0" borderId="20" xfId="0" applyNumberFormat="1" applyFont="1" applyBorder="1"/>
    <xf numFmtId="168" fontId="15" fillId="9" borderId="0" xfId="0" applyNumberFormat="1" applyFont="1" applyFill="1" applyAlignment="1">
      <alignment horizontal="center"/>
    </xf>
    <xf numFmtId="168" fontId="15" fillId="11" borderId="0" xfId="0" applyNumberFormat="1" applyFont="1" applyFill="1" applyAlignment="1">
      <alignment horizontal="center"/>
    </xf>
    <xf numFmtId="168" fontId="0" fillId="0" borderId="22" xfId="0" applyNumberFormat="1" applyBorder="1"/>
    <xf numFmtId="168" fontId="15" fillId="0" borderId="0" xfId="0" applyNumberFormat="1" applyFont="1"/>
    <xf numFmtId="168" fontId="16" fillId="0" borderId="0" xfId="0" applyNumberFormat="1" applyFont="1"/>
    <xf numFmtId="168" fontId="3" fillId="0" borderId="22" xfId="0" applyNumberFormat="1" applyFont="1" applyBorder="1"/>
    <xf numFmtId="168" fontId="15" fillId="0" borderId="20" xfId="0" applyNumberFormat="1" applyFont="1" applyBorder="1"/>
    <xf numFmtId="168" fontId="2" fillId="0" borderId="22" xfId="0" applyNumberFormat="1" applyFont="1" applyBorder="1"/>
    <xf numFmtId="168" fontId="0" fillId="7" borderId="21" xfId="0" applyNumberFormat="1" applyFill="1" applyBorder="1"/>
    <xf numFmtId="168" fontId="2" fillId="11" borderId="0" xfId="0" applyNumberFormat="1" applyFont="1" applyFill="1" applyAlignment="1">
      <alignment horizontal="center"/>
    </xf>
    <xf numFmtId="168" fontId="2" fillId="7" borderId="0" xfId="0" applyNumberFormat="1" applyFont="1" applyFill="1" applyAlignment="1">
      <alignment horizontal="center"/>
    </xf>
    <xf numFmtId="1" fontId="34" fillId="13" borderId="0" xfId="0" applyNumberFormat="1" applyFont="1" applyFill="1" applyAlignment="1">
      <alignment horizontal="center"/>
    </xf>
    <xf numFmtId="1" fontId="34" fillId="16" borderId="0" xfId="0" applyNumberFormat="1" applyFont="1" applyFill="1" applyAlignment="1">
      <alignment horizontal="center"/>
    </xf>
    <xf numFmtId="1" fontId="34" fillId="7" borderId="0" xfId="0" applyNumberFormat="1" applyFont="1" applyFill="1" applyAlignment="1">
      <alignment horizontal="center"/>
    </xf>
    <xf numFmtId="0" fontId="14" fillId="13" borderId="0" xfId="0" applyFont="1" applyFill="1" applyAlignment="1">
      <alignment horizontal="center"/>
    </xf>
    <xf numFmtId="168" fontId="14" fillId="9" borderId="0" xfId="0" applyNumberFormat="1" applyFont="1" applyFill="1" applyAlignment="1">
      <alignment horizontal="center"/>
    </xf>
    <xf numFmtId="168" fontId="14" fillId="11" borderId="0" xfId="0" applyNumberFormat="1" applyFont="1" applyFill="1" applyAlignment="1">
      <alignment horizontal="center"/>
    </xf>
    <xf numFmtId="168" fontId="14" fillId="16" borderId="0" xfId="0" applyNumberFormat="1" applyFont="1" applyFill="1" applyAlignment="1">
      <alignment horizontal="center"/>
    </xf>
    <xf numFmtId="164" fontId="14" fillId="7" borderId="0" xfId="0" applyNumberFormat="1" applyFont="1" applyFill="1" applyAlignment="1">
      <alignment horizontal="center"/>
    </xf>
    <xf numFmtId="0" fontId="14" fillId="7" borderId="4" xfId="0" applyFont="1" applyFill="1" applyBorder="1" applyAlignment="1">
      <alignment horizontal="center"/>
    </xf>
    <xf numFmtId="0" fontId="14" fillId="7" borderId="9" xfId="0" applyFont="1" applyFill="1" applyBorder="1" applyAlignment="1">
      <alignment horizontal="center"/>
    </xf>
    <xf numFmtId="0" fontId="3" fillId="0" borderId="1" xfId="0" applyFont="1" applyBorder="1"/>
    <xf numFmtId="0" fontId="0" fillId="22" borderId="0" xfId="0" applyFill="1"/>
    <xf numFmtId="0" fontId="44" fillId="2" borderId="0" xfId="0" applyFont="1" applyFill="1"/>
    <xf numFmtId="0" fontId="44" fillId="0" borderId="0" xfId="0" applyFont="1"/>
    <xf numFmtId="0" fontId="45" fillId="0" borderId="2" xfId="0" applyFont="1" applyBorder="1" applyAlignment="1">
      <alignment horizontal="center" vertical="center" wrapText="1"/>
    </xf>
    <xf numFmtId="10" fontId="45" fillId="0" borderId="0" xfId="0" applyNumberFormat="1" applyFont="1" applyAlignment="1">
      <alignment horizontal="center" vertical="center" wrapText="1"/>
    </xf>
    <xf numFmtId="171" fontId="45" fillId="0" borderId="0" xfId="0" applyNumberFormat="1" applyFont="1" applyAlignment="1">
      <alignment horizontal="center" vertical="center" wrapText="1"/>
    </xf>
    <xf numFmtId="0" fontId="45" fillId="0" borderId="9" xfId="0" applyFont="1" applyBorder="1" applyAlignment="1">
      <alignment horizontal="center" vertical="center" wrapText="1"/>
    </xf>
    <xf numFmtId="171" fontId="46" fillId="0" borderId="9" xfId="0" applyNumberFormat="1" applyFont="1" applyBorder="1" applyAlignment="1">
      <alignment horizontal="center"/>
    </xf>
    <xf numFmtId="0" fontId="45" fillId="0" borderId="0" xfId="0" applyFont="1" applyAlignment="1">
      <alignment horizontal="center" vertical="center" wrapText="1"/>
    </xf>
    <xf numFmtId="0" fontId="48" fillId="0" borderId="1" xfId="0" applyFont="1" applyBorder="1" applyAlignment="1">
      <alignment horizontal="right"/>
    </xf>
    <xf numFmtId="0" fontId="11" fillId="0" borderId="0" xfId="0" applyFont="1" applyAlignment="1">
      <alignment horizontal="left"/>
    </xf>
    <xf numFmtId="0" fontId="47" fillId="0" borderId="0" xfId="0" applyFont="1" applyAlignment="1">
      <alignment horizontal="right"/>
    </xf>
    <xf numFmtId="0" fontId="47" fillId="0" borderId="0" xfId="0" applyFont="1"/>
    <xf numFmtId="0" fontId="47" fillId="0" borderId="2" xfId="0" applyFont="1" applyBorder="1" applyAlignment="1">
      <alignment horizontal="left"/>
    </xf>
    <xf numFmtId="0" fontId="47" fillId="0" borderId="13" xfId="0" applyFont="1" applyBorder="1" applyAlignment="1">
      <alignment horizontal="centerContinuous"/>
    </xf>
    <xf numFmtId="0" fontId="47" fillId="0" borderId="2" xfId="0" applyFont="1" applyBorder="1"/>
    <xf numFmtId="0" fontId="47" fillId="0" borderId="2" xfId="0" applyFont="1" applyBorder="1" applyAlignment="1">
      <alignment horizontal="centerContinuous"/>
    </xf>
    <xf numFmtId="0" fontId="47" fillId="0" borderId="2" xfId="0" applyFont="1" applyBorder="1" applyAlignment="1">
      <alignment horizontal="right"/>
    </xf>
    <xf numFmtId="0" fontId="47" fillId="0" borderId="1" xfId="0" applyFont="1" applyBorder="1" applyAlignment="1">
      <alignment horizontal="right"/>
    </xf>
    <xf numFmtId="0" fontId="47" fillId="0" borderId="13" xfId="0" applyFont="1" applyBorder="1" applyAlignment="1">
      <alignment horizontal="right"/>
    </xf>
    <xf numFmtId="0" fontId="48" fillId="0" borderId="1" xfId="0" applyFont="1" applyBorder="1"/>
    <xf numFmtId="0" fontId="47" fillId="0" borderId="1" xfId="0" applyFont="1" applyBorder="1" applyAlignment="1">
      <alignment horizontal="centerContinuous"/>
    </xf>
    <xf numFmtId="0" fontId="48" fillId="0" borderId="1" xfId="0" applyFont="1" applyBorder="1" applyAlignment="1">
      <alignment horizontal="centerContinuous"/>
    </xf>
    <xf numFmtId="0" fontId="48" fillId="0" borderId="0" xfId="0" applyFont="1" applyAlignment="1">
      <alignment horizontal="left"/>
    </xf>
    <xf numFmtId="0" fontId="47" fillId="0" borderId="0" xfId="0" applyFont="1" applyAlignment="1">
      <alignment horizontal="left"/>
    </xf>
    <xf numFmtId="3" fontId="47" fillId="0" borderId="0" xfId="0" applyNumberFormat="1" applyFont="1"/>
    <xf numFmtId="3" fontId="48" fillId="0" borderId="0" xfId="0" applyNumberFormat="1" applyFont="1" applyAlignment="1">
      <alignment horizontal="right"/>
    </xf>
    <xf numFmtId="3" fontId="47" fillId="0" borderId="0" xfId="0" applyNumberFormat="1" applyFont="1" applyAlignment="1">
      <alignment horizontal="right"/>
    </xf>
    <xf numFmtId="0" fontId="47" fillId="0" borderId="1" xfId="0" applyFont="1" applyBorder="1" applyAlignment="1">
      <alignment horizontal="left"/>
    </xf>
    <xf numFmtId="3" fontId="47" fillId="0" borderId="1" xfId="0" applyNumberFormat="1" applyFont="1" applyBorder="1" applyAlignment="1">
      <alignment horizontal="right"/>
    </xf>
    <xf numFmtId="3" fontId="47" fillId="0" borderId="1" xfId="0" applyNumberFormat="1" applyFont="1" applyBorder="1"/>
    <xf numFmtId="172" fontId="47" fillId="0" borderId="0" xfId="0" applyNumberFormat="1" applyFont="1"/>
    <xf numFmtId="172" fontId="47" fillId="0" borderId="1" xfId="0" applyNumberFormat="1" applyFont="1" applyBorder="1"/>
    <xf numFmtId="0" fontId="47" fillId="0" borderId="0" xfId="0" quotePrefix="1" applyFont="1"/>
    <xf numFmtId="0" fontId="48" fillId="0" borderId="0" xfId="0" applyFont="1"/>
    <xf numFmtId="3" fontId="48" fillId="0" borderId="0" xfId="0" applyNumberFormat="1" applyFont="1"/>
    <xf numFmtId="3" fontId="48" fillId="0" borderId="1" xfId="0" applyNumberFormat="1" applyFont="1" applyBorder="1"/>
    <xf numFmtId="172" fontId="48" fillId="0" borderId="0" xfId="0" applyNumberFormat="1" applyFont="1"/>
    <xf numFmtId="172" fontId="48" fillId="0" borderId="1" xfId="0" applyNumberFormat="1" applyFont="1" applyBorder="1"/>
    <xf numFmtId="0" fontId="47" fillId="0" borderId="3" xfId="0" applyFont="1" applyBorder="1" applyAlignment="1">
      <alignment horizontal="left"/>
    </xf>
    <xf numFmtId="3" fontId="47" fillId="0" borderId="4" xfId="0" applyNumberFormat="1" applyFont="1" applyBorder="1"/>
    <xf numFmtId="3" fontId="48" fillId="0" borderId="4" xfId="0" applyNumberFormat="1" applyFont="1" applyBorder="1"/>
    <xf numFmtId="3" fontId="47" fillId="0" borderId="5" xfId="0" applyNumberFormat="1" applyFont="1" applyBorder="1"/>
    <xf numFmtId="0" fontId="47" fillId="0" borderId="6" xfId="0" applyFont="1" applyBorder="1" applyAlignment="1">
      <alignment horizontal="left"/>
    </xf>
    <xf numFmtId="3" fontId="47" fillId="0" borderId="7" xfId="0" applyNumberFormat="1" applyFont="1" applyBorder="1"/>
    <xf numFmtId="0" fontId="47" fillId="0" borderId="8" xfId="0" applyFont="1" applyBorder="1" applyAlignment="1">
      <alignment horizontal="left"/>
    </xf>
    <xf numFmtId="3" fontId="47" fillId="0" borderId="9" xfId="0" applyNumberFormat="1" applyFont="1" applyBorder="1"/>
    <xf numFmtId="3" fontId="48" fillId="0" borderId="9" xfId="0" applyNumberFormat="1" applyFont="1" applyBorder="1"/>
    <xf numFmtId="3" fontId="47" fillId="0" borderId="10" xfId="0" applyNumberFormat="1" applyFont="1" applyBorder="1"/>
    <xf numFmtId="3" fontId="0" fillId="0" borderId="0" xfId="0" applyNumberFormat="1"/>
    <xf numFmtId="1" fontId="15" fillId="2" borderId="0" xfId="0" applyNumberFormat="1" applyFont="1" applyFill="1" applyAlignment="1">
      <alignment horizontal="center"/>
    </xf>
    <xf numFmtId="44" fontId="0" fillId="0" borderId="0" xfId="0" applyNumberFormat="1" applyAlignment="1">
      <alignment horizontal="center"/>
    </xf>
    <xf numFmtId="0" fontId="14" fillId="2" borderId="0" xfId="0" applyFont="1" applyFill="1" applyAlignment="1">
      <alignment horizontal="center"/>
    </xf>
    <xf numFmtId="168" fontId="2" fillId="2" borderId="0" xfId="0" applyNumberFormat="1" applyFont="1" applyFill="1" applyAlignment="1">
      <alignment horizontal="center"/>
    </xf>
    <xf numFmtId="0" fontId="2" fillId="2" borderId="0" xfId="0" applyFont="1" applyFill="1" applyAlignment="1">
      <alignment horizontal="center"/>
    </xf>
    <xf numFmtId="0" fontId="0" fillId="16" borderId="0" xfId="0" applyFill="1"/>
    <xf numFmtId="1" fontId="0" fillId="16" borderId="0" xfId="0" applyNumberFormat="1" applyFill="1"/>
    <xf numFmtId="0" fontId="3" fillId="16" borderId="0" xfId="0" applyFont="1" applyFill="1"/>
    <xf numFmtId="168" fontId="0" fillId="4" borderId="0" xfId="0" applyNumberFormat="1" applyFill="1"/>
    <xf numFmtId="0" fontId="6" fillId="0" borderId="0" xfId="0" applyFont="1"/>
    <xf numFmtId="0" fontId="6" fillId="4" borderId="0" xfId="0" applyFont="1" applyFill="1"/>
    <xf numFmtId="168" fontId="3" fillId="4" borderId="0" xfId="0" applyNumberFormat="1" applyFont="1" applyFill="1"/>
    <xf numFmtId="0" fontId="17" fillId="4" borderId="0" xfId="0" applyFont="1" applyFill="1"/>
    <xf numFmtId="170" fontId="0" fillId="0" borderId="0" xfId="0" applyNumberFormat="1" applyAlignment="1">
      <alignment horizontal="center"/>
    </xf>
    <xf numFmtId="1" fontId="5" fillId="13" borderId="0" xfId="0" applyNumberFormat="1" applyFont="1" applyFill="1" applyAlignment="1">
      <alignment horizontal="center"/>
    </xf>
    <xf numFmtId="0" fontId="49" fillId="0" borderId="0" xfId="0" applyFont="1"/>
    <xf numFmtId="168" fontId="50" fillId="0" borderId="20" xfId="0" applyNumberFormat="1" applyFont="1" applyBorder="1"/>
    <xf numFmtId="0" fontId="50" fillId="0" borderId="0" xfId="0" applyFont="1"/>
    <xf numFmtId="0" fontId="51" fillId="10" borderId="0" xfId="0" applyFont="1" applyFill="1"/>
    <xf numFmtId="168" fontId="52" fillId="0" borderId="0" xfId="0" applyNumberFormat="1" applyFont="1"/>
    <xf numFmtId="168" fontId="52" fillId="0" borderId="20" xfId="0" applyNumberFormat="1" applyFont="1" applyBorder="1"/>
    <xf numFmtId="0" fontId="52" fillId="0" borderId="0" xfId="0" applyFont="1"/>
    <xf numFmtId="168" fontId="0" fillId="0" borderId="27" xfId="0" applyNumberFormat="1" applyBorder="1"/>
    <xf numFmtId="168" fontId="42" fillId="0" borderId="28" xfId="0" applyNumberFormat="1" applyFont="1" applyBorder="1"/>
    <xf numFmtId="168" fontId="52" fillId="0" borderId="22" xfId="0" applyNumberFormat="1" applyFont="1" applyBorder="1"/>
    <xf numFmtId="168" fontId="0" fillId="9" borderId="27" xfId="0" applyNumberFormat="1" applyFill="1" applyBorder="1"/>
    <xf numFmtId="168" fontId="0" fillId="9" borderId="22" xfId="0" applyNumberFormat="1" applyFill="1" applyBorder="1"/>
    <xf numFmtId="168" fontId="0" fillId="0" borderId="1" xfId="0" applyNumberFormat="1" applyBorder="1"/>
    <xf numFmtId="168" fontId="0" fillId="0" borderId="26" xfId="0" applyNumberFormat="1" applyBorder="1"/>
    <xf numFmtId="0" fontId="44" fillId="0" borderId="6" xfId="0" applyFont="1" applyBorder="1"/>
    <xf numFmtId="168" fontId="52" fillId="7" borderId="20" xfId="0" applyNumberFormat="1" applyFont="1" applyFill="1" applyBorder="1"/>
    <xf numFmtId="168" fontId="3" fillId="0" borderId="1" xfId="0" applyNumberFormat="1" applyFont="1" applyBorder="1"/>
    <xf numFmtId="168" fontId="0" fillId="0" borderId="25" xfId="0" applyNumberFormat="1" applyBorder="1"/>
    <xf numFmtId="168" fontId="0" fillId="7" borderId="25" xfId="0" applyNumberFormat="1" applyFill="1" applyBorder="1"/>
    <xf numFmtId="168" fontId="15" fillId="0" borderId="22" xfId="0" applyNumberFormat="1" applyFont="1" applyBorder="1"/>
    <xf numFmtId="0" fontId="53" fillId="2" borderId="8" xfId="0" applyFont="1" applyFill="1" applyBorder="1"/>
    <xf numFmtId="168" fontId="52" fillId="8" borderId="0" xfId="0" applyNumberFormat="1" applyFont="1" applyFill="1"/>
    <xf numFmtId="0" fontId="51" fillId="0" borderId="0" xfId="0" applyFont="1"/>
    <xf numFmtId="168" fontId="0" fillId="0" borderId="28" xfId="0" applyNumberFormat="1" applyBorder="1"/>
    <xf numFmtId="168" fontId="0" fillId="7" borderId="0" xfId="0" applyNumberFormat="1" applyFill="1"/>
    <xf numFmtId="0" fontId="0" fillId="0" borderId="22" xfId="0" applyBorder="1"/>
    <xf numFmtId="0" fontId="54" fillId="0" borderId="0" xfId="0" applyFont="1"/>
    <xf numFmtId="168" fontId="15" fillId="7" borderId="0" xfId="0" applyNumberFormat="1" applyFont="1" applyFill="1" applyAlignment="1">
      <alignment horizontal="center"/>
    </xf>
    <xf numFmtId="168" fontId="3" fillId="7" borderId="20" xfId="0" applyNumberFormat="1" applyFont="1" applyFill="1" applyBorder="1"/>
    <xf numFmtId="168" fontId="15" fillId="7" borderId="0" xfId="0" applyNumberFormat="1" applyFont="1" applyFill="1"/>
    <xf numFmtId="168" fontId="15" fillId="7" borderId="20" xfId="0" applyNumberFormat="1" applyFont="1" applyFill="1" applyBorder="1"/>
    <xf numFmtId="168" fontId="0" fillId="7" borderId="9" xfId="0" applyNumberFormat="1" applyFill="1" applyBorder="1"/>
    <xf numFmtId="168" fontId="52" fillId="7" borderId="0" xfId="0" applyNumberFormat="1" applyFont="1" applyFill="1"/>
    <xf numFmtId="168" fontId="55" fillId="8" borderId="0" xfId="0" applyNumberFormat="1" applyFont="1" applyFill="1"/>
    <xf numFmtId="168" fontId="52" fillId="0" borderId="27" xfId="0" applyNumberFormat="1" applyFont="1" applyBorder="1"/>
    <xf numFmtId="0" fontId="3" fillId="0" borderId="20" xfId="0" applyFont="1" applyBorder="1"/>
    <xf numFmtId="0" fontId="15" fillId="0" borderId="20" xfId="0" applyFont="1" applyBorder="1"/>
    <xf numFmtId="168" fontId="2" fillId="7" borderId="0" xfId="0" applyNumberFormat="1" applyFont="1" applyFill="1"/>
    <xf numFmtId="168" fontId="0" fillId="23" borderId="0" xfId="0" applyNumberFormat="1" applyFill="1" applyAlignment="1">
      <alignment horizontal="center"/>
    </xf>
    <xf numFmtId="0" fontId="0" fillId="11" borderId="0" xfId="0" applyFill="1"/>
    <xf numFmtId="0" fontId="0" fillId="7" borderId="0" xfId="0" applyFill="1"/>
    <xf numFmtId="0" fontId="0" fillId="16" borderId="0" xfId="0" applyFill="1"/>
    <xf numFmtId="0" fontId="0" fillId="0" borderId="0" xfId="0" applyAlignment="1">
      <alignment horizontal="center" vertical="center"/>
    </xf>
    <xf numFmtId="0" fontId="3" fillId="0" borderId="0" xfId="0" applyFont="1" applyAlignment="1">
      <alignment horizontal="center" wrapText="1"/>
    </xf>
    <xf numFmtId="0" fontId="0" fillId="0" borderId="0" xfId="0" applyAlignment="1">
      <alignment horizontal="center"/>
    </xf>
    <xf numFmtId="0" fontId="0" fillId="0" borderId="0" xfId="0" applyAlignment="1">
      <alignment wrapText="1"/>
    </xf>
    <xf numFmtId="0" fontId="3" fillId="0" borderId="0" xfId="0" applyFont="1" applyAlignment="1">
      <alignment horizontal="center"/>
    </xf>
    <xf numFmtId="0" fontId="0" fillId="0" borderId="0" xfId="0" applyAlignment="1">
      <alignment horizontal="left" wrapText="1"/>
    </xf>
    <xf numFmtId="4" fontId="2" fillId="0" borderId="0" xfId="0" applyNumberFormat="1" applyFont="1" applyAlignment="1">
      <alignment horizontal="center"/>
    </xf>
    <xf numFmtId="168" fontId="0" fillId="0" borderId="9" xfId="0" applyNumberFormat="1" applyBorder="1" applyAlignment="1">
      <alignment horizontal="center"/>
    </xf>
    <xf numFmtId="0" fontId="0" fillId="0" borderId="0" xfId="0" applyAlignment="1">
      <alignment horizontal="center"/>
    </xf>
    <xf numFmtId="0" fontId="0" fillId="0" borderId="0" xfId="0" applyFill="1" applyAlignment="1">
      <alignment horizontal="center"/>
    </xf>
    <xf numFmtId="168" fontId="0" fillId="0" borderId="0" xfId="0" applyNumberFormat="1" applyFill="1" applyAlignment="1">
      <alignment horizontal="center"/>
    </xf>
    <xf numFmtId="0" fontId="2" fillId="0" borderId="0" xfId="0" applyFont="1" applyFill="1" applyAlignment="1">
      <alignment horizontal="center"/>
    </xf>
    <xf numFmtId="0" fontId="14" fillId="0" borderId="0" xfId="0" applyFont="1" applyFill="1" applyAlignment="1">
      <alignment horizontal="center"/>
    </xf>
    <xf numFmtId="168" fontId="14" fillId="0" borderId="0" xfId="0" applyNumberFormat="1" applyFont="1" applyFill="1" applyAlignment="1">
      <alignment horizontal="center"/>
    </xf>
    <xf numFmtId="168" fontId="2" fillId="0" borderId="0" xfId="0" applyNumberFormat="1" applyFont="1" applyFill="1" applyAlignment="1">
      <alignment horizontal="center"/>
    </xf>
    <xf numFmtId="2" fontId="0" fillId="0" borderId="0" xfId="0" applyNumberFormat="1" applyAlignment="1">
      <alignment horizontal="center"/>
    </xf>
    <xf numFmtId="9" fontId="0" fillId="0" borderId="0" xfId="0" applyNumberFormat="1" applyFill="1" applyAlignment="1">
      <alignment horizontal="center"/>
    </xf>
    <xf numFmtId="0" fontId="3" fillId="0" borderId="0" xfId="0" applyFont="1" applyAlignment="1">
      <alignment horizontal="center"/>
    </xf>
    <xf numFmtId="168" fontId="0" fillId="24" borderId="0" xfId="0" applyNumberFormat="1" applyFill="1" applyAlignment="1">
      <alignment horizontal="center"/>
    </xf>
    <xf numFmtId="0" fontId="56" fillId="5" borderId="14" xfId="5" applyFont="1" applyBorder="1" applyAlignment="1">
      <alignment horizontal="center" wrapText="1"/>
    </xf>
    <xf numFmtId="0" fontId="29" fillId="0" borderId="0" xfId="0" applyFont="1" applyAlignment="1">
      <alignment horizontal="center" wrapText="1"/>
    </xf>
    <xf numFmtId="10" fontId="5" fillId="0" borderId="0" xfId="0" applyNumberFormat="1" applyFont="1" applyAlignment="1">
      <alignment horizontal="center"/>
    </xf>
    <xf numFmtId="10" fontId="3" fillId="0" borderId="0" xfId="0" applyNumberFormat="1" applyFont="1" applyAlignment="1">
      <alignment horizontal="center"/>
    </xf>
    <xf numFmtId="168" fontId="5" fillId="0" borderId="0" xfId="0" applyNumberFormat="1" applyFont="1"/>
    <xf numFmtId="4" fontId="2" fillId="13" borderId="0" xfId="0" applyNumberFormat="1" applyFont="1" applyFill="1" applyAlignment="1">
      <alignment horizontal="center"/>
    </xf>
    <xf numFmtId="3" fontId="3" fillId="0" borderId="0" xfId="0" applyNumberFormat="1" applyFont="1"/>
    <xf numFmtId="0" fontId="6" fillId="0" borderId="0" xfId="0" applyFont="1" applyAlignment="1">
      <alignment horizontal="center" textRotation="90"/>
    </xf>
    <xf numFmtId="0" fontId="6" fillId="0" borderId="1" xfId="0" applyFont="1" applyBorder="1" applyAlignment="1">
      <alignment horizontal="center" textRotation="90"/>
    </xf>
    <xf numFmtId="0" fontId="6" fillId="0" borderId="2" xfId="0" applyFont="1" applyBorder="1" applyAlignment="1">
      <alignment horizontal="center" textRotation="90"/>
    </xf>
    <xf numFmtId="0" fontId="0" fillId="0" borderId="0" xfId="0" applyAlignment="1">
      <alignment horizontal="center" vertical="center"/>
    </xf>
    <xf numFmtId="0" fontId="0" fillId="11" borderId="0" xfId="0" applyFill="1" applyAlignment="1"/>
    <xf numFmtId="0" fontId="0" fillId="18" borderId="0" xfId="0" applyFill="1" applyAlignment="1"/>
    <xf numFmtId="0" fontId="0" fillId="7" borderId="0" xfId="0" applyFill="1" applyAlignment="1">
      <alignment wrapText="1"/>
    </xf>
    <xf numFmtId="0" fontId="0" fillId="21" borderId="0" xfId="0" applyFill="1" applyAlignment="1">
      <alignment wrapText="1"/>
    </xf>
    <xf numFmtId="0" fontId="0" fillId="7" borderId="0" xfId="0" applyFill="1" applyAlignment="1"/>
    <xf numFmtId="0" fontId="0" fillId="19" borderId="0" xfId="0" applyFill="1" applyAlignment="1"/>
    <xf numFmtId="0" fontId="0" fillId="16" borderId="0" xfId="0" applyFill="1" applyAlignment="1"/>
    <xf numFmtId="0" fontId="0" fillId="21" borderId="0" xfId="0" applyFill="1" applyAlignment="1"/>
    <xf numFmtId="0" fontId="0" fillId="17" borderId="0" xfId="0" applyFill="1" applyAlignment="1"/>
    <xf numFmtId="0" fontId="0" fillId="20" borderId="0" xfId="0" applyFill="1" applyAlignment="1"/>
    <xf numFmtId="0" fontId="0" fillId="13" borderId="0" xfId="0" applyFill="1" applyAlignment="1"/>
    <xf numFmtId="0" fontId="3" fillId="0" borderId="0" xfId="0" applyFont="1" applyAlignment="1">
      <alignment horizontal="center" wrapText="1"/>
    </xf>
    <xf numFmtId="0" fontId="37" fillId="3" borderId="0" xfId="0" applyFont="1" applyFill="1" applyAlignment="1">
      <alignment horizontal="center" vertical="center" wrapText="1"/>
    </xf>
    <xf numFmtId="0" fontId="37" fillId="0" borderId="0" xfId="0" applyFont="1" applyAlignment="1">
      <alignment horizontal="center" vertical="center" wrapText="1"/>
    </xf>
    <xf numFmtId="0" fontId="37" fillId="9" borderId="0" xfId="0" applyFont="1" applyFill="1" applyAlignment="1">
      <alignment horizontal="center"/>
    </xf>
    <xf numFmtId="0" fontId="0" fillId="14" borderId="0" xfId="0" applyFill="1" applyAlignment="1">
      <alignment horizontal="center"/>
    </xf>
    <xf numFmtId="0" fontId="0" fillId="0" borderId="0" xfId="0" applyAlignment="1">
      <alignment horizontal="center"/>
    </xf>
    <xf numFmtId="0" fontId="0" fillId="15" borderId="0" xfId="0" applyFill="1" applyAlignment="1">
      <alignment horizontal="center"/>
    </xf>
    <xf numFmtId="0" fontId="0" fillId="0" borderId="30" xfId="0" applyBorder="1" applyAlignment="1"/>
    <xf numFmtId="0" fontId="0" fillId="0" borderId="31" xfId="0" applyBorder="1" applyAlignment="1"/>
    <xf numFmtId="0" fontId="5" fillId="2" borderId="0" xfId="0" applyFont="1" applyFill="1" applyAlignment="1">
      <alignment wrapText="1"/>
    </xf>
    <xf numFmtId="0" fontId="0" fillId="0" borderId="0" xfId="0" applyAlignment="1">
      <alignment wrapText="1"/>
    </xf>
    <xf numFmtId="0" fontId="28" fillId="0" borderId="0" xfId="0" applyFont="1" applyAlignment="1">
      <alignment vertical="center" wrapText="1"/>
    </xf>
    <xf numFmtId="0" fontId="28" fillId="0" borderId="0" xfId="0" applyFont="1" applyAlignment="1">
      <alignment wrapText="1"/>
    </xf>
    <xf numFmtId="0" fontId="3" fillId="0" borderId="0" xfId="0" applyFont="1" applyAlignment="1">
      <alignment horizontal="center"/>
    </xf>
    <xf numFmtId="0" fontId="3" fillId="0" borderId="9" xfId="0" applyFont="1" applyBorder="1" applyAlignment="1">
      <alignment horizontal="left" vertical="center" wrapText="1"/>
    </xf>
    <xf numFmtId="0" fontId="0" fillId="0" borderId="13" xfId="0" applyBorder="1" applyAlignment="1">
      <alignment horizontal="center"/>
    </xf>
    <xf numFmtId="2" fontId="0" fillId="0" borderId="0" xfId="0" applyNumberFormat="1" applyAlignment="1">
      <alignment horizontal="left" vertical="center" wrapText="1"/>
    </xf>
    <xf numFmtId="2" fontId="8" fillId="0" borderId="0" xfId="3" applyNumberFormat="1" applyAlignment="1">
      <alignment horizontal="left" vertical="center" wrapText="1"/>
    </xf>
    <xf numFmtId="0" fontId="0" fillId="0" borderId="0" xfId="0" applyAlignment="1">
      <alignment horizontal="left" wrapText="1"/>
    </xf>
  </cellXfs>
  <cellStyles count="7">
    <cellStyle name="Header_row" xfId="5"/>
    <cellStyle name="Lien hypertexte" xfId="3" builtinId="8"/>
    <cellStyle name="Milliers" xfId="2" builtinId="3"/>
    <cellStyle name="Monétaire" xfId="6" builtinId="4"/>
    <cellStyle name="Normal" xfId="0" builtinId="0"/>
    <cellStyle name="Pourcentage" xfId="1" builtinId="5"/>
    <cellStyle name="Table_title"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 Id="rId35" Type="http://schemas.microsoft.com/office/2017/10/relationships/person" Target="persons/person.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17</xdr:col>
      <xdr:colOff>426720</xdr:colOff>
      <xdr:row>29</xdr:row>
      <xdr:rowOff>38100</xdr:rowOff>
    </xdr:from>
    <xdr:to>
      <xdr:col>17</xdr:col>
      <xdr:colOff>606720</xdr:colOff>
      <xdr:row>32</xdr:row>
      <xdr:rowOff>160020</xdr:rowOff>
    </xdr:to>
    <xdr:sp macro="" textlink="">
      <xdr:nvSpPr>
        <xdr:cNvPr id="2" name="Accolade fermante 1">
          <a:extLst>
            <a:ext uri="{FF2B5EF4-FFF2-40B4-BE49-F238E27FC236}">
              <a16:creationId xmlns:a16="http://schemas.microsoft.com/office/drawing/2014/main" id="{73822E19-E1E8-458F-9F1B-25C349B468BA}"/>
            </a:ext>
          </a:extLst>
        </xdr:cNvPr>
        <xdr:cNvSpPr/>
      </xdr:nvSpPr>
      <xdr:spPr>
        <a:xfrm>
          <a:off x="13294995" y="5372100"/>
          <a:ext cx="180000" cy="693420"/>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fr-CA"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sherbrooke.sharepoint.com/sites/cffp/Documents%20partages/R&#233;cit%20de%20vie/CALCUL%20IMP&#212;TS%20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sherbrooke.sharepoint.com/sites/cffp/Documents%20partages/R&#233;cit%20de%20vie/Portfolio%20simul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Données"/>
      <sheetName val="1-Seule"/>
      <sheetName val="2- Couple"/>
      <sheetName val="3-2 Couple AVEC ENFANT "/>
      <sheetName val="4-1 Mono"/>
      <sheetName val="Rien"/>
    </sheetNames>
    <sheetDataSet>
      <sheetData sheetId="0" refreshError="1"/>
      <sheetData sheetId="1" refreshError="1"/>
      <sheetData sheetId="2" refreshError="1">
        <row r="8">
          <cell r="D8">
            <v>-2216.0216149999997</v>
          </cell>
        </row>
        <row r="19">
          <cell r="M19">
            <v>0</v>
          </cell>
        </row>
      </sheetData>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stment_excel"/>
      <sheetName val="Model"/>
      <sheetName val="Income data"/>
      <sheetName val="Sources"/>
      <sheetName val="Random return"/>
    </sheetNames>
    <sheetDataSet>
      <sheetData sheetId="0"/>
      <sheetData sheetId="1"/>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Antoine Genest-Grégoire" id="{3D6969BC-B073-4DAA-B794-21B62963A703}" userId="071ab23534b3db1a" providerId="Windows Live"/>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K75" dT="2019-03-07T17:20:51.20" personId="{3D6969BC-B073-4DAA-B794-21B62963A703}" id="{F97D4E82-956B-4F1A-BF0D-2B6D5A2DC6F6}">
    <text>Devient un couple sans enfants</text>
  </threadedComment>
  <threadedComment ref="BO75" dT="2019-03-07T17:33:55.45" personId="{3D6969BC-B073-4DAA-B794-21B62963A703}" id="{63C49107-1561-4CF5-9849-24FDA0DCEE10}">
    <text>Redevient personne seule (rente de conjoint survivant hausse le revenu mais pas assez pour changer de classe de revenu).</text>
  </threadedComment>
  <threadedComment ref="Y98" dT="2019-03-07T17:37:22.72" personId="{3D6969BC-B073-4DAA-B794-21B62963A703}" id="{67B0346A-3BD8-4016-BA35-2D6A5F8C705E}">
    <text>Devient monoparentale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8" Type="http://schemas.openxmlformats.org/officeDocument/2006/relationships/hyperlink" Target="http://www.cgap.gouv.qc.ca/publications/pdf/Rapport_Portrait_Prestataires_RQAP-2014.pdf" TargetMode="External"/><Relationship Id="rId13" Type="http://schemas.openxmlformats.org/officeDocument/2006/relationships/hyperlink" Target="http://www.stat.gouv.qc.ca/statistiques/population-demographie/familles-menages/202_2011.htm" TargetMode="External"/><Relationship Id="rId3" Type="http://schemas.openxmlformats.org/officeDocument/2006/relationships/hyperlink" Target="http://www.stat.gouv.qc.ca/statistiques/population-demographie/bulletins/coupdoeil-no48.pdf" TargetMode="External"/><Relationship Id="rId7" Type="http://schemas.openxmlformats.org/officeDocument/2006/relationships/hyperlink" Target="http://www.stat.gouv.qc.ca/statistiques/population-demographie/bulletins/coupdoeil-no49.pdf" TargetMode="External"/><Relationship Id="rId12" Type="http://schemas.openxmlformats.org/officeDocument/2006/relationships/hyperlink" Target="https://www.rrq.gouv.qc.ca/SiteCollectionDocuments/www.rrq.gouv.qc/Francais/publications/etudes/etude_revenus_retraite.pdf" TargetMode="External"/><Relationship Id="rId2" Type="http://schemas.openxmlformats.org/officeDocument/2006/relationships/hyperlink" Target="http://www.stat.gouv.qc.ca/statistiques/population-demographie/bilan2016.pdf" TargetMode="External"/><Relationship Id="rId1" Type="http://schemas.openxmlformats.org/officeDocument/2006/relationships/hyperlink" Target="http://www.stat.gouv.qc.ca/statistiques/population-demographie/bilan2016.pdf" TargetMode="External"/><Relationship Id="rId6" Type="http://schemas.openxmlformats.org/officeDocument/2006/relationships/hyperlink" Target="http://www.stat.gouv.qc.ca/statistiques/conditions-vie-societe/donnees-sociales09.pdf" TargetMode="External"/><Relationship Id="rId11" Type="http://schemas.openxmlformats.org/officeDocument/2006/relationships/hyperlink" Target="https://www.cirano.qc.ca/files/publications/2011RP-03.pdf" TargetMode="External"/><Relationship Id="rId5" Type="http://schemas.openxmlformats.org/officeDocument/2006/relationships/hyperlink" Target="http://www.bdso.gouv.qc.ca/docs-ken/multimedia/PB01614FR_VieGenerationVo2_2007.pdf" TargetMode="External"/><Relationship Id="rId15" Type="http://schemas.openxmlformats.org/officeDocument/2006/relationships/printerSettings" Target="../printerSettings/printerSettings8.bin"/><Relationship Id="rId10" Type="http://schemas.openxmlformats.org/officeDocument/2006/relationships/hyperlink" Target="http://www.rrq.gouv.qc.ca/SiteCollectionDocuments/www.rrq.gouv.qc/Francais/publications/regime_rentes/consultation_publique/1601f-constats-sur-la-retraite.pdf" TargetMode="External"/><Relationship Id="rId4" Type="http://schemas.openxmlformats.org/officeDocument/2006/relationships/hyperlink" Target="http://www.stat.gouv.qc.ca/statistiques/conditions-vie-societe/vieillissement.pdf" TargetMode="External"/><Relationship Id="rId9" Type="http://schemas.openxmlformats.org/officeDocument/2006/relationships/hyperlink" Target="https://www.cirano.qc.ca/fr/sommaires/2011RP-03" TargetMode="External"/><Relationship Id="rId14" Type="http://schemas.openxmlformats.org/officeDocument/2006/relationships/hyperlink" Target="http://www.cgap.gouv.qc.ca/statistiques/portrait.asp"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cedia.ca/sites/cedia.ca/files/rapport_compas_santequebec_14-07.pdf"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services12.justice.gouv.qc.ca/CPA/CPA/fr/PensionAlimentaireEnfants/Calculateur"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mfa.gouv.qc.ca/fr/publication/Documents/SF_Portrait_stat_chapitre3-1_11.pdf" TargetMode="External"/><Relationship Id="rId2" Type="http://schemas.openxmlformats.org/officeDocument/2006/relationships/hyperlink" Target="https://www.mfa.gouv.qc.ca/fr/Famille/chiffres-famille-quebec/bulletin_quelle_famille/Pages/ete2014_no2_tab13.aspx" TargetMode="External"/><Relationship Id="rId1" Type="http://schemas.openxmlformats.org/officeDocument/2006/relationships/hyperlink" Target="https://www.mfa.gouv.qc.ca/fr/Famille/chiffres-famille-quebec/bulletin_quelle_famille/Pages/ete2014_no2_tab13.aspx" TargetMode="External"/><Relationship Id="rId5" Type="http://schemas.openxmlformats.org/officeDocument/2006/relationships/printerSettings" Target="../printerSettings/printerSettings10.bin"/><Relationship Id="rId4" Type="http://schemas.openxmlformats.org/officeDocument/2006/relationships/hyperlink" Target="http://www.emploiquebec.gouv.qc.ca/publications/pdf/00_IMT_Perspectives_2015-24.pdf"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budget.finances.gouv.qc.ca/budget/outils/garde-ras-fr.asp"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education.gouv.qc.ca/fileadmin/site_web/documents/PSG/ress_financieres/rb/RB_EEPA_1819_amend_juil18_diffusion.pdf"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cihi.ca/sites/default/files/document/open_data-nhex2017-fr.xlsx"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www.stat.gouv.qc.ca/statistiques/conditions-vie-societe/depenses-avoirs-dettes/depenses/structure_depenses_detail.xlsx"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www.stat.gouv.qc.ca/statistiques/conditions-vie-societe/depenses-avoirs-dettes/depenses/structure_depenses_detail.xlsx"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www.stat.gouv.qc.ca/statistiques/conditions-vie-societe/depenses-avoirs-dettes/depenses/structure_depenses_detail.xlsx"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www.stat.gouv.qc.ca/statistiques/conditions-vie-societe/depenses-avoirs-dettes/depenses/structure_depenses_detail.xlsx" TargetMode="External"/></Relationships>
</file>

<file path=xl/worksheets/_rels/sheet2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www.stat.gouv.qc.ca/statistiques/conditions-vie-societe/depenses-avoirs-dettes/depenses/structure_depenses_detail.xls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education.gouv.qc.ca/fileadmin/site_web/documents/enseignement-superieur/collegial/Regime_bud_cegep_2017-2018_v25.pdf" TargetMode="External"/><Relationship Id="rId3" Type="http://schemas.openxmlformats.org/officeDocument/2006/relationships/hyperlink" Target="http://www.afe.gouv.qc.ca/fileadmin/AFE/documents/Publications/AFE/PUBL_enquete_conditions_vie_2013.pdf" TargetMode="External"/><Relationship Id="rId7" Type="http://schemas.openxmlformats.org/officeDocument/2006/relationships/hyperlink" Target="https://estimationrachat.carra.gouv.qc.ca/Estimation/Sommaire" TargetMode="External"/><Relationship Id="rId2" Type="http://schemas.openxmlformats.org/officeDocument/2006/relationships/hyperlink" Target="https://www.retraitequebec.gouv.qc.ca/fr/publications/rrsp/rregop/Pages/rregop.aspx" TargetMode="External"/><Relationship Id="rId1" Type="http://schemas.openxmlformats.org/officeDocument/2006/relationships/hyperlink" Target="http://www.stat.gouv.qc.ca/statistiques/travail-remuneration/resultats-erg-2017.pdf" TargetMode="External"/><Relationship Id="rId6" Type="http://schemas.openxmlformats.org/officeDocument/2006/relationships/hyperlink" Target="https://www.sfpq.qc.ca/qui-sommes-nous/syndiquer-avec-sfpq/" TargetMode="External"/><Relationship Id="rId11" Type="http://schemas.openxmlformats.org/officeDocument/2006/relationships/printerSettings" Target="../printerSettings/printerSettings2.bin"/><Relationship Id="rId5" Type="http://schemas.openxmlformats.org/officeDocument/2006/relationships/hyperlink" Target="http://www.stat.gouv.qc.ca/statistiques/population-demographie/bulletins/coupdoeil-no65.pdf" TargetMode="External"/><Relationship Id="rId10" Type="http://schemas.openxmlformats.org/officeDocument/2006/relationships/hyperlink" Target="https://www.rrq.gouv.qc.ca/fra/porrq/Content/110_Calculs/113/PO113-60.htm" TargetMode="External"/><Relationship Id="rId4" Type="http://schemas.openxmlformats.org/officeDocument/2006/relationships/hyperlink" Target="http://www.rqapenligne.gouv.qc.ca/fap/fap121web/simuler.aspx?lang=fra" TargetMode="External"/><Relationship Id="rId9" Type="http://schemas.openxmlformats.org/officeDocument/2006/relationships/hyperlink" Target="https://www.tresor.gouv.qc.ca/fileadmin/PDF/echelles_traitement/fp_tech.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6.bin"/><Relationship Id="rId1" Type="http://schemas.openxmlformats.org/officeDocument/2006/relationships/hyperlink" Target="http://www.finances.gouv.qc.ca/documents/statistiques/fr/STAFR_sfp_2015.pdf" TargetMode="Externa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V219"/>
  <sheetViews>
    <sheetView tabSelected="1" zoomScale="80" zoomScaleNormal="80" workbookViewId="0">
      <pane xSplit="2" ySplit="1" topLeftCell="BA106" activePane="bottomRight" state="frozen"/>
      <selection pane="topRight" activeCell="C1" sqref="C1"/>
      <selection pane="bottomLeft" activeCell="A2" sqref="A2"/>
      <selection pane="bottomRight" activeCell="BQ105" sqref="BQ105"/>
    </sheetView>
  </sheetViews>
  <sheetFormatPr baseColWidth="10" defaultColWidth="11.42578125" defaultRowHeight="15" x14ac:dyDescent="0.25"/>
  <cols>
    <col min="1" max="1" width="3.7109375" style="14" customWidth="1"/>
    <col min="2" max="2" width="76.7109375" style="14" customWidth="1"/>
    <col min="3" max="11" width="11.42578125" style="14"/>
    <col min="12" max="12" width="13.28515625" style="14" customWidth="1"/>
    <col min="13" max="13" width="11.7109375" style="14" customWidth="1"/>
    <col min="14" max="14" width="11.85546875" style="14" customWidth="1"/>
    <col min="15" max="15" width="12.85546875" style="14" customWidth="1"/>
    <col min="16" max="16" width="13.28515625" style="14" customWidth="1"/>
    <col min="17" max="18" width="11.85546875" style="14" customWidth="1"/>
    <col min="19" max="19" width="12.85546875" style="14" customWidth="1"/>
    <col min="20" max="21" width="12.140625" style="14" customWidth="1"/>
    <col min="22" max="23" width="12.42578125" style="14" customWidth="1"/>
    <col min="24" max="25" width="11.85546875" style="14" customWidth="1"/>
    <col min="26" max="26" width="12.5703125" style="14" customWidth="1"/>
    <col min="27" max="27" width="11.7109375" style="14" customWidth="1"/>
    <col min="28" max="28" width="12.140625" style="14" customWidth="1"/>
    <col min="29" max="29" width="12.5703125" style="14" customWidth="1"/>
    <col min="30" max="31" width="11.85546875" style="14" customWidth="1"/>
    <col min="32" max="32" width="12.5703125" style="14" customWidth="1"/>
    <col min="33" max="33" width="12.42578125" style="14" customWidth="1"/>
    <col min="34" max="34" width="12.85546875" style="14" customWidth="1"/>
    <col min="35" max="35" width="12.140625" style="14" customWidth="1"/>
    <col min="36" max="36" width="11.85546875" style="14" customWidth="1"/>
    <col min="37" max="37" width="12.5703125" style="14" customWidth="1"/>
    <col min="38" max="38" width="11.85546875" style="14" customWidth="1"/>
    <col min="39" max="39" width="12.5703125" style="14" customWidth="1"/>
    <col min="40" max="40" width="11.7109375" style="14" customWidth="1"/>
    <col min="41" max="41" width="11.85546875" style="14" customWidth="1"/>
    <col min="42" max="44" width="12.140625" style="14" customWidth="1"/>
    <col min="45" max="46" width="14.42578125" style="14" bestFit="1" customWidth="1"/>
    <col min="47" max="47" width="14" style="14" bestFit="1" customWidth="1"/>
    <col min="48" max="56" width="11.42578125" style="14"/>
    <col min="57" max="57" width="12.5703125" style="14" customWidth="1"/>
    <col min="58" max="58" width="12.42578125" style="14" customWidth="1"/>
    <col min="59" max="63" width="11.42578125" style="14"/>
    <col min="64" max="64" width="14" style="14" customWidth="1"/>
    <col min="65" max="65" width="12.140625" style="14" customWidth="1"/>
    <col min="66" max="66" width="12.85546875" style="14" customWidth="1"/>
    <col min="67" max="67" width="11.42578125" style="14"/>
    <col min="68" max="68" width="12.85546875" style="14" customWidth="1"/>
    <col min="69" max="69" width="11.85546875" style="14" customWidth="1"/>
    <col min="70" max="70" width="13.28515625" style="14" customWidth="1"/>
    <col min="71" max="73" width="11.42578125" style="14"/>
    <col min="74" max="74" width="17.140625" style="14" customWidth="1"/>
    <col min="75" max="16384" width="11.42578125" style="14"/>
  </cols>
  <sheetData>
    <row r="1" spans="1:74" ht="15.75" thickBot="1" x14ac:dyDescent="0.3">
      <c r="A1" s="423"/>
      <c r="B1" s="423"/>
      <c r="C1" s="423"/>
      <c r="D1" s="423"/>
      <c r="E1" s="423"/>
      <c r="F1" s="119"/>
      <c r="G1" s="423"/>
      <c r="H1" s="423"/>
      <c r="I1" s="423"/>
      <c r="J1" s="423"/>
      <c r="K1" s="423"/>
      <c r="L1" s="423"/>
      <c r="M1" s="423"/>
      <c r="N1" s="423"/>
      <c r="O1" s="423"/>
      <c r="P1" s="423"/>
      <c r="Q1" s="119"/>
      <c r="R1" s="423"/>
      <c r="S1" s="423"/>
      <c r="T1" s="423"/>
      <c r="U1" s="423"/>
      <c r="V1" s="423"/>
      <c r="W1" s="423"/>
      <c r="X1" s="423"/>
      <c r="Y1" s="423"/>
      <c r="Z1" s="423"/>
      <c r="AA1" s="423"/>
      <c r="AB1" s="423"/>
      <c r="AC1" s="423"/>
      <c r="AD1" s="423"/>
      <c r="AE1" s="423"/>
      <c r="AF1" s="423"/>
      <c r="AG1" s="423"/>
      <c r="AH1" s="423"/>
      <c r="AI1" s="423"/>
      <c r="AJ1" s="423"/>
      <c r="AK1" s="423"/>
      <c r="AL1" s="423"/>
      <c r="AM1" s="423"/>
      <c r="AN1" s="423"/>
      <c r="AO1" s="423"/>
      <c r="AP1" s="423"/>
      <c r="AQ1" s="423"/>
      <c r="AR1" s="423"/>
      <c r="AS1" s="423"/>
      <c r="AT1" s="423"/>
      <c r="AU1" s="423"/>
      <c r="AV1" s="423"/>
      <c r="AW1" s="423"/>
      <c r="AX1" s="423"/>
      <c r="AY1" s="423"/>
      <c r="AZ1" s="423"/>
      <c r="BA1" s="423"/>
      <c r="BB1" s="423"/>
      <c r="BC1" s="423"/>
      <c r="BD1" s="423"/>
      <c r="BE1" s="423"/>
      <c r="BF1" s="423"/>
      <c r="BG1" s="423"/>
      <c r="BH1" s="423"/>
      <c r="BI1" s="423"/>
      <c r="BJ1" s="423"/>
      <c r="BK1" s="423"/>
      <c r="BL1" s="423"/>
      <c r="BM1" s="423"/>
      <c r="BN1" s="423"/>
      <c r="BO1" s="423"/>
      <c r="BP1" s="423"/>
      <c r="BQ1" s="423"/>
      <c r="BR1" s="423"/>
      <c r="BS1" s="423"/>
      <c r="BT1" s="423"/>
      <c r="BU1" s="423"/>
      <c r="BV1" s="425"/>
    </row>
    <row r="2" spans="1:74" x14ac:dyDescent="0.25">
      <c r="A2" s="423"/>
      <c r="B2" s="113" t="s">
        <v>0</v>
      </c>
      <c r="C2" s="114">
        <v>1</v>
      </c>
      <c r="D2" s="114">
        <v>2</v>
      </c>
      <c r="E2" s="114">
        <v>3</v>
      </c>
      <c r="F2" s="423">
        <v>4</v>
      </c>
      <c r="G2" s="114">
        <v>5</v>
      </c>
      <c r="H2" s="114">
        <v>6</v>
      </c>
      <c r="I2" s="114">
        <v>7</v>
      </c>
      <c r="J2" s="114">
        <v>8</v>
      </c>
      <c r="K2" s="114">
        <v>9</v>
      </c>
      <c r="L2" s="114">
        <v>10</v>
      </c>
      <c r="M2" s="114">
        <v>11</v>
      </c>
      <c r="N2" s="114">
        <v>12</v>
      </c>
      <c r="O2" s="114">
        <v>13</v>
      </c>
      <c r="P2" s="114">
        <v>14</v>
      </c>
      <c r="Q2" s="423">
        <v>15</v>
      </c>
      <c r="R2" s="114">
        <v>16</v>
      </c>
      <c r="S2" s="114">
        <v>17</v>
      </c>
      <c r="T2" s="114">
        <v>18</v>
      </c>
      <c r="U2" s="114">
        <v>19</v>
      </c>
      <c r="V2" s="114">
        <v>20</v>
      </c>
      <c r="W2" s="114">
        <v>21</v>
      </c>
      <c r="X2" s="114">
        <v>22</v>
      </c>
      <c r="Y2" s="114">
        <v>23</v>
      </c>
      <c r="Z2" s="114">
        <v>24</v>
      </c>
      <c r="AA2" s="114">
        <v>25</v>
      </c>
      <c r="AB2" s="114">
        <v>26</v>
      </c>
      <c r="AC2" s="114">
        <v>27</v>
      </c>
      <c r="AD2" s="114">
        <v>28</v>
      </c>
      <c r="AE2" s="114">
        <v>29</v>
      </c>
      <c r="AF2" s="114">
        <v>30</v>
      </c>
      <c r="AG2" s="114">
        <v>31</v>
      </c>
      <c r="AH2" s="114">
        <v>32</v>
      </c>
      <c r="AI2" s="114">
        <v>33</v>
      </c>
      <c r="AJ2" s="114">
        <v>34</v>
      </c>
      <c r="AK2" s="114">
        <v>35</v>
      </c>
      <c r="AL2" s="114">
        <v>36</v>
      </c>
      <c r="AM2" s="114">
        <v>37</v>
      </c>
      <c r="AN2" s="114">
        <v>38</v>
      </c>
      <c r="AO2" s="114">
        <v>39</v>
      </c>
      <c r="AP2" s="114">
        <v>40</v>
      </c>
      <c r="AQ2" s="114">
        <v>41</v>
      </c>
      <c r="AR2" s="114">
        <v>42</v>
      </c>
      <c r="AS2" s="114">
        <v>43</v>
      </c>
      <c r="AT2" s="114">
        <v>44</v>
      </c>
      <c r="AU2" s="114">
        <v>45</v>
      </c>
      <c r="AV2" s="114">
        <v>46</v>
      </c>
      <c r="AW2" s="114">
        <v>47</v>
      </c>
      <c r="AX2" s="114">
        <v>48</v>
      </c>
      <c r="AY2" s="114">
        <v>49</v>
      </c>
      <c r="AZ2" s="114">
        <v>50</v>
      </c>
      <c r="BA2" s="114">
        <v>51</v>
      </c>
      <c r="BB2" s="114">
        <v>52</v>
      </c>
      <c r="BC2" s="114">
        <v>53</v>
      </c>
      <c r="BD2" s="114">
        <v>54</v>
      </c>
      <c r="BE2" s="114">
        <v>55</v>
      </c>
      <c r="BF2" s="114">
        <v>56</v>
      </c>
      <c r="BG2" s="114">
        <v>57</v>
      </c>
      <c r="BH2" s="114">
        <v>58</v>
      </c>
      <c r="BI2" s="114">
        <v>59</v>
      </c>
      <c r="BJ2" s="114">
        <v>60</v>
      </c>
      <c r="BK2" s="114">
        <v>61</v>
      </c>
      <c r="BL2" s="114">
        <v>62</v>
      </c>
      <c r="BM2" s="114">
        <v>63</v>
      </c>
      <c r="BN2" s="114">
        <v>64</v>
      </c>
      <c r="BO2" s="114">
        <v>65</v>
      </c>
      <c r="BP2" s="114">
        <v>66</v>
      </c>
      <c r="BQ2" s="114">
        <v>67</v>
      </c>
      <c r="BR2" s="114">
        <v>68</v>
      </c>
      <c r="BS2" s="114">
        <v>69</v>
      </c>
      <c r="BT2" s="181">
        <v>70</v>
      </c>
      <c r="BU2" s="423"/>
      <c r="BV2" s="423"/>
    </row>
    <row r="3" spans="1:74" x14ac:dyDescent="0.25">
      <c r="A3" s="423"/>
      <c r="B3" s="115" t="s">
        <v>1</v>
      </c>
      <c r="C3" s="423">
        <v>18</v>
      </c>
      <c r="D3" s="423">
        <v>19</v>
      </c>
      <c r="E3" s="423">
        <v>20</v>
      </c>
      <c r="F3" s="423">
        <v>21</v>
      </c>
      <c r="G3" s="423">
        <v>22</v>
      </c>
      <c r="H3" s="423">
        <v>23</v>
      </c>
      <c r="I3" s="423">
        <v>24</v>
      </c>
      <c r="J3" s="423">
        <v>25</v>
      </c>
      <c r="K3" s="423">
        <v>26</v>
      </c>
      <c r="L3" s="423">
        <v>27</v>
      </c>
      <c r="M3" s="423">
        <v>28</v>
      </c>
      <c r="N3" s="423">
        <v>29</v>
      </c>
      <c r="O3" s="423">
        <v>30</v>
      </c>
      <c r="P3" s="423">
        <v>31</v>
      </c>
      <c r="Q3" s="423">
        <v>32</v>
      </c>
      <c r="R3" s="423">
        <v>33</v>
      </c>
      <c r="S3" s="423">
        <v>34</v>
      </c>
      <c r="T3" s="423">
        <v>35</v>
      </c>
      <c r="U3" s="423">
        <v>36</v>
      </c>
      <c r="V3" s="423">
        <v>37</v>
      </c>
      <c r="W3" s="423">
        <v>38</v>
      </c>
      <c r="X3" s="423">
        <v>39</v>
      </c>
      <c r="Y3" s="423">
        <v>40</v>
      </c>
      <c r="Z3" s="423">
        <v>41</v>
      </c>
      <c r="AA3" s="423">
        <v>42</v>
      </c>
      <c r="AB3" s="423">
        <v>43</v>
      </c>
      <c r="AC3" s="423">
        <v>44</v>
      </c>
      <c r="AD3" s="423">
        <v>45</v>
      </c>
      <c r="AE3" s="423">
        <v>46</v>
      </c>
      <c r="AF3" s="423">
        <v>47</v>
      </c>
      <c r="AG3" s="423">
        <v>48</v>
      </c>
      <c r="AH3" s="423">
        <v>49</v>
      </c>
      <c r="AI3" s="423">
        <v>50</v>
      </c>
      <c r="AJ3" s="423">
        <v>51</v>
      </c>
      <c r="AK3" s="423">
        <v>52</v>
      </c>
      <c r="AL3" s="423">
        <v>53</v>
      </c>
      <c r="AM3" s="423">
        <v>54</v>
      </c>
      <c r="AN3" s="423">
        <v>55</v>
      </c>
      <c r="AO3" s="423">
        <v>56</v>
      </c>
      <c r="AP3" s="423">
        <v>57</v>
      </c>
      <c r="AQ3" s="423">
        <v>58</v>
      </c>
      <c r="AR3" s="423">
        <v>59</v>
      </c>
      <c r="AS3" s="423">
        <v>60</v>
      </c>
      <c r="AT3" s="423">
        <v>61</v>
      </c>
      <c r="AU3" s="423">
        <v>62</v>
      </c>
      <c r="AV3" s="423">
        <v>63</v>
      </c>
      <c r="AW3" s="423">
        <v>64</v>
      </c>
      <c r="AX3" s="423">
        <v>65</v>
      </c>
      <c r="AY3" s="423">
        <v>66</v>
      </c>
      <c r="AZ3" s="423">
        <v>67</v>
      </c>
      <c r="BA3" s="423">
        <v>68</v>
      </c>
      <c r="BB3" s="423">
        <v>69</v>
      </c>
      <c r="BC3" s="423">
        <v>70</v>
      </c>
      <c r="BD3" s="423">
        <v>71</v>
      </c>
      <c r="BE3" s="423">
        <v>72</v>
      </c>
      <c r="BF3" s="423">
        <v>73</v>
      </c>
      <c r="BG3" s="423">
        <v>74</v>
      </c>
      <c r="BH3" s="423">
        <v>75</v>
      </c>
      <c r="BI3" s="423">
        <v>76</v>
      </c>
      <c r="BJ3" s="423">
        <v>77</v>
      </c>
      <c r="BK3" s="423">
        <v>78</v>
      </c>
      <c r="BL3" s="423">
        <v>79</v>
      </c>
      <c r="BM3" s="423">
        <v>80</v>
      </c>
      <c r="BN3" s="423">
        <v>81</v>
      </c>
      <c r="BO3" s="423">
        <v>82</v>
      </c>
      <c r="BP3" s="423">
        <v>83</v>
      </c>
      <c r="BQ3" s="423">
        <v>84</v>
      </c>
      <c r="BR3" s="423">
        <v>85</v>
      </c>
      <c r="BS3" s="423">
        <v>86</v>
      </c>
      <c r="BT3" s="182">
        <v>87</v>
      </c>
      <c r="BU3" s="423"/>
      <c r="BV3" s="423"/>
    </row>
    <row r="4" spans="1:74" x14ac:dyDescent="0.25">
      <c r="A4" s="423"/>
      <c r="B4" s="116" t="s">
        <v>2</v>
      </c>
      <c r="C4" s="230">
        <f>'Calculs source'!X3</f>
        <v>7529.356580593425</v>
      </c>
      <c r="D4" s="230">
        <f>'Calculs source'!X3</f>
        <v>7529.356580593425</v>
      </c>
      <c r="E4" s="230">
        <f>D4</f>
        <v>7529.356580593425</v>
      </c>
      <c r="F4" s="117">
        <v>35302</v>
      </c>
      <c r="G4" s="117">
        <v>36471</v>
      </c>
      <c r="H4" s="117">
        <v>37987</v>
      </c>
      <c r="I4" s="230">
        <v>39302</v>
      </c>
      <c r="J4" s="78">
        <v>40854</v>
      </c>
      <c r="K4" s="78">
        <v>42279</v>
      </c>
      <c r="L4" s="78">
        <v>44014</v>
      </c>
      <c r="M4" s="78">
        <v>45639</v>
      </c>
      <c r="N4" s="117">
        <v>47374</v>
      </c>
      <c r="O4" s="117">
        <v>49127</v>
      </c>
      <c r="P4" s="117">
        <v>50990</v>
      </c>
      <c r="Q4" s="78">
        <v>52963</v>
      </c>
      <c r="R4" s="78">
        <v>52963</v>
      </c>
      <c r="S4" s="78">
        <v>52963</v>
      </c>
      <c r="T4" s="78">
        <v>52963</v>
      </c>
      <c r="U4" s="78">
        <v>52963</v>
      </c>
      <c r="V4" s="78">
        <v>52963</v>
      </c>
      <c r="W4" s="78">
        <v>52963</v>
      </c>
      <c r="X4" s="78">
        <v>52963</v>
      </c>
      <c r="Y4" s="78">
        <v>52963</v>
      </c>
      <c r="Z4" s="78">
        <v>52963</v>
      </c>
      <c r="AA4" s="78">
        <v>52963</v>
      </c>
      <c r="AB4" s="78">
        <v>52963</v>
      </c>
      <c r="AC4" s="78">
        <v>52963</v>
      </c>
      <c r="AD4" s="78">
        <v>52963</v>
      </c>
      <c r="AE4" s="78">
        <v>52963</v>
      </c>
      <c r="AF4" s="78">
        <v>52963</v>
      </c>
      <c r="AG4" s="78">
        <v>52963</v>
      </c>
      <c r="AH4" s="78">
        <v>52963</v>
      </c>
      <c r="AI4" s="78">
        <v>52963</v>
      </c>
      <c r="AJ4" s="78">
        <v>52963</v>
      </c>
      <c r="AK4" s="78">
        <v>52963</v>
      </c>
      <c r="AL4" s="78">
        <v>52963</v>
      </c>
      <c r="AM4" s="78">
        <v>52963</v>
      </c>
      <c r="AN4" s="78">
        <v>52963</v>
      </c>
      <c r="AO4" s="78">
        <v>52963</v>
      </c>
      <c r="AP4" s="78">
        <v>52963</v>
      </c>
      <c r="AQ4" s="78">
        <v>52963</v>
      </c>
      <c r="AR4" s="78">
        <v>52963</v>
      </c>
      <c r="AS4" s="423"/>
      <c r="AT4" s="423"/>
      <c r="AU4" s="423"/>
      <c r="AV4" s="423"/>
      <c r="AW4" s="423"/>
      <c r="AX4" s="423"/>
      <c r="AY4" s="423"/>
      <c r="AZ4" s="423"/>
      <c r="BA4" s="423"/>
      <c r="BB4" s="423"/>
      <c r="BC4" s="423"/>
      <c r="BD4" s="423"/>
      <c r="BE4" s="423"/>
      <c r="BF4" s="423"/>
      <c r="BG4" s="423"/>
      <c r="BH4" s="423"/>
      <c r="BI4" s="423"/>
      <c r="BJ4" s="423"/>
      <c r="BK4" s="423"/>
      <c r="BL4" s="423"/>
      <c r="BM4" s="423"/>
      <c r="BN4" s="423"/>
      <c r="BO4" s="423"/>
      <c r="BP4" s="423"/>
      <c r="BQ4" s="423"/>
      <c r="BR4" s="423"/>
      <c r="BS4" s="423"/>
      <c r="BT4" s="182"/>
      <c r="BU4" s="423"/>
      <c r="BV4" s="423"/>
    </row>
    <row r="5" spans="1:74" x14ac:dyDescent="0.25">
      <c r="A5" s="423"/>
      <c r="B5" s="115" t="s">
        <v>3</v>
      </c>
      <c r="C5" s="78"/>
      <c r="D5" s="78"/>
      <c r="E5" s="230"/>
      <c r="F5" s="230">
        <f>F4*'Calculs source'!$G$35</f>
        <v>458.92599999999999</v>
      </c>
      <c r="G5" s="230">
        <f>G4*'Calculs source'!$G$35</f>
        <v>474.12299999999999</v>
      </c>
      <c r="H5" s="230">
        <f>H4*'Calculs source'!$G$35</f>
        <v>493.83099999999996</v>
      </c>
      <c r="I5" s="230">
        <f>I4*'Calculs source'!$G$35</f>
        <v>510.92599999999999</v>
      </c>
      <c r="J5" s="230">
        <f>J4*'Calculs source'!$G$35</f>
        <v>531.10199999999998</v>
      </c>
      <c r="K5" s="230">
        <f>K4*'Calculs source'!$G$35</f>
        <v>549.62699999999995</v>
      </c>
      <c r="L5" s="230">
        <f>L4*'Calculs source'!$G$35</f>
        <v>572.18200000000002</v>
      </c>
      <c r="M5" s="230">
        <f>M4*'Calculs source'!$G$35</f>
        <v>593.30700000000002</v>
      </c>
      <c r="N5" s="230">
        <f>N4*'Calculs source'!$G$35</f>
        <v>615.86199999999997</v>
      </c>
      <c r="O5" s="230">
        <f>O4*'Calculs source'!$G$35</f>
        <v>638.65099999999995</v>
      </c>
      <c r="P5" s="230">
        <f>P4*'Calculs source'!$G$35</f>
        <v>662.87</v>
      </c>
      <c r="Q5" s="230">
        <f>Q4*'Calculs source'!$G$35</f>
        <v>688.51900000000001</v>
      </c>
      <c r="R5" s="230">
        <f>R4*'Calculs source'!$G$35</f>
        <v>688.51900000000001</v>
      </c>
      <c r="S5" s="230">
        <f>S4*'Calculs source'!$G$35</f>
        <v>688.51900000000001</v>
      </c>
      <c r="T5" s="230">
        <f>T4*'Calculs source'!$G$35</f>
        <v>688.51900000000001</v>
      </c>
      <c r="U5" s="230">
        <f>U4*'Calculs source'!$G$35</f>
        <v>688.51900000000001</v>
      </c>
      <c r="V5" s="230">
        <f>V4*'Calculs source'!$G$35</f>
        <v>688.51900000000001</v>
      </c>
      <c r="W5" s="230">
        <f>W4*'Calculs source'!$G$35</f>
        <v>688.51900000000001</v>
      </c>
      <c r="X5" s="230">
        <f>X4*'Calculs source'!$G$35</f>
        <v>688.51900000000001</v>
      </c>
      <c r="Y5" s="230">
        <f>Y4*'Calculs source'!$G$35</f>
        <v>688.51900000000001</v>
      </c>
      <c r="Z5" s="230">
        <f>Z4*'Calculs source'!$G$35</f>
        <v>688.51900000000001</v>
      </c>
      <c r="AA5" s="230">
        <f>AA4*'Calculs source'!$G$35</f>
        <v>688.51900000000001</v>
      </c>
      <c r="AB5" s="230">
        <f>AB4*'Calculs source'!$G$35</f>
        <v>688.51900000000001</v>
      </c>
      <c r="AC5" s="230">
        <f>AC4*'Calculs source'!$G$35</f>
        <v>688.51900000000001</v>
      </c>
      <c r="AD5" s="230">
        <f>AD4*'Calculs source'!$G$35</f>
        <v>688.51900000000001</v>
      </c>
      <c r="AE5" s="230">
        <f>AE4*'Calculs source'!$G$35</f>
        <v>688.51900000000001</v>
      </c>
      <c r="AF5" s="230">
        <f>AF4*'Calculs source'!$G$35</f>
        <v>688.51900000000001</v>
      </c>
      <c r="AG5" s="230">
        <f>AG4*'Calculs source'!$G$35</f>
        <v>688.51900000000001</v>
      </c>
      <c r="AH5" s="230">
        <f>AH4*'Calculs source'!$G$35</f>
        <v>688.51900000000001</v>
      </c>
      <c r="AI5" s="230">
        <f>AI4*'Calculs source'!$G$35</f>
        <v>688.51900000000001</v>
      </c>
      <c r="AJ5" s="230">
        <f>AJ4*'Calculs source'!$G$35</f>
        <v>688.51900000000001</v>
      </c>
      <c r="AK5" s="230">
        <f>AK4*'Calculs source'!$G$35</f>
        <v>688.51900000000001</v>
      </c>
      <c r="AL5" s="230">
        <f>AL4*'Calculs source'!$G$35</f>
        <v>688.51900000000001</v>
      </c>
      <c r="AM5" s="230">
        <f>AM4*'Calculs source'!$G$35</f>
        <v>688.51900000000001</v>
      </c>
      <c r="AN5" s="230">
        <f>AN4*'Calculs source'!$G$35</f>
        <v>688.51900000000001</v>
      </c>
      <c r="AO5" s="230">
        <f>AO4*'Calculs source'!$G$35</f>
        <v>688.51900000000001</v>
      </c>
      <c r="AP5" s="230">
        <f>AP4*'Calculs source'!$G$35</f>
        <v>688.51900000000001</v>
      </c>
      <c r="AQ5" s="230">
        <f>AQ4*'Calculs source'!$G$35</f>
        <v>688.51900000000001</v>
      </c>
      <c r="AR5" s="230">
        <f>AR4*'Calculs source'!$G$35</f>
        <v>688.51900000000001</v>
      </c>
      <c r="AS5" s="423"/>
      <c r="AT5" s="423"/>
      <c r="AU5" s="423"/>
      <c r="AV5" s="423"/>
      <c r="AW5" s="423"/>
      <c r="AX5" s="423"/>
      <c r="AY5" s="423"/>
      <c r="AZ5" s="423"/>
      <c r="BA5" s="423"/>
      <c r="BB5" s="423"/>
      <c r="BC5" s="423"/>
      <c r="BD5" s="423"/>
      <c r="BE5" s="423"/>
      <c r="BF5" s="423"/>
      <c r="BG5" s="423"/>
      <c r="BH5" s="423"/>
      <c r="BI5" s="423"/>
      <c r="BJ5" s="423"/>
      <c r="BK5" s="423"/>
      <c r="BL5" s="423"/>
      <c r="BM5" s="423"/>
      <c r="BN5" s="423"/>
      <c r="BO5" s="423"/>
      <c r="BP5" s="423"/>
      <c r="BQ5" s="423"/>
      <c r="BR5" s="423"/>
      <c r="BS5" s="423"/>
      <c r="BT5" s="182"/>
      <c r="BU5" s="423"/>
      <c r="BV5" s="423"/>
    </row>
    <row r="6" spans="1:74" x14ac:dyDescent="0.25">
      <c r="A6" s="423"/>
      <c r="B6" s="115" t="s">
        <v>4</v>
      </c>
      <c r="C6" s="78">
        <v>0</v>
      </c>
      <c r="D6" s="78">
        <v>0</v>
      </c>
      <c r="E6" s="230">
        <v>0</v>
      </c>
      <c r="F6" s="230">
        <f>('Calculs source'!$G$91*(F4-'Calculs source'!$G$93))-(('Calculs source'!$G$92-F4)*'Calculs source'!$G$94)</f>
        <v>1960.5686999999998</v>
      </c>
      <c r="G6" s="230">
        <f>('Calculs source'!$G$91*(G4-'Calculs source'!$G$93))-(('Calculs source'!$G$92-G4)*'Calculs source'!$G$94)</f>
        <v>2110.3176000000003</v>
      </c>
      <c r="H6" s="230">
        <f>('Calculs source'!$G$91*(H4-'Calculs source'!$G$93))-(('Calculs source'!$G$92-H4)*'Calculs source'!$G$94)</f>
        <v>2304.5172000000002</v>
      </c>
      <c r="I6" s="230">
        <f>('Calculs source'!$G$91*(I4-'Calculs source'!$G$93))-(('Calculs source'!$G$92-I4)*'Calculs source'!$G$94)</f>
        <v>2472.9687000000004</v>
      </c>
      <c r="J6" s="230">
        <f>('Calculs source'!$G$91*(J4-'Calculs source'!$G$93))-(('Calculs source'!$G$92-J4)*'Calculs source'!$G$94)</f>
        <v>2671.7799000000005</v>
      </c>
      <c r="K6" s="230">
        <f>('Calculs source'!$G$91*(K4-'Calculs source'!$G$93))-(('Calculs source'!$G$92-K4)*'Calculs source'!$G$94)</f>
        <v>2854.3224</v>
      </c>
      <c r="L6" s="230">
        <f>('Calculs source'!$G$91*(L4-'Calculs source'!$G$93))-(('Calculs source'!$G$92-L4)*'Calculs source'!$G$94)</f>
        <v>3076.5759000000003</v>
      </c>
      <c r="M6" s="230">
        <f>('Calculs source'!$G$91*(M4-'Calculs source'!$G$93))-(('Calculs source'!$G$92-M4)*'Calculs source'!$G$94)</f>
        <v>3284.7384000000002</v>
      </c>
      <c r="N6" s="230">
        <f>('Calculs source'!$G$91*(N4-'Calculs source'!$G$93))-(('Calculs source'!$G$92-N4)*'Calculs source'!$G$94)</f>
        <v>3506.9919</v>
      </c>
      <c r="O6" s="230">
        <f>('Calculs source'!$G$91*(O4-'Calculs source'!$G$93))-(('Calculs source'!$G$92-O4)*'Calculs source'!$G$94)</f>
        <v>3731.5512000000003</v>
      </c>
      <c r="P6" s="230">
        <f>('Calculs source'!$G$91*(P4-'Calculs source'!$G$93))-(('Calculs source'!$G$92-P4)*'Calculs source'!$G$94)</f>
        <v>3970.2015000000001</v>
      </c>
      <c r="Q6" s="230">
        <f>('Calculs source'!$G$91*(Q4-'Calculs source'!$G$93))-(('Calculs source'!$G$92-Q4)*'Calculs source'!$G$94)</f>
        <v>4222.9428000000007</v>
      </c>
      <c r="R6" s="230">
        <f>('Calculs source'!$G$91*(R4-'Calculs source'!$G$93))-(('Calculs source'!$G$92-R4)*'Calculs source'!$G$94)</f>
        <v>4222.9428000000007</v>
      </c>
      <c r="S6" s="230">
        <f>('Calculs source'!$G$91*(S4-'Calculs source'!$G$93))-(('Calculs source'!$G$92-S4)*'Calculs source'!$G$94)</f>
        <v>4222.9428000000007</v>
      </c>
      <c r="T6" s="230">
        <f>('Calculs source'!$G$91*(T4-'Calculs source'!$G$93))-(('Calculs source'!$G$92-T4)*'Calculs source'!$G$94)</f>
        <v>4222.9428000000007</v>
      </c>
      <c r="U6" s="230">
        <f>('Calculs source'!$G$91*(U4-'Calculs source'!$G$93))-(('Calculs source'!$G$92-U4)*'Calculs source'!$G$94)</f>
        <v>4222.9428000000007</v>
      </c>
      <c r="V6" s="230">
        <f>('Calculs source'!$G$91*(V4-'Calculs source'!$G$93))-(('Calculs source'!$G$92-V4)*'Calculs source'!$G$94)</f>
        <v>4222.9428000000007</v>
      </c>
      <c r="W6" s="230">
        <f>('Calculs source'!$G$91*(W4-'Calculs source'!$G$93))-(('Calculs source'!$G$92-W4)*'Calculs source'!$G$94)</f>
        <v>4222.9428000000007</v>
      </c>
      <c r="X6" s="230">
        <f>('Calculs source'!$G$91*(X4-'Calculs source'!$G$93))-(('Calculs source'!$G$92-X4)*'Calculs source'!$G$94)</f>
        <v>4222.9428000000007</v>
      </c>
      <c r="Y6" s="230">
        <f>('Calculs source'!$G$91*(Y4-'Calculs source'!$G$93))-(('Calculs source'!$G$92-Y4)*'Calculs source'!$G$94)</f>
        <v>4222.9428000000007</v>
      </c>
      <c r="Z6" s="230">
        <f>('Calculs source'!$G$91*(Z4-'Calculs source'!$G$93))-(('Calculs source'!$G$92-Z4)*'Calculs source'!$G$94)</f>
        <v>4222.9428000000007</v>
      </c>
      <c r="AA6" s="230">
        <f>('Calculs source'!$G$91*(AA4-'Calculs source'!$G$93))-(('Calculs source'!$G$92-AA4)*'Calculs source'!$G$94)</f>
        <v>4222.9428000000007</v>
      </c>
      <c r="AB6" s="230">
        <f>('Calculs source'!$G$91*(AB4-'Calculs source'!$G$93))-(('Calculs source'!$G$92-AB4)*'Calculs source'!$G$94)</f>
        <v>4222.9428000000007</v>
      </c>
      <c r="AC6" s="230">
        <f>('Calculs source'!$G$91*(AC4-'Calculs source'!$G$93))-(('Calculs source'!$G$92-AC4)*'Calculs source'!$G$94)</f>
        <v>4222.9428000000007</v>
      </c>
      <c r="AD6" s="230">
        <f>('Calculs source'!$G$91*(AD4-'Calculs source'!$G$93))-(('Calculs source'!$G$92-AD4)*'Calculs source'!$G$94)</f>
        <v>4222.9428000000007</v>
      </c>
      <c r="AE6" s="230">
        <f>('Calculs source'!$G$91*(AE4-'Calculs source'!$G$93))-(('Calculs source'!$G$92-AE4)*'Calculs source'!$G$94)</f>
        <v>4222.9428000000007</v>
      </c>
      <c r="AF6" s="230">
        <f>('Calculs source'!$G$91*(AF4-'Calculs source'!$G$93))-(('Calculs source'!$G$92-AF4)*'Calculs source'!$G$94)</f>
        <v>4222.9428000000007</v>
      </c>
      <c r="AG6" s="230">
        <f>('Calculs source'!$G$91*(AG4-'Calculs source'!$G$93))-(('Calculs source'!$G$92-AG4)*'Calculs source'!$G$94)</f>
        <v>4222.9428000000007</v>
      </c>
      <c r="AH6" s="230">
        <f>('Calculs source'!$G$91*(AH4-'Calculs source'!$G$93))-(('Calculs source'!$G$92-AH4)*'Calculs source'!$G$94)</f>
        <v>4222.9428000000007</v>
      </c>
      <c r="AI6" s="230">
        <f>('Calculs source'!$G$91*(AI4-'Calculs source'!$G$93))-(('Calculs source'!$G$92-AI4)*'Calculs source'!$G$94)</f>
        <v>4222.9428000000007</v>
      </c>
      <c r="AJ6" s="230">
        <f>('Calculs source'!$G$91*(AJ4-'Calculs source'!$G$93))-(('Calculs source'!$G$92-AJ4)*'Calculs source'!$G$94)</f>
        <v>4222.9428000000007</v>
      </c>
      <c r="AK6" s="230">
        <f>('Calculs source'!$G$91*(AK4-'Calculs source'!$G$93))-(('Calculs source'!$G$92-AK4)*'Calculs source'!$G$94)</f>
        <v>4222.9428000000007</v>
      </c>
      <c r="AL6" s="230">
        <f>('Calculs source'!$G$91*(AL4-'Calculs source'!$G$93))-(('Calculs source'!$G$92-AL4)*'Calculs source'!$G$94)</f>
        <v>4222.9428000000007</v>
      </c>
      <c r="AM6" s="230">
        <f>('Calculs source'!$G$91*(AM4-'Calculs source'!$G$93))-(('Calculs source'!$G$92-AM4)*'Calculs source'!$G$94)</f>
        <v>4222.9428000000007</v>
      </c>
      <c r="AN6" s="230">
        <f>('Calculs source'!$G$91*(AN4-'Calculs source'!$G$93))-(('Calculs source'!$G$92-AN4)*'Calculs source'!$G$94)</f>
        <v>4222.9428000000007</v>
      </c>
      <c r="AO6" s="230">
        <f>('Calculs source'!$G$91*(AO4-'Calculs source'!$G$93))-(('Calculs source'!$G$92-AO4)*'Calculs source'!$G$94)</f>
        <v>4222.9428000000007</v>
      </c>
      <c r="AP6" s="230">
        <f>('Calculs source'!$G$91*(AP4-'Calculs source'!$G$93))-(('Calculs source'!$G$92-AP4)*'Calculs source'!$G$94)</f>
        <v>4222.9428000000007</v>
      </c>
      <c r="AQ6" s="230">
        <f>('Calculs source'!$G$91*(AQ4-'Calculs source'!$G$93))-(('Calculs source'!$G$92-AQ4)*'Calculs source'!$G$94)</f>
        <v>4222.9428000000007</v>
      </c>
      <c r="AR6" s="230">
        <f>('Calculs source'!$G$91*(AR4-'Calculs source'!$G$93))-(('Calculs source'!$G$92-AR4)*'Calculs source'!$G$94)</f>
        <v>4222.9428000000007</v>
      </c>
      <c r="AS6" s="423"/>
      <c r="AT6" s="423"/>
      <c r="AU6" s="423"/>
      <c r="AV6" s="423"/>
      <c r="AW6" s="423"/>
      <c r="AX6" s="423"/>
      <c r="AY6" s="423"/>
      <c r="AZ6" s="423"/>
      <c r="BA6" s="423"/>
      <c r="BB6" s="423"/>
      <c r="BC6" s="423"/>
      <c r="BD6" s="423"/>
      <c r="BE6" s="423"/>
      <c r="BF6" s="423"/>
      <c r="BG6" s="423"/>
      <c r="BH6" s="423"/>
      <c r="BI6" s="423"/>
      <c r="BJ6" s="423"/>
      <c r="BK6" s="423"/>
      <c r="BL6" s="423"/>
      <c r="BM6" s="423"/>
      <c r="BN6" s="423"/>
      <c r="BO6" s="423"/>
      <c r="BP6" s="423"/>
      <c r="BQ6" s="423"/>
      <c r="BR6" s="423"/>
      <c r="BS6" s="423"/>
      <c r="BT6" s="182"/>
      <c r="BU6" s="423"/>
      <c r="BV6" s="423"/>
    </row>
    <row r="7" spans="1:74" x14ac:dyDescent="0.25">
      <c r="A7" s="423"/>
      <c r="B7" s="115" t="s">
        <v>5</v>
      </c>
      <c r="C7" s="78">
        <f t="shared" ref="C7:E7" si="0">C4-(C5+C6)</f>
        <v>7529.356580593425</v>
      </c>
      <c r="D7" s="78">
        <f t="shared" si="0"/>
        <v>7529.356580593425</v>
      </c>
      <c r="E7" s="78">
        <f t="shared" si="0"/>
        <v>7529.356580593425</v>
      </c>
      <c r="F7" s="78">
        <f>F4-(F5+F6)</f>
        <v>32882.505299999997</v>
      </c>
      <c r="G7" s="78">
        <f t="shared" ref="G7:P7" si="1">G4-(G5+G6)</f>
        <v>33886.559399999998</v>
      </c>
      <c r="H7" s="78">
        <f t="shared" si="1"/>
        <v>35188.6518</v>
      </c>
      <c r="I7" s="78">
        <f t="shared" si="1"/>
        <v>36318.105300000003</v>
      </c>
      <c r="J7" s="78">
        <f t="shared" si="1"/>
        <v>37651.1181</v>
      </c>
      <c r="K7" s="78">
        <f t="shared" si="1"/>
        <v>38875.050600000002</v>
      </c>
      <c r="L7" s="78">
        <f t="shared" si="1"/>
        <v>40365.242100000003</v>
      </c>
      <c r="M7" s="78">
        <f t="shared" si="1"/>
        <v>41760.954599999997</v>
      </c>
      <c r="N7" s="78">
        <f t="shared" si="1"/>
        <v>43251.146099999998</v>
      </c>
      <c r="O7" s="78">
        <f t="shared" si="1"/>
        <v>44756.7978</v>
      </c>
      <c r="P7" s="78">
        <f t="shared" si="1"/>
        <v>46356.928500000002</v>
      </c>
      <c r="Q7" s="78">
        <f>Q4-(Q5+Q6)</f>
        <v>48051.538199999995</v>
      </c>
      <c r="R7" s="78">
        <f>R4-(R5+R6)</f>
        <v>48051.538199999995</v>
      </c>
      <c r="S7" s="78">
        <f t="shared" ref="S7:AR7" si="2">S4-(S5+S6)</f>
        <v>48051.538199999995</v>
      </c>
      <c r="T7" s="78">
        <f t="shared" si="2"/>
        <v>48051.538199999995</v>
      </c>
      <c r="U7" s="78">
        <f t="shared" si="2"/>
        <v>48051.538199999995</v>
      </c>
      <c r="V7" s="78">
        <f t="shared" si="2"/>
        <v>48051.538199999995</v>
      </c>
      <c r="W7" s="78">
        <f t="shared" si="2"/>
        <v>48051.538199999995</v>
      </c>
      <c r="X7" s="78">
        <f t="shared" si="2"/>
        <v>48051.538199999995</v>
      </c>
      <c r="Y7" s="78">
        <f t="shared" si="2"/>
        <v>48051.538199999995</v>
      </c>
      <c r="Z7" s="78">
        <f t="shared" si="2"/>
        <v>48051.538199999995</v>
      </c>
      <c r="AA7" s="78">
        <f t="shared" si="2"/>
        <v>48051.538199999995</v>
      </c>
      <c r="AB7" s="78">
        <f t="shared" si="2"/>
        <v>48051.538199999995</v>
      </c>
      <c r="AC7" s="78">
        <f t="shared" si="2"/>
        <v>48051.538199999995</v>
      </c>
      <c r="AD7" s="78">
        <f t="shared" si="2"/>
        <v>48051.538199999995</v>
      </c>
      <c r="AE7" s="78">
        <f t="shared" si="2"/>
        <v>48051.538199999995</v>
      </c>
      <c r="AF7" s="78">
        <f t="shared" si="2"/>
        <v>48051.538199999995</v>
      </c>
      <c r="AG7" s="78">
        <f t="shared" si="2"/>
        <v>48051.538199999995</v>
      </c>
      <c r="AH7" s="78">
        <f t="shared" si="2"/>
        <v>48051.538199999995</v>
      </c>
      <c r="AI7" s="78">
        <f t="shared" si="2"/>
        <v>48051.538199999995</v>
      </c>
      <c r="AJ7" s="78">
        <f t="shared" si="2"/>
        <v>48051.538199999995</v>
      </c>
      <c r="AK7" s="78">
        <f t="shared" si="2"/>
        <v>48051.538199999995</v>
      </c>
      <c r="AL7" s="78">
        <f t="shared" si="2"/>
        <v>48051.538199999995</v>
      </c>
      <c r="AM7" s="78">
        <f t="shared" si="2"/>
        <v>48051.538199999995</v>
      </c>
      <c r="AN7" s="78">
        <f t="shared" si="2"/>
        <v>48051.538199999995</v>
      </c>
      <c r="AO7" s="78">
        <f t="shared" si="2"/>
        <v>48051.538199999995</v>
      </c>
      <c r="AP7" s="78">
        <f t="shared" si="2"/>
        <v>48051.538199999995</v>
      </c>
      <c r="AQ7" s="78">
        <f t="shared" si="2"/>
        <v>48051.538199999995</v>
      </c>
      <c r="AR7" s="78">
        <f t="shared" si="2"/>
        <v>48051.538199999995</v>
      </c>
      <c r="AS7" s="78">
        <f t="shared" ref="AS7:BO7" si="3">AS4</f>
        <v>0</v>
      </c>
      <c r="AT7" s="78">
        <f t="shared" si="3"/>
        <v>0</v>
      </c>
      <c r="AU7" s="78">
        <f t="shared" si="3"/>
        <v>0</v>
      </c>
      <c r="AV7" s="78">
        <f t="shared" si="3"/>
        <v>0</v>
      </c>
      <c r="AW7" s="78">
        <f t="shared" si="3"/>
        <v>0</v>
      </c>
      <c r="AX7" s="78">
        <f t="shared" si="3"/>
        <v>0</v>
      </c>
      <c r="AY7" s="78">
        <f t="shared" si="3"/>
        <v>0</v>
      </c>
      <c r="AZ7" s="78">
        <f t="shared" si="3"/>
        <v>0</v>
      </c>
      <c r="BA7" s="78">
        <f t="shared" si="3"/>
        <v>0</v>
      </c>
      <c r="BB7" s="78">
        <f t="shared" si="3"/>
        <v>0</v>
      </c>
      <c r="BC7" s="78">
        <f t="shared" si="3"/>
        <v>0</v>
      </c>
      <c r="BD7" s="78">
        <f t="shared" si="3"/>
        <v>0</v>
      </c>
      <c r="BE7" s="78">
        <f t="shared" si="3"/>
        <v>0</v>
      </c>
      <c r="BF7" s="78">
        <f t="shared" si="3"/>
        <v>0</v>
      </c>
      <c r="BG7" s="78">
        <f t="shared" si="3"/>
        <v>0</v>
      </c>
      <c r="BH7" s="78">
        <f t="shared" si="3"/>
        <v>0</v>
      </c>
      <c r="BI7" s="78">
        <f t="shared" si="3"/>
        <v>0</v>
      </c>
      <c r="BJ7" s="78">
        <f t="shared" si="3"/>
        <v>0</v>
      </c>
      <c r="BK7" s="78">
        <f t="shared" si="3"/>
        <v>0</v>
      </c>
      <c r="BL7" s="78">
        <f t="shared" si="3"/>
        <v>0</v>
      </c>
      <c r="BM7" s="78">
        <f t="shared" si="3"/>
        <v>0</v>
      </c>
      <c r="BN7" s="78">
        <f t="shared" si="3"/>
        <v>0</v>
      </c>
      <c r="BO7" s="78">
        <f t="shared" si="3"/>
        <v>0</v>
      </c>
      <c r="BP7" s="78">
        <f t="shared" ref="BP7:BT7" si="4">BP4</f>
        <v>0</v>
      </c>
      <c r="BQ7" s="78">
        <f t="shared" si="4"/>
        <v>0</v>
      </c>
      <c r="BR7" s="78">
        <f t="shared" si="4"/>
        <v>0</v>
      </c>
      <c r="BS7" s="78">
        <f t="shared" si="4"/>
        <v>0</v>
      </c>
      <c r="BT7" s="183">
        <f t="shared" si="4"/>
        <v>0</v>
      </c>
      <c r="BU7" s="423"/>
      <c r="BV7" s="423"/>
    </row>
    <row r="8" spans="1:74" x14ac:dyDescent="0.25">
      <c r="A8" s="423"/>
      <c r="B8" s="116" t="s">
        <v>6</v>
      </c>
      <c r="C8" s="78"/>
      <c r="D8" s="78"/>
      <c r="E8" s="78"/>
      <c r="F8" s="78"/>
      <c r="G8" s="78"/>
      <c r="H8" s="78"/>
      <c r="I8" s="117"/>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423"/>
      <c r="AT8" s="423"/>
      <c r="AU8" s="423"/>
      <c r="AV8" s="423"/>
      <c r="AW8" s="423"/>
      <c r="AX8" s="423"/>
      <c r="AY8" s="423"/>
      <c r="AZ8" s="423"/>
      <c r="BA8" s="423"/>
      <c r="BB8" s="423"/>
      <c r="BC8" s="423"/>
      <c r="BD8" s="423"/>
      <c r="BE8" s="423"/>
      <c r="BF8" s="423"/>
      <c r="BG8" s="423"/>
      <c r="BH8" s="423"/>
      <c r="BI8" s="423"/>
      <c r="BJ8" s="423"/>
      <c r="BK8" s="423"/>
      <c r="BL8" s="423"/>
      <c r="BM8" s="423"/>
      <c r="BN8" s="423"/>
      <c r="BO8" s="423"/>
      <c r="BP8" s="423"/>
      <c r="BQ8" s="423"/>
      <c r="BR8" s="423"/>
      <c r="BS8" s="423"/>
      <c r="BT8" s="182"/>
      <c r="BU8" s="423"/>
      <c r="BV8" s="423"/>
    </row>
    <row r="9" spans="1:74" x14ac:dyDescent="0.25">
      <c r="A9" s="423"/>
      <c r="B9" s="116" t="s">
        <v>7</v>
      </c>
      <c r="C9" s="78"/>
      <c r="D9" s="78"/>
      <c r="E9" s="78"/>
      <c r="F9" s="78"/>
      <c r="G9" s="78"/>
      <c r="H9" s="78"/>
      <c r="I9" s="117"/>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f>'Calculs source'!$G$100</f>
        <v>41311.14</v>
      </c>
      <c r="AT9" s="78">
        <f>'Calculs source'!$G$100</f>
        <v>41311.14</v>
      </c>
      <c r="AU9" s="78">
        <f>'Calculs source'!$G$100</f>
        <v>41311.14</v>
      </c>
      <c r="AV9" s="78">
        <f>'Calculs source'!$G$100</f>
        <v>41311.14</v>
      </c>
      <c r="AW9" s="78">
        <f>'Calculs source'!$G$100</f>
        <v>41311.14</v>
      </c>
      <c r="AX9" s="78">
        <f>'Calculs source'!$G$100-'Calculs source'!$G$108</f>
        <v>28335.205000000002</v>
      </c>
      <c r="AY9" s="78">
        <f>'Calculs source'!$G$100-'Calculs source'!$G$108</f>
        <v>28335.205000000002</v>
      </c>
      <c r="AZ9" s="78">
        <f>'Calculs source'!$G$100-'Calculs source'!$G$108</f>
        <v>28335.205000000002</v>
      </c>
      <c r="BA9" s="78">
        <f>'Calculs source'!$G$100-'Calculs source'!$G$108</f>
        <v>28335.205000000002</v>
      </c>
      <c r="BB9" s="78">
        <f>'Calculs source'!$G$100-'Calculs source'!$G$108</f>
        <v>28335.205000000002</v>
      </c>
      <c r="BC9" s="78">
        <f>'Calculs source'!$G$100-'Calculs source'!$G$108</f>
        <v>28335.205000000002</v>
      </c>
      <c r="BD9" s="78">
        <f>'Calculs source'!$G$100-'Calculs source'!$G$108</f>
        <v>28335.205000000002</v>
      </c>
      <c r="BE9" s="78">
        <f>'Calculs source'!$G$100-'Calculs source'!$G$108</f>
        <v>28335.205000000002</v>
      </c>
      <c r="BF9" s="78">
        <f>'Calculs source'!$G$100-'Calculs source'!$G$108</f>
        <v>28335.205000000002</v>
      </c>
      <c r="BG9" s="78">
        <f>'Calculs source'!$G$100-'Calculs source'!$G$108</f>
        <v>28335.205000000002</v>
      </c>
      <c r="BH9" s="78">
        <f>'Calculs source'!$G$100-'Calculs source'!$G$108</f>
        <v>28335.205000000002</v>
      </c>
      <c r="BI9" s="78">
        <f>'Calculs source'!$G$100-'Calculs source'!$G$108</f>
        <v>28335.205000000002</v>
      </c>
      <c r="BJ9" s="78">
        <f>'Calculs source'!$G$100-'Calculs source'!$G$108</f>
        <v>28335.205000000002</v>
      </c>
      <c r="BK9" s="78">
        <f>'Calculs source'!$G$100-'Calculs source'!$G$108</f>
        <v>28335.205000000002</v>
      </c>
      <c r="BL9" s="78">
        <f>'Calculs source'!$G$100-'Calculs source'!$G$108</f>
        <v>28335.205000000002</v>
      </c>
      <c r="BM9" s="78">
        <f>'Calculs source'!$G$100-'Calculs source'!$G$108</f>
        <v>28335.205000000002</v>
      </c>
      <c r="BN9" s="78">
        <f>'Calculs source'!$G$100-'Calculs source'!$G$108</f>
        <v>28335.205000000002</v>
      </c>
      <c r="BO9" s="78">
        <f>'Calculs source'!$G$100-'Calculs source'!$G$108</f>
        <v>28335.205000000002</v>
      </c>
      <c r="BP9" s="78">
        <f>'Calculs source'!$G$100-'Calculs source'!$G$108</f>
        <v>28335.205000000002</v>
      </c>
      <c r="BQ9" s="78">
        <f>'Calculs source'!$G$100-'Calculs source'!$G$108</f>
        <v>28335.205000000002</v>
      </c>
      <c r="BR9" s="78">
        <f>'Calculs source'!$G$100-'Calculs source'!$G$108</f>
        <v>28335.205000000002</v>
      </c>
      <c r="BS9" s="78">
        <f>'Calculs source'!$G$100-'Calculs source'!$G$108</f>
        <v>28335.205000000002</v>
      </c>
      <c r="BT9" s="183">
        <f>'Calculs source'!$G$100-'Calculs source'!$G$108</f>
        <v>28335.205000000002</v>
      </c>
      <c r="BU9" s="423"/>
      <c r="BV9" s="423"/>
    </row>
    <row r="10" spans="1:74" ht="15.75" thickBot="1" x14ac:dyDescent="0.3">
      <c r="A10" s="423"/>
      <c r="B10" s="118"/>
      <c r="C10" s="428">
        <f>C4+C9</f>
        <v>7529.356580593425</v>
      </c>
      <c r="D10" s="428">
        <f t="shared" ref="D10:BO10" si="5">D4+D9</f>
        <v>7529.356580593425</v>
      </c>
      <c r="E10" s="428">
        <f t="shared" si="5"/>
        <v>7529.356580593425</v>
      </c>
      <c r="F10" s="428">
        <f t="shared" si="5"/>
        <v>35302</v>
      </c>
      <c r="G10" s="428">
        <f t="shared" si="5"/>
        <v>36471</v>
      </c>
      <c r="H10" s="428">
        <f t="shared" si="5"/>
        <v>37987</v>
      </c>
      <c r="I10" s="428">
        <f t="shared" si="5"/>
        <v>39302</v>
      </c>
      <c r="J10" s="428">
        <f t="shared" si="5"/>
        <v>40854</v>
      </c>
      <c r="K10" s="428">
        <f t="shared" si="5"/>
        <v>42279</v>
      </c>
      <c r="L10" s="428">
        <f t="shared" si="5"/>
        <v>44014</v>
      </c>
      <c r="M10" s="428">
        <f t="shared" si="5"/>
        <v>45639</v>
      </c>
      <c r="N10" s="428">
        <f t="shared" si="5"/>
        <v>47374</v>
      </c>
      <c r="O10" s="428">
        <f t="shared" si="5"/>
        <v>49127</v>
      </c>
      <c r="P10" s="428">
        <f t="shared" si="5"/>
        <v>50990</v>
      </c>
      <c r="Q10" s="428">
        <f t="shared" si="5"/>
        <v>52963</v>
      </c>
      <c r="R10" s="428">
        <f t="shared" si="5"/>
        <v>52963</v>
      </c>
      <c r="S10" s="428">
        <f t="shared" si="5"/>
        <v>52963</v>
      </c>
      <c r="T10" s="428">
        <f t="shared" si="5"/>
        <v>52963</v>
      </c>
      <c r="U10" s="428">
        <f t="shared" si="5"/>
        <v>52963</v>
      </c>
      <c r="V10" s="428">
        <f t="shared" si="5"/>
        <v>52963</v>
      </c>
      <c r="W10" s="428">
        <f t="shared" si="5"/>
        <v>52963</v>
      </c>
      <c r="X10" s="428">
        <f t="shared" si="5"/>
        <v>52963</v>
      </c>
      <c r="Y10" s="428">
        <f t="shared" si="5"/>
        <v>52963</v>
      </c>
      <c r="Z10" s="428">
        <f t="shared" si="5"/>
        <v>52963</v>
      </c>
      <c r="AA10" s="428">
        <f t="shared" si="5"/>
        <v>52963</v>
      </c>
      <c r="AB10" s="428">
        <f t="shared" si="5"/>
        <v>52963</v>
      </c>
      <c r="AC10" s="428">
        <f t="shared" si="5"/>
        <v>52963</v>
      </c>
      <c r="AD10" s="428">
        <f t="shared" si="5"/>
        <v>52963</v>
      </c>
      <c r="AE10" s="428">
        <f t="shared" si="5"/>
        <v>52963</v>
      </c>
      <c r="AF10" s="428">
        <f t="shared" si="5"/>
        <v>52963</v>
      </c>
      <c r="AG10" s="428">
        <f t="shared" si="5"/>
        <v>52963</v>
      </c>
      <c r="AH10" s="428">
        <f t="shared" si="5"/>
        <v>52963</v>
      </c>
      <c r="AI10" s="428">
        <f t="shared" si="5"/>
        <v>52963</v>
      </c>
      <c r="AJ10" s="428">
        <f t="shared" si="5"/>
        <v>52963</v>
      </c>
      <c r="AK10" s="428">
        <f t="shared" si="5"/>
        <v>52963</v>
      </c>
      <c r="AL10" s="428">
        <f t="shared" si="5"/>
        <v>52963</v>
      </c>
      <c r="AM10" s="428">
        <f t="shared" si="5"/>
        <v>52963</v>
      </c>
      <c r="AN10" s="428">
        <f t="shared" si="5"/>
        <v>52963</v>
      </c>
      <c r="AO10" s="428">
        <f t="shared" si="5"/>
        <v>52963</v>
      </c>
      <c r="AP10" s="428">
        <f t="shared" si="5"/>
        <v>52963</v>
      </c>
      <c r="AQ10" s="428">
        <f t="shared" si="5"/>
        <v>52963</v>
      </c>
      <c r="AR10" s="428">
        <f t="shared" si="5"/>
        <v>52963</v>
      </c>
      <c r="AS10" s="428">
        <f t="shared" si="5"/>
        <v>41311.14</v>
      </c>
      <c r="AT10" s="428">
        <f t="shared" si="5"/>
        <v>41311.14</v>
      </c>
      <c r="AU10" s="428">
        <f t="shared" si="5"/>
        <v>41311.14</v>
      </c>
      <c r="AV10" s="428">
        <f t="shared" si="5"/>
        <v>41311.14</v>
      </c>
      <c r="AW10" s="428">
        <f t="shared" si="5"/>
        <v>41311.14</v>
      </c>
      <c r="AX10" s="428">
        <f t="shared" si="5"/>
        <v>28335.205000000002</v>
      </c>
      <c r="AY10" s="428">
        <f t="shared" si="5"/>
        <v>28335.205000000002</v>
      </c>
      <c r="AZ10" s="428">
        <f t="shared" si="5"/>
        <v>28335.205000000002</v>
      </c>
      <c r="BA10" s="428">
        <f t="shared" si="5"/>
        <v>28335.205000000002</v>
      </c>
      <c r="BB10" s="428">
        <f t="shared" si="5"/>
        <v>28335.205000000002</v>
      </c>
      <c r="BC10" s="428">
        <f t="shared" si="5"/>
        <v>28335.205000000002</v>
      </c>
      <c r="BD10" s="428">
        <f t="shared" si="5"/>
        <v>28335.205000000002</v>
      </c>
      <c r="BE10" s="428">
        <f t="shared" si="5"/>
        <v>28335.205000000002</v>
      </c>
      <c r="BF10" s="428">
        <f t="shared" si="5"/>
        <v>28335.205000000002</v>
      </c>
      <c r="BG10" s="428">
        <f t="shared" si="5"/>
        <v>28335.205000000002</v>
      </c>
      <c r="BH10" s="428">
        <f t="shared" si="5"/>
        <v>28335.205000000002</v>
      </c>
      <c r="BI10" s="428">
        <f t="shared" si="5"/>
        <v>28335.205000000002</v>
      </c>
      <c r="BJ10" s="428">
        <f t="shared" si="5"/>
        <v>28335.205000000002</v>
      </c>
      <c r="BK10" s="428">
        <f t="shared" si="5"/>
        <v>28335.205000000002</v>
      </c>
      <c r="BL10" s="428">
        <f t="shared" si="5"/>
        <v>28335.205000000002</v>
      </c>
      <c r="BM10" s="428">
        <f t="shared" si="5"/>
        <v>28335.205000000002</v>
      </c>
      <c r="BN10" s="428">
        <f t="shared" si="5"/>
        <v>28335.205000000002</v>
      </c>
      <c r="BO10" s="428">
        <f t="shared" si="5"/>
        <v>28335.205000000002</v>
      </c>
      <c r="BP10" s="428">
        <f t="shared" ref="BP10:BT10" si="6">BP4+BP9</f>
        <v>28335.205000000002</v>
      </c>
      <c r="BQ10" s="428">
        <f t="shared" si="6"/>
        <v>28335.205000000002</v>
      </c>
      <c r="BR10" s="428">
        <f t="shared" si="6"/>
        <v>28335.205000000002</v>
      </c>
      <c r="BS10" s="428">
        <f t="shared" si="6"/>
        <v>28335.205000000002</v>
      </c>
      <c r="BT10" s="428">
        <f t="shared" si="6"/>
        <v>28335.205000000002</v>
      </c>
      <c r="BU10" s="423"/>
      <c r="BV10" s="423"/>
    </row>
    <row r="12" spans="1:74" ht="18.75" x14ac:dyDescent="0.3">
      <c r="A12" s="120" t="s">
        <v>8</v>
      </c>
      <c r="B12" s="120" t="s">
        <v>9</v>
      </c>
      <c r="C12" s="423"/>
      <c r="D12" s="423"/>
      <c r="E12" s="423"/>
      <c r="F12" s="423"/>
      <c r="G12" s="423"/>
      <c r="H12" s="423"/>
      <c r="I12" s="423"/>
      <c r="J12" s="423"/>
      <c r="K12" s="423"/>
      <c r="L12" s="423"/>
      <c r="M12" s="423"/>
      <c r="N12" s="423"/>
      <c r="O12" s="423"/>
      <c r="P12" s="423"/>
      <c r="Q12" s="423"/>
      <c r="R12" s="423"/>
      <c r="S12" s="423"/>
      <c r="T12" s="423"/>
      <c r="U12" s="423"/>
      <c r="V12" s="423"/>
      <c r="W12" s="423"/>
      <c r="X12" s="423"/>
      <c r="Y12" s="423"/>
      <c r="Z12" s="423"/>
      <c r="AA12" s="423"/>
      <c r="AB12" s="423"/>
      <c r="AC12" s="423"/>
      <c r="AD12" s="423"/>
      <c r="AE12" s="423"/>
      <c r="AF12" s="423"/>
      <c r="AG12" s="423"/>
      <c r="AH12" s="423"/>
      <c r="AI12" s="423"/>
      <c r="AJ12" s="423"/>
      <c r="AK12" s="423"/>
      <c r="AL12" s="423"/>
      <c r="AM12" s="423"/>
      <c r="AN12" s="423"/>
      <c r="AO12" s="423"/>
      <c r="AP12" s="423"/>
      <c r="AQ12" s="423"/>
      <c r="AR12" s="423"/>
      <c r="AS12" s="423"/>
      <c r="AT12" s="423"/>
      <c r="AU12" s="423"/>
      <c r="AV12" s="423"/>
      <c r="AW12" s="423"/>
      <c r="AX12" s="423"/>
      <c r="AY12" s="423"/>
      <c r="AZ12" s="423"/>
      <c r="BA12" s="423"/>
      <c r="BB12" s="423"/>
      <c r="BC12" s="423"/>
      <c r="BD12" s="423"/>
      <c r="BE12" s="423"/>
      <c r="BF12" s="423"/>
      <c r="BG12" s="423"/>
      <c r="BH12" s="423"/>
      <c r="BI12" s="423"/>
      <c r="BJ12" s="423"/>
      <c r="BK12" s="423"/>
      <c r="BL12" s="423"/>
      <c r="BM12" s="423"/>
      <c r="BN12" s="423"/>
      <c r="BO12" s="423"/>
      <c r="BP12" s="423"/>
      <c r="BQ12" s="423"/>
      <c r="BR12" s="423"/>
      <c r="BS12" s="423"/>
      <c r="BT12" s="423"/>
      <c r="BU12" s="423"/>
      <c r="BV12" s="423"/>
    </row>
    <row r="13" spans="1:74" x14ac:dyDescent="0.25">
      <c r="A13" s="447" t="s">
        <v>10</v>
      </c>
      <c r="B13" s="121" t="s">
        <v>11</v>
      </c>
      <c r="C13" s="148">
        <f t="shared" ref="C13:E13" si="7">C14+C15</f>
        <v>0</v>
      </c>
      <c r="D13" s="148">
        <f t="shared" si="7"/>
        <v>0</v>
      </c>
      <c r="E13" s="148">
        <f t="shared" si="7"/>
        <v>0</v>
      </c>
      <c r="F13" s="129">
        <f>F14+F15</f>
        <v>4465.72335776</v>
      </c>
      <c r="G13" s="129">
        <f t="shared" ref="G13:AS13" si="8">G14+G15</f>
        <v>4732.4675854799998</v>
      </c>
      <c r="H13" s="129">
        <f t="shared" si="8"/>
        <v>5091.9541055600002</v>
      </c>
      <c r="I13" s="129">
        <f t="shared" si="8"/>
        <v>5424.1483777600006</v>
      </c>
      <c r="J13" s="129">
        <f t="shared" si="8"/>
        <v>5816.0032855199997</v>
      </c>
      <c r="K13" s="129">
        <f t="shared" si="8"/>
        <v>6175.9294645199998</v>
      </c>
      <c r="L13" s="129">
        <f t="shared" si="8"/>
        <v>6613.8709263199999</v>
      </c>
      <c r="M13" s="129">
        <f t="shared" si="8"/>
        <v>7024.2589813199993</v>
      </c>
      <c r="N13" s="129">
        <f t="shared" si="8"/>
        <v>7462.37744312</v>
      </c>
      <c r="O13" s="129">
        <f t="shared" si="8"/>
        <v>7935.2143487599997</v>
      </c>
      <c r="P13" s="129">
        <f t="shared" si="8"/>
        <v>8441.4051612000003</v>
      </c>
      <c r="Q13" s="129">
        <f t="shared" si="8"/>
        <v>9045.7754101899991</v>
      </c>
      <c r="R13" s="129">
        <f t="shared" si="8"/>
        <v>9045.7850844999994</v>
      </c>
      <c r="S13" s="129">
        <f t="shared" si="8"/>
        <v>9045.7850844999994</v>
      </c>
      <c r="T13" s="129">
        <f t="shared" si="8"/>
        <v>9045.7850844999994</v>
      </c>
      <c r="U13" s="129">
        <f t="shared" si="8"/>
        <v>9045.7850844999994</v>
      </c>
      <c r="V13" s="129">
        <f t="shared" si="8"/>
        <v>9045.7850844999994</v>
      </c>
      <c r="W13" s="129">
        <f t="shared" si="8"/>
        <v>9045.7850844999994</v>
      </c>
      <c r="X13" s="129">
        <f t="shared" si="8"/>
        <v>9045.7850844999994</v>
      </c>
      <c r="Y13" s="129">
        <f t="shared" si="8"/>
        <v>9045.7850844999994</v>
      </c>
      <c r="Z13" s="129">
        <f t="shared" si="8"/>
        <v>9045.7850844999994</v>
      </c>
      <c r="AA13" s="129">
        <f t="shared" si="8"/>
        <v>9045.7850844999994</v>
      </c>
      <c r="AB13" s="129">
        <f t="shared" si="8"/>
        <v>9045.7850844999994</v>
      </c>
      <c r="AC13" s="129">
        <f t="shared" si="8"/>
        <v>9045.7850844999994</v>
      </c>
      <c r="AD13" s="129">
        <f t="shared" si="8"/>
        <v>9045.7850844999994</v>
      </c>
      <c r="AE13" s="129">
        <f t="shared" si="8"/>
        <v>9045.7850844999994</v>
      </c>
      <c r="AF13" s="129">
        <f t="shared" si="8"/>
        <v>9045.7850844999994</v>
      </c>
      <c r="AG13" s="129">
        <f t="shared" si="8"/>
        <v>9045.7850844999994</v>
      </c>
      <c r="AH13" s="129">
        <f t="shared" si="8"/>
        <v>9045.7850844999994</v>
      </c>
      <c r="AI13" s="129">
        <f t="shared" si="8"/>
        <v>9045.7850844999994</v>
      </c>
      <c r="AJ13" s="129">
        <f t="shared" si="8"/>
        <v>9045.7850844999994</v>
      </c>
      <c r="AK13" s="129">
        <f t="shared" si="8"/>
        <v>9045.7850844999994</v>
      </c>
      <c r="AL13" s="129">
        <f t="shared" si="8"/>
        <v>9045.7850844999994</v>
      </c>
      <c r="AM13" s="129">
        <f t="shared" si="8"/>
        <v>9045.7850844999994</v>
      </c>
      <c r="AN13" s="129">
        <f t="shared" si="8"/>
        <v>9045.7850844999994</v>
      </c>
      <c r="AO13" s="129">
        <f t="shared" si="8"/>
        <v>9045.7850844999994</v>
      </c>
      <c r="AP13" s="129">
        <f t="shared" si="8"/>
        <v>9045.7850844999994</v>
      </c>
      <c r="AQ13" s="129">
        <f t="shared" si="8"/>
        <v>9045.7850844999994</v>
      </c>
      <c r="AR13" s="129">
        <f t="shared" si="8"/>
        <v>9045.7850844999994</v>
      </c>
      <c r="AS13" s="129">
        <f t="shared" si="8"/>
        <v>6915.3539999999985</v>
      </c>
      <c r="AT13" s="129">
        <f>AT14+AT15</f>
        <v>9981.3846000000012</v>
      </c>
      <c r="AU13" s="129">
        <f t="shared" ref="AU13:BT13" si="9">AU14+AU15</f>
        <v>9981.3846000000012</v>
      </c>
      <c r="AV13" s="129">
        <f t="shared" si="9"/>
        <v>9981.3846000000012</v>
      </c>
      <c r="AW13" s="129">
        <f t="shared" si="9"/>
        <v>9981.3846000000012</v>
      </c>
      <c r="AX13" s="129">
        <f t="shared" si="9"/>
        <v>6503.9155499999997</v>
      </c>
      <c r="AY13" s="129">
        <f t="shared" si="9"/>
        <v>6503.9155499999997</v>
      </c>
      <c r="AZ13" s="129">
        <f t="shared" si="9"/>
        <v>6503.9155499999997</v>
      </c>
      <c r="BA13" s="129">
        <f t="shared" si="9"/>
        <v>6503.9155499999997</v>
      </c>
      <c r="BB13" s="129">
        <f t="shared" si="9"/>
        <v>6503.9155499999997</v>
      </c>
      <c r="BC13" s="129">
        <f t="shared" si="9"/>
        <v>6503.9155499999997</v>
      </c>
      <c r="BD13" s="129">
        <f t="shared" si="9"/>
        <v>6503.9155499999997</v>
      </c>
      <c r="BE13" s="129">
        <f t="shared" si="9"/>
        <v>6503.9155499999997</v>
      </c>
      <c r="BF13" s="129">
        <f t="shared" si="9"/>
        <v>6503.9155499999997</v>
      </c>
      <c r="BG13" s="129">
        <f t="shared" si="9"/>
        <v>6503.9155499999997</v>
      </c>
      <c r="BH13" s="129">
        <f t="shared" si="9"/>
        <v>6503.9155499999997</v>
      </c>
      <c r="BI13" s="129">
        <f t="shared" si="9"/>
        <v>6503.9155499999997</v>
      </c>
      <c r="BJ13" s="129">
        <f t="shared" si="9"/>
        <v>6503.9155499999997</v>
      </c>
      <c r="BK13" s="129">
        <f t="shared" si="9"/>
        <v>6503.9155499999997</v>
      </c>
      <c r="BL13" s="129">
        <f t="shared" si="9"/>
        <v>6503.9155499999997</v>
      </c>
      <c r="BM13" s="129">
        <f t="shared" si="9"/>
        <v>6503.9155499999997</v>
      </c>
      <c r="BN13" s="129">
        <f t="shared" si="9"/>
        <v>6503.9155499999997</v>
      </c>
      <c r="BO13" s="129">
        <f t="shared" si="9"/>
        <v>6503.9155499999997</v>
      </c>
      <c r="BP13" s="129">
        <f t="shared" si="9"/>
        <v>6503.9155499999997</v>
      </c>
      <c r="BQ13" s="129">
        <f t="shared" si="9"/>
        <v>6503.9155499999997</v>
      </c>
      <c r="BR13" s="129">
        <f t="shared" si="9"/>
        <v>6503.9155499999997</v>
      </c>
      <c r="BS13" s="129">
        <f t="shared" si="9"/>
        <v>6503.9155499999997</v>
      </c>
      <c r="BT13" s="129">
        <f t="shared" si="9"/>
        <v>6503.9155499999997</v>
      </c>
      <c r="BU13" s="78"/>
      <c r="BV13" s="423"/>
    </row>
    <row r="14" spans="1:74" x14ac:dyDescent="0.25">
      <c r="A14" s="447"/>
      <c r="B14" s="423" t="s">
        <v>12</v>
      </c>
      <c r="C14" s="109">
        <f>'Détail impôt'!C18</f>
        <v>0</v>
      </c>
      <c r="D14" s="109">
        <f>'Détail impôt'!D18</f>
        <v>0</v>
      </c>
      <c r="E14" s="109">
        <f>'Détail impôt'!E18</f>
        <v>0</v>
      </c>
      <c r="F14" s="109">
        <f>'Détail impôt'!F18</f>
        <v>2272.8073999999992</v>
      </c>
      <c r="G14" s="109">
        <f>'Détail impôt'!G18</f>
        <v>2424.2876999999994</v>
      </c>
      <c r="H14" s="109">
        <f>'Détail impôt'!H18</f>
        <v>2634.5864000000001</v>
      </c>
      <c r="I14" s="109">
        <f>'Détail impôt'!I18</f>
        <v>2837.1859000000004</v>
      </c>
      <c r="J14" s="109">
        <f>'Détail impôt'!J18</f>
        <v>3076.1718000000001</v>
      </c>
      <c r="K14" s="109">
        <f>'Détail impôt'!K18</f>
        <v>3295.7282999999998</v>
      </c>
      <c r="L14" s="109">
        <f>'Détail impôt'!L18</f>
        <v>3562.7978000000003</v>
      </c>
      <c r="M14" s="109">
        <f>'Détail impôt'!M18</f>
        <v>3813.0888</v>
      </c>
      <c r="N14" s="109">
        <f>'Détail impôt'!N18</f>
        <v>4080.3352999999997</v>
      </c>
      <c r="O14" s="109">
        <f>'Détail impôt'!O18</f>
        <v>4380.5848999999998</v>
      </c>
      <c r="P14" s="109">
        <f>'Détail impôt'!P18</f>
        <v>4703.1630000000005</v>
      </c>
      <c r="Q14" s="109">
        <f>'Détail impôt'!Q18</f>
        <v>5044.5980999999992</v>
      </c>
      <c r="R14" s="109">
        <f>'Détail impôt'!R18</f>
        <v>5044.5980999999992</v>
      </c>
      <c r="S14" s="109">
        <f>'Détail impôt'!S18</f>
        <v>5044.5980999999992</v>
      </c>
      <c r="T14" s="109">
        <f>'Détail impôt'!T18</f>
        <v>5044.5980999999992</v>
      </c>
      <c r="U14" s="109">
        <f>'Détail impôt'!U18</f>
        <v>5044.5980999999992</v>
      </c>
      <c r="V14" s="109">
        <f>'Détail impôt'!V18</f>
        <v>5044.5980999999992</v>
      </c>
      <c r="W14" s="109">
        <f>'Détail impôt'!W18</f>
        <v>5044.5980999999992</v>
      </c>
      <c r="X14" s="109">
        <f>'Détail impôt'!X18</f>
        <v>5044.5980999999992</v>
      </c>
      <c r="Y14" s="109">
        <f>'Détail impôt'!Y18</f>
        <v>5044.5980999999992</v>
      </c>
      <c r="Z14" s="109">
        <f>'Détail impôt'!Z18</f>
        <v>5044.5980999999992</v>
      </c>
      <c r="AA14" s="109">
        <f>'Détail impôt'!AA18</f>
        <v>5044.5980999999992</v>
      </c>
      <c r="AB14" s="109">
        <f>'Détail impôt'!AB18</f>
        <v>5044.5980999999992</v>
      </c>
      <c r="AC14" s="109">
        <f>'Détail impôt'!AC18</f>
        <v>5044.5980999999992</v>
      </c>
      <c r="AD14" s="109">
        <f>'Détail impôt'!AD18</f>
        <v>5044.5980999999992</v>
      </c>
      <c r="AE14" s="109">
        <f>'Détail impôt'!AE18</f>
        <v>5044.5980999999992</v>
      </c>
      <c r="AF14" s="109">
        <f>'Détail impôt'!AF18</f>
        <v>5044.5980999999992</v>
      </c>
      <c r="AG14" s="109">
        <f>'Détail impôt'!AG18</f>
        <v>5044.5980999999992</v>
      </c>
      <c r="AH14" s="109">
        <f>'Détail impôt'!AH18</f>
        <v>5044.5980999999992</v>
      </c>
      <c r="AI14" s="109">
        <f>'Détail impôt'!AI18</f>
        <v>5044.5980999999992</v>
      </c>
      <c r="AJ14" s="109">
        <f>'Détail impôt'!AJ18</f>
        <v>5044.5980999999992</v>
      </c>
      <c r="AK14" s="109">
        <f>'Détail impôt'!AK18</f>
        <v>5044.5980999999992</v>
      </c>
      <c r="AL14" s="109">
        <f>'Détail impôt'!AL18</f>
        <v>5044.5980999999992</v>
      </c>
      <c r="AM14" s="109">
        <f>'Détail impôt'!AM18</f>
        <v>5044.5980999999992</v>
      </c>
      <c r="AN14" s="109">
        <f>'Détail impôt'!AN18</f>
        <v>5044.5980999999992</v>
      </c>
      <c r="AO14" s="109">
        <f>'Détail impôt'!AO18</f>
        <v>5044.5980999999992</v>
      </c>
      <c r="AP14" s="109">
        <f>'Détail impôt'!AP18</f>
        <v>5044.5980999999992</v>
      </c>
      <c r="AQ14" s="109">
        <f>'Détail impôt'!AQ18</f>
        <v>5044.5980999999992</v>
      </c>
      <c r="AR14" s="109">
        <f>'Détail impôt'!AR18</f>
        <v>5044.5980999999992</v>
      </c>
      <c r="AS14" s="109">
        <f>'Détail impôt'!AS18</f>
        <v>3470.7284999999993</v>
      </c>
      <c r="AT14" s="109">
        <f>'Détail impôt'!AT18</f>
        <v>5323.7880000000005</v>
      </c>
      <c r="AU14" s="109">
        <f t="shared" ref="AU14:AW15" si="10">AT14</f>
        <v>5323.7880000000005</v>
      </c>
      <c r="AV14" s="109">
        <f t="shared" si="10"/>
        <v>5323.7880000000005</v>
      </c>
      <c r="AW14" s="109">
        <f t="shared" si="10"/>
        <v>5323.7880000000005</v>
      </c>
      <c r="AX14" s="109">
        <f>'Détail impôt'!AX18</f>
        <v>3514.5069999999996</v>
      </c>
      <c r="AY14" s="109">
        <f>'Détail impôt'!AY18</f>
        <v>3514.5069999999996</v>
      </c>
      <c r="AZ14" s="109">
        <f>'Détail impôt'!AZ18</f>
        <v>3514.5069999999996</v>
      </c>
      <c r="BA14" s="109">
        <f>'Détail impôt'!BA18</f>
        <v>3514.5069999999996</v>
      </c>
      <c r="BB14" s="109">
        <f>'Détail impôt'!BB18</f>
        <v>3514.5069999999996</v>
      </c>
      <c r="BC14" s="109">
        <f>'Détail impôt'!BC18</f>
        <v>3514.5069999999996</v>
      </c>
      <c r="BD14" s="109">
        <f>'Détail impôt'!BD18</f>
        <v>3514.5069999999996</v>
      </c>
      <c r="BE14" s="109">
        <f>'Détail impôt'!BE18</f>
        <v>3514.5069999999996</v>
      </c>
      <c r="BF14" s="109">
        <f>'Détail impôt'!BF18</f>
        <v>3514.5069999999996</v>
      </c>
      <c r="BG14" s="109">
        <f>'Détail impôt'!BG18</f>
        <v>3514.5069999999996</v>
      </c>
      <c r="BH14" s="109">
        <f>'Détail impôt'!BH18</f>
        <v>3514.5069999999996</v>
      </c>
      <c r="BI14" s="109">
        <f>'Détail impôt'!BI18</f>
        <v>3514.5069999999996</v>
      </c>
      <c r="BJ14" s="109">
        <f>'Détail impôt'!BJ18</f>
        <v>3514.5069999999996</v>
      </c>
      <c r="BK14" s="109">
        <f>'Détail impôt'!BK18</f>
        <v>3514.5069999999996</v>
      </c>
      <c r="BL14" s="109">
        <f>'Détail impôt'!BL18</f>
        <v>3514.5069999999996</v>
      </c>
      <c r="BM14" s="109">
        <f>'Détail impôt'!BM18</f>
        <v>3514.5069999999996</v>
      </c>
      <c r="BN14" s="109">
        <f>'Détail impôt'!BN18</f>
        <v>3514.5069999999996</v>
      </c>
      <c r="BO14" s="109">
        <f>'Détail impôt'!BO18</f>
        <v>3514.5069999999996</v>
      </c>
      <c r="BP14" s="109">
        <f>'Détail impôt'!BP18</f>
        <v>3514.5069999999996</v>
      </c>
      <c r="BQ14" s="109">
        <f>'Détail impôt'!BQ18</f>
        <v>3514.5069999999996</v>
      </c>
      <c r="BR14" s="109">
        <f>'Détail impôt'!BR18</f>
        <v>3514.5069999999996</v>
      </c>
      <c r="BS14" s="109">
        <f>'Détail impôt'!BS18</f>
        <v>3514.5069999999996</v>
      </c>
      <c r="BT14" s="109">
        <f>'Détail impôt'!BT18</f>
        <v>3514.5069999999996</v>
      </c>
      <c r="BU14" s="78"/>
      <c r="BV14" s="40"/>
    </row>
    <row r="15" spans="1:74" x14ac:dyDescent="0.25">
      <c r="A15" s="447"/>
      <c r="B15" s="423" t="s">
        <v>13</v>
      </c>
      <c r="C15" s="109">
        <f>'Détail impôt'!C30</f>
        <v>0</v>
      </c>
      <c r="D15" s="109">
        <f>'Détail impôt'!D30</f>
        <v>0</v>
      </c>
      <c r="E15" s="109">
        <f>'Détail impôt'!E30</f>
        <v>0</v>
      </c>
      <c r="F15" s="109">
        <f>'Détail impôt'!F30</f>
        <v>2192.9159577600003</v>
      </c>
      <c r="G15" s="109">
        <f>'Détail impôt'!G30</f>
        <v>2308.1798854800004</v>
      </c>
      <c r="H15" s="109">
        <f>'Détail impôt'!H30</f>
        <v>2457.3677055600001</v>
      </c>
      <c r="I15" s="109">
        <f>'Détail impôt'!I30</f>
        <v>2586.9624777600002</v>
      </c>
      <c r="J15" s="109">
        <f>'Détail impôt'!J30</f>
        <v>2739.8314855199997</v>
      </c>
      <c r="K15" s="109">
        <f>'Détail impôt'!K30</f>
        <v>2880.20116452</v>
      </c>
      <c r="L15" s="109">
        <f>'Détail impôt'!L30</f>
        <v>3051.07312632</v>
      </c>
      <c r="M15" s="109">
        <f>'Détail impôt'!M30</f>
        <v>3211.1701813199998</v>
      </c>
      <c r="N15" s="109">
        <f>'Détail impôt'!N30</f>
        <v>3382.0421431199998</v>
      </c>
      <c r="O15" s="109">
        <f>'Détail impôt'!O30</f>
        <v>3554.6294487599998</v>
      </c>
      <c r="P15" s="109">
        <f>'Détail impôt'!P30</f>
        <v>3738.2421611999998</v>
      </c>
      <c r="Q15" s="109">
        <f>'Détail impôt'!Q30</f>
        <v>4001.1773101899998</v>
      </c>
      <c r="R15" s="109">
        <f>'Détail impôt'!R30</f>
        <v>4001.1869845000006</v>
      </c>
      <c r="S15" s="109">
        <f>'Détail impôt'!S30</f>
        <v>4001.1869845000006</v>
      </c>
      <c r="T15" s="109">
        <f>'Détail impôt'!T30</f>
        <v>4001.1869845000006</v>
      </c>
      <c r="U15" s="109">
        <f>'Détail impôt'!U30</f>
        <v>4001.1869845000006</v>
      </c>
      <c r="V15" s="109">
        <f>'Détail impôt'!V30</f>
        <v>4001.1869845000006</v>
      </c>
      <c r="W15" s="109">
        <f>'Détail impôt'!W30</f>
        <v>4001.1869845000006</v>
      </c>
      <c r="X15" s="109">
        <f>'Détail impôt'!X30</f>
        <v>4001.1869845000006</v>
      </c>
      <c r="Y15" s="109">
        <f>'Détail impôt'!Y30</f>
        <v>4001.1869845000006</v>
      </c>
      <c r="Z15" s="109">
        <f>'Détail impôt'!Z30</f>
        <v>4001.1869845000006</v>
      </c>
      <c r="AA15" s="109">
        <f>'Détail impôt'!AA30</f>
        <v>4001.1869845000006</v>
      </c>
      <c r="AB15" s="109">
        <f>'Détail impôt'!AB30</f>
        <v>4001.1869845000006</v>
      </c>
      <c r="AC15" s="109">
        <f>'Détail impôt'!AC30</f>
        <v>4001.1869845000006</v>
      </c>
      <c r="AD15" s="109">
        <f>'Détail impôt'!AD30</f>
        <v>4001.1869845000006</v>
      </c>
      <c r="AE15" s="109">
        <f>'Détail impôt'!AE30</f>
        <v>4001.1869845000006</v>
      </c>
      <c r="AF15" s="109">
        <f>'Détail impôt'!AF30</f>
        <v>4001.1869845000006</v>
      </c>
      <c r="AG15" s="109">
        <f>'Détail impôt'!AG30</f>
        <v>4001.1869845000006</v>
      </c>
      <c r="AH15" s="109">
        <f>'Détail impôt'!AH30</f>
        <v>4001.1869845000006</v>
      </c>
      <c r="AI15" s="109">
        <f>'Détail impôt'!AI30</f>
        <v>4001.1869845000006</v>
      </c>
      <c r="AJ15" s="109">
        <f>'Détail impôt'!AJ30</f>
        <v>4001.1869845000006</v>
      </c>
      <c r="AK15" s="109">
        <f>'Détail impôt'!AK30</f>
        <v>4001.1869845000006</v>
      </c>
      <c r="AL15" s="109">
        <f>'Détail impôt'!AL30</f>
        <v>4001.1869845000006</v>
      </c>
      <c r="AM15" s="109">
        <f>'Détail impôt'!AM30</f>
        <v>4001.1869845000006</v>
      </c>
      <c r="AN15" s="109">
        <f>'Détail impôt'!AN30</f>
        <v>4001.1869845000006</v>
      </c>
      <c r="AO15" s="109">
        <f>'Détail impôt'!AO30</f>
        <v>4001.1869845000006</v>
      </c>
      <c r="AP15" s="109">
        <f>'Détail impôt'!AP30</f>
        <v>4001.1869845000006</v>
      </c>
      <c r="AQ15" s="109">
        <f>'Détail impôt'!AQ30</f>
        <v>4001.1869845000006</v>
      </c>
      <c r="AR15" s="109">
        <f>'Détail impôt'!AR30</f>
        <v>4001.1869845000006</v>
      </c>
      <c r="AS15" s="109">
        <f>'Détail impôt'!AS30</f>
        <v>3444.6254999999992</v>
      </c>
      <c r="AT15" s="109">
        <f>'Détail impôt'!AT30</f>
        <v>4657.5966000000008</v>
      </c>
      <c r="AU15" s="109">
        <f t="shared" si="10"/>
        <v>4657.5966000000008</v>
      </c>
      <c r="AV15" s="109">
        <f t="shared" si="10"/>
        <v>4657.5966000000008</v>
      </c>
      <c r="AW15" s="109">
        <f t="shared" si="10"/>
        <v>4657.5966000000008</v>
      </c>
      <c r="AX15" s="109">
        <f>'Détail impôt'!AX30</f>
        <v>2989.4085500000001</v>
      </c>
      <c r="AY15" s="109">
        <f>'Détail impôt'!AY30</f>
        <v>2989.4085500000001</v>
      </c>
      <c r="AZ15" s="109">
        <f>'Détail impôt'!AZ30</f>
        <v>2989.4085500000001</v>
      </c>
      <c r="BA15" s="109">
        <f>'Détail impôt'!BA30</f>
        <v>2989.4085500000001</v>
      </c>
      <c r="BB15" s="109">
        <f>'Détail impôt'!BB30</f>
        <v>2989.4085500000001</v>
      </c>
      <c r="BC15" s="109">
        <f>'Détail impôt'!BC30</f>
        <v>2989.4085500000001</v>
      </c>
      <c r="BD15" s="109">
        <f>'Détail impôt'!BD30</f>
        <v>2989.4085500000001</v>
      </c>
      <c r="BE15" s="109">
        <f>'Détail impôt'!BE30</f>
        <v>2989.4085500000001</v>
      </c>
      <c r="BF15" s="109">
        <f>'Détail impôt'!BF30</f>
        <v>2989.4085500000001</v>
      </c>
      <c r="BG15" s="109">
        <f>'Détail impôt'!BG30</f>
        <v>2989.4085500000001</v>
      </c>
      <c r="BH15" s="109">
        <f>'Détail impôt'!BH30</f>
        <v>2989.4085500000001</v>
      </c>
      <c r="BI15" s="109">
        <f>'Détail impôt'!BI30</f>
        <v>2989.4085500000001</v>
      </c>
      <c r="BJ15" s="109">
        <f>'Détail impôt'!BJ30</f>
        <v>2989.4085500000001</v>
      </c>
      <c r="BK15" s="109">
        <f>'Détail impôt'!BK30</f>
        <v>2989.4085500000001</v>
      </c>
      <c r="BL15" s="109">
        <f>'Détail impôt'!BL30</f>
        <v>2989.4085500000001</v>
      </c>
      <c r="BM15" s="109">
        <f>'Détail impôt'!BM30</f>
        <v>2989.4085500000001</v>
      </c>
      <c r="BN15" s="109">
        <f>'Détail impôt'!BN30</f>
        <v>2989.4085500000001</v>
      </c>
      <c r="BO15" s="109">
        <f>'Détail impôt'!BO30</f>
        <v>2989.4085500000001</v>
      </c>
      <c r="BP15" s="109">
        <f>'Détail impôt'!BP30</f>
        <v>2989.4085500000001</v>
      </c>
      <c r="BQ15" s="109">
        <f>'Détail impôt'!BQ30</f>
        <v>2989.4085500000001</v>
      </c>
      <c r="BR15" s="109">
        <f>'Détail impôt'!BR30</f>
        <v>2989.4085500000001</v>
      </c>
      <c r="BS15" s="109">
        <f>'Détail impôt'!BS30</f>
        <v>2989.4085500000001</v>
      </c>
      <c r="BT15" s="109">
        <f>'Détail impôt'!BT30</f>
        <v>2989.4085500000001</v>
      </c>
      <c r="BU15" s="78"/>
      <c r="BV15" s="40"/>
    </row>
    <row r="16" spans="1:74" x14ac:dyDescent="0.25">
      <c r="A16" s="447"/>
      <c r="B16" s="423" t="s">
        <v>14</v>
      </c>
      <c r="C16" s="108">
        <v>217.57</v>
      </c>
      <c r="D16" s="108">
        <v>217.57</v>
      </c>
      <c r="E16" s="108">
        <v>217.57</v>
      </c>
      <c r="F16" s="109">
        <v>1717.308</v>
      </c>
      <c r="G16" s="108">
        <v>1780.434</v>
      </c>
      <c r="H16" s="109">
        <v>1862.298</v>
      </c>
      <c r="I16" s="109">
        <v>1933.308</v>
      </c>
      <c r="J16" s="109">
        <v>2017.116</v>
      </c>
      <c r="K16" s="109">
        <v>2094.0659999999998</v>
      </c>
      <c r="L16" s="109">
        <v>2187.7559999999999</v>
      </c>
      <c r="M16" s="109">
        <v>2275.5059999999999</v>
      </c>
      <c r="N16" s="109">
        <v>2369.1959999999999</v>
      </c>
      <c r="O16" s="109">
        <v>2463.8580000000002</v>
      </c>
      <c r="P16" s="109">
        <v>2564.46</v>
      </c>
      <c r="Q16" s="109">
        <v>2671.002</v>
      </c>
      <c r="R16" s="109">
        <f t="shared" ref="R16:AR16" si="11">Q16</f>
        <v>2671.002</v>
      </c>
      <c r="S16" s="109">
        <f t="shared" si="11"/>
        <v>2671.002</v>
      </c>
      <c r="T16" s="109">
        <f t="shared" si="11"/>
        <v>2671.002</v>
      </c>
      <c r="U16" s="109">
        <f t="shared" si="11"/>
        <v>2671.002</v>
      </c>
      <c r="V16" s="109">
        <f t="shared" si="11"/>
        <v>2671.002</v>
      </c>
      <c r="W16" s="109">
        <f t="shared" si="11"/>
        <v>2671.002</v>
      </c>
      <c r="X16" s="109">
        <f t="shared" si="11"/>
        <v>2671.002</v>
      </c>
      <c r="Y16" s="109">
        <f t="shared" si="11"/>
        <v>2671.002</v>
      </c>
      <c r="Z16" s="109">
        <f t="shared" si="11"/>
        <v>2671.002</v>
      </c>
      <c r="AA16" s="109">
        <f t="shared" si="11"/>
        <v>2671.002</v>
      </c>
      <c r="AB16" s="109">
        <f t="shared" si="11"/>
        <v>2671.002</v>
      </c>
      <c r="AC16" s="109">
        <f t="shared" si="11"/>
        <v>2671.002</v>
      </c>
      <c r="AD16" s="109">
        <f t="shared" si="11"/>
        <v>2671.002</v>
      </c>
      <c r="AE16" s="109">
        <f t="shared" si="11"/>
        <v>2671.002</v>
      </c>
      <c r="AF16" s="109">
        <f t="shared" si="11"/>
        <v>2671.002</v>
      </c>
      <c r="AG16" s="109">
        <f t="shared" si="11"/>
        <v>2671.002</v>
      </c>
      <c r="AH16" s="109">
        <f t="shared" si="11"/>
        <v>2671.002</v>
      </c>
      <c r="AI16" s="109">
        <f t="shared" si="11"/>
        <v>2671.002</v>
      </c>
      <c r="AJ16" s="109">
        <f t="shared" si="11"/>
        <v>2671.002</v>
      </c>
      <c r="AK16" s="109">
        <f t="shared" si="11"/>
        <v>2671.002</v>
      </c>
      <c r="AL16" s="109">
        <f t="shared" si="11"/>
        <v>2671.002</v>
      </c>
      <c r="AM16" s="109">
        <f t="shared" si="11"/>
        <v>2671.002</v>
      </c>
      <c r="AN16" s="109">
        <f t="shared" si="11"/>
        <v>2671.002</v>
      </c>
      <c r="AO16" s="109">
        <f t="shared" si="11"/>
        <v>2671.002</v>
      </c>
      <c r="AP16" s="109">
        <f t="shared" si="11"/>
        <v>2671.002</v>
      </c>
      <c r="AQ16" s="109">
        <f t="shared" si="11"/>
        <v>2671.002</v>
      </c>
      <c r="AR16" s="109">
        <f t="shared" si="11"/>
        <v>2671.002</v>
      </c>
      <c r="AS16" s="109"/>
      <c r="AT16" s="109"/>
      <c r="AU16" s="109"/>
      <c r="AV16" s="109"/>
      <c r="AW16" s="109"/>
      <c r="AX16" s="109"/>
      <c r="AY16" s="109"/>
      <c r="AZ16" s="109"/>
      <c r="BA16" s="109"/>
      <c r="BB16" s="109"/>
      <c r="BC16" s="109"/>
      <c r="BD16" s="109"/>
      <c r="BE16" s="109"/>
      <c r="BF16" s="109"/>
      <c r="BG16" s="109"/>
      <c r="BH16" s="109"/>
      <c r="BI16" s="109"/>
      <c r="BJ16" s="109"/>
      <c r="BK16" s="109"/>
      <c r="BL16" s="109"/>
      <c r="BM16" s="109"/>
      <c r="BN16" s="109"/>
      <c r="BO16" s="109"/>
      <c r="BP16" s="109"/>
      <c r="BQ16" s="109"/>
      <c r="BR16" s="109"/>
      <c r="BS16" s="109"/>
      <c r="BT16" s="109"/>
      <c r="BU16" s="78"/>
      <c r="BV16" s="40"/>
    </row>
    <row r="17" spans="1:74" x14ac:dyDescent="0.25">
      <c r="A17" s="447"/>
      <c r="B17" s="423" t="s">
        <v>15</v>
      </c>
      <c r="C17" s="274">
        <v>41.26</v>
      </c>
      <c r="D17" s="274">
        <v>41.26</v>
      </c>
      <c r="E17" s="274">
        <v>41.26</v>
      </c>
      <c r="F17" s="109">
        <v>193.45496</v>
      </c>
      <c r="G17" s="108">
        <v>199.86107999999999</v>
      </c>
      <c r="H17" s="109">
        <v>208.16875999999999</v>
      </c>
      <c r="I17" s="109">
        <v>215.37495999999999</v>
      </c>
      <c r="J17" s="109">
        <v>223.87992</v>
      </c>
      <c r="K17" s="109">
        <v>231.68892</v>
      </c>
      <c r="L17" s="109">
        <v>241.19671999999997</v>
      </c>
      <c r="M17" s="109">
        <v>250.10171999999997</v>
      </c>
      <c r="N17" s="109">
        <v>259.60951999999997</v>
      </c>
      <c r="O17" s="109">
        <v>269.21596</v>
      </c>
      <c r="P17" s="109">
        <v>279.42519999999996</v>
      </c>
      <c r="Q17" s="109">
        <v>290.23723999999999</v>
      </c>
      <c r="R17" s="109">
        <f>RQAP!R7</f>
        <v>290.16000000000003</v>
      </c>
      <c r="S17" s="109">
        <f>RQAP!S7</f>
        <v>290.16000000000003</v>
      </c>
      <c r="T17" s="109">
        <f>RQAP!T7</f>
        <v>290.16000000000003</v>
      </c>
      <c r="U17" s="109">
        <f>RQAP!U7</f>
        <v>290.16000000000003</v>
      </c>
      <c r="V17" s="109">
        <f>RQAP!V7</f>
        <v>290.16000000000003</v>
      </c>
      <c r="W17" s="109">
        <f>RQAP!W7</f>
        <v>290.16000000000003</v>
      </c>
      <c r="X17" s="109">
        <f>RQAP!X7</f>
        <v>290.16000000000003</v>
      </c>
      <c r="Y17" s="109">
        <f>RQAP!Y7</f>
        <v>290.16000000000003</v>
      </c>
      <c r="Z17" s="109">
        <f>RQAP!Z7</f>
        <v>290.16000000000003</v>
      </c>
      <c r="AA17" s="109">
        <f>Z17</f>
        <v>290.16000000000003</v>
      </c>
      <c r="AB17" s="109">
        <f>RQAP!AB7</f>
        <v>290.16000000000003</v>
      </c>
      <c r="AC17" s="109">
        <f t="shared" ref="AC17:AH18" si="12">AB17</f>
        <v>290.16000000000003</v>
      </c>
      <c r="AD17" s="109">
        <f t="shared" si="12"/>
        <v>290.16000000000003</v>
      </c>
      <c r="AE17" s="109">
        <f t="shared" si="12"/>
        <v>290.16000000000003</v>
      </c>
      <c r="AF17" s="109">
        <f t="shared" si="12"/>
        <v>290.16000000000003</v>
      </c>
      <c r="AG17" s="109">
        <f t="shared" si="12"/>
        <v>290.16000000000003</v>
      </c>
      <c r="AH17" s="109">
        <f t="shared" si="12"/>
        <v>290.16000000000003</v>
      </c>
      <c r="AI17" s="109">
        <f>RQAP!AI7</f>
        <v>290.16000000000003</v>
      </c>
      <c r="AJ17" s="109">
        <f t="shared" ref="AJ17:AO18" si="13">AI17</f>
        <v>290.16000000000003</v>
      </c>
      <c r="AK17" s="109">
        <f t="shared" si="13"/>
        <v>290.16000000000003</v>
      </c>
      <c r="AL17" s="109">
        <f t="shared" si="13"/>
        <v>290.16000000000003</v>
      </c>
      <c r="AM17" s="109">
        <f t="shared" si="13"/>
        <v>290.16000000000003</v>
      </c>
      <c r="AN17" s="109">
        <f t="shared" si="13"/>
        <v>290.16000000000003</v>
      </c>
      <c r="AO17" s="109">
        <f t="shared" si="13"/>
        <v>290.16000000000003</v>
      </c>
      <c r="AP17" s="109">
        <f>RQAP!AP7</f>
        <v>290.16000000000003</v>
      </c>
      <c r="AQ17" s="109">
        <f>RQAP!AQ7</f>
        <v>290.16000000000003</v>
      </c>
      <c r="AR17" s="109">
        <f>RQAP!AR7</f>
        <v>290.16000000000003</v>
      </c>
      <c r="AS17" s="109"/>
      <c r="AT17" s="109">
        <f>RQAP!AT7</f>
        <v>0</v>
      </c>
      <c r="AU17" s="109">
        <f>RQAP!AU7</f>
        <v>0</v>
      </c>
      <c r="AV17" s="109">
        <f>RQAP!AV7</f>
        <v>0</v>
      </c>
      <c r="AW17" s="109">
        <f>RQAP!AW7</f>
        <v>0</v>
      </c>
      <c r="AX17" s="109">
        <f>RQAP!AX7</f>
        <v>0</v>
      </c>
      <c r="AY17" s="109">
        <f>RQAP!AY7</f>
        <v>0</v>
      </c>
      <c r="AZ17" s="109">
        <f>RQAP!AZ7</f>
        <v>0</v>
      </c>
      <c r="BA17" s="109">
        <f>RQAP!BA7</f>
        <v>0</v>
      </c>
      <c r="BB17" s="109">
        <f>RQAP!BB7</f>
        <v>0</v>
      </c>
      <c r="BC17" s="109">
        <f>RQAP!BC7</f>
        <v>0</v>
      </c>
      <c r="BD17" s="109">
        <f>RQAP!BD7</f>
        <v>0</v>
      </c>
      <c r="BE17" s="109">
        <f>RQAP!BE7</f>
        <v>0</v>
      </c>
      <c r="BF17" s="109">
        <f>RQAP!BF7</f>
        <v>0</v>
      </c>
      <c r="BG17" s="109">
        <f>RQAP!BG7</f>
        <v>0</v>
      </c>
      <c r="BH17" s="109">
        <f>RQAP!BH7</f>
        <v>0</v>
      </c>
      <c r="BI17" s="109">
        <f>RQAP!BI7</f>
        <v>0</v>
      </c>
      <c r="BJ17" s="109">
        <f>RQAP!BJ7</f>
        <v>0</v>
      </c>
      <c r="BK17" s="109">
        <f>RQAP!BK7</f>
        <v>0</v>
      </c>
      <c r="BL17" s="109">
        <f>RQAP!BL7</f>
        <v>0</v>
      </c>
      <c r="BM17" s="109">
        <f>RQAP!BM7</f>
        <v>0</v>
      </c>
      <c r="BN17" s="109">
        <f>RQAP!BN7</f>
        <v>0</v>
      </c>
      <c r="BO17" s="109">
        <f>RQAP!BO7</f>
        <v>0</v>
      </c>
      <c r="BP17" s="109">
        <f>RQAP!BP7</f>
        <v>0</v>
      </c>
      <c r="BQ17" s="109">
        <f>RQAP!BQ7</f>
        <v>0</v>
      </c>
      <c r="BR17" s="109">
        <f>RQAP!BR7</f>
        <v>0</v>
      </c>
      <c r="BS17" s="109">
        <f>RQAP!BS7</f>
        <v>0</v>
      </c>
      <c r="BT17" s="109">
        <f>RQAP!BT7</f>
        <v>0</v>
      </c>
      <c r="BU17" s="78"/>
      <c r="BV17" s="40"/>
    </row>
    <row r="18" spans="1:74" x14ac:dyDescent="0.25">
      <c r="A18" s="447"/>
      <c r="B18" s="423" t="s">
        <v>16</v>
      </c>
      <c r="C18" s="108">
        <v>97.88</v>
      </c>
      <c r="D18" s="108">
        <v>97.88</v>
      </c>
      <c r="E18" s="108">
        <v>97.88</v>
      </c>
      <c r="F18" s="109">
        <v>458.92599999999999</v>
      </c>
      <c r="G18" s="108">
        <v>474.12299999999999</v>
      </c>
      <c r="H18" s="109">
        <v>493.83099999999996</v>
      </c>
      <c r="I18" s="109">
        <v>510.92599999999999</v>
      </c>
      <c r="J18" s="109">
        <v>531.10199999999998</v>
      </c>
      <c r="K18" s="109">
        <v>549.62699999999995</v>
      </c>
      <c r="L18" s="109">
        <v>572.18200000000002</v>
      </c>
      <c r="M18" s="109">
        <v>593.30700000000002</v>
      </c>
      <c r="N18" s="109">
        <v>615.86199999999997</v>
      </c>
      <c r="O18" s="109">
        <v>638.65099999999995</v>
      </c>
      <c r="P18" s="109">
        <v>662.87</v>
      </c>
      <c r="Q18" s="109">
        <v>672.1</v>
      </c>
      <c r="R18" s="109">
        <f t="shared" ref="R18:Z18" si="14">Q18</f>
        <v>672.1</v>
      </c>
      <c r="S18" s="109">
        <f t="shared" si="14"/>
        <v>672.1</v>
      </c>
      <c r="T18" s="109">
        <f t="shared" si="14"/>
        <v>672.1</v>
      </c>
      <c r="U18" s="109">
        <f t="shared" si="14"/>
        <v>672.1</v>
      </c>
      <c r="V18" s="109">
        <f t="shared" si="14"/>
        <v>672.1</v>
      </c>
      <c r="W18" s="109">
        <f t="shared" si="14"/>
        <v>672.1</v>
      </c>
      <c r="X18" s="109">
        <f t="shared" si="14"/>
        <v>672.1</v>
      </c>
      <c r="Y18" s="109">
        <f t="shared" si="14"/>
        <v>672.1</v>
      </c>
      <c r="Z18" s="109">
        <f t="shared" si="14"/>
        <v>672.1</v>
      </c>
      <c r="AA18" s="109">
        <f>Z18</f>
        <v>672.1</v>
      </c>
      <c r="AB18" s="109">
        <f>AA18</f>
        <v>672.1</v>
      </c>
      <c r="AC18" s="109">
        <f t="shared" si="12"/>
        <v>672.1</v>
      </c>
      <c r="AD18" s="109">
        <f t="shared" si="12"/>
        <v>672.1</v>
      </c>
      <c r="AE18" s="109">
        <f t="shared" si="12"/>
        <v>672.1</v>
      </c>
      <c r="AF18" s="109">
        <f t="shared" si="12"/>
        <v>672.1</v>
      </c>
      <c r="AG18" s="109">
        <f t="shared" si="12"/>
        <v>672.1</v>
      </c>
      <c r="AH18" s="109">
        <f t="shared" si="12"/>
        <v>672.1</v>
      </c>
      <c r="AI18" s="109">
        <f>AH18</f>
        <v>672.1</v>
      </c>
      <c r="AJ18" s="109">
        <f t="shared" si="13"/>
        <v>672.1</v>
      </c>
      <c r="AK18" s="109">
        <f t="shared" si="13"/>
        <v>672.1</v>
      </c>
      <c r="AL18" s="109">
        <f t="shared" si="13"/>
        <v>672.1</v>
      </c>
      <c r="AM18" s="109">
        <f t="shared" si="13"/>
        <v>672.1</v>
      </c>
      <c r="AN18" s="109">
        <f t="shared" si="13"/>
        <v>672.1</v>
      </c>
      <c r="AO18" s="109">
        <f t="shared" si="13"/>
        <v>672.1</v>
      </c>
      <c r="AP18" s="109">
        <f>AO18</f>
        <v>672.1</v>
      </c>
      <c r="AQ18" s="109">
        <f>AP18</f>
        <v>672.1</v>
      </c>
      <c r="AR18" s="109">
        <f>AQ18</f>
        <v>672.1</v>
      </c>
      <c r="AS18" s="109"/>
      <c r="AT18" s="109"/>
      <c r="AU18" s="109"/>
      <c r="AV18" s="109"/>
      <c r="AW18" s="109"/>
      <c r="AX18" s="109"/>
      <c r="AY18" s="109"/>
      <c r="AZ18" s="109"/>
      <c r="BA18" s="109"/>
      <c r="BB18" s="109"/>
      <c r="BC18" s="109"/>
      <c r="BD18" s="109"/>
      <c r="BE18" s="109"/>
      <c r="BF18" s="109"/>
      <c r="BG18" s="109"/>
      <c r="BH18" s="109"/>
      <c r="BI18" s="109"/>
      <c r="BJ18" s="109"/>
      <c r="BK18" s="109"/>
      <c r="BL18" s="109"/>
      <c r="BM18" s="109"/>
      <c r="BN18" s="109"/>
      <c r="BO18" s="109"/>
      <c r="BP18" s="109"/>
      <c r="BQ18" s="109"/>
      <c r="BR18" s="109"/>
      <c r="BS18" s="109"/>
      <c r="BT18" s="109"/>
      <c r="BU18" s="78"/>
      <c r="BV18" s="40"/>
    </row>
    <row r="19" spans="1:74" x14ac:dyDescent="0.25">
      <c r="A19" s="447"/>
      <c r="B19" s="121" t="s">
        <v>17</v>
      </c>
      <c r="C19" s="109">
        <f>'Taxes consommation- sommaire'!C17+'Taxes consommation- sommaire'!C18</f>
        <v>1188.1963167500001</v>
      </c>
      <c r="D19" s="109">
        <f>'Taxes consommation- sommaire'!D17+'Taxes consommation- sommaire'!D18</f>
        <v>1188.1963167500001</v>
      </c>
      <c r="E19" s="109">
        <f>'Taxes consommation- sommaire'!E17+'Taxes consommation- sommaire'!E18</f>
        <v>1188.1963167500001</v>
      </c>
      <c r="F19" s="109">
        <f>'Taxes consommation- sommaire'!F17+'Taxes consommation- sommaire'!F18</f>
        <v>1758.9812785388131</v>
      </c>
      <c r="G19" s="109">
        <f>'Taxes consommation- sommaire'!G17+'Taxes consommation- sommaire'!G18</f>
        <v>1758.9812785388131</v>
      </c>
      <c r="H19" s="109">
        <f>'Taxes consommation- sommaire'!H17+'Taxes consommation- sommaire'!H18</f>
        <v>1758.9812785388131</v>
      </c>
      <c r="I19" s="109">
        <f>'Taxes consommation- sommaire'!I17+'Taxes consommation- sommaire'!I18</f>
        <v>1758.9812785388131</v>
      </c>
      <c r="J19" s="109">
        <f>'Taxes consommation- sommaire'!J17+'Taxes consommation- sommaire'!J18</f>
        <v>2239.4151924881248</v>
      </c>
      <c r="K19" s="109">
        <f>'Taxes consommation- sommaire'!K17+'Taxes consommation- sommaire'!K18</f>
        <v>2239.4151924881248</v>
      </c>
      <c r="L19" s="109">
        <f>'Taxes consommation- sommaire'!L17+'Taxes consommation- sommaire'!L18</f>
        <v>2239.4151924881248</v>
      </c>
      <c r="M19" s="109">
        <f>'Taxes consommation- sommaire'!M17+'Taxes consommation- sommaire'!M18</f>
        <v>2239.4151924881248</v>
      </c>
      <c r="N19" s="109">
        <f>'Taxes consommation- sommaire'!N17+'Taxes consommation- sommaire'!N18</f>
        <v>2239.4151924881248</v>
      </c>
      <c r="O19" s="109">
        <f>'Taxes consommation- sommaire'!O17+'Taxes consommation- sommaire'!O18</f>
        <v>2323.1223178951946</v>
      </c>
      <c r="P19" s="109">
        <f>'Taxes consommation- sommaire'!P17+'Taxes consommation- sommaire'!P18</f>
        <v>2323.1223178951946</v>
      </c>
      <c r="Q19" s="109">
        <f>'Taxes consommation- sommaire'!Q17+'Taxes consommation- sommaire'!Q18</f>
        <v>2323.1223178951946</v>
      </c>
      <c r="R19" s="109">
        <f>'Taxes consommation- sommaire'!R17+'Taxes consommation- sommaire'!R18</f>
        <v>2323.1223178951946</v>
      </c>
      <c r="S19" s="109">
        <f>'Taxes consommation- sommaire'!S17+'Taxes consommation- sommaire'!S18</f>
        <v>2323.1223178951946</v>
      </c>
      <c r="T19" s="109">
        <f>'Taxes consommation- sommaire'!T17+'Taxes consommation- sommaire'!T18</f>
        <v>2343.5774059578166</v>
      </c>
      <c r="U19" s="109">
        <f>'Taxes consommation- sommaire'!U17+'Taxes consommation- sommaire'!U18</f>
        <v>2343.5774059578166</v>
      </c>
      <c r="V19" s="109">
        <f>'Taxes consommation- sommaire'!V17+'Taxes consommation- sommaire'!V18</f>
        <v>2343.5774059578166</v>
      </c>
      <c r="W19" s="109">
        <f>'Taxes consommation- sommaire'!W17+'Taxes consommation- sommaire'!W18</f>
        <v>2343.5774059578166</v>
      </c>
      <c r="X19" s="109">
        <f>'Taxes consommation- sommaire'!X17+'Taxes consommation- sommaire'!X18</f>
        <v>2343.5774059578166</v>
      </c>
      <c r="Y19" s="109">
        <f>'Taxes consommation- sommaire'!Y17+'Taxes consommation- sommaire'!Y18</f>
        <v>2352.1514807566864</v>
      </c>
      <c r="Z19" s="109">
        <f>'Taxes consommation- sommaire'!Z17+'Taxes consommation- sommaire'!Z18</f>
        <v>2352.1514807566864</v>
      </c>
      <c r="AA19" s="109">
        <f>'Taxes consommation- sommaire'!AA17+'Taxes consommation- sommaire'!AA18</f>
        <v>2352.1514807566864</v>
      </c>
      <c r="AB19" s="109">
        <f>'Taxes consommation- sommaire'!AB17+'Taxes consommation- sommaire'!AB18</f>
        <v>2352.1514807566864</v>
      </c>
      <c r="AC19" s="109">
        <f>'Taxes consommation- sommaire'!AC17+'Taxes consommation- sommaire'!AC18</f>
        <v>2352.1514807566864</v>
      </c>
      <c r="AD19" s="109">
        <f>'Taxes consommation- sommaire'!AD17+'Taxes consommation- sommaire'!AD18</f>
        <v>2348.8445422918026</v>
      </c>
      <c r="AE19" s="109">
        <f>'Taxes consommation- sommaire'!AE17+'Taxes consommation- sommaire'!AE18</f>
        <v>2348.8445422918026</v>
      </c>
      <c r="AF19" s="109">
        <f>'Taxes consommation- sommaire'!AF17+'Taxes consommation- sommaire'!AF18</f>
        <v>2348.8445422918026</v>
      </c>
      <c r="AG19" s="109">
        <f>'Taxes consommation- sommaire'!AG17+'Taxes consommation- sommaire'!AG18</f>
        <v>2348.8445422918026</v>
      </c>
      <c r="AH19" s="109">
        <f>'Taxes consommation- sommaire'!AH17+'Taxes consommation- sommaire'!AH18</f>
        <v>2348.8445422918026</v>
      </c>
      <c r="AI19" s="109">
        <f>'Taxes consommation- sommaire'!AI17+'Taxes consommation- sommaire'!AI18</f>
        <v>2333.656590563166</v>
      </c>
      <c r="AJ19" s="109">
        <f>'Taxes consommation- sommaire'!AJ17+'Taxes consommation- sommaire'!AJ18</f>
        <v>2333.656590563166</v>
      </c>
      <c r="AK19" s="109">
        <f>'Taxes consommation- sommaire'!AK17+'Taxes consommation- sommaire'!AK18</f>
        <v>2333.656590563166</v>
      </c>
      <c r="AL19" s="109">
        <f>'Taxes consommation- sommaire'!AL17+'Taxes consommation- sommaire'!AL18</f>
        <v>2333.656590563166</v>
      </c>
      <c r="AM19" s="109">
        <f>'Taxes consommation- sommaire'!AM17+'Taxes consommation- sommaire'!AM18</f>
        <v>2333.656590563166</v>
      </c>
      <c r="AN19" s="109">
        <f>'Taxes consommation- sommaire'!AN17+'Taxes consommation- sommaire'!AN18</f>
        <v>2306.5876255707763</v>
      </c>
      <c r="AO19" s="109">
        <f>'Taxes consommation- sommaire'!AO17+'Taxes consommation- sommaire'!AO18</f>
        <v>2306.5876255707763</v>
      </c>
      <c r="AP19" s="109">
        <f>'Taxes consommation- sommaire'!AP17+'Taxes consommation- sommaire'!AP18</f>
        <v>2306.5876255707763</v>
      </c>
      <c r="AQ19" s="109">
        <f>'Taxes consommation- sommaire'!AQ17+'Taxes consommation- sommaire'!AQ18</f>
        <v>2306.5876255707763</v>
      </c>
      <c r="AR19" s="109">
        <f>'Taxes consommation- sommaire'!AR17+'Taxes consommation- sommaire'!AR18</f>
        <v>2306.5876255707763</v>
      </c>
      <c r="AS19" s="109">
        <f>'Taxes consommation- sommaire'!AS17+'Taxes consommation- sommaire'!AS18</f>
        <v>2267.6376473146338</v>
      </c>
      <c r="AT19" s="109">
        <f>'Taxes consommation- sommaire'!AT17+'Taxes consommation- sommaire'!AT18</f>
        <v>2267.6376473146338</v>
      </c>
      <c r="AU19" s="109">
        <f>'Taxes consommation- sommaire'!AU17+'Taxes consommation- sommaire'!AU18</f>
        <v>2267.6376473146338</v>
      </c>
      <c r="AV19" s="109">
        <f>'Taxes consommation- sommaire'!AV17+'Taxes consommation- sommaire'!AV18</f>
        <v>2267.6376473146338</v>
      </c>
      <c r="AW19" s="109">
        <f>'Taxes consommation- sommaire'!AW17+'Taxes consommation- sommaire'!AW18</f>
        <v>2267.6376473146338</v>
      </c>
      <c r="AX19" s="109">
        <f>'Taxes consommation- sommaire'!AX17+'Taxes consommation- sommaire'!AX18</f>
        <v>2216.8066557947377</v>
      </c>
      <c r="AY19" s="109">
        <f>'Taxes consommation- sommaire'!AY17+'Taxes consommation- sommaire'!AY18</f>
        <v>2216.8066557947377</v>
      </c>
      <c r="AZ19" s="109">
        <f>'Taxes consommation- sommaire'!AZ17+'Taxes consommation- sommaire'!AZ18</f>
        <v>2216.8066557947377</v>
      </c>
      <c r="BA19" s="109">
        <f>'Taxes consommation- sommaire'!BA17+'Taxes consommation- sommaire'!BA18</f>
        <v>2216.8066557947377</v>
      </c>
      <c r="BB19" s="109">
        <f>'Taxes consommation- sommaire'!BB17+'Taxes consommation- sommaire'!BB18</f>
        <v>2216.8066557947377</v>
      </c>
      <c r="BC19" s="109">
        <f>'Taxes consommation- sommaire'!BC17+'Taxes consommation- sommaire'!BC18</f>
        <v>2154.0946510110898</v>
      </c>
      <c r="BD19" s="109">
        <f>'Taxes consommation- sommaire'!BD17+'Taxes consommation- sommaire'!BD18</f>
        <v>2154.0946510110898</v>
      </c>
      <c r="BE19" s="109">
        <f>'Taxes consommation- sommaire'!BE17+'Taxes consommation- sommaire'!BE18</f>
        <v>2154.0946510110898</v>
      </c>
      <c r="BF19" s="109">
        <f>'Taxes consommation- sommaire'!BF17+'Taxes consommation- sommaire'!BF18</f>
        <v>2154.0946510110898</v>
      </c>
      <c r="BG19" s="109">
        <f>'Taxes consommation- sommaire'!BG17+'Taxes consommation- sommaire'!BG18</f>
        <v>2154.0946510110898</v>
      </c>
      <c r="BH19" s="109">
        <f>'Taxes consommation- sommaire'!BH17+'Taxes consommation- sommaire'!BH18</f>
        <v>2079.5016329636878</v>
      </c>
      <c r="BI19" s="109">
        <f>'Taxes consommation- sommaire'!BI17+'Taxes consommation- sommaire'!BI18</f>
        <v>2079.5016329636878</v>
      </c>
      <c r="BJ19" s="109">
        <f>'Taxes consommation- sommaire'!BJ17+'Taxes consommation- sommaire'!BJ18</f>
        <v>2079.5016329636878</v>
      </c>
      <c r="BK19" s="109">
        <f>'Taxes consommation- sommaire'!BK17+'Taxes consommation- sommaire'!BK18</f>
        <v>2079.5016329636878</v>
      </c>
      <c r="BL19" s="109">
        <f>'Taxes consommation- sommaire'!BL17+'Taxes consommation- sommaire'!BL18</f>
        <v>2079.5016329636878</v>
      </c>
      <c r="BM19" s="109">
        <f>'Taxes consommation- sommaire'!BM17+'Taxes consommation- sommaire'!BM18</f>
        <v>1993.0276016525331</v>
      </c>
      <c r="BN19" s="109">
        <f>'Taxes consommation- sommaire'!BN17+'Taxes consommation- sommaire'!BN18</f>
        <v>1993.0276016525331</v>
      </c>
      <c r="BO19" s="109">
        <f>'Taxes consommation- sommaire'!BO17+'Taxes consommation- sommaire'!BO18</f>
        <v>1993.0276016525331</v>
      </c>
      <c r="BP19" s="109">
        <f>'Taxes consommation- sommaire'!BP17+'Taxes consommation- sommaire'!BP18</f>
        <v>1993.0276016525331</v>
      </c>
      <c r="BQ19" s="109">
        <f>'Taxes consommation- sommaire'!BQ17+'Taxes consommation- sommaire'!BQ18</f>
        <v>1993.0276016525331</v>
      </c>
      <c r="BR19" s="109">
        <f>'Taxes consommation- sommaire'!BR17+'Taxes consommation- sommaire'!BR18</f>
        <v>1894.6725570776257</v>
      </c>
      <c r="BS19" s="109">
        <f>'Taxes consommation- sommaire'!BS17+'Taxes consommation- sommaire'!BS18</f>
        <v>1894.6725570776257</v>
      </c>
      <c r="BT19" s="109">
        <f>'Taxes consommation- sommaire'!BT17+'Taxes consommation- sommaire'!BT18</f>
        <v>1894.6725570776257</v>
      </c>
      <c r="BU19" s="78"/>
      <c r="BV19" s="40"/>
    </row>
    <row r="20" spans="1:74" x14ac:dyDescent="0.25">
      <c r="A20" s="447"/>
      <c r="B20" s="423" t="s">
        <v>18</v>
      </c>
      <c r="C20" s="109"/>
      <c r="D20" s="109"/>
      <c r="E20" s="109"/>
      <c r="F20" s="109"/>
      <c r="G20" s="109"/>
      <c r="H20" s="109"/>
      <c r="I20" s="109"/>
      <c r="J20" s="109"/>
      <c r="K20" s="109"/>
      <c r="L20" s="109"/>
      <c r="M20" s="109"/>
      <c r="N20" s="109"/>
      <c r="O20" s="109"/>
      <c r="P20" s="109"/>
      <c r="Q20" s="109"/>
      <c r="R20" s="109"/>
      <c r="S20" s="109"/>
      <c r="T20" s="109"/>
      <c r="U20" s="109"/>
      <c r="V20" s="109"/>
      <c r="W20" s="109"/>
      <c r="X20" s="109"/>
      <c r="Y20" s="109"/>
      <c r="Z20" s="109"/>
      <c r="AA20" s="109"/>
      <c r="AB20" s="109"/>
      <c r="AC20" s="109"/>
      <c r="AD20" s="109"/>
      <c r="AE20" s="109"/>
      <c r="AF20" s="109"/>
      <c r="AG20" s="109"/>
      <c r="AH20" s="109"/>
      <c r="AI20" s="109"/>
      <c r="AJ20" s="109"/>
      <c r="AK20" s="109"/>
      <c r="AL20" s="109"/>
      <c r="AM20" s="109"/>
      <c r="AN20" s="109"/>
      <c r="AO20" s="109"/>
      <c r="AP20" s="109"/>
      <c r="AQ20" s="109"/>
      <c r="AR20" s="109"/>
      <c r="AS20" s="109">
        <f>150</f>
        <v>150</v>
      </c>
      <c r="AT20" s="109">
        <f t="shared" ref="AT20:AW21" si="15">AS20</f>
        <v>150</v>
      </c>
      <c r="AU20" s="109">
        <f t="shared" si="15"/>
        <v>150</v>
      </c>
      <c r="AV20" s="109">
        <f t="shared" si="15"/>
        <v>150</v>
      </c>
      <c r="AW20" s="109">
        <f t="shared" si="15"/>
        <v>150</v>
      </c>
      <c r="AX20" s="109">
        <v>150</v>
      </c>
      <c r="AY20" s="109">
        <f t="shared" ref="AY20:BT20" si="16">AX20</f>
        <v>150</v>
      </c>
      <c r="AZ20" s="109">
        <f t="shared" si="16"/>
        <v>150</v>
      </c>
      <c r="BA20" s="109">
        <f t="shared" si="16"/>
        <v>150</v>
      </c>
      <c r="BB20" s="109">
        <f t="shared" si="16"/>
        <v>150</v>
      </c>
      <c r="BC20" s="109">
        <f t="shared" si="16"/>
        <v>150</v>
      </c>
      <c r="BD20" s="109">
        <f t="shared" si="16"/>
        <v>150</v>
      </c>
      <c r="BE20" s="109">
        <f t="shared" si="16"/>
        <v>150</v>
      </c>
      <c r="BF20" s="109">
        <f t="shared" si="16"/>
        <v>150</v>
      </c>
      <c r="BG20" s="109">
        <f t="shared" si="16"/>
        <v>150</v>
      </c>
      <c r="BH20" s="109">
        <f t="shared" si="16"/>
        <v>150</v>
      </c>
      <c r="BI20" s="109">
        <f t="shared" si="16"/>
        <v>150</v>
      </c>
      <c r="BJ20" s="109">
        <f t="shared" si="16"/>
        <v>150</v>
      </c>
      <c r="BK20" s="109">
        <f t="shared" si="16"/>
        <v>150</v>
      </c>
      <c r="BL20" s="109">
        <f t="shared" si="16"/>
        <v>150</v>
      </c>
      <c r="BM20" s="109">
        <f t="shared" si="16"/>
        <v>150</v>
      </c>
      <c r="BN20" s="109">
        <f t="shared" si="16"/>
        <v>150</v>
      </c>
      <c r="BO20" s="109">
        <f t="shared" si="16"/>
        <v>150</v>
      </c>
      <c r="BP20" s="109">
        <f t="shared" si="16"/>
        <v>150</v>
      </c>
      <c r="BQ20" s="109">
        <f t="shared" si="16"/>
        <v>150</v>
      </c>
      <c r="BR20" s="109">
        <f t="shared" si="16"/>
        <v>150</v>
      </c>
      <c r="BS20" s="109">
        <f t="shared" si="16"/>
        <v>150</v>
      </c>
      <c r="BT20" s="109">
        <f t="shared" si="16"/>
        <v>150</v>
      </c>
      <c r="BU20" s="78"/>
      <c r="BV20" s="40"/>
    </row>
    <row r="21" spans="1:74" x14ac:dyDescent="0.25">
      <c r="A21" s="447"/>
      <c r="B21" s="423" t="s">
        <v>19</v>
      </c>
      <c r="C21" s="109"/>
      <c r="D21" s="109"/>
      <c r="E21" s="109"/>
      <c r="F21" s="109"/>
      <c r="G21" s="109"/>
      <c r="H21" s="109"/>
      <c r="I21" s="109"/>
      <c r="J21" s="109"/>
      <c r="K21" s="109"/>
      <c r="L21" s="109"/>
      <c r="M21" s="109"/>
      <c r="N21" s="109"/>
      <c r="O21" s="109"/>
      <c r="P21" s="109"/>
      <c r="Q21" s="109"/>
      <c r="R21" s="109"/>
      <c r="S21" s="109"/>
      <c r="T21" s="109"/>
      <c r="U21" s="109"/>
      <c r="V21" s="109"/>
      <c r="W21" s="109"/>
      <c r="X21" s="109"/>
      <c r="Y21" s="109"/>
      <c r="Z21" s="109"/>
      <c r="AA21" s="109"/>
      <c r="AB21" s="109"/>
      <c r="AC21" s="109"/>
      <c r="AD21" s="109"/>
      <c r="AE21" s="109"/>
      <c r="AF21" s="109"/>
      <c r="AG21" s="109"/>
      <c r="AH21" s="109"/>
      <c r="AI21" s="109"/>
      <c r="AJ21" s="109"/>
      <c r="AK21" s="109"/>
      <c r="AL21" s="109"/>
      <c r="AM21" s="109"/>
      <c r="AN21" s="109"/>
      <c r="AO21" s="109"/>
      <c r="AP21" s="109"/>
      <c r="AQ21" s="109"/>
      <c r="AR21" s="109"/>
      <c r="AS21" s="109">
        <v>642</v>
      </c>
      <c r="AT21" s="109">
        <f t="shared" si="15"/>
        <v>642</v>
      </c>
      <c r="AU21" s="109">
        <f t="shared" si="15"/>
        <v>642</v>
      </c>
      <c r="AV21" s="109">
        <f t="shared" si="15"/>
        <v>642</v>
      </c>
      <c r="AW21" s="109">
        <f t="shared" si="15"/>
        <v>642</v>
      </c>
      <c r="AX21" s="109">
        <f>AW21</f>
        <v>642</v>
      </c>
      <c r="AY21" s="109">
        <f t="shared" ref="AY21:BT21" si="17">AX21</f>
        <v>642</v>
      </c>
      <c r="AZ21" s="109">
        <f t="shared" si="17"/>
        <v>642</v>
      </c>
      <c r="BA21" s="109">
        <f t="shared" si="17"/>
        <v>642</v>
      </c>
      <c r="BB21" s="109">
        <f t="shared" si="17"/>
        <v>642</v>
      </c>
      <c r="BC21" s="109">
        <f t="shared" si="17"/>
        <v>642</v>
      </c>
      <c r="BD21" s="109">
        <f t="shared" si="17"/>
        <v>642</v>
      </c>
      <c r="BE21" s="109">
        <f t="shared" si="17"/>
        <v>642</v>
      </c>
      <c r="BF21" s="109">
        <f t="shared" si="17"/>
        <v>642</v>
      </c>
      <c r="BG21" s="109">
        <f t="shared" si="17"/>
        <v>642</v>
      </c>
      <c r="BH21" s="109">
        <f t="shared" si="17"/>
        <v>642</v>
      </c>
      <c r="BI21" s="109">
        <f t="shared" si="17"/>
        <v>642</v>
      </c>
      <c r="BJ21" s="109">
        <f t="shared" si="17"/>
        <v>642</v>
      </c>
      <c r="BK21" s="109">
        <f t="shared" si="17"/>
        <v>642</v>
      </c>
      <c r="BL21" s="109">
        <f t="shared" si="17"/>
        <v>642</v>
      </c>
      <c r="BM21" s="109">
        <f t="shared" si="17"/>
        <v>642</v>
      </c>
      <c r="BN21" s="109">
        <f t="shared" si="17"/>
        <v>642</v>
      </c>
      <c r="BO21" s="109">
        <f t="shared" si="17"/>
        <v>642</v>
      </c>
      <c r="BP21" s="109">
        <f t="shared" si="17"/>
        <v>642</v>
      </c>
      <c r="BQ21" s="109">
        <f t="shared" si="17"/>
        <v>642</v>
      </c>
      <c r="BR21" s="109">
        <f t="shared" si="17"/>
        <v>642</v>
      </c>
      <c r="BS21" s="109">
        <f t="shared" si="17"/>
        <v>642</v>
      </c>
      <c r="BT21" s="109">
        <f t="shared" si="17"/>
        <v>642</v>
      </c>
      <c r="BU21" s="78"/>
      <c r="BV21" s="40"/>
    </row>
    <row r="22" spans="1:74" s="13" customFormat="1" x14ac:dyDescent="0.25">
      <c r="A22" s="448"/>
      <c r="B22" s="425" t="s">
        <v>20</v>
      </c>
      <c r="C22" s="235">
        <f t="shared" ref="C22:AR22" si="18">SUM(C14:C21)</f>
        <v>1544.9063167500001</v>
      </c>
      <c r="D22" s="235">
        <f t="shared" si="18"/>
        <v>1544.9063167500001</v>
      </c>
      <c r="E22" s="235">
        <f t="shared" si="18"/>
        <v>1544.9063167500001</v>
      </c>
      <c r="F22" s="235">
        <f t="shared" si="18"/>
        <v>8594.3935962988144</v>
      </c>
      <c r="G22" s="235">
        <f t="shared" si="18"/>
        <v>8945.8669440188132</v>
      </c>
      <c r="H22" s="235">
        <f t="shared" si="18"/>
        <v>9415.2331440988128</v>
      </c>
      <c r="I22" s="235">
        <f t="shared" si="18"/>
        <v>9842.738616298815</v>
      </c>
      <c r="J22" s="235">
        <f t="shared" si="18"/>
        <v>10827.516398008125</v>
      </c>
      <c r="K22" s="235">
        <f t="shared" si="18"/>
        <v>11290.726577008125</v>
      </c>
      <c r="L22" s="235">
        <f t="shared" si="18"/>
        <v>11854.420838808124</v>
      </c>
      <c r="M22" s="235">
        <f t="shared" si="18"/>
        <v>12382.588893808124</v>
      </c>
      <c r="N22" s="235">
        <f t="shared" si="18"/>
        <v>12946.460155608123</v>
      </c>
      <c r="O22" s="235">
        <f t="shared" si="18"/>
        <v>13630.061626655195</v>
      </c>
      <c r="P22" s="235">
        <f t="shared" si="18"/>
        <v>14271.282679095195</v>
      </c>
      <c r="Q22" s="235">
        <f t="shared" si="18"/>
        <v>15002.236968085195</v>
      </c>
      <c r="R22" s="235">
        <f t="shared" si="18"/>
        <v>15002.169402395195</v>
      </c>
      <c r="S22" s="235">
        <f t="shared" si="18"/>
        <v>15002.169402395195</v>
      </c>
      <c r="T22" s="235">
        <f t="shared" si="18"/>
        <v>15022.624490457816</v>
      </c>
      <c r="U22" s="235">
        <f t="shared" si="18"/>
        <v>15022.624490457816</v>
      </c>
      <c r="V22" s="235">
        <f t="shared" si="18"/>
        <v>15022.624490457816</v>
      </c>
      <c r="W22" s="235">
        <f t="shared" si="18"/>
        <v>15022.624490457816</v>
      </c>
      <c r="X22" s="235">
        <f t="shared" si="18"/>
        <v>15022.624490457816</v>
      </c>
      <c r="Y22" s="235">
        <f t="shared" si="18"/>
        <v>15031.198565256687</v>
      </c>
      <c r="Z22" s="235">
        <f t="shared" si="18"/>
        <v>15031.198565256687</v>
      </c>
      <c r="AA22" s="235">
        <f t="shared" si="18"/>
        <v>15031.198565256687</v>
      </c>
      <c r="AB22" s="235">
        <f t="shared" si="18"/>
        <v>15031.198565256687</v>
      </c>
      <c r="AC22" s="235">
        <f t="shared" si="18"/>
        <v>15031.198565256687</v>
      </c>
      <c r="AD22" s="235">
        <f t="shared" si="18"/>
        <v>15027.891626791803</v>
      </c>
      <c r="AE22" s="235">
        <f t="shared" si="18"/>
        <v>15027.891626791803</v>
      </c>
      <c r="AF22" s="235">
        <f t="shared" si="18"/>
        <v>15027.891626791803</v>
      </c>
      <c r="AG22" s="235">
        <f t="shared" si="18"/>
        <v>15027.891626791803</v>
      </c>
      <c r="AH22" s="235">
        <f t="shared" si="18"/>
        <v>15027.891626791803</v>
      </c>
      <c r="AI22" s="235">
        <f t="shared" si="18"/>
        <v>15012.703675063167</v>
      </c>
      <c r="AJ22" s="235">
        <f t="shared" si="18"/>
        <v>15012.703675063167</v>
      </c>
      <c r="AK22" s="235">
        <f t="shared" si="18"/>
        <v>15012.703675063167</v>
      </c>
      <c r="AL22" s="235">
        <f t="shared" si="18"/>
        <v>15012.703675063167</v>
      </c>
      <c r="AM22" s="235">
        <f t="shared" si="18"/>
        <v>15012.703675063167</v>
      </c>
      <c r="AN22" s="235">
        <f t="shared" si="18"/>
        <v>14985.634710070775</v>
      </c>
      <c r="AO22" s="235">
        <f t="shared" si="18"/>
        <v>14985.634710070775</v>
      </c>
      <c r="AP22" s="235">
        <f t="shared" si="18"/>
        <v>14985.634710070775</v>
      </c>
      <c r="AQ22" s="235">
        <f t="shared" si="18"/>
        <v>14985.634710070775</v>
      </c>
      <c r="AR22" s="235">
        <f t="shared" si="18"/>
        <v>14985.634710070775</v>
      </c>
      <c r="AS22" s="235">
        <f>SUM(AS14:AS21)</f>
        <v>9974.9916473146332</v>
      </c>
      <c r="AT22" s="235">
        <f t="shared" ref="AT22:BT22" si="19">SUM(AT14:AT21)</f>
        <v>13041.022247314635</v>
      </c>
      <c r="AU22" s="235">
        <f t="shared" si="19"/>
        <v>13041.022247314635</v>
      </c>
      <c r="AV22" s="235">
        <f t="shared" si="19"/>
        <v>13041.022247314635</v>
      </c>
      <c r="AW22" s="235">
        <f t="shared" si="19"/>
        <v>13041.022247314635</v>
      </c>
      <c r="AX22" s="235">
        <f t="shared" si="19"/>
        <v>9512.7222057947365</v>
      </c>
      <c r="AY22" s="235">
        <f t="shared" si="19"/>
        <v>9512.7222057947365</v>
      </c>
      <c r="AZ22" s="235">
        <f t="shared" si="19"/>
        <v>9512.7222057947365</v>
      </c>
      <c r="BA22" s="235">
        <f t="shared" si="19"/>
        <v>9512.7222057947365</v>
      </c>
      <c r="BB22" s="235">
        <f t="shared" si="19"/>
        <v>9512.7222057947365</v>
      </c>
      <c r="BC22" s="235">
        <f t="shared" si="19"/>
        <v>9450.0102010110895</v>
      </c>
      <c r="BD22" s="235">
        <f t="shared" si="19"/>
        <v>9450.0102010110895</v>
      </c>
      <c r="BE22" s="235">
        <f t="shared" si="19"/>
        <v>9450.0102010110895</v>
      </c>
      <c r="BF22" s="235">
        <f t="shared" si="19"/>
        <v>9450.0102010110895</v>
      </c>
      <c r="BG22" s="235">
        <f t="shared" si="19"/>
        <v>9450.0102010110895</v>
      </c>
      <c r="BH22" s="235">
        <f t="shared" si="19"/>
        <v>9375.4171829636871</v>
      </c>
      <c r="BI22" s="235">
        <f t="shared" si="19"/>
        <v>9375.4171829636871</v>
      </c>
      <c r="BJ22" s="235">
        <f t="shared" si="19"/>
        <v>9375.4171829636871</v>
      </c>
      <c r="BK22" s="235">
        <f t="shared" si="19"/>
        <v>9375.4171829636871</v>
      </c>
      <c r="BL22" s="235">
        <f t="shared" si="19"/>
        <v>9375.4171829636871</v>
      </c>
      <c r="BM22" s="235">
        <f t="shared" si="19"/>
        <v>9288.9431516525328</v>
      </c>
      <c r="BN22" s="235">
        <f t="shared" si="19"/>
        <v>9288.9431516525328</v>
      </c>
      <c r="BO22" s="235">
        <f t="shared" si="19"/>
        <v>9288.9431516525328</v>
      </c>
      <c r="BP22" s="235">
        <f t="shared" si="19"/>
        <v>9288.9431516525328</v>
      </c>
      <c r="BQ22" s="235">
        <f t="shared" si="19"/>
        <v>9288.9431516525328</v>
      </c>
      <c r="BR22" s="235">
        <f t="shared" si="19"/>
        <v>9190.588107077625</v>
      </c>
      <c r="BS22" s="235">
        <f t="shared" si="19"/>
        <v>9190.588107077625</v>
      </c>
      <c r="BT22" s="235">
        <f t="shared" si="19"/>
        <v>9190.588107077625</v>
      </c>
      <c r="BU22" s="78"/>
      <c r="BV22" s="443"/>
    </row>
    <row r="23" spans="1:74" s="121" customFormat="1" x14ac:dyDescent="0.25">
      <c r="A23" s="449" t="s">
        <v>21</v>
      </c>
      <c r="B23" s="121" t="s">
        <v>22</v>
      </c>
      <c r="C23" s="148">
        <f>SUM(C24:C28)</f>
        <v>571</v>
      </c>
      <c r="D23" s="378">
        <f t="shared" ref="D23:BO23" si="20">SUM(D24:D28)</f>
        <v>571</v>
      </c>
      <c r="E23" s="378">
        <f t="shared" si="20"/>
        <v>571</v>
      </c>
      <c r="F23" s="378">
        <f t="shared" si="20"/>
        <v>1414</v>
      </c>
      <c r="G23" s="378">
        <f t="shared" si="20"/>
        <v>1414</v>
      </c>
      <c r="H23" s="378">
        <f t="shared" si="20"/>
        <v>1394.9510320000002</v>
      </c>
      <c r="I23" s="378">
        <f t="shared" si="20"/>
        <v>1326.1581219999998</v>
      </c>
      <c r="J23" s="378">
        <f t="shared" si="20"/>
        <v>1211.2067940000002</v>
      </c>
      <c r="K23" s="378">
        <f t="shared" si="20"/>
        <v>1075.4593439999999</v>
      </c>
      <c r="L23" s="378">
        <f t="shared" si="20"/>
        <v>910.21455400000013</v>
      </c>
      <c r="M23" s="378">
        <f t="shared" si="20"/>
        <v>755.40430400000014</v>
      </c>
      <c r="N23" s="378">
        <f t="shared" si="20"/>
        <v>590.11951400000009</v>
      </c>
      <c r="O23" s="378">
        <f t="shared" si="20"/>
        <v>423.17307200000016</v>
      </c>
      <c r="P23" s="378">
        <f t="shared" si="20"/>
        <v>281.71209000000022</v>
      </c>
      <c r="Q23" s="378">
        <f t="shared" si="20"/>
        <v>178.5</v>
      </c>
      <c r="R23" s="378">
        <f t="shared" si="20"/>
        <v>178.5</v>
      </c>
      <c r="S23" s="378">
        <f t="shared" si="20"/>
        <v>178.5</v>
      </c>
      <c r="T23" s="378">
        <f t="shared" si="20"/>
        <v>178.5</v>
      </c>
      <c r="U23" s="378">
        <f t="shared" si="20"/>
        <v>178.5</v>
      </c>
      <c r="V23" s="378">
        <f t="shared" si="20"/>
        <v>178.5</v>
      </c>
      <c r="W23" s="378">
        <f t="shared" si="20"/>
        <v>178.5</v>
      </c>
      <c r="X23" s="378">
        <f t="shared" si="20"/>
        <v>178.5</v>
      </c>
      <c r="Y23" s="378">
        <f t="shared" si="20"/>
        <v>178.5</v>
      </c>
      <c r="Z23" s="378">
        <f t="shared" si="20"/>
        <v>178.5</v>
      </c>
      <c r="AA23" s="378">
        <f t="shared" si="20"/>
        <v>178.5</v>
      </c>
      <c r="AB23" s="378">
        <f t="shared" si="20"/>
        <v>178.5</v>
      </c>
      <c r="AC23" s="378">
        <f t="shared" si="20"/>
        <v>178.5</v>
      </c>
      <c r="AD23" s="378">
        <f t="shared" si="20"/>
        <v>178.5</v>
      </c>
      <c r="AE23" s="378">
        <f t="shared" si="20"/>
        <v>178.5</v>
      </c>
      <c r="AF23" s="378">
        <f t="shared" si="20"/>
        <v>178.5</v>
      </c>
      <c r="AG23" s="378">
        <f t="shared" si="20"/>
        <v>178.5</v>
      </c>
      <c r="AH23" s="378">
        <f t="shared" si="20"/>
        <v>178.5</v>
      </c>
      <c r="AI23" s="378">
        <f t="shared" si="20"/>
        <v>178.5</v>
      </c>
      <c r="AJ23" s="378">
        <f t="shared" si="20"/>
        <v>178.5</v>
      </c>
      <c r="AK23" s="378">
        <f t="shared" si="20"/>
        <v>178.5</v>
      </c>
      <c r="AL23" s="378">
        <f t="shared" si="20"/>
        <v>178.5</v>
      </c>
      <c r="AM23" s="378">
        <f t="shared" si="20"/>
        <v>178.5</v>
      </c>
      <c r="AN23" s="378">
        <f t="shared" si="20"/>
        <v>178.5</v>
      </c>
      <c r="AO23" s="378">
        <f t="shared" si="20"/>
        <v>178.5</v>
      </c>
      <c r="AP23" s="378">
        <f t="shared" si="20"/>
        <v>178.5</v>
      </c>
      <c r="AQ23" s="378">
        <f t="shared" si="20"/>
        <v>178.5</v>
      </c>
      <c r="AR23" s="378">
        <f t="shared" si="20"/>
        <v>178.5</v>
      </c>
      <c r="AS23" s="378">
        <f t="shared" si="20"/>
        <v>771.24</v>
      </c>
      <c r="AT23" s="378">
        <f t="shared" si="20"/>
        <v>44.92</v>
      </c>
      <c r="AU23" s="378">
        <f t="shared" si="20"/>
        <v>44.92</v>
      </c>
      <c r="AV23" s="378">
        <f t="shared" si="20"/>
        <v>44.92</v>
      </c>
      <c r="AW23" s="378">
        <f t="shared" si="20"/>
        <v>44.92</v>
      </c>
      <c r="AX23" s="378">
        <f t="shared" si="20"/>
        <v>7601.2300000000005</v>
      </c>
      <c r="AY23" s="378">
        <f t="shared" si="20"/>
        <v>7601.2300000000005</v>
      </c>
      <c r="AZ23" s="378">
        <f t="shared" si="20"/>
        <v>7601.2300000000005</v>
      </c>
      <c r="BA23" s="378">
        <f t="shared" si="20"/>
        <v>7601.2300000000005</v>
      </c>
      <c r="BB23" s="378">
        <f t="shared" si="20"/>
        <v>7601.2300000000005</v>
      </c>
      <c r="BC23" s="378">
        <f t="shared" si="20"/>
        <v>7601.2300000000005</v>
      </c>
      <c r="BD23" s="378">
        <f t="shared" si="20"/>
        <v>7601.2300000000005</v>
      </c>
      <c r="BE23" s="378">
        <f t="shared" si="20"/>
        <v>7601.2300000000005</v>
      </c>
      <c r="BF23" s="378">
        <f t="shared" si="20"/>
        <v>7601.2300000000005</v>
      </c>
      <c r="BG23" s="378">
        <f t="shared" si="20"/>
        <v>7601.2300000000005</v>
      </c>
      <c r="BH23" s="378">
        <f t="shared" si="20"/>
        <v>8206.23</v>
      </c>
      <c r="BI23" s="378">
        <f t="shared" si="20"/>
        <v>8206.23</v>
      </c>
      <c r="BJ23" s="378">
        <f t="shared" si="20"/>
        <v>8206.23</v>
      </c>
      <c r="BK23" s="378">
        <f t="shared" si="20"/>
        <v>8206.23</v>
      </c>
      <c r="BL23" s="378">
        <f t="shared" si="20"/>
        <v>8206.23</v>
      </c>
      <c r="BM23" s="378">
        <f t="shared" si="20"/>
        <v>8206.23</v>
      </c>
      <c r="BN23" s="378">
        <f t="shared" si="20"/>
        <v>8206.23</v>
      </c>
      <c r="BO23" s="378">
        <f t="shared" si="20"/>
        <v>8206.23</v>
      </c>
      <c r="BP23" s="378">
        <f t="shared" ref="BP23:BT23" si="21">SUM(BP24:BP28)</f>
        <v>8206.23</v>
      </c>
      <c r="BQ23" s="378">
        <f t="shared" si="21"/>
        <v>8206.23</v>
      </c>
      <c r="BR23" s="378">
        <f t="shared" si="21"/>
        <v>8206.23</v>
      </c>
      <c r="BS23" s="378">
        <f t="shared" si="21"/>
        <v>8206.23</v>
      </c>
      <c r="BT23" s="378">
        <f t="shared" si="21"/>
        <v>8206.23</v>
      </c>
      <c r="BU23" s="78"/>
      <c r="BV23" s="442"/>
    </row>
    <row r="24" spans="1:74" s="185" customFormat="1" x14ac:dyDescent="0.25">
      <c r="A24" s="447"/>
      <c r="B24" s="185" t="s">
        <v>23</v>
      </c>
      <c r="C24" s="306">
        <v>284</v>
      </c>
      <c r="D24" s="306">
        <f>C24</f>
        <v>284</v>
      </c>
      <c r="E24" s="306">
        <f>D24</f>
        <v>284</v>
      </c>
      <c r="F24" s="191">
        <v>433</v>
      </c>
      <c r="G24" s="274">
        <f>F24</f>
        <v>433</v>
      </c>
      <c r="H24" s="191">
        <f>G24</f>
        <v>433</v>
      </c>
      <c r="I24" s="191">
        <f>H24</f>
        <v>433</v>
      </c>
      <c r="J24" s="191">
        <v>399.24</v>
      </c>
      <c r="K24" s="191">
        <v>338.04</v>
      </c>
      <c r="L24" s="191">
        <v>263.56</v>
      </c>
      <c r="M24" s="191">
        <v>193.76</v>
      </c>
      <c r="N24" s="191">
        <v>119.24</v>
      </c>
      <c r="O24" s="191">
        <v>44</v>
      </c>
      <c r="P24" s="191">
        <v>0</v>
      </c>
      <c r="Q24" s="191">
        <f>'[1]1-Seule'!$M$19</f>
        <v>0</v>
      </c>
      <c r="R24" s="191">
        <f t="shared" ref="R24:AR24" si="22">Q24</f>
        <v>0</v>
      </c>
      <c r="S24" s="191">
        <f t="shared" si="22"/>
        <v>0</v>
      </c>
      <c r="T24" s="191">
        <f t="shared" si="22"/>
        <v>0</v>
      </c>
      <c r="U24" s="191">
        <f t="shared" si="22"/>
        <v>0</v>
      </c>
      <c r="V24" s="191">
        <f t="shared" si="22"/>
        <v>0</v>
      </c>
      <c r="W24" s="191">
        <f t="shared" si="22"/>
        <v>0</v>
      </c>
      <c r="X24" s="191">
        <f t="shared" si="22"/>
        <v>0</v>
      </c>
      <c r="Y24" s="191">
        <f t="shared" si="22"/>
        <v>0</v>
      </c>
      <c r="Z24" s="191">
        <f t="shared" si="22"/>
        <v>0</v>
      </c>
      <c r="AA24" s="191">
        <f t="shared" si="22"/>
        <v>0</v>
      </c>
      <c r="AB24" s="191">
        <f t="shared" si="22"/>
        <v>0</v>
      </c>
      <c r="AC24" s="191">
        <f t="shared" si="22"/>
        <v>0</v>
      </c>
      <c r="AD24" s="191">
        <f t="shared" si="22"/>
        <v>0</v>
      </c>
      <c r="AE24" s="191">
        <f t="shared" si="22"/>
        <v>0</v>
      </c>
      <c r="AF24" s="191">
        <f t="shared" si="22"/>
        <v>0</v>
      </c>
      <c r="AG24" s="191">
        <f t="shared" si="22"/>
        <v>0</v>
      </c>
      <c r="AH24" s="191">
        <f t="shared" si="22"/>
        <v>0</v>
      </c>
      <c r="AI24" s="191">
        <f t="shared" si="22"/>
        <v>0</v>
      </c>
      <c r="AJ24" s="191">
        <f t="shared" si="22"/>
        <v>0</v>
      </c>
      <c r="AK24" s="191">
        <f t="shared" si="22"/>
        <v>0</v>
      </c>
      <c r="AL24" s="191">
        <f t="shared" si="22"/>
        <v>0</v>
      </c>
      <c r="AM24" s="191">
        <f t="shared" si="22"/>
        <v>0</v>
      </c>
      <c r="AN24" s="191">
        <f t="shared" si="22"/>
        <v>0</v>
      </c>
      <c r="AO24" s="191">
        <f t="shared" si="22"/>
        <v>0</v>
      </c>
      <c r="AP24" s="191">
        <f t="shared" si="22"/>
        <v>0</v>
      </c>
      <c r="AQ24" s="191">
        <f t="shared" si="22"/>
        <v>0</v>
      </c>
      <c r="AR24" s="191">
        <f t="shared" si="22"/>
        <v>0</v>
      </c>
      <c r="AS24" s="191">
        <v>216</v>
      </c>
      <c r="AT24" s="191">
        <v>0</v>
      </c>
      <c r="AU24" s="191">
        <f t="shared" ref="AU24:AW25" si="23">AT24</f>
        <v>0</v>
      </c>
      <c r="AV24" s="191">
        <f t="shared" si="23"/>
        <v>0</v>
      </c>
      <c r="AW24" s="191">
        <f t="shared" si="23"/>
        <v>0</v>
      </c>
      <c r="AX24" s="191">
        <v>83.72</v>
      </c>
      <c r="AY24" s="191">
        <f t="shared" ref="AY24:BT24" si="24">AX24</f>
        <v>83.72</v>
      </c>
      <c r="AZ24" s="191">
        <f t="shared" si="24"/>
        <v>83.72</v>
      </c>
      <c r="BA24" s="191">
        <f t="shared" si="24"/>
        <v>83.72</v>
      </c>
      <c r="BB24" s="191">
        <f t="shared" si="24"/>
        <v>83.72</v>
      </c>
      <c r="BC24" s="191">
        <f t="shared" si="24"/>
        <v>83.72</v>
      </c>
      <c r="BD24" s="191">
        <f t="shared" si="24"/>
        <v>83.72</v>
      </c>
      <c r="BE24" s="191">
        <f t="shared" si="24"/>
        <v>83.72</v>
      </c>
      <c r="BF24" s="191">
        <f t="shared" si="24"/>
        <v>83.72</v>
      </c>
      <c r="BG24" s="191">
        <f t="shared" si="24"/>
        <v>83.72</v>
      </c>
      <c r="BH24" s="191">
        <f t="shared" si="24"/>
        <v>83.72</v>
      </c>
      <c r="BI24" s="191">
        <f t="shared" si="24"/>
        <v>83.72</v>
      </c>
      <c r="BJ24" s="191">
        <f t="shared" si="24"/>
        <v>83.72</v>
      </c>
      <c r="BK24" s="191">
        <f t="shared" si="24"/>
        <v>83.72</v>
      </c>
      <c r="BL24" s="191">
        <f t="shared" si="24"/>
        <v>83.72</v>
      </c>
      <c r="BM24" s="191">
        <f t="shared" si="24"/>
        <v>83.72</v>
      </c>
      <c r="BN24" s="191">
        <f t="shared" si="24"/>
        <v>83.72</v>
      </c>
      <c r="BO24" s="191">
        <f t="shared" si="24"/>
        <v>83.72</v>
      </c>
      <c r="BP24" s="191">
        <f t="shared" si="24"/>
        <v>83.72</v>
      </c>
      <c r="BQ24" s="191">
        <f t="shared" si="24"/>
        <v>83.72</v>
      </c>
      <c r="BR24" s="191">
        <f t="shared" si="24"/>
        <v>83.72</v>
      </c>
      <c r="BS24" s="191">
        <f t="shared" si="24"/>
        <v>83.72</v>
      </c>
      <c r="BT24" s="191">
        <f t="shared" si="24"/>
        <v>83.72</v>
      </c>
      <c r="BU24" s="78"/>
      <c r="BV24" s="442"/>
    </row>
    <row r="25" spans="1:74" s="25" customFormat="1" x14ac:dyDescent="0.25">
      <c r="A25" s="447"/>
      <c r="B25" s="185" t="s">
        <v>24</v>
      </c>
      <c r="C25" s="306">
        <v>287</v>
      </c>
      <c r="D25" s="306">
        <f>C25</f>
        <v>287</v>
      </c>
      <c r="E25" s="306">
        <f>D25</f>
        <v>287</v>
      </c>
      <c r="F25" s="191">
        <v>981</v>
      </c>
      <c r="G25" s="191">
        <f>F25</f>
        <v>981</v>
      </c>
      <c r="H25" s="191">
        <f>981-(((H4-H6-1150)-34215)*0.06)</f>
        <v>961.95103200000017</v>
      </c>
      <c r="I25" s="191">
        <f t="shared" ref="I25:P25" si="25">981-(((I4-I6-1150)-34215)*0.06)</f>
        <v>893.15812199999982</v>
      </c>
      <c r="J25" s="191">
        <f t="shared" si="25"/>
        <v>811.96679400000005</v>
      </c>
      <c r="K25" s="191">
        <f t="shared" si="25"/>
        <v>737.41934399999991</v>
      </c>
      <c r="L25" s="191">
        <f t="shared" si="25"/>
        <v>646.65455400000019</v>
      </c>
      <c r="M25" s="191">
        <f t="shared" si="25"/>
        <v>561.64430400000015</v>
      </c>
      <c r="N25" s="191">
        <f t="shared" si="25"/>
        <v>470.87951400000009</v>
      </c>
      <c r="O25" s="191">
        <f t="shared" si="25"/>
        <v>379.17307200000016</v>
      </c>
      <c r="P25" s="191">
        <f t="shared" si="25"/>
        <v>281.71209000000022</v>
      </c>
      <c r="Q25" s="191">
        <v>178.5</v>
      </c>
      <c r="R25" s="191">
        <f t="shared" ref="R25:AR25" si="26">Q25</f>
        <v>178.5</v>
      </c>
      <c r="S25" s="191">
        <f t="shared" si="26"/>
        <v>178.5</v>
      </c>
      <c r="T25" s="191">
        <f t="shared" si="26"/>
        <v>178.5</v>
      </c>
      <c r="U25" s="191">
        <f t="shared" si="26"/>
        <v>178.5</v>
      </c>
      <c r="V25" s="191">
        <f t="shared" si="26"/>
        <v>178.5</v>
      </c>
      <c r="W25" s="191">
        <f t="shared" si="26"/>
        <v>178.5</v>
      </c>
      <c r="X25" s="191">
        <f t="shared" si="26"/>
        <v>178.5</v>
      </c>
      <c r="Y25" s="191">
        <f t="shared" si="26"/>
        <v>178.5</v>
      </c>
      <c r="Z25" s="191">
        <f t="shared" si="26"/>
        <v>178.5</v>
      </c>
      <c r="AA25" s="191">
        <f t="shared" si="26"/>
        <v>178.5</v>
      </c>
      <c r="AB25" s="191">
        <f t="shared" si="26"/>
        <v>178.5</v>
      </c>
      <c r="AC25" s="191">
        <f t="shared" si="26"/>
        <v>178.5</v>
      </c>
      <c r="AD25" s="191">
        <f t="shared" si="26"/>
        <v>178.5</v>
      </c>
      <c r="AE25" s="191">
        <f t="shared" si="26"/>
        <v>178.5</v>
      </c>
      <c r="AF25" s="191">
        <f t="shared" si="26"/>
        <v>178.5</v>
      </c>
      <c r="AG25" s="191">
        <f t="shared" si="26"/>
        <v>178.5</v>
      </c>
      <c r="AH25" s="191">
        <f t="shared" si="26"/>
        <v>178.5</v>
      </c>
      <c r="AI25" s="191">
        <f t="shared" si="26"/>
        <v>178.5</v>
      </c>
      <c r="AJ25" s="191">
        <f t="shared" si="26"/>
        <v>178.5</v>
      </c>
      <c r="AK25" s="191">
        <f t="shared" si="26"/>
        <v>178.5</v>
      </c>
      <c r="AL25" s="191">
        <f t="shared" si="26"/>
        <v>178.5</v>
      </c>
      <c r="AM25" s="191">
        <f t="shared" si="26"/>
        <v>178.5</v>
      </c>
      <c r="AN25" s="191">
        <f t="shared" si="26"/>
        <v>178.5</v>
      </c>
      <c r="AO25" s="191">
        <f t="shared" si="26"/>
        <v>178.5</v>
      </c>
      <c r="AP25" s="191">
        <f t="shared" si="26"/>
        <v>178.5</v>
      </c>
      <c r="AQ25" s="191">
        <f t="shared" si="26"/>
        <v>178.5</v>
      </c>
      <c r="AR25" s="191">
        <f t="shared" si="26"/>
        <v>178.5</v>
      </c>
      <c r="AS25" s="191">
        <v>555.24</v>
      </c>
      <c r="AT25" s="191">
        <v>44.92</v>
      </c>
      <c r="AU25" s="191">
        <f t="shared" si="23"/>
        <v>44.92</v>
      </c>
      <c r="AV25" s="191">
        <f t="shared" si="23"/>
        <v>44.92</v>
      </c>
      <c r="AW25" s="191">
        <f t="shared" si="23"/>
        <v>44.92</v>
      </c>
      <c r="AX25" s="191">
        <v>396.2</v>
      </c>
      <c r="AY25" s="191">
        <f t="shared" ref="AY25:BT25" si="27">AX25</f>
        <v>396.2</v>
      </c>
      <c r="AZ25" s="191">
        <f t="shared" si="27"/>
        <v>396.2</v>
      </c>
      <c r="BA25" s="191">
        <f t="shared" si="27"/>
        <v>396.2</v>
      </c>
      <c r="BB25" s="191">
        <f t="shared" si="27"/>
        <v>396.2</v>
      </c>
      <c r="BC25" s="191">
        <f t="shared" si="27"/>
        <v>396.2</v>
      </c>
      <c r="BD25" s="191">
        <f t="shared" si="27"/>
        <v>396.2</v>
      </c>
      <c r="BE25" s="191">
        <f t="shared" si="27"/>
        <v>396.2</v>
      </c>
      <c r="BF25" s="191">
        <f t="shared" si="27"/>
        <v>396.2</v>
      </c>
      <c r="BG25" s="191">
        <f t="shared" si="27"/>
        <v>396.2</v>
      </c>
      <c r="BH25" s="191">
        <f t="shared" si="27"/>
        <v>396.2</v>
      </c>
      <c r="BI25" s="191">
        <f t="shared" si="27"/>
        <v>396.2</v>
      </c>
      <c r="BJ25" s="191">
        <f t="shared" si="27"/>
        <v>396.2</v>
      </c>
      <c r="BK25" s="191">
        <f t="shared" si="27"/>
        <v>396.2</v>
      </c>
      <c r="BL25" s="191">
        <f t="shared" si="27"/>
        <v>396.2</v>
      </c>
      <c r="BM25" s="191">
        <f t="shared" si="27"/>
        <v>396.2</v>
      </c>
      <c r="BN25" s="191">
        <f t="shared" si="27"/>
        <v>396.2</v>
      </c>
      <c r="BO25" s="191">
        <f t="shared" si="27"/>
        <v>396.2</v>
      </c>
      <c r="BP25" s="191">
        <f t="shared" si="27"/>
        <v>396.2</v>
      </c>
      <c r="BQ25" s="191">
        <f t="shared" si="27"/>
        <v>396.2</v>
      </c>
      <c r="BR25" s="191">
        <f t="shared" si="27"/>
        <v>396.2</v>
      </c>
      <c r="BS25" s="191">
        <f t="shared" si="27"/>
        <v>396.2</v>
      </c>
      <c r="BT25" s="191">
        <f t="shared" si="27"/>
        <v>396.2</v>
      </c>
      <c r="BU25" s="78"/>
      <c r="BV25" s="442"/>
    </row>
    <row r="26" spans="1:74" x14ac:dyDescent="0.25">
      <c r="A26" s="447"/>
      <c r="B26" s="423" t="s">
        <v>25</v>
      </c>
      <c r="C26" s="122">
        <v>0</v>
      </c>
      <c r="D26" s="122">
        <v>0</v>
      </c>
      <c r="E26" s="122">
        <v>0</v>
      </c>
      <c r="F26" s="109"/>
      <c r="G26" s="122"/>
      <c r="H26" s="109"/>
      <c r="I26" s="122"/>
      <c r="J26" s="109"/>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09"/>
      <c r="AQ26" s="109"/>
      <c r="AR26" s="109"/>
      <c r="AS26" s="109"/>
      <c r="AT26" s="109"/>
      <c r="AU26" s="109"/>
      <c r="AV26" s="109"/>
      <c r="AW26" s="109"/>
      <c r="AX26" s="109"/>
      <c r="AY26" s="109"/>
      <c r="AZ26" s="109"/>
      <c r="BA26" s="109"/>
      <c r="BB26" s="109"/>
      <c r="BC26" s="109"/>
      <c r="BD26" s="109"/>
      <c r="BE26" s="109"/>
      <c r="BF26" s="109"/>
      <c r="BG26" s="109"/>
      <c r="BH26" s="109"/>
      <c r="BI26" s="109"/>
      <c r="BJ26" s="109"/>
      <c r="BK26" s="109"/>
      <c r="BL26" s="109"/>
      <c r="BM26" s="109"/>
      <c r="BN26" s="109"/>
      <c r="BO26" s="109"/>
      <c r="BP26" s="109"/>
      <c r="BQ26" s="109"/>
      <c r="BR26" s="109"/>
      <c r="BS26" s="109"/>
      <c r="BT26" s="109"/>
      <c r="BU26" s="78"/>
      <c r="BV26" s="442"/>
    </row>
    <row r="27" spans="1:74" x14ac:dyDescent="0.25">
      <c r="A27" s="447"/>
      <c r="B27" s="423" t="s">
        <v>26</v>
      </c>
      <c r="C27" s="122"/>
      <c r="D27" s="122"/>
      <c r="E27" s="122"/>
      <c r="F27" s="109"/>
      <c r="G27" s="122"/>
      <c r="H27" s="109"/>
      <c r="I27" s="122"/>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09"/>
      <c r="AT27" s="109"/>
      <c r="AU27" s="109"/>
      <c r="AV27" s="109"/>
      <c r="AW27" s="109"/>
      <c r="AX27" s="109">
        <f>'Calculs source'!$G$87</f>
        <v>7121.31</v>
      </c>
      <c r="AY27" s="109">
        <f>'Calculs source'!$G$87</f>
        <v>7121.31</v>
      </c>
      <c r="AZ27" s="109">
        <f>'Calculs source'!$G$87</f>
        <v>7121.31</v>
      </c>
      <c r="BA27" s="109">
        <f>'Calculs source'!$G$87</f>
        <v>7121.31</v>
      </c>
      <c r="BB27" s="109">
        <f>'Calculs source'!$G$87</f>
        <v>7121.31</v>
      </c>
      <c r="BC27" s="109">
        <f>'Calculs source'!$G$87</f>
        <v>7121.31</v>
      </c>
      <c r="BD27" s="109">
        <f>'Calculs source'!$G$87</f>
        <v>7121.31</v>
      </c>
      <c r="BE27" s="109">
        <f>'Calculs source'!$G$87</f>
        <v>7121.31</v>
      </c>
      <c r="BF27" s="109">
        <f>'Calculs source'!$G$87</f>
        <v>7121.31</v>
      </c>
      <c r="BG27" s="109">
        <f>'Calculs source'!$G$87</f>
        <v>7121.31</v>
      </c>
      <c r="BH27" s="109">
        <f>'Calculs source'!$G$87</f>
        <v>7121.31</v>
      </c>
      <c r="BI27" s="109">
        <f>'Calculs source'!$G$87</f>
        <v>7121.31</v>
      </c>
      <c r="BJ27" s="109">
        <f>'Calculs source'!$G$87</f>
        <v>7121.31</v>
      </c>
      <c r="BK27" s="109">
        <f>'Calculs source'!$G$87</f>
        <v>7121.31</v>
      </c>
      <c r="BL27" s="109">
        <f>'Calculs source'!$G$87</f>
        <v>7121.31</v>
      </c>
      <c r="BM27" s="109">
        <f>'Calculs source'!$G$87</f>
        <v>7121.31</v>
      </c>
      <c r="BN27" s="109">
        <f>'Calculs source'!$G$87</f>
        <v>7121.31</v>
      </c>
      <c r="BO27" s="109">
        <f>'Calculs source'!$G$87</f>
        <v>7121.31</v>
      </c>
      <c r="BP27" s="109">
        <f>'Calculs source'!$G$87</f>
        <v>7121.31</v>
      </c>
      <c r="BQ27" s="109">
        <f>'Calculs source'!$G$87</f>
        <v>7121.31</v>
      </c>
      <c r="BR27" s="109">
        <f>'Calculs source'!$G$87</f>
        <v>7121.31</v>
      </c>
      <c r="BS27" s="109">
        <f>'Calculs source'!$G$87</f>
        <v>7121.31</v>
      </c>
      <c r="BT27" s="109">
        <f>'Calculs source'!$G$87</f>
        <v>7121.31</v>
      </c>
      <c r="BU27" s="78"/>
      <c r="BV27" s="442"/>
    </row>
    <row r="28" spans="1:74" x14ac:dyDescent="0.25">
      <c r="A28" s="447"/>
      <c r="B28" s="185" t="s">
        <v>27</v>
      </c>
      <c r="C28" s="122"/>
      <c r="D28" s="122"/>
      <c r="E28" s="122"/>
      <c r="F28" s="109"/>
      <c r="G28" s="122"/>
      <c r="H28" s="109"/>
      <c r="I28" s="122"/>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91">
        <v>605</v>
      </c>
      <c r="BI28" s="191">
        <f t="shared" ref="BI28:BT28" si="28">BH28</f>
        <v>605</v>
      </c>
      <c r="BJ28" s="191">
        <f t="shared" si="28"/>
        <v>605</v>
      </c>
      <c r="BK28" s="191">
        <f t="shared" si="28"/>
        <v>605</v>
      </c>
      <c r="BL28" s="191">
        <f t="shared" si="28"/>
        <v>605</v>
      </c>
      <c r="BM28" s="191">
        <f t="shared" si="28"/>
        <v>605</v>
      </c>
      <c r="BN28" s="191">
        <f t="shared" si="28"/>
        <v>605</v>
      </c>
      <c r="BO28" s="191">
        <f t="shared" si="28"/>
        <v>605</v>
      </c>
      <c r="BP28" s="191">
        <f t="shared" si="28"/>
        <v>605</v>
      </c>
      <c r="BQ28" s="191">
        <f t="shared" si="28"/>
        <v>605</v>
      </c>
      <c r="BR28" s="191">
        <f t="shared" si="28"/>
        <v>605</v>
      </c>
      <c r="BS28" s="191">
        <f t="shared" si="28"/>
        <v>605</v>
      </c>
      <c r="BT28" s="191">
        <f t="shared" si="28"/>
        <v>605</v>
      </c>
      <c r="BU28" s="78"/>
      <c r="BV28" s="442"/>
    </row>
    <row r="29" spans="1:74" s="121" customFormat="1" x14ac:dyDescent="0.25">
      <c r="A29" s="447"/>
      <c r="B29" s="121" t="s">
        <v>28</v>
      </c>
      <c r="C29" s="129">
        <f t="shared" ref="C29:E29" si="29">C30+C31</f>
        <v>13906.271173536106</v>
      </c>
      <c r="D29" s="129">
        <f t="shared" si="29"/>
        <v>13906.271173536106</v>
      </c>
      <c r="E29" s="129">
        <f t="shared" si="29"/>
        <v>14182.555242799746</v>
      </c>
      <c r="F29" s="129">
        <f>F30+F31</f>
        <v>1944.5552427997472</v>
      </c>
      <c r="G29" s="129">
        <f t="shared" ref="G29:BR29" si="30">G30+G31</f>
        <v>1944.5552427997472</v>
      </c>
      <c r="H29" s="129">
        <f t="shared" si="30"/>
        <v>1944.5552427997472</v>
      </c>
      <c r="I29" s="129">
        <f t="shared" si="30"/>
        <v>1944.5552427997472</v>
      </c>
      <c r="J29" s="129">
        <f t="shared" si="30"/>
        <v>2705.7574510131226</v>
      </c>
      <c r="K29" s="129">
        <f t="shared" si="30"/>
        <v>2705.7574510131226</v>
      </c>
      <c r="L29" s="129">
        <f t="shared" si="30"/>
        <v>2705.7574510131226</v>
      </c>
      <c r="M29" s="129">
        <f t="shared" si="30"/>
        <v>2705.7574510131226</v>
      </c>
      <c r="N29" s="129">
        <f t="shared" si="30"/>
        <v>2705.7574510131226</v>
      </c>
      <c r="O29" s="129">
        <f t="shared" si="30"/>
        <v>2884.4518941268093</v>
      </c>
      <c r="P29" s="129">
        <f t="shared" si="30"/>
        <v>2884.4518941268093</v>
      </c>
      <c r="Q29" s="129">
        <f t="shared" si="30"/>
        <v>2884.4518941268093</v>
      </c>
      <c r="R29" s="129">
        <f t="shared" si="30"/>
        <v>2884.4518941268093</v>
      </c>
      <c r="S29" s="129">
        <f t="shared" si="30"/>
        <v>2884.4518941268093</v>
      </c>
      <c r="T29" s="129">
        <f t="shared" si="30"/>
        <v>2539.9342080856391</v>
      </c>
      <c r="U29" s="129">
        <f t="shared" si="30"/>
        <v>2539.9342080856391</v>
      </c>
      <c r="V29" s="129">
        <f t="shared" si="30"/>
        <v>2539.9342080856391</v>
      </c>
      <c r="W29" s="129">
        <f t="shared" si="30"/>
        <v>2539.9342080856391</v>
      </c>
      <c r="X29" s="129">
        <f t="shared" si="30"/>
        <v>2539.9342080856391</v>
      </c>
      <c r="Y29" s="129">
        <f t="shared" si="30"/>
        <v>2296.6151993341696</v>
      </c>
      <c r="Z29" s="129">
        <f t="shared" si="30"/>
        <v>2296.6151993341696</v>
      </c>
      <c r="AA29" s="129">
        <f t="shared" si="30"/>
        <v>2296.6151993341696</v>
      </c>
      <c r="AB29" s="129">
        <f t="shared" si="30"/>
        <v>2296.6151993341696</v>
      </c>
      <c r="AC29" s="129">
        <f t="shared" si="30"/>
        <v>2296.6151993341696</v>
      </c>
      <c r="AD29" s="129">
        <f t="shared" si="30"/>
        <v>2530.8253647157212</v>
      </c>
      <c r="AE29" s="129">
        <f t="shared" si="30"/>
        <v>2530.8253647157212</v>
      </c>
      <c r="AF29" s="129">
        <f t="shared" si="30"/>
        <v>2530.8253647157212</v>
      </c>
      <c r="AG29" s="129">
        <f t="shared" si="30"/>
        <v>2530.8253647157212</v>
      </c>
      <c r="AH29" s="129">
        <f t="shared" si="30"/>
        <v>2530.8253647157212</v>
      </c>
      <c r="AI29" s="129">
        <f t="shared" si="30"/>
        <v>2910.436745492068</v>
      </c>
      <c r="AJ29" s="129">
        <f t="shared" si="30"/>
        <v>2910.436745492068</v>
      </c>
      <c r="AK29" s="129">
        <f t="shared" si="30"/>
        <v>2910.436745492068</v>
      </c>
      <c r="AL29" s="129">
        <f t="shared" si="30"/>
        <v>2910.436745492068</v>
      </c>
      <c r="AM29" s="129">
        <f t="shared" si="30"/>
        <v>2910.436745492068</v>
      </c>
      <c r="AN29" s="129">
        <f t="shared" si="30"/>
        <v>3451.5682468086925</v>
      </c>
      <c r="AO29" s="129">
        <f t="shared" si="30"/>
        <v>3451.5682468086925</v>
      </c>
      <c r="AP29" s="129">
        <f t="shared" si="30"/>
        <v>3451.5682468086925</v>
      </c>
      <c r="AQ29" s="129">
        <f t="shared" si="30"/>
        <v>3451.5682468086925</v>
      </c>
      <c r="AR29" s="129">
        <f t="shared" si="30"/>
        <v>3451.5682468086925</v>
      </c>
      <c r="AS29" s="129">
        <f t="shared" si="30"/>
        <v>4333.4521744350832</v>
      </c>
      <c r="AT29" s="129">
        <f t="shared" si="30"/>
        <v>4333.4521744350832</v>
      </c>
      <c r="AU29" s="129">
        <f t="shared" si="30"/>
        <v>4333.4521744350832</v>
      </c>
      <c r="AV29" s="129">
        <f t="shared" si="30"/>
        <v>4333.4521744350832</v>
      </c>
      <c r="AW29" s="129">
        <f t="shared" si="30"/>
        <v>4333.4521744350832</v>
      </c>
      <c r="AX29" s="129">
        <f t="shared" si="30"/>
        <v>5975.278413058465</v>
      </c>
      <c r="AY29" s="129">
        <f t="shared" si="30"/>
        <v>5975.278413058465</v>
      </c>
      <c r="AZ29" s="129">
        <f t="shared" si="30"/>
        <v>5975.278413058465</v>
      </c>
      <c r="BA29" s="129">
        <f t="shared" si="30"/>
        <v>5975.278413058465</v>
      </c>
      <c r="BB29" s="129">
        <f t="shared" si="30"/>
        <v>5975.278413058465</v>
      </c>
      <c r="BC29" s="129">
        <f t="shared" si="30"/>
        <v>7704.0420282062896</v>
      </c>
      <c r="BD29" s="129">
        <f t="shared" si="30"/>
        <v>7704.0420282062896</v>
      </c>
      <c r="BE29" s="129">
        <f t="shared" si="30"/>
        <v>7704.0420282062896</v>
      </c>
      <c r="BF29" s="129">
        <f t="shared" si="30"/>
        <v>7704.0420282062896</v>
      </c>
      <c r="BG29" s="129">
        <f t="shared" si="30"/>
        <v>7704.0420282062896</v>
      </c>
      <c r="BH29" s="129">
        <f t="shared" si="30"/>
        <v>11128.799767397251</v>
      </c>
      <c r="BI29" s="129">
        <f t="shared" si="30"/>
        <v>11128.799767397251</v>
      </c>
      <c r="BJ29" s="129">
        <f t="shared" si="30"/>
        <v>11128.799767397251</v>
      </c>
      <c r="BK29" s="129">
        <f t="shared" si="30"/>
        <v>11128.799767397251</v>
      </c>
      <c r="BL29" s="129">
        <f t="shared" si="30"/>
        <v>11128.799767397251</v>
      </c>
      <c r="BM29" s="129">
        <f t="shared" si="30"/>
        <v>16782.229671402936</v>
      </c>
      <c r="BN29" s="129">
        <f t="shared" si="30"/>
        <v>16782.229671402936</v>
      </c>
      <c r="BO29" s="129">
        <f t="shared" si="30"/>
        <v>16782.229671402936</v>
      </c>
      <c r="BP29" s="129">
        <f t="shared" si="30"/>
        <v>16782.229671402936</v>
      </c>
      <c r="BQ29" s="129">
        <f t="shared" si="30"/>
        <v>16782.229671402936</v>
      </c>
      <c r="BR29" s="129">
        <f t="shared" si="30"/>
        <v>28143.248858429186</v>
      </c>
      <c r="BS29" s="129">
        <f t="shared" ref="BS29" si="31">BS30+BS31</f>
        <v>28143.248858429186</v>
      </c>
      <c r="BT29" s="129">
        <f>BT30+BT31</f>
        <v>28143.248858429186</v>
      </c>
      <c r="BU29" s="78"/>
      <c r="BV29" s="442"/>
    </row>
    <row r="30" spans="1:74" x14ac:dyDescent="0.25">
      <c r="A30" s="447"/>
      <c r="B30" s="423" t="s">
        <v>29</v>
      </c>
      <c r="C30" s="108">
        <f>'Calculs source'!X13</f>
        <v>1668.2711735361063</v>
      </c>
      <c r="D30" s="108">
        <f>'Calculs source'!X13</f>
        <v>1668.2711735361063</v>
      </c>
      <c r="E30" s="108">
        <f>'Calculs source'!X42</f>
        <v>1944.5552427997472</v>
      </c>
      <c r="F30" s="109">
        <f>E30</f>
        <v>1944.5552427997472</v>
      </c>
      <c r="G30" s="108">
        <f>F30</f>
        <v>1944.5552427997472</v>
      </c>
      <c r="H30" s="109">
        <f>G30</f>
        <v>1944.5552427997472</v>
      </c>
      <c r="I30" s="108">
        <f>'Calculs source'!X42</f>
        <v>1944.5552427997472</v>
      </c>
      <c r="J30" s="109">
        <f>'Calculs source'!$X$43</f>
        <v>2705.7574510131226</v>
      </c>
      <c r="K30" s="109">
        <f>'Calculs source'!$X$43</f>
        <v>2705.7574510131226</v>
      </c>
      <c r="L30" s="109">
        <f>'Calculs source'!$X$43</f>
        <v>2705.7574510131226</v>
      </c>
      <c r="M30" s="109">
        <f>'Calculs source'!$X$43</f>
        <v>2705.7574510131226</v>
      </c>
      <c r="N30" s="109">
        <f>'Calculs source'!$X$43</f>
        <v>2705.7574510131226</v>
      </c>
      <c r="O30" s="109">
        <f>'Calculs source'!$X$44</f>
        <v>2884.4518941268093</v>
      </c>
      <c r="P30" s="109">
        <f>'Calculs source'!$X$44</f>
        <v>2884.4518941268093</v>
      </c>
      <c r="Q30" s="109">
        <f>'Calculs source'!$X$44</f>
        <v>2884.4518941268093</v>
      </c>
      <c r="R30" s="109">
        <f>'Calculs source'!$X$44</f>
        <v>2884.4518941268093</v>
      </c>
      <c r="S30" s="109">
        <f>'Calculs source'!$X$44</f>
        <v>2884.4518941268093</v>
      </c>
      <c r="T30" s="109">
        <f>'Calculs source'!$X$45</f>
        <v>2539.9342080856391</v>
      </c>
      <c r="U30" s="109">
        <f>'Calculs source'!$X$45</f>
        <v>2539.9342080856391</v>
      </c>
      <c r="V30" s="109">
        <f>'Calculs source'!$X$45</f>
        <v>2539.9342080856391</v>
      </c>
      <c r="W30" s="109">
        <f>'Calculs source'!$X$45</f>
        <v>2539.9342080856391</v>
      </c>
      <c r="X30" s="109">
        <f>'Calculs source'!$X$45</f>
        <v>2539.9342080856391</v>
      </c>
      <c r="Y30" s="109">
        <f>'Calculs source'!$X$46</f>
        <v>2296.6151993341696</v>
      </c>
      <c r="Z30" s="109">
        <f>'Calculs source'!$X$46</f>
        <v>2296.6151993341696</v>
      </c>
      <c r="AA30" s="109">
        <f>'Calculs source'!$X$46</f>
        <v>2296.6151993341696</v>
      </c>
      <c r="AB30" s="109">
        <f>'Calculs source'!$X$46</f>
        <v>2296.6151993341696</v>
      </c>
      <c r="AC30" s="109">
        <f>'Calculs source'!$X$46</f>
        <v>2296.6151993341696</v>
      </c>
      <c r="AD30" s="109">
        <f>'Calculs source'!$X$47</f>
        <v>2530.8253647157212</v>
      </c>
      <c r="AE30" s="109">
        <f>'Calculs source'!$X$47</f>
        <v>2530.8253647157212</v>
      </c>
      <c r="AF30" s="109">
        <f>'Calculs source'!$X$47</f>
        <v>2530.8253647157212</v>
      </c>
      <c r="AG30" s="109">
        <f>'Calculs source'!$X$47</f>
        <v>2530.8253647157212</v>
      </c>
      <c r="AH30" s="109">
        <f>'Calculs source'!$X$47</f>
        <v>2530.8253647157212</v>
      </c>
      <c r="AI30" s="109">
        <f>'Calculs source'!$X$48</f>
        <v>2910.436745492068</v>
      </c>
      <c r="AJ30" s="109">
        <f>'Calculs source'!$X$48</f>
        <v>2910.436745492068</v>
      </c>
      <c r="AK30" s="109">
        <f>'Calculs source'!$X$48</f>
        <v>2910.436745492068</v>
      </c>
      <c r="AL30" s="109">
        <f>'Calculs source'!$X$48</f>
        <v>2910.436745492068</v>
      </c>
      <c r="AM30" s="109">
        <f>'Calculs source'!$X$48</f>
        <v>2910.436745492068</v>
      </c>
      <c r="AN30" s="109">
        <f>'Calculs source'!$X$49</f>
        <v>3451.5682468086925</v>
      </c>
      <c r="AO30" s="109">
        <f>'Calculs source'!$X$49</f>
        <v>3451.5682468086925</v>
      </c>
      <c r="AP30" s="109">
        <f>'Calculs source'!$X$49</f>
        <v>3451.5682468086925</v>
      </c>
      <c r="AQ30" s="109">
        <f>'Calculs source'!$X$49</f>
        <v>3451.5682468086925</v>
      </c>
      <c r="AR30" s="109">
        <f>'Calculs source'!$X$49</f>
        <v>3451.5682468086925</v>
      </c>
      <c r="AS30" s="109">
        <f>'Calculs source'!$X$50</f>
        <v>4333.4521744350832</v>
      </c>
      <c r="AT30" s="109">
        <f>'Calculs source'!$X$50</f>
        <v>4333.4521744350832</v>
      </c>
      <c r="AU30" s="109">
        <f>'Calculs source'!$X$50</f>
        <v>4333.4521744350832</v>
      </c>
      <c r="AV30" s="109">
        <f>'Calculs source'!$X$50</f>
        <v>4333.4521744350832</v>
      </c>
      <c r="AW30" s="109">
        <f>'Calculs source'!$X$50</f>
        <v>4333.4521744350832</v>
      </c>
      <c r="AX30" s="109">
        <f>'Calculs source'!$X$51</f>
        <v>5975.278413058465</v>
      </c>
      <c r="AY30" s="109">
        <f>'Calculs source'!$X$51</f>
        <v>5975.278413058465</v>
      </c>
      <c r="AZ30" s="109">
        <f>'Calculs source'!$X$51</f>
        <v>5975.278413058465</v>
      </c>
      <c r="BA30" s="109">
        <f>'Calculs source'!$X$51</f>
        <v>5975.278413058465</v>
      </c>
      <c r="BB30" s="109">
        <f>'Calculs source'!$X$51</f>
        <v>5975.278413058465</v>
      </c>
      <c r="BC30" s="109">
        <f>'Calculs source'!$X$52</f>
        <v>7704.0420282062896</v>
      </c>
      <c r="BD30" s="109">
        <f>'Calculs source'!$X$52</f>
        <v>7704.0420282062896</v>
      </c>
      <c r="BE30" s="109">
        <f>'Calculs source'!$X$52</f>
        <v>7704.0420282062896</v>
      </c>
      <c r="BF30" s="109">
        <f>'Calculs source'!$X$52</f>
        <v>7704.0420282062896</v>
      </c>
      <c r="BG30" s="109">
        <f>'Calculs source'!$X$52</f>
        <v>7704.0420282062896</v>
      </c>
      <c r="BH30" s="109">
        <f>'Calculs source'!$X$53</f>
        <v>11128.799767397251</v>
      </c>
      <c r="BI30" s="109">
        <f>'Calculs source'!$X$53</f>
        <v>11128.799767397251</v>
      </c>
      <c r="BJ30" s="109">
        <f>'Calculs source'!$X$53</f>
        <v>11128.799767397251</v>
      </c>
      <c r="BK30" s="109">
        <f>'Calculs source'!$X$53</f>
        <v>11128.799767397251</v>
      </c>
      <c r="BL30" s="109">
        <f>'Calculs source'!$X$53</f>
        <v>11128.799767397251</v>
      </c>
      <c r="BM30" s="109">
        <f>'Calculs source'!$X$54</f>
        <v>16782.229671402936</v>
      </c>
      <c r="BN30" s="109">
        <f>'Calculs source'!$X$54</f>
        <v>16782.229671402936</v>
      </c>
      <c r="BO30" s="109">
        <f>'Calculs source'!$X$54</f>
        <v>16782.229671402936</v>
      </c>
      <c r="BP30" s="109">
        <f>'Calculs source'!$X$54</f>
        <v>16782.229671402936</v>
      </c>
      <c r="BQ30" s="109">
        <f>'Calculs source'!$X$54</f>
        <v>16782.229671402936</v>
      </c>
      <c r="BR30" s="109">
        <f>'Calculs source'!$X$55</f>
        <v>28143.248858429186</v>
      </c>
      <c r="BS30" s="109">
        <f>'Calculs source'!$X$55</f>
        <v>28143.248858429186</v>
      </c>
      <c r="BT30" s="109">
        <f>'Calculs source'!$X$55</f>
        <v>28143.248858429186</v>
      </c>
      <c r="BU30" s="78"/>
      <c r="BV30" s="442"/>
    </row>
    <row r="31" spans="1:74" x14ac:dyDescent="0.25">
      <c r="A31" s="447"/>
      <c r="B31" s="423" t="s">
        <v>30</v>
      </c>
      <c r="C31" s="109">
        <f>'Calculs source'!G16*2</f>
        <v>12238</v>
      </c>
      <c r="D31" s="109">
        <f>'Calculs source'!G16*2</f>
        <v>12238</v>
      </c>
      <c r="E31" s="109">
        <f>'Calculs source'!G16*2</f>
        <v>12238</v>
      </c>
      <c r="F31" s="109"/>
      <c r="G31" s="109"/>
      <c r="H31" s="109"/>
      <c r="I31" s="122"/>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09"/>
      <c r="AT31" s="109"/>
      <c r="AU31" s="109"/>
      <c r="AV31" s="109"/>
      <c r="AW31" s="109"/>
      <c r="AX31" s="109"/>
      <c r="AY31" s="109"/>
      <c r="AZ31" s="109"/>
      <c r="BA31" s="109"/>
      <c r="BB31" s="109"/>
      <c r="BC31" s="109"/>
      <c r="BD31" s="109"/>
      <c r="BE31" s="109"/>
      <c r="BF31" s="109"/>
      <c r="BG31" s="109"/>
      <c r="BH31" s="109"/>
      <c r="BI31" s="109"/>
      <c r="BJ31" s="109"/>
      <c r="BK31" s="109"/>
      <c r="BL31" s="109"/>
      <c r="BM31" s="109"/>
      <c r="BN31" s="109"/>
      <c r="BO31" s="109"/>
      <c r="BP31" s="109"/>
      <c r="BQ31" s="109"/>
      <c r="BR31" s="109"/>
      <c r="BS31" s="109"/>
      <c r="BT31" s="109"/>
      <c r="BU31" s="78"/>
      <c r="BV31" s="442"/>
    </row>
    <row r="32" spans="1:74" s="121" customFormat="1" x14ac:dyDescent="0.25">
      <c r="A32" s="447"/>
      <c r="B32" s="121" t="s">
        <v>31</v>
      </c>
      <c r="C32" s="129">
        <f t="shared" ref="C32:E32" si="32">C33+C34</f>
        <v>0</v>
      </c>
      <c r="D32" s="129">
        <f t="shared" si="32"/>
        <v>0</v>
      </c>
      <c r="E32" s="129">
        <f t="shared" si="32"/>
        <v>0</v>
      </c>
      <c r="F32" s="129">
        <f>F33+F34</f>
        <v>0</v>
      </c>
      <c r="G32" s="129">
        <f t="shared" ref="G32:BR32" si="33">G33+G34</f>
        <v>0</v>
      </c>
      <c r="H32" s="129">
        <f t="shared" si="33"/>
        <v>0</v>
      </c>
      <c r="I32" s="129">
        <f t="shared" si="33"/>
        <v>0</v>
      </c>
      <c r="J32" s="129">
        <f t="shared" si="33"/>
        <v>0</v>
      </c>
      <c r="K32" s="129">
        <f t="shared" si="33"/>
        <v>0</v>
      </c>
      <c r="L32" s="129">
        <f t="shared" si="33"/>
        <v>0</v>
      </c>
      <c r="M32" s="129">
        <f t="shared" si="33"/>
        <v>0</v>
      </c>
      <c r="N32" s="129">
        <f t="shared" si="33"/>
        <v>0</v>
      </c>
      <c r="O32" s="129">
        <f t="shared" si="33"/>
        <v>0</v>
      </c>
      <c r="P32" s="129">
        <f t="shared" si="33"/>
        <v>0</v>
      </c>
      <c r="Q32" s="129">
        <f t="shared" si="33"/>
        <v>0</v>
      </c>
      <c r="R32" s="129">
        <f t="shared" si="33"/>
        <v>0</v>
      </c>
      <c r="S32" s="129">
        <f t="shared" si="33"/>
        <v>0</v>
      </c>
      <c r="T32" s="129">
        <f t="shared" si="33"/>
        <v>0</v>
      </c>
      <c r="U32" s="129">
        <f t="shared" si="33"/>
        <v>0</v>
      </c>
      <c r="V32" s="129">
        <f t="shared" si="33"/>
        <v>0</v>
      </c>
      <c r="W32" s="129">
        <f t="shared" si="33"/>
        <v>0</v>
      </c>
      <c r="X32" s="129">
        <f t="shared" si="33"/>
        <v>0</v>
      </c>
      <c r="Y32" s="129">
        <f t="shared" si="33"/>
        <v>0</v>
      </c>
      <c r="Z32" s="129">
        <f t="shared" si="33"/>
        <v>0</v>
      </c>
      <c r="AA32" s="129">
        <f t="shared" si="33"/>
        <v>0</v>
      </c>
      <c r="AB32" s="129">
        <f t="shared" si="33"/>
        <v>0</v>
      </c>
      <c r="AC32" s="129">
        <f t="shared" si="33"/>
        <v>0</v>
      </c>
      <c r="AD32" s="129">
        <f t="shared" si="33"/>
        <v>0</v>
      </c>
      <c r="AE32" s="129">
        <f t="shared" si="33"/>
        <v>0</v>
      </c>
      <c r="AF32" s="129">
        <f t="shared" si="33"/>
        <v>0</v>
      </c>
      <c r="AG32" s="129">
        <f t="shared" si="33"/>
        <v>0</v>
      </c>
      <c r="AH32" s="129">
        <f t="shared" si="33"/>
        <v>0</v>
      </c>
      <c r="AI32" s="129">
        <f t="shared" si="33"/>
        <v>0</v>
      </c>
      <c r="AJ32" s="129">
        <f t="shared" si="33"/>
        <v>0</v>
      </c>
      <c r="AK32" s="129">
        <f t="shared" si="33"/>
        <v>0</v>
      </c>
      <c r="AL32" s="129">
        <f t="shared" si="33"/>
        <v>0</v>
      </c>
      <c r="AM32" s="129">
        <f t="shared" si="33"/>
        <v>0</v>
      </c>
      <c r="AN32" s="129">
        <f t="shared" si="33"/>
        <v>0</v>
      </c>
      <c r="AO32" s="129">
        <f t="shared" si="33"/>
        <v>0</v>
      </c>
      <c r="AP32" s="129">
        <f t="shared" si="33"/>
        <v>0</v>
      </c>
      <c r="AQ32" s="129">
        <f t="shared" si="33"/>
        <v>0</v>
      </c>
      <c r="AR32" s="129">
        <f t="shared" si="33"/>
        <v>0</v>
      </c>
      <c r="AS32" s="129">
        <f t="shared" si="33"/>
        <v>505.01885057796011</v>
      </c>
      <c r="AT32" s="129">
        <f t="shared" si="33"/>
        <v>9010.1400606619918</v>
      </c>
      <c r="AU32" s="129">
        <f t="shared" si="33"/>
        <v>9010.1400606619918</v>
      </c>
      <c r="AV32" s="129">
        <f t="shared" si="33"/>
        <v>9010.1400606619918</v>
      </c>
      <c r="AW32" s="129">
        <f t="shared" si="33"/>
        <v>9010.1400606619918</v>
      </c>
      <c r="AX32" s="129">
        <f t="shared" si="33"/>
        <v>9877.2247965157385</v>
      </c>
      <c r="AY32" s="129">
        <f t="shared" si="33"/>
        <v>9877.2247965157385</v>
      </c>
      <c r="AZ32" s="129">
        <f t="shared" si="33"/>
        <v>9877.2247965157385</v>
      </c>
      <c r="BA32" s="129">
        <f t="shared" si="33"/>
        <v>9877.2247965157385</v>
      </c>
      <c r="BB32" s="129">
        <f t="shared" si="33"/>
        <v>9877.2247965157385</v>
      </c>
      <c r="BC32" s="129">
        <f t="shared" si="33"/>
        <v>9877.2247965157385</v>
      </c>
      <c r="BD32" s="129">
        <f t="shared" si="33"/>
        <v>9877.2247965157385</v>
      </c>
      <c r="BE32" s="129">
        <f t="shared" si="33"/>
        <v>9877.2247965157385</v>
      </c>
      <c r="BF32" s="129">
        <f t="shared" si="33"/>
        <v>9877.2247965157385</v>
      </c>
      <c r="BG32" s="129">
        <f t="shared" si="33"/>
        <v>9877.2247965157385</v>
      </c>
      <c r="BH32" s="129">
        <f t="shared" si="33"/>
        <v>9877.2247965157385</v>
      </c>
      <c r="BI32" s="129">
        <f t="shared" si="33"/>
        <v>9877.2247965157385</v>
      </c>
      <c r="BJ32" s="129">
        <f t="shared" si="33"/>
        <v>9877.2247965157385</v>
      </c>
      <c r="BK32" s="129">
        <f t="shared" si="33"/>
        <v>9877.2247965157385</v>
      </c>
      <c r="BL32" s="129">
        <f t="shared" si="33"/>
        <v>9877.2247965157385</v>
      </c>
      <c r="BM32" s="129">
        <f t="shared" si="33"/>
        <v>9877.2247965157385</v>
      </c>
      <c r="BN32" s="129">
        <f t="shared" si="33"/>
        <v>9877.2247965157385</v>
      </c>
      <c r="BO32" s="129">
        <f t="shared" si="33"/>
        <v>9877.2247965157385</v>
      </c>
      <c r="BP32" s="129">
        <f t="shared" si="33"/>
        <v>9877.2247965157385</v>
      </c>
      <c r="BQ32" s="129">
        <f t="shared" si="33"/>
        <v>9877.2247965157385</v>
      </c>
      <c r="BR32" s="129">
        <f t="shared" si="33"/>
        <v>9877.2247965157385</v>
      </c>
      <c r="BS32" s="129">
        <f t="shared" ref="BS32" si="34">BS33+BS34</f>
        <v>9877.2247965157385</v>
      </c>
      <c r="BT32" s="129">
        <f>BT33+BT34</f>
        <v>9877.2247965157385</v>
      </c>
      <c r="BU32" s="78"/>
      <c r="BV32" s="442"/>
    </row>
    <row r="33" spans="1:74" x14ac:dyDescent="0.25">
      <c r="A33" s="447"/>
      <c r="B33" s="423" t="s">
        <v>32</v>
      </c>
      <c r="C33" s="122"/>
      <c r="D33" s="122"/>
      <c r="E33" s="122"/>
      <c r="F33" s="109"/>
      <c r="G33" s="122"/>
      <c r="H33" s="109"/>
      <c r="I33" s="122"/>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09"/>
      <c r="AT33" s="109">
        <f>'Calculs source'!$G$120</f>
        <v>8505.1212100840312</v>
      </c>
      <c r="AU33" s="109">
        <f>'Calculs source'!$G$120</f>
        <v>8505.1212100840312</v>
      </c>
      <c r="AV33" s="109">
        <f>'Calculs source'!$G$120</f>
        <v>8505.1212100840312</v>
      </c>
      <c r="AW33" s="109">
        <f>'Calculs source'!$G$120</f>
        <v>8505.1212100840312</v>
      </c>
      <c r="AX33" s="109">
        <f>'Calculs source'!$G$120</f>
        <v>8505.1212100840312</v>
      </c>
      <c r="AY33" s="109">
        <f>'Calculs source'!$G$120</f>
        <v>8505.1212100840312</v>
      </c>
      <c r="AZ33" s="109">
        <f>'Calculs source'!$G$120</f>
        <v>8505.1212100840312</v>
      </c>
      <c r="BA33" s="109">
        <f>'Calculs source'!$G$120</f>
        <v>8505.1212100840312</v>
      </c>
      <c r="BB33" s="109">
        <f>'Calculs source'!$G$120</f>
        <v>8505.1212100840312</v>
      </c>
      <c r="BC33" s="109">
        <f>'Calculs source'!$G$120</f>
        <v>8505.1212100840312</v>
      </c>
      <c r="BD33" s="109">
        <f>'Calculs source'!$G$120</f>
        <v>8505.1212100840312</v>
      </c>
      <c r="BE33" s="109">
        <f>'Calculs source'!$G$120</f>
        <v>8505.1212100840312</v>
      </c>
      <c r="BF33" s="109">
        <f>'Calculs source'!$G$120</f>
        <v>8505.1212100840312</v>
      </c>
      <c r="BG33" s="109">
        <f>'Calculs source'!$G$120</f>
        <v>8505.1212100840312</v>
      </c>
      <c r="BH33" s="109">
        <f>'Calculs source'!$G$120</f>
        <v>8505.1212100840312</v>
      </c>
      <c r="BI33" s="109">
        <f>'Calculs source'!$G$120</f>
        <v>8505.1212100840312</v>
      </c>
      <c r="BJ33" s="109">
        <f>'Calculs source'!$G$120</f>
        <v>8505.1212100840312</v>
      </c>
      <c r="BK33" s="109">
        <f>'Calculs source'!$G$120</f>
        <v>8505.1212100840312</v>
      </c>
      <c r="BL33" s="109">
        <f>'Calculs source'!$G$120</f>
        <v>8505.1212100840312</v>
      </c>
      <c r="BM33" s="109">
        <f>'Calculs source'!$G$120</f>
        <v>8505.1212100840312</v>
      </c>
      <c r="BN33" s="109">
        <f>'Calculs source'!$G$120</f>
        <v>8505.1212100840312</v>
      </c>
      <c r="BO33" s="109">
        <f>'Calculs source'!$G$120</f>
        <v>8505.1212100840312</v>
      </c>
      <c r="BP33" s="109">
        <f>'Calculs source'!$G$120</f>
        <v>8505.1212100840312</v>
      </c>
      <c r="BQ33" s="109">
        <f>'Calculs source'!$G$120</f>
        <v>8505.1212100840312</v>
      </c>
      <c r="BR33" s="109">
        <f>'Calculs source'!$G$120</f>
        <v>8505.1212100840312</v>
      </c>
      <c r="BS33" s="109">
        <f>'Calculs source'!$G$120</f>
        <v>8505.1212100840312</v>
      </c>
      <c r="BT33" s="109">
        <f>'Calculs source'!$G$120</f>
        <v>8505.1212100840312</v>
      </c>
      <c r="BU33" s="78"/>
      <c r="BV33" s="442"/>
    </row>
    <row r="34" spans="1:74" x14ac:dyDescent="0.25">
      <c r="A34" s="447"/>
      <c r="B34" s="423" t="s">
        <v>33</v>
      </c>
      <c r="C34" s="122"/>
      <c r="D34" s="122"/>
      <c r="E34" s="122"/>
      <c r="F34" s="109"/>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09">
        <f>'Calculs source'!$X$39</f>
        <v>505.01885057796011</v>
      </c>
      <c r="AT34" s="109">
        <f>'Calculs source'!$X$39</f>
        <v>505.01885057796011</v>
      </c>
      <c r="AU34" s="109">
        <f>'Calculs source'!$X$39</f>
        <v>505.01885057796011</v>
      </c>
      <c r="AV34" s="109">
        <f>'Calculs source'!$X$39</f>
        <v>505.01885057796011</v>
      </c>
      <c r="AW34" s="109">
        <f>'Calculs source'!$X$39</f>
        <v>505.01885057796011</v>
      </c>
      <c r="AX34" s="109">
        <f>'Calculs source'!$X$40</f>
        <v>1372.1035864317068</v>
      </c>
      <c r="AY34" s="109">
        <f>'Calculs source'!$X$40</f>
        <v>1372.1035864317068</v>
      </c>
      <c r="AZ34" s="109">
        <f>'Calculs source'!$X$40</f>
        <v>1372.1035864317068</v>
      </c>
      <c r="BA34" s="109">
        <f>'Calculs source'!$X$40</f>
        <v>1372.1035864317068</v>
      </c>
      <c r="BB34" s="109">
        <f>'Calculs source'!$X$40</f>
        <v>1372.1035864317068</v>
      </c>
      <c r="BC34" s="109">
        <f>'Calculs source'!$X$40</f>
        <v>1372.1035864317068</v>
      </c>
      <c r="BD34" s="109">
        <f>'Calculs source'!$X$40</f>
        <v>1372.1035864317068</v>
      </c>
      <c r="BE34" s="109">
        <f>'Calculs source'!$X$40</f>
        <v>1372.1035864317068</v>
      </c>
      <c r="BF34" s="109">
        <f>'Calculs source'!$X$40</f>
        <v>1372.1035864317068</v>
      </c>
      <c r="BG34" s="109">
        <f>'Calculs source'!$X$40</f>
        <v>1372.1035864317068</v>
      </c>
      <c r="BH34" s="109">
        <f>'Calculs source'!$X$40</f>
        <v>1372.1035864317068</v>
      </c>
      <c r="BI34" s="109">
        <f>'Calculs source'!$X$40</f>
        <v>1372.1035864317068</v>
      </c>
      <c r="BJ34" s="109">
        <f>'Calculs source'!$X$40</f>
        <v>1372.1035864317068</v>
      </c>
      <c r="BK34" s="109">
        <f>'Calculs source'!$X$40</f>
        <v>1372.1035864317068</v>
      </c>
      <c r="BL34" s="109">
        <f>'Calculs source'!$X$40</f>
        <v>1372.1035864317068</v>
      </c>
      <c r="BM34" s="109">
        <f>'Calculs source'!$X$40</f>
        <v>1372.1035864317068</v>
      </c>
      <c r="BN34" s="109">
        <f>'Calculs source'!$X$40</f>
        <v>1372.1035864317068</v>
      </c>
      <c r="BO34" s="109">
        <f>'Calculs source'!$X$40</f>
        <v>1372.1035864317068</v>
      </c>
      <c r="BP34" s="109">
        <f>'Calculs source'!$X$40</f>
        <v>1372.1035864317068</v>
      </c>
      <c r="BQ34" s="109">
        <f>'Calculs source'!$X$40</f>
        <v>1372.1035864317068</v>
      </c>
      <c r="BR34" s="109">
        <f>'Calculs source'!$X$40</f>
        <v>1372.1035864317068</v>
      </c>
      <c r="BS34" s="109">
        <f>'Calculs source'!$X$40</f>
        <v>1372.1035864317068</v>
      </c>
      <c r="BT34" s="109">
        <f>'Calculs source'!$X$40</f>
        <v>1372.1035864317068</v>
      </c>
      <c r="BU34" s="78"/>
      <c r="BV34" s="442"/>
    </row>
    <row r="35" spans="1:74" ht="27" customHeight="1" x14ac:dyDescent="0.25">
      <c r="A35" s="448"/>
      <c r="B35" s="425" t="s">
        <v>34</v>
      </c>
      <c r="C35" s="109">
        <f t="shared" ref="C35:E35" si="35">C23+C29+C32</f>
        <v>14477.271173536106</v>
      </c>
      <c r="D35" s="109">
        <f t="shared" si="35"/>
        <v>14477.271173536106</v>
      </c>
      <c r="E35" s="109">
        <f t="shared" si="35"/>
        <v>14753.555242799746</v>
      </c>
      <c r="F35" s="109">
        <f>F23+F29+F32</f>
        <v>3358.5552427997472</v>
      </c>
      <c r="G35" s="109">
        <f t="shared" ref="G35:BR35" si="36">G23+G29+G32</f>
        <v>3358.5552427997472</v>
      </c>
      <c r="H35" s="109">
        <f t="shared" si="36"/>
        <v>3339.5062747997472</v>
      </c>
      <c r="I35" s="109">
        <f t="shared" si="36"/>
        <v>3270.7133647997471</v>
      </c>
      <c r="J35" s="439">
        <f t="shared" si="36"/>
        <v>3916.9642450131228</v>
      </c>
      <c r="K35" s="109">
        <f t="shared" si="36"/>
        <v>3781.2167950131225</v>
      </c>
      <c r="L35" s="109">
        <f t="shared" si="36"/>
        <v>3615.9720050131227</v>
      </c>
      <c r="M35" s="109">
        <f t="shared" si="36"/>
        <v>3461.1617550131227</v>
      </c>
      <c r="N35" s="109">
        <f t="shared" si="36"/>
        <v>3295.8769650131226</v>
      </c>
      <c r="O35" s="109">
        <f t="shared" si="36"/>
        <v>3307.6249661268093</v>
      </c>
      <c r="P35" s="109">
        <f t="shared" si="36"/>
        <v>3166.1639841268097</v>
      </c>
      <c r="Q35" s="109">
        <f t="shared" si="36"/>
        <v>3062.9518941268093</v>
      </c>
      <c r="R35" s="109">
        <f t="shared" si="36"/>
        <v>3062.9518941268093</v>
      </c>
      <c r="S35" s="109">
        <f t="shared" si="36"/>
        <v>3062.9518941268093</v>
      </c>
      <c r="T35" s="109">
        <f t="shared" si="36"/>
        <v>2718.4342080856391</v>
      </c>
      <c r="U35" s="109">
        <f t="shared" si="36"/>
        <v>2718.4342080856391</v>
      </c>
      <c r="V35" s="109">
        <f t="shared" si="36"/>
        <v>2718.4342080856391</v>
      </c>
      <c r="W35" s="109">
        <f t="shared" si="36"/>
        <v>2718.4342080856391</v>
      </c>
      <c r="X35" s="109">
        <f t="shared" si="36"/>
        <v>2718.4342080856391</v>
      </c>
      <c r="Y35" s="79">
        <f t="shared" si="36"/>
        <v>2475.1151993341696</v>
      </c>
      <c r="Z35" s="109">
        <f t="shared" si="36"/>
        <v>2475.1151993341696</v>
      </c>
      <c r="AA35" s="109">
        <f t="shared" si="36"/>
        <v>2475.1151993341696</v>
      </c>
      <c r="AB35" s="109">
        <f t="shared" si="36"/>
        <v>2475.1151993341696</v>
      </c>
      <c r="AC35" s="109">
        <f t="shared" si="36"/>
        <v>2475.1151993341696</v>
      </c>
      <c r="AD35" s="109">
        <f t="shared" si="36"/>
        <v>2709.3253647157212</v>
      </c>
      <c r="AE35" s="109">
        <f t="shared" si="36"/>
        <v>2709.3253647157212</v>
      </c>
      <c r="AF35" s="109">
        <f t="shared" si="36"/>
        <v>2709.3253647157212</v>
      </c>
      <c r="AG35" s="109">
        <f t="shared" si="36"/>
        <v>2709.3253647157212</v>
      </c>
      <c r="AH35" s="109">
        <f t="shared" si="36"/>
        <v>2709.3253647157212</v>
      </c>
      <c r="AI35" s="109">
        <f t="shared" si="36"/>
        <v>3088.936745492068</v>
      </c>
      <c r="AJ35" s="109">
        <f t="shared" si="36"/>
        <v>3088.936745492068</v>
      </c>
      <c r="AK35" s="109">
        <f t="shared" si="36"/>
        <v>3088.936745492068</v>
      </c>
      <c r="AL35" s="109">
        <f t="shared" si="36"/>
        <v>3088.936745492068</v>
      </c>
      <c r="AM35" s="109">
        <f t="shared" si="36"/>
        <v>3088.936745492068</v>
      </c>
      <c r="AN35" s="109">
        <f t="shared" si="36"/>
        <v>3630.0682468086925</v>
      </c>
      <c r="AO35" s="109">
        <f t="shared" si="36"/>
        <v>3630.0682468086925</v>
      </c>
      <c r="AP35" s="109">
        <f t="shared" si="36"/>
        <v>3630.0682468086925</v>
      </c>
      <c r="AQ35" s="109">
        <f t="shared" si="36"/>
        <v>3630.0682468086925</v>
      </c>
      <c r="AR35" s="109">
        <f t="shared" si="36"/>
        <v>3630.0682468086925</v>
      </c>
      <c r="AS35" s="109">
        <f t="shared" si="36"/>
        <v>5609.7110250130427</v>
      </c>
      <c r="AT35" s="109">
        <f t="shared" si="36"/>
        <v>13388.512235097074</v>
      </c>
      <c r="AU35" s="109">
        <f t="shared" si="36"/>
        <v>13388.512235097074</v>
      </c>
      <c r="AV35" s="109">
        <f t="shared" si="36"/>
        <v>13388.512235097074</v>
      </c>
      <c r="AW35" s="109">
        <f t="shared" si="36"/>
        <v>13388.512235097074</v>
      </c>
      <c r="AX35" s="109">
        <f t="shared" si="36"/>
        <v>23453.733209574202</v>
      </c>
      <c r="AY35" s="109">
        <f t="shared" si="36"/>
        <v>23453.733209574202</v>
      </c>
      <c r="AZ35" s="109">
        <f t="shared" si="36"/>
        <v>23453.733209574202</v>
      </c>
      <c r="BA35" s="109">
        <f t="shared" si="36"/>
        <v>23453.733209574202</v>
      </c>
      <c r="BB35" s="109">
        <f t="shared" si="36"/>
        <v>23453.733209574202</v>
      </c>
      <c r="BC35" s="109">
        <f t="shared" si="36"/>
        <v>25182.496824722031</v>
      </c>
      <c r="BD35" s="109">
        <f t="shared" si="36"/>
        <v>25182.496824722031</v>
      </c>
      <c r="BE35" s="109">
        <f t="shared" si="36"/>
        <v>25182.496824722031</v>
      </c>
      <c r="BF35" s="109">
        <f t="shared" si="36"/>
        <v>25182.496824722031</v>
      </c>
      <c r="BG35" s="109">
        <f t="shared" si="36"/>
        <v>25182.496824722031</v>
      </c>
      <c r="BH35" s="109">
        <f t="shared" si="36"/>
        <v>29212.254563912989</v>
      </c>
      <c r="BI35" s="109">
        <f t="shared" si="36"/>
        <v>29212.254563912989</v>
      </c>
      <c r="BJ35" s="109">
        <f t="shared" si="36"/>
        <v>29212.254563912989</v>
      </c>
      <c r="BK35" s="109">
        <f t="shared" si="36"/>
        <v>29212.254563912989</v>
      </c>
      <c r="BL35" s="109">
        <f t="shared" si="36"/>
        <v>29212.254563912989</v>
      </c>
      <c r="BM35" s="109">
        <f t="shared" si="36"/>
        <v>34865.684467918676</v>
      </c>
      <c r="BN35" s="109">
        <f t="shared" si="36"/>
        <v>34865.684467918676</v>
      </c>
      <c r="BO35" s="109">
        <f t="shared" si="36"/>
        <v>34865.684467918676</v>
      </c>
      <c r="BP35" s="109">
        <f t="shared" si="36"/>
        <v>34865.684467918676</v>
      </c>
      <c r="BQ35" s="109">
        <f t="shared" si="36"/>
        <v>34865.684467918676</v>
      </c>
      <c r="BR35" s="109">
        <f t="shared" si="36"/>
        <v>46226.703654944919</v>
      </c>
      <c r="BS35" s="109">
        <f t="shared" ref="BS35:BT35" si="37">BS23+BS29+BS32</f>
        <v>46226.703654944919</v>
      </c>
      <c r="BT35" s="109">
        <f t="shared" si="37"/>
        <v>46226.703654944919</v>
      </c>
      <c r="BU35" s="78"/>
      <c r="BV35" s="423"/>
    </row>
    <row r="36" spans="1:74" x14ac:dyDescent="0.25">
      <c r="A36" s="123"/>
      <c r="B36" s="425" t="s">
        <v>1107</v>
      </c>
      <c r="C36" s="109">
        <f>C35-C22</f>
        <v>12932.364856786106</v>
      </c>
      <c r="D36" s="109">
        <f t="shared" ref="D36:BO36" si="38">D35-D22</f>
        <v>12932.364856786106</v>
      </c>
      <c r="E36" s="109">
        <f t="shared" si="38"/>
        <v>13208.648926049746</v>
      </c>
      <c r="F36" s="109">
        <f t="shared" si="38"/>
        <v>-5235.8383534990671</v>
      </c>
      <c r="G36" s="109">
        <f t="shared" si="38"/>
        <v>-5587.311701219066</v>
      </c>
      <c r="H36" s="109">
        <f t="shared" si="38"/>
        <v>-6075.7268692990656</v>
      </c>
      <c r="I36" s="109">
        <f t="shared" si="38"/>
        <v>-6572.025251499068</v>
      </c>
      <c r="J36" s="109">
        <f t="shared" si="38"/>
        <v>-6910.552152995002</v>
      </c>
      <c r="K36" s="109">
        <f t="shared" si="38"/>
        <v>-7509.5097819950024</v>
      </c>
      <c r="L36" s="109">
        <f t="shared" si="38"/>
        <v>-8238.4488337950024</v>
      </c>
      <c r="M36" s="109">
        <f t="shared" si="38"/>
        <v>-8921.4271387950012</v>
      </c>
      <c r="N36" s="109">
        <f t="shared" si="38"/>
        <v>-9650.5831905949999</v>
      </c>
      <c r="O36" s="109">
        <f t="shared" si="38"/>
        <v>-10322.436660528387</v>
      </c>
      <c r="P36" s="109">
        <f t="shared" si="38"/>
        <v>-11105.118694968385</v>
      </c>
      <c r="Q36" s="109">
        <f t="shared" si="38"/>
        <v>-11939.285073958386</v>
      </c>
      <c r="R36" s="109">
        <f t="shared" si="38"/>
        <v>-11939.217508268386</v>
      </c>
      <c r="S36" s="109">
        <f t="shared" si="38"/>
        <v>-11939.217508268386</v>
      </c>
      <c r="T36" s="109">
        <f t="shared" si="38"/>
        <v>-12304.190282372178</v>
      </c>
      <c r="U36" s="109">
        <f t="shared" si="38"/>
        <v>-12304.190282372178</v>
      </c>
      <c r="V36" s="109">
        <f t="shared" si="38"/>
        <v>-12304.190282372178</v>
      </c>
      <c r="W36" s="109">
        <f t="shared" si="38"/>
        <v>-12304.190282372178</v>
      </c>
      <c r="X36" s="109">
        <f t="shared" si="38"/>
        <v>-12304.190282372178</v>
      </c>
      <c r="Y36" s="109">
        <f t="shared" si="38"/>
        <v>-12556.083365922517</v>
      </c>
      <c r="Z36" s="109">
        <f t="shared" si="38"/>
        <v>-12556.083365922517</v>
      </c>
      <c r="AA36" s="109">
        <f t="shared" si="38"/>
        <v>-12556.083365922517</v>
      </c>
      <c r="AB36" s="109">
        <f t="shared" si="38"/>
        <v>-12556.083365922517</v>
      </c>
      <c r="AC36" s="109">
        <f t="shared" si="38"/>
        <v>-12556.083365922517</v>
      </c>
      <c r="AD36" s="109">
        <f t="shared" si="38"/>
        <v>-12318.566262076081</v>
      </c>
      <c r="AE36" s="109">
        <f t="shared" si="38"/>
        <v>-12318.566262076081</v>
      </c>
      <c r="AF36" s="109">
        <f t="shared" si="38"/>
        <v>-12318.566262076081</v>
      </c>
      <c r="AG36" s="109">
        <f t="shared" si="38"/>
        <v>-12318.566262076081</v>
      </c>
      <c r="AH36" s="109">
        <f t="shared" si="38"/>
        <v>-12318.566262076081</v>
      </c>
      <c r="AI36" s="109">
        <f t="shared" si="38"/>
        <v>-11923.766929571098</v>
      </c>
      <c r="AJ36" s="109">
        <f t="shared" si="38"/>
        <v>-11923.766929571098</v>
      </c>
      <c r="AK36" s="109">
        <f t="shared" si="38"/>
        <v>-11923.766929571098</v>
      </c>
      <c r="AL36" s="109">
        <f t="shared" si="38"/>
        <v>-11923.766929571098</v>
      </c>
      <c r="AM36" s="109">
        <f t="shared" si="38"/>
        <v>-11923.766929571098</v>
      </c>
      <c r="AN36" s="109">
        <f t="shared" si="38"/>
        <v>-11355.566463262083</v>
      </c>
      <c r="AO36" s="109">
        <f t="shared" si="38"/>
        <v>-11355.566463262083</v>
      </c>
      <c r="AP36" s="109">
        <f t="shared" si="38"/>
        <v>-11355.566463262083</v>
      </c>
      <c r="AQ36" s="109">
        <f t="shared" si="38"/>
        <v>-11355.566463262083</v>
      </c>
      <c r="AR36" s="109">
        <f t="shared" si="38"/>
        <v>-11355.566463262083</v>
      </c>
      <c r="AS36" s="109">
        <f t="shared" si="38"/>
        <v>-4365.2806223015905</v>
      </c>
      <c r="AT36" s="109">
        <f t="shared" si="38"/>
        <v>347.48998778243913</v>
      </c>
      <c r="AU36" s="109">
        <f t="shared" si="38"/>
        <v>347.48998778243913</v>
      </c>
      <c r="AV36" s="109">
        <f t="shared" si="38"/>
        <v>347.48998778243913</v>
      </c>
      <c r="AW36" s="109">
        <f t="shared" si="38"/>
        <v>347.48998778243913</v>
      </c>
      <c r="AX36" s="109">
        <f t="shared" si="38"/>
        <v>13941.011003779466</v>
      </c>
      <c r="AY36" s="109">
        <f t="shared" si="38"/>
        <v>13941.011003779466</v>
      </c>
      <c r="AZ36" s="109">
        <f t="shared" si="38"/>
        <v>13941.011003779466</v>
      </c>
      <c r="BA36" s="109">
        <f t="shared" si="38"/>
        <v>13941.011003779466</v>
      </c>
      <c r="BB36" s="109">
        <f t="shared" si="38"/>
        <v>13941.011003779466</v>
      </c>
      <c r="BC36" s="109">
        <f t="shared" si="38"/>
        <v>15732.486623710942</v>
      </c>
      <c r="BD36" s="109">
        <f t="shared" si="38"/>
        <v>15732.486623710942</v>
      </c>
      <c r="BE36" s="109">
        <f t="shared" si="38"/>
        <v>15732.486623710942</v>
      </c>
      <c r="BF36" s="109">
        <f t="shared" si="38"/>
        <v>15732.486623710942</v>
      </c>
      <c r="BG36" s="109">
        <f t="shared" si="38"/>
        <v>15732.486623710942</v>
      </c>
      <c r="BH36" s="109">
        <f t="shared" si="38"/>
        <v>19836.837380949302</v>
      </c>
      <c r="BI36" s="109">
        <f t="shared" si="38"/>
        <v>19836.837380949302</v>
      </c>
      <c r="BJ36" s="109">
        <f t="shared" si="38"/>
        <v>19836.837380949302</v>
      </c>
      <c r="BK36" s="109">
        <f t="shared" si="38"/>
        <v>19836.837380949302</v>
      </c>
      <c r="BL36" s="109">
        <f t="shared" si="38"/>
        <v>19836.837380949302</v>
      </c>
      <c r="BM36" s="109">
        <f t="shared" si="38"/>
        <v>25576.741316266143</v>
      </c>
      <c r="BN36" s="109">
        <f t="shared" si="38"/>
        <v>25576.741316266143</v>
      </c>
      <c r="BO36" s="109">
        <f t="shared" si="38"/>
        <v>25576.741316266143</v>
      </c>
      <c r="BP36" s="109">
        <f t="shared" ref="BP36:BT36" si="39">BP35-BP22</f>
        <v>25576.741316266143</v>
      </c>
      <c r="BQ36" s="109">
        <f t="shared" si="39"/>
        <v>25576.741316266143</v>
      </c>
      <c r="BR36" s="109">
        <f t="shared" si="39"/>
        <v>37036.115547867295</v>
      </c>
      <c r="BS36" s="109">
        <f t="shared" si="39"/>
        <v>37036.115547867295</v>
      </c>
      <c r="BT36" s="109">
        <f t="shared" si="39"/>
        <v>37036.115547867295</v>
      </c>
      <c r="BU36" s="423"/>
      <c r="BV36" s="273"/>
    </row>
    <row r="37" spans="1:74" x14ac:dyDescent="0.25">
      <c r="A37" s="123"/>
      <c r="B37" s="425"/>
      <c r="C37" s="122"/>
      <c r="D37" s="122"/>
      <c r="E37" s="122"/>
      <c r="F37" s="229"/>
      <c r="G37" s="122"/>
      <c r="H37" s="109"/>
      <c r="I37" s="122"/>
      <c r="J37" s="109"/>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c r="BO37" s="109"/>
      <c r="BP37" s="109"/>
      <c r="BQ37" s="109"/>
      <c r="BR37" s="109"/>
      <c r="BS37" s="109"/>
      <c r="BT37" s="109"/>
      <c r="BU37" s="423"/>
      <c r="BV37" s="423"/>
    </row>
    <row r="38" spans="1:74" x14ac:dyDescent="0.25">
      <c r="A38" s="123"/>
      <c r="B38" s="226" t="s">
        <v>35</v>
      </c>
      <c r="C38" s="109">
        <f>C7+C9-C22+C23+C33+C19</f>
        <v>7743.6465805934249</v>
      </c>
      <c r="D38" s="109">
        <f t="shared" ref="D38:BG38" si="40">D7+D9-D22+D23+D33+D19</f>
        <v>7743.6465805934249</v>
      </c>
      <c r="E38" s="109">
        <f t="shared" si="40"/>
        <v>7743.6465805934249</v>
      </c>
      <c r="F38" s="109">
        <f t="shared" si="40"/>
        <v>27461.092982239996</v>
      </c>
      <c r="G38" s="109">
        <f t="shared" si="40"/>
        <v>28113.673734519998</v>
      </c>
      <c r="H38" s="109">
        <f t="shared" si="40"/>
        <v>28927.350966440001</v>
      </c>
      <c r="I38" s="109">
        <f t="shared" si="40"/>
        <v>29560.506084240002</v>
      </c>
      <c r="J38" s="109">
        <f t="shared" si="40"/>
        <v>30274.22368848</v>
      </c>
      <c r="K38" s="109">
        <f t="shared" si="40"/>
        <v>30899.198559480003</v>
      </c>
      <c r="L38" s="109">
        <f t="shared" si="40"/>
        <v>31660.451007680003</v>
      </c>
      <c r="M38" s="109">
        <f t="shared" si="40"/>
        <v>32373.185202679997</v>
      </c>
      <c r="N38" s="109">
        <f t="shared" si="40"/>
        <v>33134.220650880001</v>
      </c>
      <c r="O38" s="109">
        <f t="shared" si="40"/>
        <v>33873.031563240002</v>
      </c>
      <c r="P38" s="109">
        <f t="shared" si="40"/>
        <v>34690.480228799999</v>
      </c>
      <c r="Q38" s="109">
        <f t="shared" si="40"/>
        <v>35550.923549809988</v>
      </c>
      <c r="R38" s="109">
        <f t="shared" si="40"/>
        <v>35550.991115499994</v>
      </c>
      <c r="S38" s="109">
        <f t="shared" si="40"/>
        <v>35550.991115499994</v>
      </c>
      <c r="T38" s="109">
        <f t="shared" si="40"/>
        <v>35550.991115499994</v>
      </c>
      <c r="U38" s="109">
        <f t="shared" si="40"/>
        <v>35550.991115499994</v>
      </c>
      <c r="V38" s="109">
        <f t="shared" si="40"/>
        <v>35550.991115499994</v>
      </c>
      <c r="W38" s="109">
        <f t="shared" si="40"/>
        <v>35550.991115499994</v>
      </c>
      <c r="X38" s="109">
        <f t="shared" si="40"/>
        <v>35550.991115499994</v>
      </c>
      <c r="Y38" s="109">
        <f t="shared" si="40"/>
        <v>35550.991115499994</v>
      </c>
      <c r="Z38" s="109">
        <f t="shared" si="40"/>
        <v>35550.991115499994</v>
      </c>
      <c r="AA38" s="109">
        <f t="shared" si="40"/>
        <v>35550.991115499994</v>
      </c>
      <c r="AB38" s="109">
        <f t="shared" si="40"/>
        <v>35550.991115499994</v>
      </c>
      <c r="AC38" s="109">
        <f t="shared" si="40"/>
        <v>35550.991115499994</v>
      </c>
      <c r="AD38" s="109">
        <f t="shared" si="40"/>
        <v>35550.991115499994</v>
      </c>
      <c r="AE38" s="109">
        <f t="shared" si="40"/>
        <v>35550.991115499994</v>
      </c>
      <c r="AF38" s="109">
        <f t="shared" si="40"/>
        <v>35550.991115499994</v>
      </c>
      <c r="AG38" s="109">
        <f t="shared" si="40"/>
        <v>35550.991115499994</v>
      </c>
      <c r="AH38" s="109">
        <f t="shared" si="40"/>
        <v>35550.991115499994</v>
      </c>
      <c r="AI38" s="109">
        <f t="shared" si="40"/>
        <v>35550.991115499994</v>
      </c>
      <c r="AJ38" s="109">
        <f t="shared" si="40"/>
        <v>35550.991115499994</v>
      </c>
      <c r="AK38" s="109">
        <f t="shared" si="40"/>
        <v>35550.991115499994</v>
      </c>
      <c r="AL38" s="109">
        <f t="shared" si="40"/>
        <v>35550.991115499994</v>
      </c>
      <c r="AM38" s="109">
        <f t="shared" si="40"/>
        <v>35550.991115499994</v>
      </c>
      <c r="AN38" s="109">
        <f t="shared" si="40"/>
        <v>35550.991115499994</v>
      </c>
      <c r="AO38" s="109">
        <f t="shared" si="40"/>
        <v>35550.991115499994</v>
      </c>
      <c r="AP38" s="109">
        <f t="shared" si="40"/>
        <v>35550.991115499994</v>
      </c>
      <c r="AQ38" s="109">
        <f t="shared" si="40"/>
        <v>35550.991115499994</v>
      </c>
      <c r="AR38" s="109">
        <f t="shared" si="40"/>
        <v>35550.991115499994</v>
      </c>
      <c r="AS38" s="109">
        <f t="shared" si="40"/>
        <v>34375.025999999998</v>
      </c>
      <c r="AT38" s="109">
        <f>AT7+AT9-AT22+AT23+AT33+AT19</f>
        <v>39087.796610084028</v>
      </c>
      <c r="AU38" s="109">
        <f t="shared" si="40"/>
        <v>39087.796610084028</v>
      </c>
      <c r="AV38" s="109">
        <f t="shared" si="40"/>
        <v>39087.796610084028</v>
      </c>
      <c r="AW38" s="109">
        <f t="shared" si="40"/>
        <v>39087.796610084028</v>
      </c>
      <c r="AX38" s="109">
        <f t="shared" si="40"/>
        <v>37145.640660084035</v>
      </c>
      <c r="AY38" s="109">
        <f t="shared" si="40"/>
        <v>37145.640660084035</v>
      </c>
      <c r="AZ38" s="109">
        <f t="shared" si="40"/>
        <v>37145.640660084035</v>
      </c>
      <c r="BA38" s="109">
        <f t="shared" si="40"/>
        <v>37145.640660084035</v>
      </c>
      <c r="BB38" s="109">
        <f t="shared" si="40"/>
        <v>37145.640660084035</v>
      </c>
      <c r="BC38" s="109">
        <f t="shared" si="40"/>
        <v>37145.640660084035</v>
      </c>
      <c r="BD38" s="109">
        <f t="shared" si="40"/>
        <v>37145.640660084035</v>
      </c>
      <c r="BE38" s="109">
        <f t="shared" si="40"/>
        <v>37145.640660084035</v>
      </c>
      <c r="BF38" s="109">
        <f t="shared" si="40"/>
        <v>37145.640660084035</v>
      </c>
      <c r="BG38" s="109">
        <f t="shared" si="40"/>
        <v>37145.640660084035</v>
      </c>
      <c r="BH38" s="109">
        <f>BH7+BH9-BH22+BH23+BH33+BH19-'Crédit maintien à domicile'!$C$14</f>
        <v>36022.991134813201</v>
      </c>
      <c r="BI38" s="109">
        <f>BI7+BI9-BI22+BI23+BI33+BI19-'Crédit maintien à domicile'!$C$14</f>
        <v>36022.991134813201</v>
      </c>
      <c r="BJ38" s="109">
        <f>BJ7+BJ9-BJ22+BJ23+BJ33+BJ19-'Crédit maintien à domicile'!$C$14</f>
        <v>36022.991134813201</v>
      </c>
      <c r="BK38" s="109">
        <f>BK7+BK9-BK22+BK23+BK33+BK19-'Crédit maintien à domicile'!$C$14</f>
        <v>36022.991134813201</v>
      </c>
      <c r="BL38" s="109">
        <f>BL7+BL9-BL22+BL23+BL33+BL19-'Crédit maintien à domicile'!$C$14</f>
        <v>36022.991134813201</v>
      </c>
      <c r="BM38" s="109">
        <f>BM7+BM9-BM22+BM23+BM33+BM19-'Crédit maintien à domicile'!$C$14</f>
        <v>36022.991134813201</v>
      </c>
      <c r="BN38" s="109">
        <f>BN7+BN9-BN22+BN23+BN33+BN19-'Crédit maintien à domicile'!$C$14</f>
        <v>36022.991134813201</v>
      </c>
      <c r="BO38" s="109">
        <f>BO7+BO9-BO22+BO23+BO33+BO19-'Crédit maintien à domicile'!$C$14</f>
        <v>36022.991134813201</v>
      </c>
      <c r="BP38" s="109">
        <f>BP7+BP9-BP22+BP23+BP33+BP19-'Crédit maintien à domicile'!$C$14</f>
        <v>36022.991134813201</v>
      </c>
      <c r="BQ38" s="109">
        <f>BQ7+BQ9-BQ22+BQ23+BQ33+BQ19-'Crédit maintien à domicile'!$C$14</f>
        <v>36022.991134813201</v>
      </c>
      <c r="BR38" s="109">
        <f>BR7+BR9-BR22+BR23+BR33+BR19-'Crédit maintien à domicile'!$C$14</f>
        <v>36022.991134813201</v>
      </c>
      <c r="BS38" s="109">
        <f>BS7+BS9-BS22+BS23+BS33+BS19-'Crédit maintien à domicile'!$C$14</f>
        <v>36022.991134813201</v>
      </c>
      <c r="BT38" s="109">
        <f>BT7+BT9-BT22+BT23+BT33+BT19-'Crédit maintien à domicile'!$C$14</f>
        <v>36022.991134813201</v>
      </c>
      <c r="BU38" s="423"/>
      <c r="BV38" s="423"/>
    </row>
    <row r="39" spans="1:74" x14ac:dyDescent="0.25">
      <c r="A39" s="447" t="s">
        <v>36</v>
      </c>
      <c r="B39" s="425" t="s">
        <v>37</v>
      </c>
      <c r="C39" s="109">
        <f>'Taxes consommation- sommaire'!C8</f>
        <v>9492.7293167499993</v>
      </c>
      <c r="D39" s="109">
        <f>'Taxes consommation- sommaire'!D8</f>
        <v>9492.7293167499993</v>
      </c>
      <c r="E39" s="109">
        <f>'Taxes consommation- sommaire'!E8</f>
        <v>9492.7293167499993</v>
      </c>
      <c r="F39" s="109">
        <f>'Taxes consommation- sommaire'!F8</f>
        <v>25937.03</v>
      </c>
      <c r="G39" s="109">
        <f>'Taxes consommation- sommaire'!G8</f>
        <v>25937.03</v>
      </c>
      <c r="H39" s="109">
        <f>'Taxes consommation- sommaire'!H8</f>
        <v>25937.03</v>
      </c>
      <c r="I39" s="109">
        <f>'Taxes consommation- sommaire'!I8</f>
        <v>25937.03</v>
      </c>
      <c r="J39" s="109">
        <f>'Taxes consommation- sommaire'!J8</f>
        <v>33215.623739988121</v>
      </c>
      <c r="K39" s="109">
        <f>'Taxes consommation- sommaire'!K8</f>
        <v>33215.623739988121</v>
      </c>
      <c r="L39" s="109">
        <f>'Taxes consommation- sommaire'!L8</f>
        <v>33215.623739988121</v>
      </c>
      <c r="M39" s="109">
        <f>'Taxes consommation- sommaire'!M8</f>
        <v>33215.623739988121</v>
      </c>
      <c r="N39" s="109">
        <f>'Taxes consommation- sommaire'!N8</f>
        <v>33215.623739988121</v>
      </c>
      <c r="O39" s="109">
        <f>'Taxes consommation- sommaire'!O8</f>
        <v>33888.050000000003</v>
      </c>
      <c r="P39" s="109">
        <f>'Taxes consommation- sommaire'!P8</f>
        <v>33888.050000000003</v>
      </c>
      <c r="Q39" s="109">
        <f>'Taxes consommation- sommaire'!Q8</f>
        <v>33888.050000000003</v>
      </c>
      <c r="R39" s="109">
        <f>'Taxes consommation- sommaire'!R8</f>
        <v>33888.050000000003</v>
      </c>
      <c r="S39" s="109">
        <f>'Taxes consommation- sommaire'!S8</f>
        <v>33888.050000000003</v>
      </c>
      <c r="T39" s="109">
        <f>'Taxes consommation- sommaire'!T8</f>
        <v>34116.5</v>
      </c>
      <c r="U39" s="109">
        <f>'Taxes consommation- sommaire'!U8</f>
        <v>34116.5</v>
      </c>
      <c r="V39" s="109">
        <f>'Taxes consommation- sommaire'!V8</f>
        <v>34116.5</v>
      </c>
      <c r="W39" s="109">
        <f>'Taxes consommation- sommaire'!W8</f>
        <v>34116.5</v>
      </c>
      <c r="X39" s="109">
        <f>'Taxes consommation- sommaire'!X8</f>
        <v>34116.5</v>
      </c>
      <c r="Y39" s="109">
        <f>'Taxes consommation- sommaire'!Y8</f>
        <v>34295.39</v>
      </c>
      <c r="Z39" s="109">
        <f>'Taxes consommation- sommaire'!Z8</f>
        <v>34295.39</v>
      </c>
      <c r="AA39" s="109">
        <f>'Taxes consommation- sommaire'!AA8</f>
        <v>34295.39</v>
      </c>
      <c r="AB39" s="109">
        <f>'Taxes consommation- sommaire'!AB8</f>
        <v>34295.39</v>
      </c>
      <c r="AC39" s="109">
        <f>'Taxes consommation- sommaire'!AC8</f>
        <v>34295.39</v>
      </c>
      <c r="AD39" s="109">
        <f>'Taxes consommation- sommaire'!AD8</f>
        <v>34424.720000000008</v>
      </c>
      <c r="AE39" s="109">
        <f>'Taxes consommation- sommaire'!AE8</f>
        <v>34424.720000000008</v>
      </c>
      <c r="AF39" s="109">
        <f>'Taxes consommation- sommaire'!AF8</f>
        <v>34424.720000000008</v>
      </c>
      <c r="AG39" s="109">
        <f>'Taxes consommation- sommaire'!AG8</f>
        <v>34424.720000000008</v>
      </c>
      <c r="AH39" s="109">
        <f>'Taxes consommation- sommaire'!AH8</f>
        <v>34424.720000000008</v>
      </c>
      <c r="AI39" s="109">
        <f>'Taxes consommation- sommaire'!AI8</f>
        <v>34504.49</v>
      </c>
      <c r="AJ39" s="109">
        <f>'Taxes consommation- sommaire'!AJ8</f>
        <v>34504.49</v>
      </c>
      <c r="AK39" s="109">
        <f>'Taxes consommation- sommaire'!AK8</f>
        <v>34504.49</v>
      </c>
      <c r="AL39" s="109">
        <f>'Taxes consommation- sommaire'!AL8</f>
        <v>34504.49</v>
      </c>
      <c r="AM39" s="109">
        <f>'Taxes consommation- sommaire'!AM8</f>
        <v>34504.49</v>
      </c>
      <c r="AN39" s="109">
        <f>'Taxes consommation- sommaire'!AN8</f>
        <v>34534.699999999997</v>
      </c>
      <c r="AO39" s="109">
        <f>'Taxes consommation- sommaire'!AO8</f>
        <v>34534.699999999997</v>
      </c>
      <c r="AP39" s="109">
        <f>'Taxes consommation- sommaire'!AP8</f>
        <v>34534.699999999997</v>
      </c>
      <c r="AQ39" s="109">
        <f>'Taxes consommation- sommaire'!AQ8</f>
        <v>34534.699999999997</v>
      </c>
      <c r="AR39" s="109">
        <f>'Taxes consommation- sommaire'!AR8</f>
        <v>34534.699999999997</v>
      </c>
      <c r="AS39" s="109">
        <f>'Taxes consommation- sommaire'!AS8</f>
        <v>34515.35</v>
      </c>
      <c r="AT39" s="109">
        <f>'Taxes consommation- sommaire'!AT8</f>
        <v>34515.35</v>
      </c>
      <c r="AU39" s="109">
        <f>'Taxes consommation- sommaire'!AU8</f>
        <v>34515.35</v>
      </c>
      <c r="AV39" s="109">
        <f>'Taxes consommation- sommaire'!AV8</f>
        <v>34515.35</v>
      </c>
      <c r="AW39" s="109">
        <f>'Taxes consommation- sommaire'!AW8</f>
        <v>34515.35</v>
      </c>
      <c r="AX39" s="109">
        <f>'Taxes consommation- sommaire'!AX8</f>
        <v>34446.44</v>
      </c>
      <c r="AY39" s="109">
        <f>'Taxes consommation- sommaire'!AY8</f>
        <v>34446.44</v>
      </c>
      <c r="AZ39" s="109">
        <f>'Taxes consommation- sommaire'!AZ8</f>
        <v>34446.44</v>
      </c>
      <c r="BA39" s="109">
        <f>'Taxes consommation- sommaire'!BA8</f>
        <v>34446.44</v>
      </c>
      <c r="BB39" s="109">
        <f>'Taxes consommation- sommaire'!BB8</f>
        <v>34446.44</v>
      </c>
      <c r="BC39" s="109">
        <f>'Taxes consommation- sommaire'!BC8</f>
        <v>34327.97</v>
      </c>
      <c r="BD39" s="109">
        <f>'Taxes consommation- sommaire'!BD8</f>
        <v>34327.97</v>
      </c>
      <c r="BE39" s="109">
        <f>'Taxes consommation- sommaire'!BE8</f>
        <v>34327.97</v>
      </c>
      <c r="BF39" s="109">
        <f>'Taxes consommation- sommaire'!BF8</f>
        <v>34327.97</v>
      </c>
      <c r="BG39" s="109">
        <f>'Taxes consommation- sommaire'!BG8</f>
        <v>34327.97</v>
      </c>
      <c r="BH39" s="109">
        <f>'Taxes consommation- sommaire'!BH8</f>
        <v>34159.94</v>
      </c>
      <c r="BI39" s="109">
        <f>'Taxes consommation- sommaire'!BI8</f>
        <v>34159.94</v>
      </c>
      <c r="BJ39" s="109">
        <f>'Taxes consommation- sommaire'!BJ8</f>
        <v>34159.94</v>
      </c>
      <c r="BK39" s="109">
        <f>'Taxes consommation- sommaire'!BK8</f>
        <v>34159.94</v>
      </c>
      <c r="BL39" s="109">
        <f>'Taxes consommation- sommaire'!BL8</f>
        <v>34159.94</v>
      </c>
      <c r="BM39" s="109">
        <f>'Taxes consommation- sommaire'!BM8</f>
        <v>33942.35</v>
      </c>
      <c r="BN39" s="109">
        <f>'Taxes consommation- sommaire'!BN8</f>
        <v>33942.35</v>
      </c>
      <c r="BO39" s="109">
        <f>'Taxes consommation- sommaire'!BO8</f>
        <v>33942.35</v>
      </c>
      <c r="BP39" s="109">
        <f>'Taxes consommation- sommaire'!BP8</f>
        <v>33942.35</v>
      </c>
      <c r="BQ39" s="109">
        <f>'Taxes consommation- sommaire'!BQ8</f>
        <v>33942.35</v>
      </c>
      <c r="BR39" s="109">
        <f>'Taxes consommation- sommaire'!BR8</f>
        <v>33675.199999999997</v>
      </c>
      <c r="BS39" s="109">
        <f>'Taxes consommation- sommaire'!BS8</f>
        <v>33675.199999999997</v>
      </c>
      <c r="BT39" s="109">
        <f>'Taxes consommation- sommaire'!BT8</f>
        <v>33675.199999999997</v>
      </c>
      <c r="BU39" s="423"/>
      <c r="BV39" s="423"/>
    </row>
    <row r="40" spans="1:74" x14ac:dyDescent="0.25">
      <c r="A40" s="447"/>
      <c r="B40" s="425" t="s">
        <v>38</v>
      </c>
      <c r="C40" s="109">
        <f>C39-C38</f>
        <v>1749.0827361565744</v>
      </c>
      <c r="D40" s="109">
        <f>D39-D38</f>
        <v>1749.0827361565744</v>
      </c>
      <c r="E40" s="109">
        <f>E39-E38</f>
        <v>1749.0827361565744</v>
      </c>
      <c r="F40" s="109"/>
      <c r="G40" s="109"/>
      <c r="H40" s="109"/>
      <c r="I40" s="122"/>
      <c r="J40" s="109"/>
      <c r="K40" s="109"/>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c r="AS40" s="109"/>
      <c r="AT40" s="109"/>
      <c r="AU40" s="109"/>
      <c r="AV40" s="109"/>
      <c r="AW40" s="109"/>
      <c r="AX40" s="109"/>
      <c r="AY40" s="109"/>
      <c r="AZ40" s="109"/>
      <c r="BA40" s="109"/>
      <c r="BB40" s="109"/>
      <c r="BC40" s="109"/>
      <c r="BD40" s="109"/>
      <c r="BE40" s="109"/>
      <c r="BF40" s="109"/>
      <c r="BG40" s="109"/>
      <c r="BH40" s="109"/>
      <c r="BI40" s="109"/>
      <c r="BJ40" s="109"/>
      <c r="BK40" s="109"/>
      <c r="BL40" s="109"/>
      <c r="BM40" s="109"/>
      <c r="BN40" s="109"/>
      <c r="BO40" s="109"/>
      <c r="BP40" s="109"/>
      <c r="BQ40" s="109"/>
      <c r="BR40" s="109"/>
      <c r="BS40" s="109"/>
      <c r="BT40" s="109"/>
      <c r="BU40" s="423"/>
      <c r="BV40" s="423"/>
    </row>
    <row r="41" spans="1:74" x14ac:dyDescent="0.25">
      <c r="A41" s="447"/>
      <c r="B41" s="423" t="s">
        <v>39</v>
      </c>
      <c r="C41" s="109">
        <f>C38-C39+C40-C8</f>
        <v>0</v>
      </c>
      <c r="D41" s="109">
        <f t="shared" ref="D41:BO41" si="41">D38-D39+D40-D8</f>
        <v>0</v>
      </c>
      <c r="E41" s="109">
        <f t="shared" si="41"/>
        <v>0</v>
      </c>
      <c r="F41" s="259">
        <f t="shared" si="41"/>
        <v>1524.0629822399969</v>
      </c>
      <c r="G41" s="259">
        <f t="shared" si="41"/>
        <v>2176.6437345199993</v>
      </c>
      <c r="H41" s="259">
        <f t="shared" si="41"/>
        <v>2990.3209664400019</v>
      </c>
      <c r="I41" s="259">
        <f t="shared" si="41"/>
        <v>3623.4760842400028</v>
      </c>
      <c r="J41" s="259">
        <f t="shared" si="41"/>
        <v>-2941.4000515081207</v>
      </c>
      <c r="K41" s="259">
        <f t="shared" si="41"/>
        <v>-2316.4251805081185</v>
      </c>
      <c r="L41" s="259">
        <f t="shared" si="41"/>
        <v>-1555.1727323081177</v>
      </c>
      <c r="M41" s="259">
        <f t="shared" si="41"/>
        <v>-842.43853730812407</v>
      </c>
      <c r="N41" s="259">
        <f t="shared" si="41"/>
        <v>-81.403089108120184</v>
      </c>
      <c r="O41" s="259">
        <f t="shared" si="41"/>
        <v>-15.01843676000135</v>
      </c>
      <c r="P41" s="259">
        <f t="shared" si="41"/>
        <v>802.43022879999626</v>
      </c>
      <c r="Q41" s="259">
        <f>Q38-Q39+Q40-Q8</f>
        <v>1662.873549809985</v>
      </c>
      <c r="R41" s="259">
        <f t="shared" si="41"/>
        <v>1662.9411154999907</v>
      </c>
      <c r="S41" s="259">
        <f t="shared" si="41"/>
        <v>1662.9411154999907</v>
      </c>
      <c r="T41" s="259">
        <f t="shared" si="41"/>
        <v>1434.4911154999936</v>
      </c>
      <c r="U41" s="259">
        <f t="shared" si="41"/>
        <v>1434.4911154999936</v>
      </c>
      <c r="V41" s="259">
        <f t="shared" si="41"/>
        <v>1434.4911154999936</v>
      </c>
      <c r="W41" s="259">
        <f t="shared" si="41"/>
        <v>1434.4911154999936</v>
      </c>
      <c r="X41" s="259">
        <f t="shared" si="41"/>
        <v>1434.4911154999936</v>
      </c>
      <c r="Y41" s="259">
        <f t="shared" si="41"/>
        <v>1255.6011154999942</v>
      </c>
      <c r="Z41" s="259">
        <f t="shared" si="41"/>
        <v>1255.6011154999942</v>
      </c>
      <c r="AA41" s="259">
        <f t="shared" si="41"/>
        <v>1255.6011154999942</v>
      </c>
      <c r="AB41" s="259">
        <f t="shared" si="41"/>
        <v>1255.6011154999942</v>
      </c>
      <c r="AC41" s="259">
        <f t="shared" si="41"/>
        <v>1255.6011154999942</v>
      </c>
      <c r="AD41" s="259">
        <f t="shared" si="41"/>
        <v>1126.2711154999852</v>
      </c>
      <c r="AE41" s="259">
        <f t="shared" si="41"/>
        <v>1126.2711154999852</v>
      </c>
      <c r="AF41" s="259">
        <f t="shared" si="41"/>
        <v>1126.2711154999852</v>
      </c>
      <c r="AG41" s="259">
        <f t="shared" si="41"/>
        <v>1126.2711154999852</v>
      </c>
      <c r="AH41" s="259">
        <f t="shared" si="41"/>
        <v>1126.2711154999852</v>
      </c>
      <c r="AI41" s="259">
        <f t="shared" si="41"/>
        <v>1046.5011154999956</v>
      </c>
      <c r="AJ41" s="259">
        <f t="shared" si="41"/>
        <v>1046.5011154999956</v>
      </c>
      <c r="AK41" s="259">
        <f t="shared" si="41"/>
        <v>1046.5011154999956</v>
      </c>
      <c r="AL41" s="259">
        <f t="shared" si="41"/>
        <v>1046.5011154999956</v>
      </c>
      <c r="AM41" s="259">
        <f t="shared" si="41"/>
        <v>1046.5011154999956</v>
      </c>
      <c r="AN41" s="259">
        <f t="shared" si="41"/>
        <v>1016.2911154999965</v>
      </c>
      <c r="AO41" s="259">
        <f t="shared" si="41"/>
        <v>1016.2911154999965</v>
      </c>
      <c r="AP41" s="259">
        <f t="shared" si="41"/>
        <v>1016.2911154999965</v>
      </c>
      <c r="AQ41" s="259">
        <f t="shared" si="41"/>
        <v>1016.2911154999965</v>
      </c>
      <c r="AR41" s="259">
        <f t="shared" si="41"/>
        <v>1016.2911154999965</v>
      </c>
      <c r="AS41" s="109">
        <f t="shared" si="41"/>
        <v>-140.32400000000052</v>
      </c>
      <c r="AT41" s="109">
        <f>AT38-AT39+AT40-AT8</f>
        <v>4572.4466100840291</v>
      </c>
      <c r="AU41" s="109">
        <f t="shared" si="41"/>
        <v>4572.4466100840291</v>
      </c>
      <c r="AV41" s="109">
        <f t="shared" si="41"/>
        <v>4572.4466100840291</v>
      </c>
      <c r="AW41" s="109">
        <f t="shared" si="41"/>
        <v>4572.4466100840291</v>
      </c>
      <c r="AX41" s="109">
        <f t="shared" si="41"/>
        <v>2699.2006600840323</v>
      </c>
      <c r="AY41" s="109">
        <f t="shared" si="41"/>
        <v>2699.2006600840323</v>
      </c>
      <c r="AZ41" s="109">
        <f t="shared" si="41"/>
        <v>2699.2006600840323</v>
      </c>
      <c r="BA41" s="109">
        <f t="shared" si="41"/>
        <v>2699.2006600840323</v>
      </c>
      <c r="BB41" s="109">
        <f t="shared" si="41"/>
        <v>2699.2006600840323</v>
      </c>
      <c r="BC41" s="109">
        <f t="shared" si="41"/>
        <v>2817.6706600840334</v>
      </c>
      <c r="BD41" s="109">
        <f t="shared" si="41"/>
        <v>2817.6706600840334</v>
      </c>
      <c r="BE41" s="109">
        <f t="shared" si="41"/>
        <v>2817.6706600840334</v>
      </c>
      <c r="BF41" s="109">
        <f t="shared" si="41"/>
        <v>2817.6706600840334</v>
      </c>
      <c r="BG41" s="109">
        <f t="shared" si="41"/>
        <v>2817.6706600840334</v>
      </c>
      <c r="BH41" s="109">
        <f t="shared" si="41"/>
        <v>1863.0511348131986</v>
      </c>
      <c r="BI41" s="109">
        <f t="shared" si="41"/>
        <v>1863.0511348131986</v>
      </c>
      <c r="BJ41" s="109">
        <f t="shared" si="41"/>
        <v>1863.0511348131986</v>
      </c>
      <c r="BK41" s="109">
        <f t="shared" si="41"/>
        <v>1863.0511348131986</v>
      </c>
      <c r="BL41" s="109">
        <f t="shared" si="41"/>
        <v>1863.0511348131986</v>
      </c>
      <c r="BM41" s="109">
        <f t="shared" si="41"/>
        <v>2080.6411348132024</v>
      </c>
      <c r="BN41" s="109">
        <f t="shared" si="41"/>
        <v>2080.6411348132024</v>
      </c>
      <c r="BO41" s="109">
        <f t="shared" si="41"/>
        <v>2080.6411348132024</v>
      </c>
      <c r="BP41" s="109">
        <f t="shared" ref="BP41:BT41" si="42">BP38-BP39+BP40-BP8</f>
        <v>2080.6411348132024</v>
      </c>
      <c r="BQ41" s="109">
        <f t="shared" si="42"/>
        <v>2080.6411348132024</v>
      </c>
      <c r="BR41" s="109">
        <f t="shared" si="42"/>
        <v>2347.7911348132038</v>
      </c>
      <c r="BS41" s="109">
        <f t="shared" si="42"/>
        <v>2347.7911348132038</v>
      </c>
      <c r="BT41" s="109">
        <f t="shared" si="42"/>
        <v>2347.7911348132038</v>
      </c>
      <c r="BU41" s="423"/>
      <c r="BV41" s="423"/>
    </row>
    <row r="42" spans="1:74" ht="33.75" customHeight="1" x14ac:dyDescent="0.25">
      <c r="A42" s="448"/>
      <c r="B42" s="423" t="s">
        <v>40</v>
      </c>
      <c r="C42" s="109">
        <f>C41</f>
        <v>0</v>
      </c>
      <c r="D42" s="109">
        <f>C42+D41</f>
        <v>0</v>
      </c>
      <c r="E42" s="109">
        <f t="shared" ref="E42:H42" si="43">D42+E41</f>
        <v>0</v>
      </c>
      <c r="F42" s="109">
        <f t="shared" si="43"/>
        <v>1524.0629822399969</v>
      </c>
      <c r="G42" s="109">
        <f t="shared" si="43"/>
        <v>3700.7067167599962</v>
      </c>
      <c r="H42" s="109">
        <f t="shared" si="43"/>
        <v>6691.0276831999981</v>
      </c>
      <c r="I42" s="109">
        <f t="shared" ref="I42" si="44">H42+I41</f>
        <v>10314.503767440001</v>
      </c>
      <c r="J42" s="109">
        <f t="shared" ref="J42" si="45">I42+J41</f>
        <v>7373.1037159318803</v>
      </c>
      <c r="K42" s="109">
        <f t="shared" ref="K42" si="46">J42+K41</f>
        <v>5056.6785354237618</v>
      </c>
      <c r="L42" s="109">
        <f t="shared" ref="L42" si="47">K42+L41</f>
        <v>3501.5058031156441</v>
      </c>
      <c r="M42" s="109">
        <f t="shared" ref="M42" si="48">L42+M41</f>
        <v>2659.06726580752</v>
      </c>
      <c r="N42" s="109">
        <f t="shared" ref="N42" si="49">M42+N41</f>
        <v>2577.6641766993998</v>
      </c>
      <c r="O42" s="109">
        <f t="shared" ref="O42" si="50">N42+O41</f>
        <v>2562.6457399393985</v>
      </c>
      <c r="P42" s="109">
        <f t="shared" ref="P42" si="51">O42+P41</f>
        <v>3365.0759687393947</v>
      </c>
      <c r="Q42" s="109">
        <f t="shared" ref="Q42" si="52">P42+Q41</f>
        <v>5027.9495185493797</v>
      </c>
      <c r="R42" s="109">
        <f t="shared" ref="R42" si="53">Q42+R41</f>
        <v>6690.8906340493704</v>
      </c>
      <c r="S42" s="109">
        <f t="shared" ref="S42" si="54">R42+S41</f>
        <v>8353.8317495493611</v>
      </c>
      <c r="T42" s="109">
        <f t="shared" ref="T42" si="55">S42+T41</f>
        <v>9788.3228650493547</v>
      </c>
      <c r="U42" s="109">
        <f t="shared" ref="U42" si="56">T42+U41</f>
        <v>11222.813980549348</v>
      </c>
      <c r="V42" s="109">
        <f t="shared" ref="V42" si="57">U42+V41</f>
        <v>12657.305096049342</v>
      </c>
      <c r="W42" s="109">
        <f t="shared" ref="W42" si="58">V42+W41</f>
        <v>14091.796211549336</v>
      </c>
      <c r="X42" s="109">
        <f t="shared" ref="X42" si="59">W42+X41</f>
        <v>15526.287327049329</v>
      </c>
      <c r="Y42" s="109">
        <f t="shared" ref="Y42" si="60">X42+Y41</f>
        <v>16781.888442549323</v>
      </c>
      <c r="Z42" s="109">
        <f t="shared" ref="Z42" si="61">Y42+Z41</f>
        <v>18037.489558049318</v>
      </c>
      <c r="AA42" s="109">
        <f t="shared" ref="AA42" si="62">Z42+AA41</f>
        <v>19293.090673549312</v>
      </c>
      <c r="AB42" s="109">
        <f t="shared" ref="AB42" si="63">AA42+AB41</f>
        <v>20548.691789049306</v>
      </c>
      <c r="AC42" s="109">
        <f t="shared" ref="AC42" si="64">AB42+AC41</f>
        <v>21804.2929045493</v>
      </c>
      <c r="AD42" s="109">
        <f t="shared" ref="AD42" si="65">AC42+AD41</f>
        <v>22930.564020049285</v>
      </c>
      <c r="AE42" s="109">
        <f t="shared" ref="AE42" si="66">AD42+AE41</f>
        <v>24056.83513554927</v>
      </c>
      <c r="AF42" s="109">
        <f t="shared" ref="AF42" si="67">AE42+AF41</f>
        <v>25183.106251049256</v>
      </c>
      <c r="AG42" s="109">
        <f t="shared" ref="AG42" si="68">AF42+AG41</f>
        <v>26309.377366549241</v>
      </c>
      <c r="AH42" s="109">
        <f t="shared" ref="AH42" si="69">AG42+AH41</f>
        <v>27435.648482049226</v>
      </c>
      <c r="AI42" s="109">
        <f t="shared" ref="AI42" si="70">AH42+AI41</f>
        <v>28482.149597549222</v>
      </c>
      <c r="AJ42" s="109">
        <f t="shared" ref="AJ42" si="71">AI42+AJ41</f>
        <v>29528.650713049217</v>
      </c>
      <c r="AK42" s="109">
        <f t="shared" ref="AK42" si="72">AJ42+AK41</f>
        <v>30575.151828549213</v>
      </c>
      <c r="AL42" s="109">
        <f t="shared" ref="AL42" si="73">AK42+AL41</f>
        <v>31621.652944049209</v>
      </c>
      <c r="AM42" s="109">
        <f t="shared" ref="AM42" si="74">AL42+AM41</f>
        <v>32668.154059549204</v>
      </c>
      <c r="AN42" s="109">
        <f t="shared" ref="AN42" si="75">AM42+AN41</f>
        <v>33684.445175049201</v>
      </c>
      <c r="AO42" s="109">
        <f t="shared" ref="AO42" si="76">AN42+AO41</f>
        <v>34700.736290549197</v>
      </c>
      <c r="AP42" s="109">
        <f t="shared" ref="AP42" si="77">AO42+AP41</f>
        <v>35717.027406049194</v>
      </c>
      <c r="AQ42" s="109">
        <f t="shared" ref="AQ42" si="78">AP42+AQ41</f>
        <v>36733.31852154919</v>
      </c>
      <c r="AR42" s="109">
        <f t="shared" ref="AR42" si="79">AQ42+AR41</f>
        <v>37749.609637049187</v>
      </c>
      <c r="AS42" s="109">
        <f t="shared" ref="AS42" si="80">AR42+AS41</f>
        <v>37609.285637049186</v>
      </c>
      <c r="AT42" s="109">
        <f t="shared" ref="AT42" si="81">AS42+AT41</f>
        <v>42181.732247133215</v>
      </c>
      <c r="AU42" s="109">
        <f t="shared" ref="AU42" si="82">AT42+AU41</f>
        <v>46754.178857217245</v>
      </c>
      <c r="AV42" s="109">
        <f t="shared" ref="AV42" si="83">AU42+AV41</f>
        <v>51326.625467301274</v>
      </c>
      <c r="AW42" s="109">
        <f t="shared" ref="AW42" si="84">AV42+AW41</f>
        <v>55899.072077385303</v>
      </c>
      <c r="AX42" s="109">
        <f t="shared" ref="AX42" si="85">AW42+AX41</f>
        <v>58598.272737469335</v>
      </c>
      <c r="AY42" s="109">
        <f t="shared" ref="AY42" si="86">AX42+AY41</f>
        <v>61297.473397553367</v>
      </c>
      <c r="AZ42" s="109">
        <f t="shared" ref="AZ42" si="87">AY42+AZ41</f>
        <v>63996.6740576374</v>
      </c>
      <c r="BA42" s="109">
        <f t="shared" ref="BA42" si="88">AZ42+BA41</f>
        <v>66695.874717721425</v>
      </c>
      <c r="BB42" s="109">
        <f t="shared" ref="BB42" si="89">BA42+BB41</f>
        <v>69395.07537780545</v>
      </c>
      <c r="BC42" s="109">
        <f t="shared" ref="BC42" si="90">BB42+BC41</f>
        <v>72212.746037889476</v>
      </c>
      <c r="BD42" s="109">
        <f t="shared" ref="BD42" si="91">BC42+BD41</f>
        <v>75030.416697973502</v>
      </c>
      <c r="BE42" s="109">
        <f t="shared" ref="BE42" si="92">BD42+BE41</f>
        <v>77848.087358057528</v>
      </c>
      <c r="BF42" s="109">
        <f t="shared" ref="BF42" si="93">BE42+BF41</f>
        <v>80665.758018141554</v>
      </c>
      <c r="BG42" s="109">
        <f t="shared" ref="BG42" si="94">BF42+BG41</f>
        <v>83483.42867822558</v>
      </c>
      <c r="BH42" s="109">
        <f t="shared" ref="BH42" si="95">BG42+BH41</f>
        <v>85346.479813038779</v>
      </c>
      <c r="BI42" s="109">
        <f t="shared" ref="BI42" si="96">BH42+BI41</f>
        <v>87209.530947851978</v>
      </c>
      <c r="BJ42" s="109">
        <f t="shared" ref="BJ42" si="97">BI42+BJ41</f>
        <v>89072.582082665176</v>
      </c>
      <c r="BK42" s="109">
        <f t="shared" ref="BK42" si="98">BJ42+BK41</f>
        <v>90935.633217478375</v>
      </c>
      <c r="BL42" s="109">
        <f t="shared" ref="BL42" si="99">BK42+BL41</f>
        <v>92798.684352291573</v>
      </c>
      <c r="BM42" s="109">
        <f t="shared" ref="BM42" si="100">BL42+BM41</f>
        <v>94879.325487104768</v>
      </c>
      <c r="BN42" s="109">
        <f t="shared" ref="BN42" si="101">BM42+BN41</f>
        <v>96959.966621917963</v>
      </c>
      <c r="BO42" s="109">
        <f t="shared" ref="BO42" si="102">BN42+BO41</f>
        <v>99040.607756731159</v>
      </c>
      <c r="BP42" s="109">
        <f t="shared" ref="BP42" si="103">BO42+BP41</f>
        <v>101121.24889154435</v>
      </c>
      <c r="BQ42" s="109">
        <f t="shared" ref="BQ42" si="104">BP42+BQ41</f>
        <v>103201.89002635755</v>
      </c>
      <c r="BR42" s="109">
        <f t="shared" ref="BR42" si="105">BQ42+BR41</f>
        <v>105549.68116117075</v>
      </c>
      <c r="BS42" s="109">
        <f t="shared" ref="BS42" si="106">BR42+BS41</f>
        <v>107897.47229598396</v>
      </c>
      <c r="BT42" s="259">
        <f t="shared" ref="BT42" si="107">BS42+BT41</f>
        <v>110245.26343079716</v>
      </c>
      <c r="BU42" s="423"/>
      <c r="BV42" s="423"/>
    </row>
    <row r="43" spans="1:74" x14ac:dyDescent="0.25">
      <c r="A43" s="423"/>
      <c r="B43" s="423" t="s">
        <v>41</v>
      </c>
      <c r="C43" s="122" t="s">
        <v>42</v>
      </c>
      <c r="D43" s="122" t="s">
        <v>42</v>
      </c>
      <c r="E43" s="122" t="s">
        <v>42</v>
      </c>
      <c r="F43" s="122" t="s">
        <v>43</v>
      </c>
      <c r="G43" s="122" t="s">
        <v>44</v>
      </c>
      <c r="H43" s="122" t="s">
        <v>44</v>
      </c>
      <c r="I43" s="122" t="s">
        <v>44</v>
      </c>
      <c r="J43" s="122" t="s">
        <v>44</v>
      </c>
      <c r="K43" s="122" t="s">
        <v>44</v>
      </c>
      <c r="L43" s="122" t="s">
        <v>44</v>
      </c>
      <c r="M43" s="122" t="s">
        <v>44</v>
      </c>
      <c r="N43" s="122" t="s">
        <v>44</v>
      </c>
      <c r="O43" s="122" t="s">
        <v>44</v>
      </c>
      <c r="P43" s="122" t="s">
        <v>44</v>
      </c>
      <c r="Q43" s="122" t="s">
        <v>44</v>
      </c>
      <c r="R43" s="122" t="s">
        <v>44</v>
      </c>
      <c r="S43" s="122" t="s">
        <v>44</v>
      </c>
      <c r="T43" s="122" t="s">
        <v>44</v>
      </c>
      <c r="U43" s="122" t="s">
        <v>44</v>
      </c>
      <c r="V43" s="122" t="s">
        <v>44</v>
      </c>
      <c r="W43" s="122" t="s">
        <v>44</v>
      </c>
      <c r="X43" s="122" t="s">
        <v>44</v>
      </c>
      <c r="Y43" s="122" t="s">
        <v>44</v>
      </c>
      <c r="Z43" s="122" t="s">
        <v>44</v>
      </c>
      <c r="AA43" s="122" t="s">
        <v>44</v>
      </c>
      <c r="AB43" s="122" t="s">
        <v>44</v>
      </c>
      <c r="AC43" s="122" t="s">
        <v>44</v>
      </c>
      <c r="AD43" s="122" t="s">
        <v>44</v>
      </c>
      <c r="AE43" s="122" t="s">
        <v>44</v>
      </c>
      <c r="AF43" s="122" t="s">
        <v>44</v>
      </c>
      <c r="AG43" s="122" t="s">
        <v>44</v>
      </c>
      <c r="AH43" s="122" t="s">
        <v>44</v>
      </c>
      <c r="AI43" s="122" t="s">
        <v>44</v>
      </c>
      <c r="AJ43" s="122" t="s">
        <v>44</v>
      </c>
      <c r="AK43" s="122" t="s">
        <v>44</v>
      </c>
      <c r="AL43" s="122" t="s">
        <v>44</v>
      </c>
      <c r="AM43" s="122" t="s">
        <v>44</v>
      </c>
      <c r="AN43" s="122" t="s">
        <v>44</v>
      </c>
      <c r="AO43" s="122" t="s">
        <v>44</v>
      </c>
      <c r="AP43" s="122" t="s">
        <v>44</v>
      </c>
      <c r="AQ43" s="122" t="s">
        <v>44</v>
      </c>
      <c r="AR43" s="122" t="s">
        <v>44</v>
      </c>
      <c r="AS43" s="122" t="s">
        <v>45</v>
      </c>
      <c r="AT43" s="122" t="s">
        <v>45</v>
      </c>
      <c r="AU43" s="122" t="s">
        <v>45</v>
      </c>
      <c r="AV43" s="122" t="s">
        <v>45</v>
      </c>
      <c r="AW43" s="122" t="s">
        <v>45</v>
      </c>
      <c r="AX43" s="122" t="s">
        <v>45</v>
      </c>
      <c r="AY43" s="122" t="s">
        <v>45</v>
      </c>
      <c r="AZ43" s="122" t="s">
        <v>45</v>
      </c>
      <c r="BA43" s="122" t="s">
        <v>45</v>
      </c>
      <c r="BB43" s="122" t="s">
        <v>45</v>
      </c>
      <c r="BC43" s="122" t="s">
        <v>45</v>
      </c>
      <c r="BD43" s="122" t="s">
        <v>45</v>
      </c>
      <c r="BE43" s="122" t="s">
        <v>45</v>
      </c>
      <c r="BF43" s="122" t="s">
        <v>45</v>
      </c>
      <c r="BG43" s="122" t="s">
        <v>45</v>
      </c>
      <c r="BH43" s="122" t="s">
        <v>45</v>
      </c>
      <c r="BI43" s="122" t="s">
        <v>45</v>
      </c>
      <c r="BJ43" s="122" t="s">
        <v>45</v>
      </c>
      <c r="BK43" s="122" t="s">
        <v>45</v>
      </c>
      <c r="BL43" s="122" t="s">
        <v>45</v>
      </c>
      <c r="BM43" s="122" t="s">
        <v>45</v>
      </c>
      <c r="BN43" s="122" t="s">
        <v>45</v>
      </c>
      <c r="BO43" s="122" t="s">
        <v>45</v>
      </c>
      <c r="BP43" s="122" t="s">
        <v>45</v>
      </c>
      <c r="BQ43" s="122" t="s">
        <v>45</v>
      </c>
      <c r="BR43" s="122" t="s">
        <v>45</v>
      </c>
      <c r="BS43" s="122" t="s">
        <v>45</v>
      </c>
      <c r="BT43" s="122" t="s">
        <v>46</v>
      </c>
      <c r="BU43" s="423"/>
      <c r="BV43" s="423"/>
    </row>
    <row r="44" spans="1:74" s="430" customFormat="1" x14ac:dyDescent="0.25">
      <c r="B44" s="432" t="s">
        <v>1108</v>
      </c>
      <c r="C44" s="431">
        <f>C10</f>
        <v>7529.356580593425</v>
      </c>
      <c r="D44" s="431">
        <f t="shared" ref="D44:E44" si="108">D10</f>
        <v>7529.356580593425</v>
      </c>
      <c r="E44" s="431">
        <f t="shared" si="108"/>
        <v>7529.356580593425</v>
      </c>
    </row>
    <row r="45" spans="1:74" s="430" customFormat="1" x14ac:dyDescent="0.25">
      <c r="B45" s="432" t="s">
        <v>1109</v>
      </c>
      <c r="F45" s="431">
        <f>F10</f>
        <v>35302</v>
      </c>
      <c r="G45" s="431">
        <f t="shared" ref="G45:AR45" si="109">G10</f>
        <v>36471</v>
      </c>
      <c r="H45" s="431">
        <f t="shared" si="109"/>
        <v>37987</v>
      </c>
      <c r="I45" s="431">
        <f t="shared" si="109"/>
        <v>39302</v>
      </c>
      <c r="J45" s="431">
        <f t="shared" si="109"/>
        <v>40854</v>
      </c>
      <c r="K45" s="431">
        <f t="shared" si="109"/>
        <v>42279</v>
      </c>
      <c r="L45" s="431">
        <f t="shared" si="109"/>
        <v>44014</v>
      </c>
      <c r="M45" s="431">
        <f t="shared" si="109"/>
        <v>45639</v>
      </c>
      <c r="N45" s="431">
        <f t="shared" si="109"/>
        <v>47374</v>
      </c>
      <c r="O45" s="431">
        <f t="shared" si="109"/>
        <v>49127</v>
      </c>
      <c r="P45" s="431">
        <f t="shared" si="109"/>
        <v>50990</v>
      </c>
      <c r="Q45" s="431">
        <f t="shared" si="109"/>
        <v>52963</v>
      </c>
      <c r="R45" s="431">
        <f t="shared" si="109"/>
        <v>52963</v>
      </c>
      <c r="S45" s="431">
        <f t="shared" si="109"/>
        <v>52963</v>
      </c>
      <c r="T45" s="431">
        <f t="shared" si="109"/>
        <v>52963</v>
      </c>
      <c r="U45" s="431">
        <f t="shared" si="109"/>
        <v>52963</v>
      </c>
      <c r="V45" s="431">
        <f t="shared" si="109"/>
        <v>52963</v>
      </c>
      <c r="W45" s="431">
        <f t="shared" si="109"/>
        <v>52963</v>
      </c>
      <c r="X45" s="431">
        <f t="shared" si="109"/>
        <v>52963</v>
      </c>
      <c r="Y45" s="431">
        <f t="shared" si="109"/>
        <v>52963</v>
      </c>
      <c r="Z45" s="431">
        <f t="shared" si="109"/>
        <v>52963</v>
      </c>
      <c r="AA45" s="431">
        <f t="shared" si="109"/>
        <v>52963</v>
      </c>
      <c r="AB45" s="431">
        <f t="shared" si="109"/>
        <v>52963</v>
      </c>
      <c r="AC45" s="431">
        <f t="shared" si="109"/>
        <v>52963</v>
      </c>
      <c r="AD45" s="431">
        <f t="shared" si="109"/>
        <v>52963</v>
      </c>
      <c r="AE45" s="431">
        <f t="shared" si="109"/>
        <v>52963</v>
      </c>
      <c r="AF45" s="431">
        <f t="shared" si="109"/>
        <v>52963</v>
      </c>
      <c r="AG45" s="431">
        <f t="shared" si="109"/>
        <v>52963</v>
      </c>
      <c r="AH45" s="431">
        <f t="shared" si="109"/>
        <v>52963</v>
      </c>
      <c r="AI45" s="431">
        <f t="shared" si="109"/>
        <v>52963</v>
      </c>
      <c r="AJ45" s="431">
        <f t="shared" si="109"/>
        <v>52963</v>
      </c>
      <c r="AK45" s="431">
        <f t="shared" si="109"/>
        <v>52963</v>
      </c>
      <c r="AL45" s="431">
        <f t="shared" si="109"/>
        <v>52963</v>
      </c>
      <c r="AM45" s="431">
        <f t="shared" si="109"/>
        <v>52963</v>
      </c>
      <c r="AN45" s="431">
        <f t="shared" si="109"/>
        <v>52963</v>
      </c>
      <c r="AO45" s="431">
        <f t="shared" si="109"/>
        <v>52963</v>
      </c>
      <c r="AP45" s="431">
        <f t="shared" si="109"/>
        <v>52963</v>
      </c>
      <c r="AQ45" s="431">
        <f t="shared" si="109"/>
        <v>52963</v>
      </c>
      <c r="AR45" s="431">
        <f t="shared" si="109"/>
        <v>52963</v>
      </c>
    </row>
    <row r="46" spans="1:74" s="430" customFormat="1" x14ac:dyDescent="0.25">
      <c r="B46" s="432" t="s">
        <v>1120</v>
      </c>
      <c r="AS46" s="431">
        <f>AS10</f>
        <v>41311.14</v>
      </c>
      <c r="AT46" s="431">
        <f t="shared" ref="AT46:BT46" si="110">AT10</f>
        <v>41311.14</v>
      </c>
      <c r="AU46" s="431">
        <f t="shared" si="110"/>
        <v>41311.14</v>
      </c>
      <c r="AV46" s="431">
        <f t="shared" si="110"/>
        <v>41311.14</v>
      </c>
      <c r="AW46" s="431">
        <f t="shared" si="110"/>
        <v>41311.14</v>
      </c>
      <c r="AX46" s="431">
        <f t="shared" si="110"/>
        <v>28335.205000000002</v>
      </c>
      <c r="AY46" s="431">
        <f t="shared" si="110"/>
        <v>28335.205000000002</v>
      </c>
      <c r="AZ46" s="431">
        <f t="shared" si="110"/>
        <v>28335.205000000002</v>
      </c>
      <c r="BA46" s="431">
        <f t="shared" si="110"/>
        <v>28335.205000000002</v>
      </c>
      <c r="BB46" s="431">
        <f t="shared" si="110"/>
        <v>28335.205000000002</v>
      </c>
      <c r="BC46" s="431">
        <f t="shared" si="110"/>
        <v>28335.205000000002</v>
      </c>
      <c r="BD46" s="431">
        <f t="shared" si="110"/>
        <v>28335.205000000002</v>
      </c>
      <c r="BE46" s="431">
        <f t="shared" si="110"/>
        <v>28335.205000000002</v>
      </c>
      <c r="BF46" s="431">
        <f t="shared" si="110"/>
        <v>28335.205000000002</v>
      </c>
      <c r="BG46" s="431">
        <f t="shared" si="110"/>
        <v>28335.205000000002</v>
      </c>
      <c r="BH46" s="431">
        <f t="shared" si="110"/>
        <v>28335.205000000002</v>
      </c>
      <c r="BI46" s="431">
        <f t="shared" si="110"/>
        <v>28335.205000000002</v>
      </c>
      <c r="BJ46" s="431">
        <f t="shared" si="110"/>
        <v>28335.205000000002</v>
      </c>
      <c r="BK46" s="431">
        <f t="shared" si="110"/>
        <v>28335.205000000002</v>
      </c>
      <c r="BL46" s="431">
        <f t="shared" si="110"/>
        <v>28335.205000000002</v>
      </c>
      <c r="BM46" s="431">
        <f t="shared" si="110"/>
        <v>28335.205000000002</v>
      </c>
      <c r="BN46" s="431">
        <f t="shared" si="110"/>
        <v>28335.205000000002</v>
      </c>
      <c r="BO46" s="431">
        <f t="shared" si="110"/>
        <v>28335.205000000002</v>
      </c>
      <c r="BP46" s="431">
        <f t="shared" si="110"/>
        <v>28335.205000000002</v>
      </c>
      <c r="BQ46" s="431">
        <f t="shared" si="110"/>
        <v>28335.205000000002</v>
      </c>
      <c r="BR46" s="431">
        <f t="shared" si="110"/>
        <v>28335.205000000002</v>
      </c>
      <c r="BS46" s="431">
        <f t="shared" si="110"/>
        <v>28335.205000000002</v>
      </c>
      <c r="BT46" s="431">
        <f t="shared" si="110"/>
        <v>28335.205000000002</v>
      </c>
    </row>
    <row r="47" spans="1:74" s="430" customFormat="1" x14ac:dyDescent="0.25"/>
    <row r="48" spans="1:74" s="25" customFormat="1" x14ac:dyDescent="0.25">
      <c r="B48" s="25" t="s">
        <v>1090</v>
      </c>
      <c r="C48" s="117">
        <f>C36</f>
        <v>12932.364856786106</v>
      </c>
      <c r="D48" s="117">
        <f>C48+D36</f>
        <v>25864.729713572211</v>
      </c>
      <c r="E48" s="117">
        <f t="shared" ref="E48:BP48" si="111">D48+E36</f>
        <v>39073.378639621958</v>
      </c>
      <c r="F48" s="117">
        <f t="shared" si="111"/>
        <v>33837.540286122894</v>
      </c>
      <c r="G48" s="117">
        <f t="shared" si="111"/>
        <v>28250.228584903827</v>
      </c>
      <c r="H48" s="117">
        <f t="shared" si="111"/>
        <v>22174.501715604762</v>
      </c>
      <c r="I48" s="117">
        <f t="shared" si="111"/>
        <v>15602.476464105694</v>
      </c>
      <c r="J48" s="117">
        <f t="shared" si="111"/>
        <v>8691.9243111106916</v>
      </c>
      <c r="K48" s="117">
        <f t="shared" si="111"/>
        <v>1182.4145291156892</v>
      </c>
      <c r="L48" s="117">
        <f t="shared" si="111"/>
        <v>-7056.0343046793132</v>
      </c>
      <c r="M48" s="117">
        <f t="shared" si="111"/>
        <v>-15977.461443474314</v>
      </c>
      <c r="N48" s="117">
        <f t="shared" si="111"/>
        <v>-25628.044634069316</v>
      </c>
      <c r="O48" s="117">
        <f t="shared" si="111"/>
        <v>-35950.481294597703</v>
      </c>
      <c r="P48" s="117">
        <f t="shared" si="111"/>
        <v>-47055.599989566086</v>
      </c>
      <c r="Q48" s="117">
        <f t="shared" si="111"/>
        <v>-58994.885063524474</v>
      </c>
      <c r="R48" s="117">
        <f t="shared" si="111"/>
        <v>-70934.102571792857</v>
      </c>
      <c r="S48" s="117">
        <f t="shared" si="111"/>
        <v>-82873.320080061239</v>
      </c>
      <c r="T48" s="117">
        <f t="shared" si="111"/>
        <v>-95177.510362433415</v>
      </c>
      <c r="U48" s="117">
        <f t="shared" si="111"/>
        <v>-107481.70064480559</v>
      </c>
      <c r="V48" s="117">
        <f t="shared" si="111"/>
        <v>-119785.89092717777</v>
      </c>
      <c r="W48" s="117">
        <f t="shared" si="111"/>
        <v>-132090.08120954994</v>
      </c>
      <c r="X48" s="117">
        <f t="shared" si="111"/>
        <v>-144394.27149192212</v>
      </c>
      <c r="Y48" s="117">
        <f t="shared" si="111"/>
        <v>-156950.35485784465</v>
      </c>
      <c r="Z48" s="117">
        <f t="shared" si="111"/>
        <v>-169506.43822376715</v>
      </c>
      <c r="AA48" s="117">
        <f t="shared" si="111"/>
        <v>-182062.52158968966</v>
      </c>
      <c r="AB48" s="117">
        <f t="shared" si="111"/>
        <v>-194618.60495561216</v>
      </c>
      <c r="AC48" s="117">
        <f t="shared" si="111"/>
        <v>-207174.68832153466</v>
      </c>
      <c r="AD48" s="117">
        <f t="shared" si="111"/>
        <v>-219493.25458361075</v>
      </c>
      <c r="AE48" s="117">
        <f t="shared" si="111"/>
        <v>-231811.82084568683</v>
      </c>
      <c r="AF48" s="117">
        <f t="shared" si="111"/>
        <v>-244130.38710776292</v>
      </c>
      <c r="AG48" s="117">
        <f t="shared" si="111"/>
        <v>-256448.953369839</v>
      </c>
      <c r="AH48" s="117">
        <f t="shared" si="111"/>
        <v>-268767.51963191509</v>
      </c>
      <c r="AI48" s="117">
        <f t="shared" si="111"/>
        <v>-280691.28656148619</v>
      </c>
      <c r="AJ48" s="117">
        <f t="shared" si="111"/>
        <v>-292615.0534910573</v>
      </c>
      <c r="AK48" s="117">
        <f t="shared" si="111"/>
        <v>-304538.82042062841</v>
      </c>
      <c r="AL48" s="117">
        <f t="shared" si="111"/>
        <v>-316462.58735019952</v>
      </c>
      <c r="AM48" s="117">
        <f t="shared" si="111"/>
        <v>-328386.35427977063</v>
      </c>
      <c r="AN48" s="117">
        <f t="shared" si="111"/>
        <v>-339741.92074303271</v>
      </c>
      <c r="AO48" s="117">
        <f t="shared" si="111"/>
        <v>-351097.48720629478</v>
      </c>
      <c r="AP48" s="117">
        <f t="shared" si="111"/>
        <v>-362453.05366955686</v>
      </c>
      <c r="AQ48" s="117">
        <f t="shared" si="111"/>
        <v>-373808.62013281893</v>
      </c>
      <c r="AR48" s="117">
        <f t="shared" si="111"/>
        <v>-385164.18659608101</v>
      </c>
      <c r="AS48" s="117">
        <f t="shared" si="111"/>
        <v>-389529.46721838258</v>
      </c>
      <c r="AT48" s="117">
        <f t="shared" si="111"/>
        <v>-389181.97723060014</v>
      </c>
      <c r="AU48" s="117">
        <f t="shared" si="111"/>
        <v>-388834.4872428177</v>
      </c>
      <c r="AV48" s="117">
        <f t="shared" si="111"/>
        <v>-388486.99725503527</v>
      </c>
      <c r="AW48" s="117">
        <f t="shared" si="111"/>
        <v>-388139.50726725283</v>
      </c>
      <c r="AX48" s="117">
        <f t="shared" si="111"/>
        <v>-374198.49626347335</v>
      </c>
      <c r="AY48" s="117">
        <f t="shared" si="111"/>
        <v>-360257.48525969387</v>
      </c>
      <c r="AZ48" s="117">
        <f t="shared" si="111"/>
        <v>-346316.47425591439</v>
      </c>
      <c r="BA48" s="117">
        <f t="shared" si="111"/>
        <v>-332375.46325213491</v>
      </c>
      <c r="BB48" s="117">
        <f t="shared" si="111"/>
        <v>-318434.45224835543</v>
      </c>
      <c r="BC48" s="117">
        <f t="shared" si="111"/>
        <v>-302701.96562464448</v>
      </c>
      <c r="BD48" s="117">
        <f t="shared" si="111"/>
        <v>-286969.47900093353</v>
      </c>
      <c r="BE48" s="117">
        <f t="shared" si="111"/>
        <v>-271236.99237722257</v>
      </c>
      <c r="BF48" s="117">
        <f t="shared" si="111"/>
        <v>-255504.50575351162</v>
      </c>
      <c r="BG48" s="117">
        <f t="shared" si="111"/>
        <v>-239772.01912980067</v>
      </c>
      <c r="BH48" s="117">
        <f t="shared" si="111"/>
        <v>-219935.18174885138</v>
      </c>
      <c r="BI48" s="117">
        <f t="shared" si="111"/>
        <v>-200098.34436790209</v>
      </c>
      <c r="BJ48" s="117">
        <f t="shared" si="111"/>
        <v>-180261.50698695279</v>
      </c>
      <c r="BK48" s="117">
        <f t="shared" si="111"/>
        <v>-160424.6696060035</v>
      </c>
      <c r="BL48" s="117">
        <f t="shared" si="111"/>
        <v>-140587.83222505421</v>
      </c>
      <c r="BM48" s="117">
        <f t="shared" si="111"/>
        <v>-115011.09090878807</v>
      </c>
      <c r="BN48" s="117">
        <f t="shared" si="111"/>
        <v>-89434.349592521932</v>
      </c>
      <c r="BO48" s="117">
        <f t="shared" si="111"/>
        <v>-63857.608276255793</v>
      </c>
      <c r="BP48" s="117">
        <f t="shared" si="111"/>
        <v>-38280.866959989653</v>
      </c>
      <c r="BQ48" s="117">
        <f t="shared" ref="BQ48:BT48" si="112">BP48+BQ36</f>
        <v>-12704.12564372351</v>
      </c>
      <c r="BR48" s="117">
        <f t="shared" si="112"/>
        <v>24331.989904143786</v>
      </c>
      <c r="BS48" s="117">
        <f t="shared" si="112"/>
        <v>61368.105452011077</v>
      </c>
      <c r="BT48" s="117">
        <f t="shared" si="112"/>
        <v>98404.220999878366</v>
      </c>
    </row>
    <row r="49" spans="1:74" s="25" customFormat="1" x14ac:dyDescent="0.25">
      <c r="B49" s="25" t="s">
        <v>1093</v>
      </c>
      <c r="C49" s="117">
        <f>((C22-C19-C23-C33)/(C4+C9))*100</f>
        <v>-2.8460599216714311</v>
      </c>
      <c r="D49" s="117">
        <f t="shared" ref="D49:BO49" si="113">((D22-D19-D23-D33)/(D4+D9))*100</f>
        <v>-2.8460599216714311</v>
      </c>
      <c r="E49" s="117">
        <f t="shared" si="113"/>
        <v>-2.8460599216714311</v>
      </c>
      <c r="F49" s="117">
        <f t="shared" si="113"/>
        <v>15.357238450399416</v>
      </c>
      <c r="G49" s="117">
        <f t="shared" si="113"/>
        <v>15.828701339365525</v>
      </c>
      <c r="H49" s="117">
        <f t="shared" si="113"/>
        <v>16.482746290994289</v>
      </c>
      <c r="I49" s="117">
        <f t="shared" si="113"/>
        <v>17.194033931504762</v>
      </c>
      <c r="J49" s="117">
        <f t="shared" si="113"/>
        <v>18.056724951094143</v>
      </c>
      <c r="K49" s="117">
        <f t="shared" si="113"/>
        <v>18.864807683530831</v>
      </c>
      <c r="L49" s="117">
        <f t="shared" si="113"/>
        <v>19.77732333421184</v>
      </c>
      <c r="M49" s="117">
        <f t="shared" si="113"/>
        <v>20.569621151471328</v>
      </c>
      <c r="N49" s="117">
        <f t="shared" si="113"/>
        <v>21.355438529826483</v>
      </c>
      <c r="O49" s="117">
        <f t="shared" si="113"/>
        <v>22.154347378753027</v>
      </c>
      <c r="P49" s="117">
        <f t="shared" si="113"/>
        <v>22.879875017062169</v>
      </c>
      <c r="Q49" s="117">
        <f t="shared" si="113"/>
        <v>23.602542624454809</v>
      </c>
      <c r="R49" s="117">
        <f t="shared" si="113"/>
        <v>23.602415052961501</v>
      </c>
      <c r="S49" s="117">
        <f t="shared" si="113"/>
        <v>23.602415052961501</v>
      </c>
      <c r="T49" s="117">
        <f t="shared" si="113"/>
        <v>23.602415052961501</v>
      </c>
      <c r="U49" s="117">
        <f t="shared" si="113"/>
        <v>23.602415052961501</v>
      </c>
      <c r="V49" s="117">
        <f t="shared" si="113"/>
        <v>23.602415052961501</v>
      </c>
      <c r="W49" s="117">
        <f t="shared" si="113"/>
        <v>23.602415052961501</v>
      </c>
      <c r="X49" s="117">
        <f t="shared" si="113"/>
        <v>23.602415052961501</v>
      </c>
      <c r="Y49" s="117">
        <f t="shared" si="113"/>
        <v>23.602415052961508</v>
      </c>
      <c r="Z49" s="117">
        <f t="shared" si="113"/>
        <v>23.602415052961508</v>
      </c>
      <c r="AA49" s="117">
        <f t="shared" si="113"/>
        <v>23.602415052961508</v>
      </c>
      <c r="AB49" s="117">
        <f t="shared" si="113"/>
        <v>23.602415052961508</v>
      </c>
      <c r="AC49" s="117">
        <f t="shared" si="113"/>
        <v>23.602415052961508</v>
      </c>
      <c r="AD49" s="117">
        <f t="shared" si="113"/>
        <v>23.602415052961501</v>
      </c>
      <c r="AE49" s="117">
        <f t="shared" si="113"/>
        <v>23.602415052961501</v>
      </c>
      <c r="AF49" s="117">
        <f t="shared" si="113"/>
        <v>23.602415052961501</v>
      </c>
      <c r="AG49" s="117">
        <f t="shared" si="113"/>
        <v>23.602415052961501</v>
      </c>
      <c r="AH49" s="117">
        <f t="shared" si="113"/>
        <v>23.602415052961501</v>
      </c>
      <c r="AI49" s="117">
        <f t="shared" si="113"/>
        <v>23.602415052961508</v>
      </c>
      <c r="AJ49" s="117">
        <f t="shared" si="113"/>
        <v>23.602415052961508</v>
      </c>
      <c r="AK49" s="117">
        <f t="shared" si="113"/>
        <v>23.602415052961508</v>
      </c>
      <c r="AL49" s="117">
        <f t="shared" si="113"/>
        <v>23.602415052961508</v>
      </c>
      <c r="AM49" s="117">
        <f t="shared" si="113"/>
        <v>23.602415052961508</v>
      </c>
      <c r="AN49" s="117">
        <f t="shared" si="113"/>
        <v>23.602415052961497</v>
      </c>
      <c r="AO49" s="117">
        <f t="shared" si="113"/>
        <v>23.602415052961497</v>
      </c>
      <c r="AP49" s="117">
        <f t="shared" si="113"/>
        <v>23.602415052961497</v>
      </c>
      <c r="AQ49" s="117">
        <f t="shared" si="113"/>
        <v>23.602415052961497</v>
      </c>
      <c r="AR49" s="117">
        <f t="shared" si="113"/>
        <v>23.602415052961497</v>
      </c>
      <c r="AS49" s="117">
        <f t="shared" si="113"/>
        <v>16.789936080195318</v>
      </c>
      <c r="AT49" s="117">
        <f t="shared" si="113"/>
        <v>5.3819463464720902</v>
      </c>
      <c r="AU49" s="117">
        <f t="shared" si="113"/>
        <v>5.3819463464720902</v>
      </c>
      <c r="AV49" s="117">
        <f t="shared" si="113"/>
        <v>5.3819463464720902</v>
      </c>
      <c r="AW49" s="117">
        <f t="shared" si="113"/>
        <v>5.3819463464720902</v>
      </c>
      <c r="AX49" s="117">
        <f t="shared" si="113"/>
        <v>-31.093601264166015</v>
      </c>
      <c r="AY49" s="117">
        <f t="shared" si="113"/>
        <v>-31.093601264166015</v>
      </c>
      <c r="AZ49" s="117">
        <f t="shared" si="113"/>
        <v>-31.093601264166015</v>
      </c>
      <c r="BA49" s="117">
        <f t="shared" si="113"/>
        <v>-31.093601264166015</v>
      </c>
      <c r="BB49" s="117">
        <f t="shared" si="113"/>
        <v>-31.093601264166015</v>
      </c>
      <c r="BC49" s="117">
        <f t="shared" si="113"/>
        <v>-31.093601264166015</v>
      </c>
      <c r="BD49" s="117">
        <f t="shared" si="113"/>
        <v>-31.093601264166015</v>
      </c>
      <c r="BE49" s="117">
        <f t="shared" si="113"/>
        <v>-31.093601264166015</v>
      </c>
      <c r="BF49" s="117">
        <f t="shared" si="113"/>
        <v>-31.093601264166015</v>
      </c>
      <c r="BG49" s="117">
        <f t="shared" si="113"/>
        <v>-31.093601264166015</v>
      </c>
      <c r="BH49" s="117">
        <f t="shared" si="113"/>
        <v>-33.228754336113084</v>
      </c>
      <c r="BI49" s="117">
        <f t="shared" si="113"/>
        <v>-33.228754336113084</v>
      </c>
      <c r="BJ49" s="117">
        <f t="shared" si="113"/>
        <v>-33.228754336113084</v>
      </c>
      <c r="BK49" s="117">
        <f t="shared" si="113"/>
        <v>-33.228754336113084</v>
      </c>
      <c r="BL49" s="117">
        <f t="shared" si="113"/>
        <v>-33.228754336113084</v>
      </c>
      <c r="BM49" s="117">
        <f t="shared" si="113"/>
        <v>-33.228754336113084</v>
      </c>
      <c r="BN49" s="117">
        <f t="shared" si="113"/>
        <v>-33.228754336113084</v>
      </c>
      <c r="BO49" s="117">
        <f t="shared" si="113"/>
        <v>-33.228754336113084</v>
      </c>
      <c r="BP49" s="117">
        <f t="shared" ref="BP49:BT49" si="114">((BP22-BP19-BP23-BP33)/(BP4+BP9))*100</f>
        <v>-33.228754336113084</v>
      </c>
      <c r="BQ49" s="117">
        <f t="shared" si="114"/>
        <v>-33.228754336113084</v>
      </c>
      <c r="BR49" s="117">
        <f t="shared" si="114"/>
        <v>-33.228754336113084</v>
      </c>
      <c r="BS49" s="117">
        <f t="shared" si="114"/>
        <v>-33.228754336113084</v>
      </c>
      <c r="BT49" s="117">
        <f t="shared" si="114"/>
        <v>-33.228754336113084</v>
      </c>
    </row>
    <row r="50" spans="1:74" s="25" customFormat="1" x14ac:dyDescent="0.25">
      <c r="B50" s="25" t="s">
        <v>1091</v>
      </c>
      <c r="C50" s="117">
        <f>((C22-C23-C33)/(C4+C9))*100</f>
        <v>12.934788070207745</v>
      </c>
      <c r="D50" s="117">
        <f t="shared" ref="D50:BO50" si="115">((D22-D23-D33)/(D4+D9))*100</f>
        <v>12.934788070207745</v>
      </c>
      <c r="E50" s="117">
        <f t="shared" si="115"/>
        <v>12.934788070207745</v>
      </c>
      <c r="F50" s="117">
        <f t="shared" si="115"/>
        <v>20.339905943852514</v>
      </c>
      <c r="G50" s="117">
        <f t="shared" si="115"/>
        <v>20.651660069695961</v>
      </c>
      <c r="H50" s="117">
        <f t="shared" si="115"/>
        <v>21.113228504748498</v>
      </c>
      <c r="I50" s="117">
        <f t="shared" si="115"/>
        <v>21.669585502770378</v>
      </c>
      <c r="J50" s="117">
        <f t="shared" si="115"/>
        <v>23.538232740999966</v>
      </c>
      <c r="K50" s="117">
        <f t="shared" si="115"/>
        <v>24.161563028946109</v>
      </c>
      <c r="L50" s="117">
        <f t="shared" si="115"/>
        <v>24.865284420430143</v>
      </c>
      <c r="M50" s="117">
        <f t="shared" si="115"/>
        <v>25.47642277396114</v>
      </c>
      <c r="N50" s="117">
        <f t="shared" si="115"/>
        <v>26.082536078034625</v>
      </c>
      <c r="O50" s="117">
        <f t="shared" si="115"/>
        <v>26.883157031072923</v>
      </c>
      <c r="P50" s="117">
        <f t="shared" si="115"/>
        <v>27.435910157080201</v>
      </c>
      <c r="Q50" s="117">
        <f t="shared" si="115"/>
        <v>27.988854423059863</v>
      </c>
      <c r="R50" s="117">
        <f t="shared" si="115"/>
        <v>27.988726851566554</v>
      </c>
      <c r="S50" s="117">
        <f t="shared" si="115"/>
        <v>27.988726851566554</v>
      </c>
      <c r="T50" s="117">
        <f t="shared" si="115"/>
        <v>28.02734831950195</v>
      </c>
      <c r="U50" s="117">
        <f t="shared" si="115"/>
        <v>28.02734831950195</v>
      </c>
      <c r="V50" s="117">
        <f t="shared" si="115"/>
        <v>28.02734831950195</v>
      </c>
      <c r="W50" s="117">
        <f t="shared" si="115"/>
        <v>28.02734831950195</v>
      </c>
      <c r="X50" s="117">
        <f t="shared" si="115"/>
        <v>28.02734831950195</v>
      </c>
      <c r="Y50" s="117">
        <f t="shared" si="115"/>
        <v>28.043537120738414</v>
      </c>
      <c r="Z50" s="117">
        <f t="shared" si="115"/>
        <v>28.043537120738414</v>
      </c>
      <c r="AA50" s="117">
        <f t="shared" si="115"/>
        <v>28.043537120738414</v>
      </c>
      <c r="AB50" s="117">
        <f t="shared" si="115"/>
        <v>28.043537120738414</v>
      </c>
      <c r="AC50" s="117">
        <f t="shared" si="115"/>
        <v>28.043537120738414</v>
      </c>
      <c r="AD50" s="117">
        <f t="shared" si="115"/>
        <v>28.037293255275952</v>
      </c>
      <c r="AE50" s="117">
        <f t="shared" si="115"/>
        <v>28.037293255275952</v>
      </c>
      <c r="AF50" s="117">
        <f t="shared" si="115"/>
        <v>28.037293255275952</v>
      </c>
      <c r="AG50" s="117">
        <f t="shared" si="115"/>
        <v>28.037293255275952</v>
      </c>
      <c r="AH50" s="117">
        <f t="shared" si="115"/>
        <v>28.037293255275952</v>
      </c>
      <c r="AI50" s="117">
        <f t="shared" si="115"/>
        <v>28.008616723114564</v>
      </c>
      <c r="AJ50" s="117">
        <f t="shared" si="115"/>
        <v>28.008616723114564</v>
      </c>
      <c r="AK50" s="117">
        <f t="shared" si="115"/>
        <v>28.008616723114564</v>
      </c>
      <c r="AL50" s="117">
        <f t="shared" si="115"/>
        <v>28.008616723114564</v>
      </c>
      <c r="AM50" s="117">
        <f t="shared" si="115"/>
        <v>28.008616723114564</v>
      </c>
      <c r="AN50" s="117">
        <f t="shared" si="115"/>
        <v>27.957507524254243</v>
      </c>
      <c r="AO50" s="117">
        <f t="shared" si="115"/>
        <v>27.957507524254243</v>
      </c>
      <c r="AP50" s="117">
        <f t="shared" si="115"/>
        <v>27.957507524254243</v>
      </c>
      <c r="AQ50" s="117">
        <f t="shared" si="115"/>
        <v>27.957507524254243</v>
      </c>
      <c r="AR50" s="117">
        <f t="shared" si="115"/>
        <v>27.957507524254243</v>
      </c>
      <c r="AS50" s="117">
        <f t="shared" si="115"/>
        <v>22.279103523443393</v>
      </c>
      <c r="AT50" s="117">
        <f t="shared" si="115"/>
        <v>10.871113789720168</v>
      </c>
      <c r="AU50" s="117">
        <f t="shared" si="115"/>
        <v>10.871113789720168</v>
      </c>
      <c r="AV50" s="117">
        <f t="shared" si="115"/>
        <v>10.871113789720168</v>
      </c>
      <c r="AW50" s="117">
        <f t="shared" si="115"/>
        <v>10.871113789720168</v>
      </c>
      <c r="AX50" s="117">
        <f t="shared" si="115"/>
        <v>-23.270094584772881</v>
      </c>
      <c r="AY50" s="117">
        <f t="shared" si="115"/>
        <v>-23.270094584772881</v>
      </c>
      <c r="AZ50" s="117">
        <f t="shared" si="115"/>
        <v>-23.270094584772881</v>
      </c>
      <c r="BA50" s="117">
        <f t="shared" si="115"/>
        <v>-23.270094584772881</v>
      </c>
      <c r="BB50" s="117">
        <f t="shared" si="115"/>
        <v>-23.270094584772881</v>
      </c>
      <c r="BC50" s="117">
        <f t="shared" si="115"/>
        <v>-23.49141645198241</v>
      </c>
      <c r="BD50" s="117">
        <f t="shared" si="115"/>
        <v>-23.49141645198241</v>
      </c>
      <c r="BE50" s="117">
        <f t="shared" si="115"/>
        <v>-23.49141645198241</v>
      </c>
      <c r="BF50" s="117">
        <f t="shared" si="115"/>
        <v>-23.49141645198241</v>
      </c>
      <c r="BG50" s="117">
        <f t="shared" si="115"/>
        <v>-23.49141645198241</v>
      </c>
      <c r="BH50" s="117">
        <f t="shared" si="115"/>
        <v>-25.889821609267845</v>
      </c>
      <c r="BI50" s="117">
        <f t="shared" si="115"/>
        <v>-25.889821609267845</v>
      </c>
      <c r="BJ50" s="117">
        <f t="shared" si="115"/>
        <v>-25.889821609267845</v>
      </c>
      <c r="BK50" s="117">
        <f t="shared" si="115"/>
        <v>-25.889821609267845</v>
      </c>
      <c r="BL50" s="117">
        <f t="shared" si="115"/>
        <v>-25.889821609267845</v>
      </c>
      <c r="BM50" s="117">
        <f t="shared" si="115"/>
        <v>-26.19500391273505</v>
      </c>
      <c r="BN50" s="117">
        <f t="shared" si="115"/>
        <v>-26.19500391273505</v>
      </c>
      <c r="BO50" s="117">
        <f t="shared" si="115"/>
        <v>-26.19500391273505</v>
      </c>
      <c r="BP50" s="117">
        <f t="shared" ref="BP50:BT50" si="116">((BP22-BP23-BP33)/(BP4+BP9))*100</f>
        <v>-26.19500391273505</v>
      </c>
      <c r="BQ50" s="117">
        <f t="shared" si="116"/>
        <v>-26.19500391273505</v>
      </c>
      <c r="BR50" s="117">
        <f t="shared" si="116"/>
        <v>-26.542116434331092</v>
      </c>
      <c r="BS50" s="117">
        <f t="shared" si="116"/>
        <v>-26.542116434331092</v>
      </c>
      <c r="BT50" s="117">
        <f t="shared" si="116"/>
        <v>-26.542116434331092</v>
      </c>
    </row>
    <row r="51" spans="1:74" s="25" customFormat="1" x14ac:dyDescent="0.25">
      <c r="B51" s="25" t="s">
        <v>1092</v>
      </c>
      <c r="C51" s="117">
        <f>(C36/(C4+C9))*100</f>
        <v>171.75922960161947</v>
      </c>
      <c r="D51" s="117">
        <f t="shared" ref="D51:BO51" si="117">(D36/(D4+D9))*100</f>
        <v>171.75922960161947</v>
      </c>
      <c r="E51" s="117">
        <f t="shared" si="117"/>
        <v>175.42865429025423</v>
      </c>
      <c r="F51" s="117">
        <f t="shared" si="117"/>
        <v>-14.831562952521294</v>
      </c>
      <c r="G51" s="117">
        <f t="shared" si="117"/>
        <v>-15.319875246686591</v>
      </c>
      <c r="H51" s="117">
        <f t="shared" si="117"/>
        <v>-15.994226628317755</v>
      </c>
      <c r="I51" s="117">
        <f t="shared" si="117"/>
        <v>-16.721859578390585</v>
      </c>
      <c r="J51" s="117">
        <f t="shared" si="117"/>
        <v>-16.915240008310086</v>
      </c>
      <c r="K51" s="117">
        <f t="shared" si="117"/>
        <v>-17.761796120993882</v>
      </c>
      <c r="L51" s="117">
        <f t="shared" si="117"/>
        <v>-18.717791688542288</v>
      </c>
      <c r="M51" s="117">
        <f t="shared" si="117"/>
        <v>-19.547814673404329</v>
      </c>
      <c r="N51" s="117">
        <f t="shared" si="117"/>
        <v>-20.371054144879047</v>
      </c>
      <c r="O51" s="117">
        <f t="shared" si="117"/>
        <v>-21.011738271273202</v>
      </c>
      <c r="P51" s="117">
        <f t="shared" si="117"/>
        <v>-21.779012933846609</v>
      </c>
      <c r="Q51" s="117">
        <f t="shared" si="117"/>
        <v>-22.542690319578547</v>
      </c>
      <c r="R51" s="117">
        <f t="shared" si="117"/>
        <v>-22.542562748085242</v>
      </c>
      <c r="S51" s="117">
        <f t="shared" si="117"/>
        <v>-22.542562748085242</v>
      </c>
      <c r="T51" s="117">
        <f t="shared" si="117"/>
        <v>-23.231671699813411</v>
      </c>
      <c r="U51" s="117">
        <f t="shared" si="117"/>
        <v>-23.231671699813411</v>
      </c>
      <c r="V51" s="117">
        <f t="shared" si="117"/>
        <v>-23.231671699813411</v>
      </c>
      <c r="W51" s="117">
        <f t="shared" si="117"/>
        <v>-23.231671699813411</v>
      </c>
      <c r="X51" s="117">
        <f t="shared" si="117"/>
        <v>-23.231671699813411</v>
      </c>
      <c r="Y51" s="117">
        <f t="shared" si="117"/>
        <v>-23.707273692809164</v>
      </c>
      <c r="Z51" s="117">
        <f t="shared" si="117"/>
        <v>-23.707273692809164</v>
      </c>
      <c r="AA51" s="117">
        <f t="shared" si="117"/>
        <v>-23.707273692809164</v>
      </c>
      <c r="AB51" s="117">
        <f t="shared" si="117"/>
        <v>-23.707273692809164</v>
      </c>
      <c r="AC51" s="117">
        <f t="shared" si="117"/>
        <v>-23.707273692809164</v>
      </c>
      <c r="AD51" s="117">
        <f t="shared" si="117"/>
        <v>-23.258815139014182</v>
      </c>
      <c r="AE51" s="117">
        <f t="shared" si="117"/>
        <v>-23.258815139014182</v>
      </c>
      <c r="AF51" s="117">
        <f t="shared" si="117"/>
        <v>-23.258815139014182</v>
      </c>
      <c r="AG51" s="117">
        <f t="shared" si="117"/>
        <v>-23.258815139014182</v>
      </c>
      <c r="AH51" s="117">
        <f t="shared" si="117"/>
        <v>-23.258815139014182</v>
      </c>
      <c r="AI51" s="117">
        <f t="shared" si="117"/>
        <v>-22.513390347168961</v>
      </c>
      <c r="AJ51" s="117">
        <f t="shared" si="117"/>
        <v>-22.513390347168961</v>
      </c>
      <c r="AK51" s="117">
        <f t="shared" si="117"/>
        <v>-22.513390347168961</v>
      </c>
      <c r="AL51" s="117">
        <f t="shared" si="117"/>
        <v>-22.513390347168961</v>
      </c>
      <c r="AM51" s="117">
        <f t="shared" si="117"/>
        <v>-22.513390347168961</v>
      </c>
      <c r="AN51" s="117">
        <f t="shared" si="117"/>
        <v>-21.44056504212768</v>
      </c>
      <c r="AO51" s="117">
        <f t="shared" si="117"/>
        <v>-21.44056504212768</v>
      </c>
      <c r="AP51" s="117">
        <f t="shared" si="117"/>
        <v>-21.44056504212768</v>
      </c>
      <c r="AQ51" s="117">
        <f t="shared" si="117"/>
        <v>-21.44056504212768</v>
      </c>
      <c r="AR51" s="117">
        <f t="shared" si="117"/>
        <v>-21.44056504212768</v>
      </c>
      <c r="AS51" s="117">
        <f t="shared" si="117"/>
        <v>-10.566836505362938</v>
      </c>
      <c r="AT51" s="117">
        <f t="shared" si="117"/>
        <v>0.84115322836029005</v>
      </c>
      <c r="AU51" s="117">
        <f t="shared" si="117"/>
        <v>0.84115322836029005</v>
      </c>
      <c r="AV51" s="117">
        <f t="shared" si="117"/>
        <v>0.84115322836029005</v>
      </c>
      <c r="AW51" s="117">
        <f t="shared" si="117"/>
        <v>0.84115322836029005</v>
      </c>
      <c r="AX51" s="117">
        <f t="shared" si="117"/>
        <v>49.200318133500232</v>
      </c>
      <c r="AY51" s="117">
        <f t="shared" si="117"/>
        <v>49.200318133500232</v>
      </c>
      <c r="AZ51" s="117">
        <f t="shared" si="117"/>
        <v>49.200318133500232</v>
      </c>
      <c r="BA51" s="117">
        <f t="shared" si="117"/>
        <v>49.200318133500232</v>
      </c>
      <c r="BB51" s="117">
        <f t="shared" si="117"/>
        <v>49.200318133500232</v>
      </c>
      <c r="BC51" s="117">
        <f t="shared" si="117"/>
        <v>55.52275560988862</v>
      </c>
      <c r="BD51" s="117">
        <f t="shared" si="117"/>
        <v>55.52275560988862</v>
      </c>
      <c r="BE51" s="117">
        <f t="shared" si="117"/>
        <v>55.52275560988862</v>
      </c>
      <c r="BF51" s="117">
        <f t="shared" si="117"/>
        <v>55.52275560988862</v>
      </c>
      <c r="BG51" s="117">
        <f t="shared" si="117"/>
        <v>55.52275560988862</v>
      </c>
      <c r="BH51" s="117">
        <f t="shared" si="117"/>
        <v>70.007742597765926</v>
      </c>
      <c r="BI51" s="117">
        <f t="shared" si="117"/>
        <v>70.007742597765926</v>
      </c>
      <c r="BJ51" s="117">
        <f t="shared" si="117"/>
        <v>70.007742597765926</v>
      </c>
      <c r="BK51" s="117">
        <f t="shared" si="117"/>
        <v>70.007742597765926</v>
      </c>
      <c r="BL51" s="117">
        <f t="shared" si="117"/>
        <v>70.007742597765926</v>
      </c>
      <c r="BM51" s="117">
        <f t="shared" si="117"/>
        <v>90.264888912101199</v>
      </c>
      <c r="BN51" s="117">
        <f t="shared" si="117"/>
        <v>90.264888912101199</v>
      </c>
      <c r="BO51" s="117">
        <f t="shared" si="117"/>
        <v>90.264888912101199</v>
      </c>
      <c r="BP51" s="117">
        <f t="shared" ref="BP51:BT51" si="118">(BP36/(BP4+BP9))*100</f>
        <v>90.264888912101199</v>
      </c>
      <c r="BQ51" s="117">
        <f t="shared" si="118"/>
        <v>90.264888912101199</v>
      </c>
      <c r="BR51" s="117">
        <f t="shared" si="118"/>
        <v>130.70706757853804</v>
      </c>
      <c r="BS51" s="117">
        <f t="shared" si="118"/>
        <v>130.70706757853804</v>
      </c>
      <c r="BT51" s="117">
        <f t="shared" si="118"/>
        <v>130.70706757853804</v>
      </c>
    </row>
    <row r="52" spans="1:74" s="25" customFormat="1" x14ac:dyDescent="0.25">
      <c r="B52" s="25" t="s">
        <v>1121</v>
      </c>
      <c r="C52" s="427">
        <f>C22/C10</f>
        <v>0.20518437401834919</v>
      </c>
      <c r="D52" s="427">
        <f t="shared" ref="D52:BO52" si="119">D22/D10</f>
        <v>0.20518437401834919</v>
      </c>
      <c r="E52" s="427">
        <f t="shared" si="119"/>
        <v>0.20518437401834919</v>
      </c>
      <c r="F52" s="427">
        <f t="shared" si="119"/>
        <v>0.24345344729190455</v>
      </c>
      <c r="G52" s="427">
        <f t="shared" si="119"/>
        <v>0.24528713070710464</v>
      </c>
      <c r="H52" s="427">
        <f t="shared" si="119"/>
        <v>0.24785408545288684</v>
      </c>
      <c r="I52" s="427">
        <f t="shared" si="119"/>
        <v>0.25043861931450856</v>
      </c>
      <c r="J52" s="427">
        <f t="shared" si="119"/>
        <v>0.26502952949547476</v>
      </c>
      <c r="K52" s="427">
        <f t="shared" si="119"/>
        <v>0.26705282946635739</v>
      </c>
      <c r="L52" s="427">
        <f t="shared" si="119"/>
        <v>0.26933295857700107</v>
      </c>
      <c r="M52" s="427">
        <f t="shared" si="119"/>
        <v>0.27131595551629362</v>
      </c>
      <c r="N52" s="427">
        <f t="shared" si="119"/>
        <v>0.27328197229721202</v>
      </c>
      <c r="O52" s="427">
        <f t="shared" si="119"/>
        <v>0.27744542973629971</v>
      </c>
      <c r="P52" s="427">
        <f t="shared" si="119"/>
        <v>0.27988395134526761</v>
      </c>
      <c r="Q52" s="427">
        <f t="shared" si="119"/>
        <v>0.28325882159404103</v>
      </c>
      <c r="R52" s="427">
        <f t="shared" si="119"/>
        <v>0.28325754587910795</v>
      </c>
      <c r="S52" s="427">
        <f t="shared" si="119"/>
        <v>0.28325754587910795</v>
      </c>
      <c r="T52" s="427">
        <f t="shared" si="119"/>
        <v>0.28364376055846185</v>
      </c>
      <c r="U52" s="427">
        <f t="shared" si="119"/>
        <v>0.28364376055846185</v>
      </c>
      <c r="V52" s="427">
        <f t="shared" si="119"/>
        <v>0.28364376055846185</v>
      </c>
      <c r="W52" s="427">
        <f t="shared" si="119"/>
        <v>0.28364376055846185</v>
      </c>
      <c r="X52" s="427">
        <f t="shared" si="119"/>
        <v>0.28364376055846185</v>
      </c>
      <c r="Y52" s="427">
        <f t="shared" si="119"/>
        <v>0.28380564857082657</v>
      </c>
      <c r="Z52" s="427">
        <f t="shared" si="119"/>
        <v>0.28380564857082657</v>
      </c>
      <c r="AA52" s="427">
        <f t="shared" si="119"/>
        <v>0.28380564857082657</v>
      </c>
      <c r="AB52" s="427">
        <f t="shared" si="119"/>
        <v>0.28380564857082657</v>
      </c>
      <c r="AC52" s="427">
        <f t="shared" si="119"/>
        <v>0.28380564857082657</v>
      </c>
      <c r="AD52" s="427">
        <f t="shared" si="119"/>
        <v>0.28374320991620194</v>
      </c>
      <c r="AE52" s="427">
        <f t="shared" si="119"/>
        <v>0.28374320991620194</v>
      </c>
      <c r="AF52" s="427">
        <f t="shared" si="119"/>
        <v>0.28374320991620194</v>
      </c>
      <c r="AG52" s="427">
        <f t="shared" si="119"/>
        <v>0.28374320991620194</v>
      </c>
      <c r="AH52" s="427">
        <f t="shared" si="119"/>
        <v>0.28374320991620194</v>
      </c>
      <c r="AI52" s="427">
        <f t="shared" si="119"/>
        <v>0.28345644459458808</v>
      </c>
      <c r="AJ52" s="427">
        <f t="shared" si="119"/>
        <v>0.28345644459458808</v>
      </c>
      <c r="AK52" s="427">
        <f t="shared" si="119"/>
        <v>0.28345644459458808</v>
      </c>
      <c r="AL52" s="427">
        <f t="shared" si="119"/>
        <v>0.28345644459458808</v>
      </c>
      <c r="AM52" s="427">
        <f t="shared" si="119"/>
        <v>0.28345644459458808</v>
      </c>
      <c r="AN52" s="427">
        <f t="shared" si="119"/>
        <v>0.28294535260598486</v>
      </c>
      <c r="AO52" s="427">
        <f t="shared" si="119"/>
        <v>0.28294535260598486</v>
      </c>
      <c r="AP52" s="427">
        <f t="shared" si="119"/>
        <v>0.28294535260598486</v>
      </c>
      <c r="AQ52" s="427">
        <f t="shared" si="119"/>
        <v>0.28294535260598486</v>
      </c>
      <c r="AR52" s="427">
        <f t="shared" si="119"/>
        <v>0.28294535260598486</v>
      </c>
      <c r="AS52" s="427">
        <f t="shared" si="119"/>
        <v>0.24146009157129611</v>
      </c>
      <c r="AT52" s="427">
        <f t="shared" si="119"/>
        <v>0.31567810153180559</v>
      </c>
      <c r="AU52" s="427">
        <f t="shared" si="119"/>
        <v>0.31567810153180559</v>
      </c>
      <c r="AV52" s="427">
        <f t="shared" si="119"/>
        <v>0.31567810153180559</v>
      </c>
      <c r="AW52" s="427">
        <f t="shared" si="119"/>
        <v>0.31567810153180559</v>
      </c>
      <c r="AX52" s="427">
        <f t="shared" si="119"/>
        <v>0.33572095934349994</v>
      </c>
      <c r="AY52" s="427">
        <f t="shared" si="119"/>
        <v>0.33572095934349994</v>
      </c>
      <c r="AZ52" s="427">
        <f t="shared" si="119"/>
        <v>0.33572095934349994</v>
      </c>
      <c r="BA52" s="427">
        <f t="shared" si="119"/>
        <v>0.33572095934349994</v>
      </c>
      <c r="BB52" s="427">
        <f t="shared" si="119"/>
        <v>0.33572095934349994</v>
      </c>
      <c r="BC52" s="427">
        <f t="shared" si="119"/>
        <v>0.33350774067140465</v>
      </c>
      <c r="BD52" s="427">
        <f t="shared" si="119"/>
        <v>0.33350774067140465</v>
      </c>
      <c r="BE52" s="427">
        <f t="shared" si="119"/>
        <v>0.33350774067140465</v>
      </c>
      <c r="BF52" s="427">
        <f t="shared" si="119"/>
        <v>0.33350774067140465</v>
      </c>
      <c r="BG52" s="427">
        <f t="shared" si="119"/>
        <v>0.33350774067140465</v>
      </c>
      <c r="BH52" s="427">
        <f t="shared" si="119"/>
        <v>0.33087521981802098</v>
      </c>
      <c r="BI52" s="427">
        <f t="shared" si="119"/>
        <v>0.33087521981802098</v>
      </c>
      <c r="BJ52" s="427">
        <f t="shared" si="119"/>
        <v>0.33087521981802098</v>
      </c>
      <c r="BK52" s="427">
        <f t="shared" si="119"/>
        <v>0.33087521981802098</v>
      </c>
      <c r="BL52" s="427">
        <f t="shared" si="119"/>
        <v>0.33087521981802098</v>
      </c>
      <c r="BM52" s="427">
        <f t="shared" si="119"/>
        <v>0.32782339678334893</v>
      </c>
      <c r="BN52" s="427">
        <f t="shared" si="119"/>
        <v>0.32782339678334893</v>
      </c>
      <c r="BO52" s="427">
        <f t="shared" si="119"/>
        <v>0.32782339678334893</v>
      </c>
      <c r="BP52" s="427">
        <f t="shared" ref="BP52:BT52" si="120">BP22/BP10</f>
        <v>0.32782339678334893</v>
      </c>
      <c r="BQ52" s="427">
        <f t="shared" si="120"/>
        <v>0.32782339678334893</v>
      </c>
      <c r="BR52" s="427">
        <f t="shared" si="120"/>
        <v>0.32435227156738849</v>
      </c>
      <c r="BS52" s="427">
        <f t="shared" si="120"/>
        <v>0.32435227156738849</v>
      </c>
      <c r="BT52" s="427">
        <f t="shared" si="120"/>
        <v>0.32435227156738849</v>
      </c>
    </row>
    <row r="53" spans="1:74" s="25" customFormat="1" x14ac:dyDescent="0.25">
      <c r="B53" s="25" t="s">
        <v>1122</v>
      </c>
      <c r="C53" s="427">
        <f>C35/C10</f>
        <v>1.9227766700345439</v>
      </c>
      <c r="D53" s="427">
        <f t="shared" ref="D53:BO53" si="121">D35/D10</f>
        <v>1.9227766700345439</v>
      </c>
      <c r="E53" s="427">
        <f t="shared" si="121"/>
        <v>1.9594709169208915</v>
      </c>
      <c r="F53" s="427">
        <f t="shared" si="121"/>
        <v>9.5137817766691612E-2</v>
      </c>
      <c r="G53" s="427">
        <f t="shared" si="121"/>
        <v>9.2088378240238744E-2</v>
      </c>
      <c r="H53" s="427">
        <f t="shared" si="121"/>
        <v>8.7911819169709304E-2</v>
      </c>
      <c r="I53" s="427">
        <f t="shared" si="121"/>
        <v>8.3220023530602691E-2</v>
      </c>
      <c r="J53" s="427">
        <f t="shared" si="121"/>
        <v>9.587712941237389E-2</v>
      </c>
      <c r="K53" s="427">
        <f t="shared" si="121"/>
        <v>8.9434868256418609E-2</v>
      </c>
      <c r="L53" s="427">
        <f t="shared" si="121"/>
        <v>8.2155041691578196E-2</v>
      </c>
      <c r="M53" s="427">
        <f t="shared" si="121"/>
        <v>7.5837808782250327E-2</v>
      </c>
      <c r="N53" s="427">
        <f t="shared" si="121"/>
        <v>6.9571430848421545E-2</v>
      </c>
      <c r="O53" s="427">
        <f t="shared" si="121"/>
        <v>6.7328047023567678E-2</v>
      </c>
      <c r="P53" s="427">
        <f t="shared" si="121"/>
        <v>6.2093822006801525E-2</v>
      </c>
      <c r="Q53" s="427">
        <f t="shared" si="121"/>
        <v>5.7831918398255563E-2</v>
      </c>
      <c r="R53" s="427">
        <f t="shared" si="121"/>
        <v>5.7831918398255563E-2</v>
      </c>
      <c r="S53" s="427">
        <f t="shared" si="121"/>
        <v>5.7831918398255563E-2</v>
      </c>
      <c r="T53" s="427">
        <f t="shared" si="121"/>
        <v>5.1327043560327759E-2</v>
      </c>
      <c r="U53" s="427">
        <f t="shared" si="121"/>
        <v>5.1327043560327759E-2</v>
      </c>
      <c r="V53" s="427">
        <f t="shared" si="121"/>
        <v>5.1327043560327759E-2</v>
      </c>
      <c r="W53" s="427">
        <f t="shared" si="121"/>
        <v>5.1327043560327759E-2</v>
      </c>
      <c r="X53" s="427">
        <f t="shared" si="121"/>
        <v>5.1327043560327759E-2</v>
      </c>
      <c r="Y53" s="427">
        <f t="shared" si="121"/>
        <v>4.6732911642734923E-2</v>
      </c>
      <c r="Z53" s="427">
        <f t="shared" si="121"/>
        <v>4.6732911642734923E-2</v>
      </c>
      <c r="AA53" s="427">
        <f t="shared" si="121"/>
        <v>4.6732911642734923E-2</v>
      </c>
      <c r="AB53" s="427">
        <f t="shared" si="121"/>
        <v>4.6732911642734923E-2</v>
      </c>
      <c r="AC53" s="427">
        <f t="shared" si="121"/>
        <v>4.6732911642734923E-2</v>
      </c>
      <c r="AD53" s="427">
        <f t="shared" si="121"/>
        <v>5.1155058526060102E-2</v>
      </c>
      <c r="AE53" s="427">
        <f t="shared" si="121"/>
        <v>5.1155058526060102E-2</v>
      </c>
      <c r="AF53" s="427">
        <f t="shared" si="121"/>
        <v>5.1155058526060102E-2</v>
      </c>
      <c r="AG53" s="427">
        <f t="shared" si="121"/>
        <v>5.1155058526060102E-2</v>
      </c>
      <c r="AH53" s="427">
        <f t="shared" si="121"/>
        <v>5.1155058526060102E-2</v>
      </c>
      <c r="AI53" s="427">
        <f t="shared" si="121"/>
        <v>5.8322541122898398E-2</v>
      </c>
      <c r="AJ53" s="427">
        <f t="shared" si="121"/>
        <v>5.8322541122898398E-2</v>
      </c>
      <c r="AK53" s="427">
        <f t="shared" si="121"/>
        <v>5.8322541122898398E-2</v>
      </c>
      <c r="AL53" s="427">
        <f t="shared" si="121"/>
        <v>5.8322541122898398E-2</v>
      </c>
      <c r="AM53" s="427">
        <f t="shared" si="121"/>
        <v>5.8322541122898398E-2</v>
      </c>
      <c r="AN53" s="427">
        <f t="shared" si="121"/>
        <v>6.8539702184708048E-2</v>
      </c>
      <c r="AO53" s="427">
        <f t="shared" si="121"/>
        <v>6.8539702184708048E-2</v>
      </c>
      <c r="AP53" s="427">
        <f t="shared" si="121"/>
        <v>6.8539702184708048E-2</v>
      </c>
      <c r="AQ53" s="427">
        <f t="shared" si="121"/>
        <v>6.8539702184708048E-2</v>
      </c>
      <c r="AR53" s="427">
        <f t="shared" si="121"/>
        <v>6.8539702184708048E-2</v>
      </c>
      <c r="AS53" s="427">
        <f t="shared" si="121"/>
        <v>0.13579172651766672</v>
      </c>
      <c r="AT53" s="427">
        <f t="shared" si="121"/>
        <v>0.32408963381540851</v>
      </c>
      <c r="AU53" s="427">
        <f t="shared" si="121"/>
        <v>0.32408963381540851</v>
      </c>
      <c r="AV53" s="427">
        <f t="shared" si="121"/>
        <v>0.32408963381540851</v>
      </c>
      <c r="AW53" s="427">
        <f t="shared" si="121"/>
        <v>0.32408963381540851</v>
      </c>
      <c r="AX53" s="427">
        <f t="shared" si="121"/>
        <v>0.82772414067850231</v>
      </c>
      <c r="AY53" s="427">
        <f t="shared" si="121"/>
        <v>0.82772414067850231</v>
      </c>
      <c r="AZ53" s="427">
        <f t="shared" si="121"/>
        <v>0.82772414067850231</v>
      </c>
      <c r="BA53" s="427">
        <f t="shared" si="121"/>
        <v>0.82772414067850231</v>
      </c>
      <c r="BB53" s="427">
        <f t="shared" si="121"/>
        <v>0.82772414067850231</v>
      </c>
      <c r="BC53" s="427">
        <f t="shared" si="121"/>
        <v>0.88873529677029084</v>
      </c>
      <c r="BD53" s="427">
        <f t="shared" si="121"/>
        <v>0.88873529677029084</v>
      </c>
      <c r="BE53" s="427">
        <f t="shared" si="121"/>
        <v>0.88873529677029084</v>
      </c>
      <c r="BF53" s="427">
        <f t="shared" si="121"/>
        <v>0.88873529677029084</v>
      </c>
      <c r="BG53" s="427">
        <f t="shared" si="121"/>
        <v>0.88873529677029084</v>
      </c>
      <c r="BH53" s="427">
        <f t="shared" si="121"/>
        <v>1.0309526457956801</v>
      </c>
      <c r="BI53" s="427">
        <f t="shared" si="121"/>
        <v>1.0309526457956801</v>
      </c>
      <c r="BJ53" s="427">
        <f t="shared" si="121"/>
        <v>1.0309526457956801</v>
      </c>
      <c r="BK53" s="427">
        <f t="shared" si="121"/>
        <v>1.0309526457956801</v>
      </c>
      <c r="BL53" s="427">
        <f t="shared" si="121"/>
        <v>1.0309526457956801</v>
      </c>
      <c r="BM53" s="427">
        <f t="shared" si="121"/>
        <v>1.2304722859043609</v>
      </c>
      <c r="BN53" s="427">
        <f t="shared" si="121"/>
        <v>1.2304722859043609</v>
      </c>
      <c r="BO53" s="427">
        <f t="shared" si="121"/>
        <v>1.2304722859043609</v>
      </c>
      <c r="BP53" s="427">
        <f t="shared" ref="BP53:BT53" si="122">BP35/BP10</f>
        <v>1.2304722859043609</v>
      </c>
      <c r="BQ53" s="427">
        <f t="shared" si="122"/>
        <v>1.2304722859043609</v>
      </c>
      <c r="BR53" s="427">
        <f t="shared" si="122"/>
        <v>1.631422947352769</v>
      </c>
      <c r="BS53" s="427">
        <f t="shared" si="122"/>
        <v>1.631422947352769</v>
      </c>
      <c r="BT53" s="427">
        <f t="shared" si="122"/>
        <v>1.631422947352769</v>
      </c>
    </row>
    <row r="54" spans="1:74" x14ac:dyDescent="0.25">
      <c r="A54" s="423"/>
      <c r="B54" s="423"/>
      <c r="C54" s="436"/>
      <c r="D54" s="436"/>
      <c r="E54" s="436"/>
      <c r="F54" s="436"/>
      <c r="G54" s="436"/>
      <c r="H54" s="436"/>
      <c r="I54" s="436"/>
      <c r="J54" s="436"/>
      <c r="K54" s="436"/>
      <c r="L54" s="436"/>
      <c r="M54" s="436"/>
      <c r="N54" s="436"/>
      <c r="O54" s="436"/>
      <c r="P54" s="436"/>
      <c r="Q54" s="436"/>
      <c r="R54" s="436"/>
      <c r="S54" s="436"/>
      <c r="T54" s="436"/>
      <c r="U54" s="436"/>
      <c r="V54" s="436"/>
      <c r="W54" s="436"/>
      <c r="X54" s="436"/>
      <c r="Y54" s="436"/>
      <c r="Z54" s="436"/>
      <c r="AA54" s="436"/>
      <c r="AB54" s="436"/>
      <c r="AC54" s="436"/>
      <c r="AD54" s="436"/>
      <c r="AE54" s="436"/>
      <c r="AF54" s="436"/>
      <c r="AG54" s="436"/>
      <c r="AH54" s="436"/>
      <c r="AI54" s="436"/>
      <c r="AJ54" s="436"/>
      <c r="AK54" s="436"/>
      <c r="AL54" s="436"/>
      <c r="AM54" s="436"/>
      <c r="AN54" s="436"/>
      <c r="AO54" s="436"/>
      <c r="AP54" s="436"/>
      <c r="AQ54" s="436"/>
      <c r="AR54" s="436"/>
      <c r="AS54" s="436"/>
      <c r="AT54" s="436"/>
      <c r="AU54" s="436"/>
      <c r="AV54" s="436"/>
      <c r="AW54" s="436"/>
      <c r="AX54" s="436"/>
      <c r="AY54" s="436"/>
      <c r="AZ54" s="436"/>
      <c r="BA54" s="436"/>
      <c r="BB54" s="436"/>
      <c r="BC54" s="436"/>
      <c r="BD54" s="436"/>
      <c r="BE54" s="436"/>
      <c r="BF54" s="436"/>
      <c r="BG54" s="436"/>
      <c r="BH54" s="436"/>
      <c r="BI54" s="436"/>
      <c r="BJ54" s="436"/>
      <c r="BK54" s="436"/>
      <c r="BL54" s="436"/>
      <c r="BM54" s="436"/>
      <c r="BN54" s="436"/>
      <c r="BO54" s="436"/>
      <c r="BP54" s="436"/>
      <c r="BQ54" s="436"/>
      <c r="BR54" s="436"/>
      <c r="BS54" s="436"/>
      <c r="BT54" s="436"/>
      <c r="BU54" s="423"/>
      <c r="BV54" s="423"/>
    </row>
    <row r="55" spans="1:74" x14ac:dyDescent="0.25">
      <c r="A55" s="423"/>
      <c r="B55" s="423" t="s">
        <v>47</v>
      </c>
      <c r="C55" s="423"/>
      <c r="D55" s="423"/>
      <c r="E55" s="423"/>
      <c r="F55" s="423"/>
      <c r="G55" s="423"/>
      <c r="H55" s="423"/>
      <c r="I55" s="423"/>
      <c r="J55" s="423"/>
      <c r="K55" s="423"/>
      <c r="L55" s="423"/>
      <c r="M55" s="423"/>
      <c r="N55" s="117">
        <f>N4/52*4</f>
        <v>3644.1538461538462</v>
      </c>
      <c r="O55" s="25"/>
      <c r="P55" s="117">
        <f>P4/52*4</f>
        <v>3922.3076923076924</v>
      </c>
      <c r="Q55" s="423"/>
      <c r="R55" s="423"/>
      <c r="S55" s="423"/>
      <c r="T55" s="423"/>
      <c r="U55" s="423"/>
      <c r="V55" s="423"/>
      <c r="W55" s="423"/>
      <c r="X55" s="423"/>
      <c r="Y55" s="423"/>
      <c r="Z55" s="423"/>
      <c r="AA55" s="423"/>
      <c r="AB55" s="423"/>
      <c r="AC55" s="423"/>
      <c r="AD55" s="423"/>
      <c r="AE55" s="423"/>
      <c r="AF55" s="423"/>
      <c r="AG55" s="423"/>
      <c r="AH55" s="423"/>
      <c r="AI55" s="423"/>
      <c r="AJ55" s="423"/>
      <c r="AK55" s="423"/>
      <c r="AL55" s="423"/>
      <c r="AM55" s="423"/>
      <c r="AN55" s="423"/>
      <c r="AO55" s="423"/>
      <c r="AP55" s="423"/>
      <c r="AQ55" s="423"/>
      <c r="AR55" s="423"/>
      <c r="AS55" s="423"/>
      <c r="AT55" s="423"/>
      <c r="AU55" s="423"/>
      <c r="AV55" s="423"/>
      <c r="AW55" s="423"/>
      <c r="AX55" s="423"/>
      <c r="AY55" s="423"/>
      <c r="AZ55" s="423"/>
      <c r="BA55" s="423"/>
      <c r="BB55" s="423"/>
      <c r="BC55" s="423"/>
      <c r="BD55" s="423"/>
      <c r="BE55" s="423"/>
      <c r="BF55" s="423"/>
      <c r="BG55" s="423"/>
      <c r="BH55" s="423"/>
      <c r="BI55" s="423"/>
      <c r="BJ55" s="423"/>
      <c r="BK55" s="423"/>
      <c r="BL55" s="423"/>
      <c r="BM55" s="423"/>
      <c r="BN55" s="423"/>
      <c r="BO55" s="423"/>
      <c r="BP55" s="423"/>
      <c r="BQ55" s="423"/>
      <c r="BR55" s="423"/>
      <c r="BS55" s="423"/>
      <c r="BT55" s="423"/>
      <c r="BU55" s="423"/>
      <c r="BV55" s="423"/>
    </row>
    <row r="56" spans="1:74" x14ac:dyDescent="0.25">
      <c r="A56" s="423"/>
      <c r="B56" s="423" t="s">
        <v>48</v>
      </c>
      <c r="C56" s="423"/>
      <c r="D56" s="423"/>
      <c r="E56" s="423"/>
      <c r="F56" s="423"/>
      <c r="G56" s="423"/>
      <c r="H56" s="423"/>
      <c r="I56" s="423"/>
      <c r="J56" s="423"/>
      <c r="K56" s="423"/>
      <c r="L56" s="423"/>
      <c r="M56" s="423"/>
      <c r="N56" s="117">
        <v>8</v>
      </c>
      <c r="O56" s="25"/>
      <c r="P56" s="117">
        <v>23</v>
      </c>
      <c r="Q56" s="423"/>
      <c r="R56" s="423"/>
      <c r="S56" s="423"/>
      <c r="T56" s="423"/>
      <c r="U56" s="423"/>
      <c r="V56" s="423"/>
      <c r="W56" s="423"/>
      <c r="X56" s="423"/>
      <c r="Y56" s="423"/>
      <c r="Z56" s="423"/>
      <c r="AA56" s="423"/>
      <c r="AB56" s="423"/>
      <c r="AC56" s="423"/>
      <c r="AD56" s="423"/>
      <c r="AE56" s="423"/>
      <c r="AF56" s="423"/>
      <c r="AG56" s="423"/>
      <c r="AH56" s="423"/>
      <c r="AI56" s="423"/>
      <c r="AJ56" s="423"/>
      <c r="AK56" s="423"/>
      <c r="AL56" s="423"/>
      <c r="AM56" s="423"/>
      <c r="AN56" s="423"/>
      <c r="AO56" s="423"/>
      <c r="AP56" s="423"/>
      <c r="AQ56" s="423"/>
      <c r="AR56" s="423"/>
      <c r="AS56" s="423"/>
      <c r="AT56" s="423"/>
      <c r="AU56" s="423"/>
      <c r="AV56" s="423"/>
      <c r="AW56" s="423"/>
      <c r="AX56" s="423"/>
      <c r="AY56" s="423"/>
      <c r="AZ56" s="423"/>
      <c r="BA56" s="423"/>
      <c r="BB56" s="423"/>
      <c r="BC56" s="423"/>
      <c r="BD56" s="423"/>
      <c r="BE56" s="423"/>
      <c r="BF56" s="423"/>
      <c r="BG56" s="423"/>
      <c r="BH56" s="423"/>
      <c r="BI56" s="423"/>
      <c r="BJ56" s="423"/>
      <c r="BK56" s="423"/>
      <c r="BL56" s="423"/>
      <c r="BM56" s="423"/>
      <c r="BN56" s="423"/>
      <c r="BO56" s="423"/>
      <c r="BP56" s="423"/>
      <c r="BQ56" s="423"/>
      <c r="BR56" s="423"/>
      <c r="BS56" s="423"/>
      <c r="BT56" s="423"/>
      <c r="BU56" s="423"/>
      <c r="BV56" s="423"/>
    </row>
    <row r="57" spans="1:74" x14ac:dyDescent="0.25">
      <c r="A57" s="423"/>
      <c r="B57" s="423" t="s">
        <v>49</v>
      </c>
      <c r="C57" s="423"/>
      <c r="D57" s="423"/>
      <c r="E57" s="423"/>
      <c r="F57" s="423"/>
      <c r="G57" s="423"/>
      <c r="H57" s="423"/>
      <c r="I57" s="423"/>
      <c r="J57" s="423"/>
      <c r="K57" s="423"/>
      <c r="L57" s="423"/>
      <c r="M57" s="423"/>
      <c r="N57" s="117">
        <v>20</v>
      </c>
      <c r="O57" s="25"/>
      <c r="P57" s="117">
        <v>22</v>
      </c>
      <c r="Q57" s="423"/>
      <c r="R57" s="423"/>
      <c r="S57" s="423"/>
      <c r="T57" s="423"/>
      <c r="U57" s="423"/>
      <c r="V57" s="423"/>
      <c r="W57" s="423"/>
      <c r="X57" s="423"/>
      <c r="Y57" s="423"/>
      <c r="Z57" s="423"/>
      <c r="AA57" s="423"/>
      <c r="AB57" s="423"/>
      <c r="AC57" s="423"/>
      <c r="AD57" s="423"/>
      <c r="AE57" s="423"/>
      <c r="AF57" s="423"/>
      <c r="AG57" s="423"/>
      <c r="AH57" s="423"/>
      <c r="AI57" s="423"/>
      <c r="AJ57" s="423"/>
      <c r="AK57" s="423"/>
      <c r="AL57" s="423"/>
      <c r="AM57" s="423"/>
      <c r="AN57" s="423"/>
      <c r="AO57" s="423"/>
      <c r="AP57" s="423"/>
      <c r="AQ57" s="423"/>
      <c r="AR57" s="423"/>
      <c r="AS57" s="423"/>
      <c r="AT57" s="423"/>
      <c r="AU57" s="423"/>
      <c r="AV57" s="423"/>
      <c r="AW57" s="423"/>
      <c r="AX57" s="423"/>
      <c r="AY57" s="423"/>
      <c r="AZ57" s="423"/>
      <c r="BA57" s="423"/>
      <c r="BB57" s="423"/>
      <c r="BC57" s="423"/>
      <c r="BD57" s="423"/>
      <c r="BE57" s="423"/>
      <c r="BF57" s="423"/>
      <c r="BG57" s="423"/>
      <c r="BH57" s="423"/>
      <c r="BI57" s="423"/>
      <c r="BJ57" s="423"/>
      <c r="BK57" s="423"/>
      <c r="BL57" s="423"/>
      <c r="BM57" s="423"/>
      <c r="BN57" s="423"/>
      <c r="BO57" s="423"/>
      <c r="BP57" s="423"/>
      <c r="BQ57" s="423"/>
      <c r="BR57" s="423"/>
      <c r="BS57" s="423"/>
      <c r="BT57" s="423"/>
      <c r="BU57" s="423"/>
      <c r="BV57" s="423"/>
    </row>
    <row r="58" spans="1:74" x14ac:dyDescent="0.25">
      <c r="A58" s="423"/>
      <c r="B58" s="423" t="s">
        <v>50</v>
      </c>
      <c r="C58" s="423"/>
      <c r="D58" s="423"/>
      <c r="E58" s="423"/>
      <c r="F58" s="423"/>
      <c r="G58" s="423"/>
      <c r="H58" s="423"/>
      <c r="I58" s="423"/>
      <c r="J58" s="423"/>
      <c r="K58" s="423"/>
      <c r="L58" s="423"/>
      <c r="M58" s="423"/>
      <c r="N58" s="117">
        <v>47</v>
      </c>
      <c r="O58" s="25"/>
      <c r="P58" s="117">
        <v>51</v>
      </c>
      <c r="Q58" s="423"/>
      <c r="R58" s="423"/>
      <c r="S58" s="423"/>
      <c r="T58" s="423"/>
      <c r="U58" s="423"/>
      <c r="V58" s="423"/>
      <c r="W58" s="423"/>
      <c r="X58" s="423"/>
      <c r="Y58" s="423"/>
      <c r="Z58" s="423"/>
      <c r="AA58" s="423"/>
      <c r="AB58" s="423"/>
      <c r="AC58" s="423"/>
      <c r="AD58" s="423"/>
      <c r="AE58" s="423"/>
      <c r="AF58" s="423"/>
      <c r="AG58" s="423"/>
      <c r="AH58" s="423"/>
      <c r="AI58" s="423"/>
      <c r="AJ58" s="423"/>
      <c r="AK58" s="423"/>
      <c r="AL58" s="423"/>
      <c r="AM58" s="423"/>
      <c r="AN58" s="423"/>
      <c r="AO58" s="423"/>
      <c r="AP58" s="423"/>
      <c r="AQ58" s="423"/>
      <c r="AR58" s="423"/>
      <c r="AS58" s="423"/>
      <c r="AT58" s="423"/>
      <c r="AU58" s="423"/>
      <c r="AV58" s="423"/>
      <c r="AW58" s="423"/>
      <c r="AX58" s="423"/>
      <c r="AY58" s="423"/>
      <c r="AZ58" s="423"/>
      <c r="BA58" s="423"/>
      <c r="BB58" s="423"/>
      <c r="BC58" s="423"/>
      <c r="BD58" s="423"/>
      <c r="BE58" s="423"/>
      <c r="BF58" s="423"/>
      <c r="BG58" s="423"/>
      <c r="BH58" s="423"/>
      <c r="BI58" s="423"/>
      <c r="BJ58" s="423"/>
      <c r="BK58" s="423"/>
      <c r="BL58" s="423"/>
      <c r="BM58" s="423"/>
      <c r="BN58" s="423"/>
      <c r="BO58" s="423"/>
      <c r="BP58" s="423"/>
      <c r="BQ58" s="423"/>
      <c r="BR58" s="423"/>
      <c r="BS58" s="423"/>
      <c r="BT58" s="423"/>
    </row>
    <row r="59" spans="1:74" s="15" customFormat="1" x14ac:dyDescent="0.25">
      <c r="B59" s="15" t="s">
        <v>51</v>
      </c>
      <c r="N59" s="367">
        <f>N55*'Calculs source'!G35</f>
        <v>47.373999999999995</v>
      </c>
      <c r="O59" s="368"/>
      <c r="P59" s="367">
        <f>P55*'Calculs source'!G35</f>
        <v>50.99</v>
      </c>
    </row>
    <row r="60" spans="1:74" s="15" customFormat="1" x14ac:dyDescent="0.25">
      <c r="B60" s="15" t="s">
        <v>52</v>
      </c>
      <c r="N60" s="367">
        <f>'Calculs source'!K98</f>
        <v>1834</v>
      </c>
      <c r="O60" s="368"/>
      <c r="P60" s="367">
        <f>'Calculs source'!K99</f>
        <v>2076</v>
      </c>
    </row>
    <row r="61" spans="1:74" x14ac:dyDescent="0.25">
      <c r="A61" s="423"/>
      <c r="B61" s="115" t="s">
        <v>1</v>
      </c>
      <c r="C61" s="423">
        <v>18</v>
      </c>
      <c r="D61" s="423">
        <v>19</v>
      </c>
      <c r="E61" s="423">
        <v>20</v>
      </c>
      <c r="F61" s="423">
        <v>21</v>
      </c>
      <c r="G61" s="423">
        <v>22</v>
      </c>
      <c r="H61" s="423">
        <v>23</v>
      </c>
      <c r="I61" s="423">
        <v>24</v>
      </c>
      <c r="J61" s="423">
        <v>25</v>
      </c>
      <c r="K61" s="423">
        <v>26</v>
      </c>
      <c r="L61" s="423">
        <v>27</v>
      </c>
      <c r="M61" s="423">
        <v>28</v>
      </c>
      <c r="N61" s="423">
        <v>29</v>
      </c>
      <c r="O61" s="423">
        <v>30</v>
      </c>
      <c r="P61" s="423">
        <v>31</v>
      </c>
      <c r="Q61" s="423">
        <v>32</v>
      </c>
      <c r="R61" s="423">
        <v>33</v>
      </c>
      <c r="S61" s="423">
        <v>34</v>
      </c>
      <c r="T61" s="423">
        <v>35</v>
      </c>
      <c r="U61" s="423">
        <v>36</v>
      </c>
      <c r="V61" s="423">
        <v>37</v>
      </c>
      <c r="W61" s="423">
        <v>38</v>
      </c>
      <c r="X61" s="423">
        <v>39</v>
      </c>
      <c r="Y61" s="423">
        <v>40</v>
      </c>
      <c r="Z61" s="423">
        <v>41</v>
      </c>
      <c r="AA61" s="423">
        <v>42</v>
      </c>
      <c r="AB61" s="423">
        <v>43</v>
      </c>
      <c r="AC61" s="423">
        <v>44</v>
      </c>
      <c r="AD61" s="423">
        <v>45</v>
      </c>
      <c r="AE61" s="423">
        <v>46</v>
      </c>
      <c r="AF61" s="423">
        <v>47</v>
      </c>
      <c r="AG61" s="423">
        <v>48</v>
      </c>
      <c r="AH61" s="423">
        <v>49</v>
      </c>
      <c r="AI61" s="423">
        <v>50</v>
      </c>
      <c r="AJ61" s="423">
        <v>51</v>
      </c>
      <c r="AK61" s="423">
        <v>52</v>
      </c>
      <c r="AL61" s="423">
        <v>53</v>
      </c>
      <c r="AM61" s="423">
        <v>54</v>
      </c>
      <c r="AN61" s="423">
        <v>55</v>
      </c>
      <c r="AO61" s="423">
        <v>56</v>
      </c>
      <c r="AP61" s="423">
        <v>57</v>
      </c>
      <c r="AQ61" s="423">
        <v>58</v>
      </c>
      <c r="AR61" s="423">
        <v>59</v>
      </c>
      <c r="AS61" s="423">
        <v>60</v>
      </c>
      <c r="AT61" s="423">
        <v>61</v>
      </c>
      <c r="AU61" s="423">
        <v>62</v>
      </c>
      <c r="AV61" s="423">
        <v>63</v>
      </c>
      <c r="AW61" s="423">
        <v>64</v>
      </c>
      <c r="AX61" s="423">
        <v>65</v>
      </c>
      <c r="AY61" s="423">
        <v>66</v>
      </c>
      <c r="AZ61" s="423">
        <v>67</v>
      </c>
      <c r="BA61" s="423">
        <v>68</v>
      </c>
      <c r="BB61" s="423">
        <v>69</v>
      </c>
      <c r="BC61" s="423">
        <v>70</v>
      </c>
      <c r="BD61" s="423">
        <v>71</v>
      </c>
      <c r="BE61" s="423">
        <v>72</v>
      </c>
      <c r="BF61" s="423">
        <v>73</v>
      </c>
      <c r="BG61" s="423">
        <v>74</v>
      </c>
      <c r="BH61" s="423">
        <v>75</v>
      </c>
      <c r="BI61" s="423">
        <v>76</v>
      </c>
      <c r="BJ61" s="423">
        <v>77</v>
      </c>
      <c r="BK61" s="423">
        <v>78</v>
      </c>
      <c r="BL61" s="423">
        <v>79</v>
      </c>
      <c r="BM61" s="423">
        <v>80</v>
      </c>
      <c r="BN61" s="423">
        <v>81</v>
      </c>
      <c r="BO61" s="423">
        <v>82</v>
      </c>
      <c r="BP61" s="423">
        <v>83</v>
      </c>
      <c r="BQ61" s="423">
        <v>84</v>
      </c>
      <c r="BR61" s="423">
        <v>85</v>
      </c>
      <c r="BS61" s="423">
        <v>86</v>
      </c>
      <c r="BT61" s="182">
        <v>87</v>
      </c>
    </row>
    <row r="62" spans="1:74" ht="18.75" x14ac:dyDescent="0.3">
      <c r="A62" s="125" t="s">
        <v>53</v>
      </c>
      <c r="B62" s="125" t="s">
        <v>54</v>
      </c>
      <c r="C62" s="49"/>
      <c r="D62" s="49"/>
      <c r="E62" s="49"/>
      <c r="F62" s="49"/>
      <c r="G62" s="49"/>
      <c r="H62" s="49"/>
      <c r="I62" s="49"/>
      <c r="J62" s="49"/>
      <c r="K62" s="49"/>
      <c r="L62" s="49"/>
      <c r="M62" s="49"/>
      <c r="N62" s="423"/>
      <c r="O62" s="423"/>
      <c r="P62" s="423"/>
      <c r="Q62" s="49"/>
      <c r="R62" s="423"/>
      <c r="S62" s="423"/>
      <c r="T62" s="423"/>
      <c r="U62" s="423"/>
      <c r="V62" s="423"/>
      <c r="W62" s="423"/>
      <c r="X62" s="423"/>
      <c r="Y62" s="423"/>
      <c r="Z62" s="423"/>
      <c r="AA62" s="423"/>
      <c r="AB62" s="423"/>
      <c r="AC62" s="423"/>
      <c r="AD62" s="423"/>
      <c r="AE62" s="423"/>
      <c r="AF62" s="423"/>
      <c r="AG62" s="423"/>
      <c r="AH62" s="423"/>
      <c r="AI62" s="423"/>
      <c r="AJ62" s="423"/>
      <c r="AK62" s="423"/>
      <c r="AL62" s="423"/>
      <c r="AM62" s="423"/>
      <c r="AN62" s="423"/>
      <c r="AO62" s="423"/>
      <c r="AP62" s="423"/>
      <c r="AQ62" s="423"/>
      <c r="AR62" s="423"/>
      <c r="AS62" s="423"/>
      <c r="AT62" s="423"/>
      <c r="AU62" s="423"/>
      <c r="AV62" s="423"/>
      <c r="AW62" s="423"/>
      <c r="AX62" s="423"/>
      <c r="AY62" s="423"/>
      <c r="AZ62" s="423"/>
      <c r="BA62" s="423"/>
      <c r="BB62" s="423"/>
      <c r="BC62" s="423"/>
      <c r="BD62" s="423"/>
      <c r="BE62" s="423"/>
      <c r="BF62" s="423"/>
      <c r="BG62" s="423"/>
      <c r="BH62" s="423"/>
      <c r="BI62" s="423"/>
      <c r="BJ62" s="423"/>
      <c r="BK62" s="423"/>
      <c r="BL62" s="423"/>
      <c r="BM62" s="423"/>
      <c r="BN62" s="423"/>
      <c r="BO62" s="423"/>
      <c r="BP62" s="423"/>
      <c r="BQ62" s="423"/>
      <c r="BR62" s="423"/>
      <c r="BS62" s="423"/>
      <c r="BT62" s="423"/>
    </row>
    <row r="63" spans="1:74" ht="18.75" x14ac:dyDescent="0.3">
      <c r="A63" s="125"/>
      <c r="B63" s="126" t="s">
        <v>55</v>
      </c>
      <c r="C63" s="109">
        <f>C4+C9</f>
        <v>7529.356580593425</v>
      </c>
      <c r="D63" s="109">
        <f t="shared" ref="D63:K63" si="123">D4+D9</f>
        <v>7529.356580593425</v>
      </c>
      <c r="E63" s="109">
        <f t="shared" si="123"/>
        <v>7529.356580593425</v>
      </c>
      <c r="F63" s="109">
        <f t="shared" si="123"/>
        <v>35302</v>
      </c>
      <c r="G63" s="109">
        <f t="shared" si="123"/>
        <v>36471</v>
      </c>
      <c r="H63" s="109">
        <f t="shared" si="123"/>
        <v>37987</v>
      </c>
      <c r="I63" s="109">
        <f t="shared" si="123"/>
        <v>39302</v>
      </c>
      <c r="J63" s="109">
        <f t="shared" si="123"/>
        <v>40854</v>
      </c>
      <c r="K63" s="109">
        <f t="shared" si="123"/>
        <v>42279</v>
      </c>
      <c r="L63" s="281">
        <f>L4+L9+L122+L128</f>
        <v>93442.99000000002</v>
      </c>
      <c r="M63" s="127">
        <f>M4+M9+M122+M128</f>
        <v>96066.64800000003</v>
      </c>
      <c r="N63" s="302">
        <f>N55+N9+N122+N128</f>
        <v>48147.687884615414</v>
      </c>
      <c r="O63" s="127">
        <f>O4+O9+O122+O128</f>
        <v>101551.96400000004</v>
      </c>
      <c r="P63" s="302">
        <f>P55+P9+P122+P128</f>
        <v>50154.288269230798</v>
      </c>
      <c r="Q63" s="127">
        <f>Q4+Q9+Q122+Q128</f>
        <v>107385.28000000003</v>
      </c>
      <c r="R63" s="127">
        <f t="shared" ref="R63:BT63" si="124">R4+R9+R122+R128</f>
        <v>108383.93800000002</v>
      </c>
      <c r="S63" s="127">
        <f t="shared" si="124"/>
        <v>109382.59600000003</v>
      </c>
      <c r="T63" s="127">
        <f t="shared" si="124"/>
        <v>110381.254</v>
      </c>
      <c r="U63" s="127">
        <f t="shared" si="124"/>
        <v>111379.91200000001</v>
      </c>
      <c r="V63" s="127">
        <f t="shared" si="124"/>
        <v>112378.57</v>
      </c>
      <c r="W63" s="127">
        <f t="shared" si="124"/>
        <v>113377.228</v>
      </c>
      <c r="X63" s="127">
        <f t="shared" si="124"/>
        <v>114375.88600000001</v>
      </c>
      <c r="Y63" s="127">
        <f t="shared" si="124"/>
        <v>115374.54400000002</v>
      </c>
      <c r="Z63" s="127">
        <f t="shared" si="124"/>
        <v>116018.93799999999</v>
      </c>
      <c r="AA63" s="127">
        <f t="shared" si="124"/>
        <v>116018.93799999999</v>
      </c>
      <c r="AB63" s="127">
        <f t="shared" si="124"/>
        <v>116018.93799999999</v>
      </c>
      <c r="AC63" s="127">
        <f t="shared" si="124"/>
        <v>116018.93799999999</v>
      </c>
      <c r="AD63" s="127">
        <f t="shared" si="124"/>
        <v>116018.93799999999</v>
      </c>
      <c r="AE63" s="127">
        <f t="shared" si="124"/>
        <v>116018.93799999999</v>
      </c>
      <c r="AF63" s="127">
        <f t="shared" si="124"/>
        <v>116018.93799999999</v>
      </c>
      <c r="AG63" s="127">
        <f>AG4+AG9+AG122+AG128</f>
        <v>116018.93799999999</v>
      </c>
      <c r="AH63" s="127">
        <f t="shared" si="124"/>
        <v>116018.93799999999</v>
      </c>
      <c r="AI63" s="127">
        <f t="shared" si="124"/>
        <v>116018.93799999999</v>
      </c>
      <c r="AJ63" s="127">
        <f t="shared" si="124"/>
        <v>116018.93799999999</v>
      </c>
      <c r="AK63" s="127">
        <f t="shared" si="124"/>
        <v>116018.93799999999</v>
      </c>
      <c r="AL63" s="127">
        <f t="shared" si="124"/>
        <v>116018.93799999999</v>
      </c>
      <c r="AM63" s="127">
        <f t="shared" si="124"/>
        <v>116018.93799999999</v>
      </c>
      <c r="AN63" s="127">
        <f t="shared" si="124"/>
        <v>116018.93799999999</v>
      </c>
      <c r="AO63" s="127">
        <f t="shared" si="124"/>
        <v>116018.93799999999</v>
      </c>
      <c r="AP63" s="127">
        <f t="shared" si="124"/>
        <v>116018.93799999999</v>
      </c>
      <c r="AQ63" s="127">
        <f t="shared" si="124"/>
        <v>116018.93799999999</v>
      </c>
      <c r="AR63" s="127">
        <f t="shared" si="124"/>
        <v>116018.93799999999</v>
      </c>
      <c r="AS63" s="190">
        <f>AS4+AS9+AS122+AS128</f>
        <v>50086.14</v>
      </c>
      <c r="AT63" s="127">
        <f t="shared" si="124"/>
        <v>50086.14</v>
      </c>
      <c r="AU63" s="190">
        <f>AU4+AU9+AU122+AU128</f>
        <v>50086.14</v>
      </c>
      <c r="AV63" s="127">
        <f t="shared" si="124"/>
        <v>50086.14</v>
      </c>
      <c r="AW63" s="127">
        <f t="shared" si="124"/>
        <v>50086.14</v>
      </c>
      <c r="AX63" s="127">
        <f t="shared" si="124"/>
        <v>37110.205000000002</v>
      </c>
      <c r="AY63" s="127">
        <f t="shared" si="124"/>
        <v>37110.205000000002</v>
      </c>
      <c r="AZ63" s="127">
        <f t="shared" si="124"/>
        <v>37110.205000000002</v>
      </c>
      <c r="BA63" s="127">
        <f t="shared" si="124"/>
        <v>37110.205000000002</v>
      </c>
      <c r="BB63" s="127">
        <f t="shared" si="124"/>
        <v>37110.205000000002</v>
      </c>
      <c r="BC63" s="127">
        <f t="shared" si="124"/>
        <v>37110.205000000002</v>
      </c>
      <c r="BD63" s="127">
        <f t="shared" si="124"/>
        <v>37110.205000000002</v>
      </c>
      <c r="BE63" s="127">
        <f t="shared" si="124"/>
        <v>37110.205000000002</v>
      </c>
      <c r="BF63" s="127">
        <f t="shared" si="124"/>
        <v>37110.205000000002</v>
      </c>
      <c r="BG63" s="127">
        <f t="shared" si="124"/>
        <v>37110.205000000002</v>
      </c>
      <c r="BH63" s="127">
        <f t="shared" si="124"/>
        <v>37110.205000000002</v>
      </c>
      <c r="BI63" s="127">
        <f t="shared" si="124"/>
        <v>37110.205000000002</v>
      </c>
      <c r="BJ63" s="127">
        <f t="shared" si="124"/>
        <v>37110.205000000002</v>
      </c>
      <c r="BK63" s="127">
        <f t="shared" si="124"/>
        <v>37110.205000000002</v>
      </c>
      <c r="BL63" s="127">
        <f t="shared" si="124"/>
        <v>37110.205000000002</v>
      </c>
      <c r="BM63" s="127">
        <f t="shared" si="124"/>
        <v>37110.205000000002</v>
      </c>
      <c r="BN63" s="127">
        <f t="shared" si="124"/>
        <v>37083.505000000005</v>
      </c>
      <c r="BO63" s="127">
        <f t="shared" si="124"/>
        <v>28335.205000000002</v>
      </c>
      <c r="BP63" s="127">
        <f t="shared" si="124"/>
        <v>28335.205000000002</v>
      </c>
      <c r="BQ63" s="127">
        <f t="shared" si="124"/>
        <v>28335.205000000002</v>
      </c>
      <c r="BR63" s="127">
        <f t="shared" si="124"/>
        <v>28335.205000000002</v>
      </c>
      <c r="BS63" s="127">
        <f t="shared" si="124"/>
        <v>28335.205000000002</v>
      </c>
      <c r="BT63" s="127">
        <f t="shared" si="124"/>
        <v>28335.205000000002</v>
      </c>
    </row>
    <row r="64" spans="1:74" x14ac:dyDescent="0.25">
      <c r="A64" s="447" t="s">
        <v>10</v>
      </c>
      <c r="B64" s="121" t="s">
        <v>11</v>
      </c>
      <c r="C64" s="129">
        <f>C13</f>
        <v>0</v>
      </c>
      <c r="D64" s="129">
        <f t="shared" ref="D64:K64" si="125">D13</f>
        <v>0</v>
      </c>
      <c r="E64" s="129">
        <f t="shared" si="125"/>
        <v>0</v>
      </c>
      <c r="F64" s="129">
        <f t="shared" ref="F64" si="126">F13</f>
        <v>4465.72335776</v>
      </c>
      <c r="G64" s="129">
        <f t="shared" si="125"/>
        <v>4732.4675854799998</v>
      </c>
      <c r="H64" s="129">
        <f t="shared" si="125"/>
        <v>5091.9541055600002</v>
      </c>
      <c r="I64" s="129">
        <f t="shared" si="125"/>
        <v>5424.1483777600006</v>
      </c>
      <c r="J64" s="129">
        <f t="shared" si="125"/>
        <v>5816.0032855199997</v>
      </c>
      <c r="K64" s="129">
        <f t="shared" si="125"/>
        <v>6175.9294645199998</v>
      </c>
      <c r="L64" s="283">
        <f>L65+L66</f>
        <v>16228.435560000002</v>
      </c>
      <c r="M64" s="130">
        <f t="shared" ref="M64:BT64" si="127">M65+M66</f>
        <v>15598.996972500001</v>
      </c>
      <c r="N64" s="237">
        <f t="shared" si="127"/>
        <v>13274.417615000002</v>
      </c>
      <c r="O64" s="130">
        <f t="shared" si="127"/>
        <v>16834.3591825</v>
      </c>
      <c r="P64" s="237">
        <f t="shared" si="127"/>
        <v>12880.758949999999</v>
      </c>
      <c r="Q64" s="130">
        <f t="shared" si="127"/>
        <v>18265.494432500003</v>
      </c>
      <c r="R64" s="130">
        <f t="shared" si="127"/>
        <v>18621.819080000001</v>
      </c>
      <c r="S64" s="130">
        <f t="shared" si="127"/>
        <v>19098.158694999998</v>
      </c>
      <c r="T64" s="130">
        <f t="shared" si="127"/>
        <v>19463.6441275</v>
      </c>
      <c r="U64" s="130">
        <f t="shared" si="127"/>
        <v>20011.760760000005</v>
      </c>
      <c r="V64" s="130">
        <f t="shared" si="127"/>
        <v>20381.753940000002</v>
      </c>
      <c r="W64" s="130">
        <f t="shared" si="127"/>
        <v>20502.887622500002</v>
      </c>
      <c r="X64" s="130">
        <f t="shared" si="127"/>
        <v>20872.873705000002</v>
      </c>
      <c r="Y64" s="130">
        <f t="shared" si="127"/>
        <v>21242.876885000001</v>
      </c>
      <c r="Z64" s="130">
        <f t="shared" si="127"/>
        <v>21954.946352499999</v>
      </c>
      <c r="AA64" s="130">
        <f t="shared" si="127"/>
        <v>21954.946352499999</v>
      </c>
      <c r="AB64" s="130">
        <f t="shared" si="127"/>
        <v>21954.946352499999</v>
      </c>
      <c r="AC64" s="130">
        <f t="shared" si="127"/>
        <v>21954.946352499999</v>
      </c>
      <c r="AD64" s="130">
        <f t="shared" si="127"/>
        <v>21954.946352499999</v>
      </c>
      <c r="AE64" s="130">
        <f t="shared" si="127"/>
        <v>21013.803852500001</v>
      </c>
      <c r="AF64" s="130">
        <f t="shared" si="127"/>
        <v>21681.516852500001</v>
      </c>
      <c r="AG64" s="130">
        <f t="shared" si="127"/>
        <v>20740.374352500003</v>
      </c>
      <c r="AH64" s="130">
        <f t="shared" si="127"/>
        <v>21408.087352500002</v>
      </c>
      <c r="AI64" s="130">
        <f t="shared" si="127"/>
        <v>21681.516852500001</v>
      </c>
      <c r="AJ64" s="130">
        <f t="shared" si="127"/>
        <v>21681.516852500001</v>
      </c>
      <c r="AK64" s="130">
        <f t="shared" si="127"/>
        <v>21954.946352499999</v>
      </c>
      <c r="AL64" s="130">
        <f t="shared" si="127"/>
        <v>21954.946352499999</v>
      </c>
      <c r="AM64" s="130">
        <f t="shared" si="127"/>
        <v>21954.946352499999</v>
      </c>
      <c r="AN64" s="130">
        <f t="shared" si="127"/>
        <v>21954.946352499999</v>
      </c>
      <c r="AO64" s="130">
        <f t="shared" si="127"/>
        <v>21954.946352499999</v>
      </c>
      <c r="AP64" s="130">
        <f t="shared" si="127"/>
        <v>21954.946352499999</v>
      </c>
      <c r="AQ64" s="130">
        <f t="shared" si="127"/>
        <v>21954.946352499999</v>
      </c>
      <c r="AR64" s="130">
        <f t="shared" si="127"/>
        <v>21954.946352499999</v>
      </c>
      <c r="AS64" s="237">
        <f t="shared" si="127"/>
        <v>8601.4328674999997</v>
      </c>
      <c r="AT64" s="130">
        <f t="shared" si="127"/>
        <v>11377.143872500001</v>
      </c>
      <c r="AU64" s="130">
        <f t="shared" si="127"/>
        <v>12322.845430000001</v>
      </c>
      <c r="AV64" s="130">
        <f t="shared" si="127"/>
        <v>12322.845430000001</v>
      </c>
      <c r="AW64" s="130">
        <f t="shared" si="127"/>
        <v>12322.845430000001</v>
      </c>
      <c r="AX64" s="130">
        <f t="shared" si="127"/>
        <v>8833.5501225000007</v>
      </c>
      <c r="AY64" s="130">
        <f t="shared" si="127"/>
        <v>8833.5501225000007</v>
      </c>
      <c r="AZ64" s="130">
        <f t="shared" si="127"/>
        <v>8833.5501225000007</v>
      </c>
      <c r="BA64" s="130">
        <f t="shared" si="127"/>
        <v>8833.5501225000007</v>
      </c>
      <c r="BB64" s="130">
        <f t="shared" si="127"/>
        <v>8833.5501225000007</v>
      </c>
      <c r="BC64" s="130">
        <f t="shared" si="127"/>
        <v>8833.5501225000007</v>
      </c>
      <c r="BD64" s="130">
        <f t="shared" si="127"/>
        <v>8833.5501225000007</v>
      </c>
      <c r="BE64" s="130">
        <f t="shared" si="127"/>
        <v>8833.5501225000007</v>
      </c>
      <c r="BF64" s="130">
        <f t="shared" si="127"/>
        <v>8833.5501225000007</v>
      </c>
      <c r="BG64" s="130">
        <f t="shared" si="127"/>
        <v>8833.5501225000007</v>
      </c>
      <c r="BH64" s="130">
        <f t="shared" si="127"/>
        <v>8833.5501225000007</v>
      </c>
      <c r="BI64" s="130">
        <f t="shared" si="127"/>
        <v>8833.5501225000007</v>
      </c>
      <c r="BJ64" s="130">
        <f t="shared" si="127"/>
        <v>8833.5501225000007</v>
      </c>
      <c r="BK64" s="130">
        <f t="shared" si="127"/>
        <v>8833.5501225000007</v>
      </c>
      <c r="BL64" s="130">
        <f t="shared" si="127"/>
        <v>8833.5501225000007</v>
      </c>
      <c r="BM64" s="130">
        <f t="shared" si="127"/>
        <v>8833.5501225000007</v>
      </c>
      <c r="BN64" s="130">
        <f t="shared" si="127"/>
        <v>8833.5501225000007</v>
      </c>
      <c r="BO64" s="130">
        <f t="shared" si="127"/>
        <v>8062.8542100000004</v>
      </c>
      <c r="BP64" s="130">
        <f t="shared" si="127"/>
        <v>8062.8542100000004</v>
      </c>
      <c r="BQ64" s="130">
        <f t="shared" si="127"/>
        <v>8062.8542100000004</v>
      </c>
      <c r="BR64" s="130">
        <f t="shared" si="127"/>
        <v>8062.8542100000004</v>
      </c>
      <c r="BS64" s="130">
        <f t="shared" si="127"/>
        <v>8062.8542100000004</v>
      </c>
      <c r="BT64" s="130">
        <f t="shared" si="127"/>
        <v>8062.8542100000004</v>
      </c>
    </row>
    <row r="65" spans="1:74" x14ac:dyDescent="0.25">
      <c r="A65" s="447"/>
      <c r="B65" s="423" t="s">
        <v>12</v>
      </c>
      <c r="C65" s="109">
        <f>C14</f>
        <v>0</v>
      </c>
      <c r="D65" s="109">
        <f t="shared" ref="D65:K65" si="128">D14</f>
        <v>0</v>
      </c>
      <c r="E65" s="109">
        <f t="shared" si="128"/>
        <v>0</v>
      </c>
      <c r="F65" s="109">
        <f t="shared" ref="F65" si="129">F14</f>
        <v>2272.8073999999992</v>
      </c>
      <c r="G65" s="109">
        <f t="shared" si="128"/>
        <v>2424.2876999999994</v>
      </c>
      <c r="H65" s="109">
        <f t="shared" si="128"/>
        <v>2634.5864000000001</v>
      </c>
      <c r="I65" s="109">
        <f t="shared" si="128"/>
        <v>2837.1859000000004</v>
      </c>
      <c r="J65" s="109">
        <f t="shared" si="128"/>
        <v>3076.1718000000001</v>
      </c>
      <c r="K65" s="109">
        <f t="shared" si="128"/>
        <v>3295.7282999999998</v>
      </c>
      <c r="L65" s="281">
        <f>'Détail impôt'!L97</f>
        <v>8910.2818000000007</v>
      </c>
      <c r="M65" s="127">
        <f>'Détail impôt'!M97</f>
        <v>8586.7893000000004</v>
      </c>
      <c r="N65" s="127">
        <f>'Détail impôt'!N97</f>
        <v>7128.392600000001</v>
      </c>
      <c r="O65" s="127">
        <f>'Détail impôt'!O97</f>
        <v>9497.3649000000005</v>
      </c>
      <c r="P65" s="127">
        <f>'Détail impôt'!P97</f>
        <v>7081.0409999999993</v>
      </c>
      <c r="Q65" s="127">
        <f>'Détail impôt'!Q97</f>
        <v>10560.908100000001</v>
      </c>
      <c r="R65" s="127">
        <f>'Détail impôt'!R97</f>
        <v>10760.6381</v>
      </c>
      <c r="S65" s="127">
        <f>'Détail impôt'!S97</f>
        <v>10960.3681</v>
      </c>
      <c r="T65" s="127">
        <f>'Détail impôt'!T97</f>
        <v>11160.098099999999</v>
      </c>
      <c r="U65" s="127">
        <f>'Détail impôt'!U97</f>
        <v>11359.828100000002</v>
      </c>
      <c r="V65" s="127">
        <f>'Détail impôt'!V97</f>
        <v>11559.558100000002</v>
      </c>
      <c r="W65" s="127">
        <f>'Détail impôt'!W97</f>
        <v>11625.198100000001</v>
      </c>
      <c r="X65" s="127">
        <f>'Détail impôt'!X97</f>
        <v>11824.928100000001</v>
      </c>
      <c r="Y65" s="127">
        <f>'Détail impôt'!Y97</f>
        <v>12024.668100000003</v>
      </c>
      <c r="Z65" s="127">
        <f>'Détail impôt'!Z97</f>
        <v>12153.5481</v>
      </c>
      <c r="AA65" s="127">
        <f>'Détail impôt'!AA97</f>
        <v>12153.5481</v>
      </c>
      <c r="AB65" s="127">
        <f>'Détail impôt'!AB97</f>
        <v>12153.5481</v>
      </c>
      <c r="AC65" s="127">
        <f>'Détail impôt'!AC97</f>
        <v>12153.5481</v>
      </c>
      <c r="AD65" s="127">
        <f>'Détail impôt'!AD97</f>
        <v>12153.5481</v>
      </c>
      <c r="AE65" s="127">
        <f>'Détail impôt'!AE97</f>
        <v>11258.748100000001</v>
      </c>
      <c r="AF65" s="127">
        <f>'Détail impôt'!AF97</f>
        <v>11926.4611</v>
      </c>
      <c r="AG65" s="127">
        <f>'Détail impôt'!AG97</f>
        <v>11031.661100000001</v>
      </c>
      <c r="AH65" s="127">
        <f>'Détail impôt'!AH97</f>
        <v>11699.374100000001</v>
      </c>
      <c r="AI65" s="127">
        <f>'Détail impôt'!AI97</f>
        <v>11926.4611</v>
      </c>
      <c r="AJ65" s="127">
        <f>'Détail impôt'!AJ97</f>
        <v>11926.4611</v>
      </c>
      <c r="AK65" s="127">
        <f>'Détail impôt'!AK97</f>
        <v>12153.5481</v>
      </c>
      <c r="AL65" s="127">
        <f>'Détail impôt'!AL97</f>
        <v>12153.5481</v>
      </c>
      <c r="AM65" s="127">
        <f>'Détail impôt'!AM97</f>
        <v>12153.5481</v>
      </c>
      <c r="AN65" s="127">
        <f>'Détail impôt'!AN97</f>
        <v>12153.5481</v>
      </c>
      <c r="AO65" s="127">
        <f>'Détail impôt'!AO97</f>
        <v>12153.5481</v>
      </c>
      <c r="AP65" s="127">
        <f>'Détail impôt'!AP97</f>
        <v>12153.5481</v>
      </c>
      <c r="AQ65" s="127">
        <f>'Détail impôt'!AQ97</f>
        <v>12153.5481</v>
      </c>
      <c r="AR65" s="127">
        <f>'Détail impôt'!AR97</f>
        <v>12153.5481</v>
      </c>
      <c r="AS65" s="192">
        <f>'Détail impôt'!AS97</f>
        <v>4528.1605</v>
      </c>
      <c r="AT65" s="192">
        <f>'Détail impôt'!AT97</f>
        <v>6230.56</v>
      </c>
      <c r="AU65" s="192">
        <f>'Détail impôt'!AU97</f>
        <v>7176.0240000000013</v>
      </c>
      <c r="AV65" s="192">
        <f>'Détail impôt'!AV97</f>
        <v>7176.0240000000013</v>
      </c>
      <c r="AW65" s="192">
        <f>'Détail impôt'!AW97</f>
        <v>7176.0240000000013</v>
      </c>
      <c r="AX65" s="192">
        <f>'Détail impôt'!AX97</f>
        <v>5324.2759999999998</v>
      </c>
      <c r="AY65" s="192">
        <f>'Détail impôt'!AY97</f>
        <v>5324.2759999999998</v>
      </c>
      <c r="AZ65" s="192">
        <f>'Détail impôt'!AZ97</f>
        <v>5324.2759999999998</v>
      </c>
      <c r="BA65" s="192">
        <f>'Détail impôt'!BA97</f>
        <v>5324.2759999999998</v>
      </c>
      <c r="BB65" s="192">
        <f>'Détail impôt'!BB97</f>
        <v>5324.2759999999998</v>
      </c>
      <c r="BC65" s="192">
        <f>'Détail impôt'!BC97</f>
        <v>5324.2759999999998</v>
      </c>
      <c r="BD65" s="192">
        <f>'Détail impôt'!BD97</f>
        <v>5324.2759999999998</v>
      </c>
      <c r="BE65" s="192">
        <f>'Détail impôt'!BE97</f>
        <v>5324.2759999999998</v>
      </c>
      <c r="BF65" s="192">
        <f>'Détail impôt'!BF97</f>
        <v>5324.2759999999998</v>
      </c>
      <c r="BG65" s="192">
        <f>'Détail impôt'!BG97</f>
        <v>5324.2759999999998</v>
      </c>
      <c r="BH65" s="192">
        <f>'Détail impôt'!BH97</f>
        <v>5324.2759999999998</v>
      </c>
      <c r="BI65" s="192">
        <f>'Détail impôt'!BI97</f>
        <v>5324.2759999999998</v>
      </c>
      <c r="BJ65" s="192">
        <f>'Détail impôt'!BJ97</f>
        <v>5324.2759999999998</v>
      </c>
      <c r="BK65" s="192">
        <f>'Détail impôt'!BK97</f>
        <v>5324.2759999999998</v>
      </c>
      <c r="BL65" s="192">
        <f>'Détail impôt'!BL97</f>
        <v>5324.2759999999998</v>
      </c>
      <c r="BM65" s="192">
        <f>'Détail impôt'!BM97</f>
        <v>5324.2759999999998</v>
      </c>
      <c r="BN65" s="192">
        <f>'Détail impôt'!BN97</f>
        <v>5324.2759999999998</v>
      </c>
      <c r="BO65" s="192">
        <f>'Détail impôt'!BO97</f>
        <v>4431.2505000000001</v>
      </c>
      <c r="BP65" s="192">
        <f>'Détail impôt'!BP97</f>
        <v>4431.2505000000001</v>
      </c>
      <c r="BQ65" s="192">
        <f>'Détail impôt'!BQ97</f>
        <v>4431.2505000000001</v>
      </c>
      <c r="BR65" s="192">
        <f>'Détail impôt'!BR97</f>
        <v>4431.2505000000001</v>
      </c>
      <c r="BS65" s="192">
        <f>'Détail impôt'!BS97</f>
        <v>4431.2505000000001</v>
      </c>
      <c r="BT65" s="192">
        <f>'Détail impôt'!BT97</f>
        <v>4431.2505000000001</v>
      </c>
    </row>
    <row r="66" spans="1:74" x14ac:dyDescent="0.25">
      <c r="A66" s="447"/>
      <c r="B66" s="423" t="s">
        <v>13</v>
      </c>
      <c r="C66" s="109">
        <f>C15</f>
        <v>0</v>
      </c>
      <c r="D66" s="109">
        <f>D15</f>
        <v>0</v>
      </c>
      <c r="E66" s="109">
        <f>E15</f>
        <v>0</v>
      </c>
      <c r="F66" s="109">
        <f t="shared" ref="F66" si="130">F15</f>
        <v>2192.9159577600003</v>
      </c>
      <c r="G66" s="109">
        <f>G15</f>
        <v>2308.1798854800004</v>
      </c>
      <c r="H66" s="109">
        <f>H15</f>
        <v>2457.3677055600001</v>
      </c>
      <c r="I66" s="109">
        <f>I15</f>
        <v>2586.9624777600002</v>
      </c>
      <c r="J66" s="109">
        <f>J15</f>
        <v>2739.8314855199997</v>
      </c>
      <c r="K66" s="109">
        <f>K15</f>
        <v>2880.20116452</v>
      </c>
      <c r="L66" s="281">
        <f>'Détail impôt'!L98</f>
        <v>7318.1537600000001</v>
      </c>
      <c r="M66" s="127">
        <f>'Détail impôt'!M98</f>
        <v>7012.2076724999997</v>
      </c>
      <c r="N66" s="127">
        <f>'Détail impôt'!N98</f>
        <v>6146.0250150000002</v>
      </c>
      <c r="O66" s="127">
        <f>'Détail impôt'!O98</f>
        <v>7336.9942825000007</v>
      </c>
      <c r="P66" s="127">
        <f>'Détail impôt'!P98</f>
        <v>5799.7179500000002</v>
      </c>
      <c r="Q66" s="127">
        <f>'Détail impôt'!Q98</f>
        <v>7704.5863325000009</v>
      </c>
      <c r="R66" s="127">
        <f>'Détail impôt'!R98</f>
        <v>7861.180980000001</v>
      </c>
      <c r="S66" s="127">
        <f>'Détail impôt'!S98</f>
        <v>8137.7905950000004</v>
      </c>
      <c r="T66" s="127">
        <f>'Détail impôt'!T98</f>
        <v>8303.5460275000005</v>
      </c>
      <c r="U66" s="127">
        <f>'Détail impôt'!U98</f>
        <v>8651.9326600000004</v>
      </c>
      <c r="V66" s="127">
        <f>'Détail impôt'!V98</f>
        <v>8822.1958400000003</v>
      </c>
      <c r="W66" s="127">
        <f>'Détail impôt'!W98</f>
        <v>8877.6895225000007</v>
      </c>
      <c r="X66" s="127">
        <f>'Détail impôt'!X98</f>
        <v>9047.9456050000008</v>
      </c>
      <c r="Y66" s="127">
        <f>'Détail impôt'!Y98</f>
        <v>9218.2087849999989</v>
      </c>
      <c r="Z66" s="127">
        <f>'Détail impôt'!Z98</f>
        <v>9801.3982524999992</v>
      </c>
      <c r="AA66" s="127">
        <f>'Détail impôt'!AA98</f>
        <v>9801.3982524999992</v>
      </c>
      <c r="AB66" s="127">
        <f>'Détail impôt'!AB98</f>
        <v>9801.3982524999992</v>
      </c>
      <c r="AC66" s="127">
        <f>'Détail impôt'!AC98</f>
        <v>9801.3982524999992</v>
      </c>
      <c r="AD66" s="127">
        <f>'Détail impôt'!AD98</f>
        <v>9801.3982524999992</v>
      </c>
      <c r="AE66" s="127">
        <f>'Détail impôt'!AE98</f>
        <v>9755.0557525000004</v>
      </c>
      <c r="AF66" s="127">
        <f>'Détail impôt'!AF98</f>
        <v>9755.0557525000004</v>
      </c>
      <c r="AG66" s="127">
        <f>'Détail impôt'!AG98</f>
        <v>9708.7132525000015</v>
      </c>
      <c r="AH66" s="127">
        <f>'Détail impôt'!AH98</f>
        <v>9708.7132525000015</v>
      </c>
      <c r="AI66" s="127">
        <f>'Détail impôt'!AI98</f>
        <v>9755.0557525000004</v>
      </c>
      <c r="AJ66" s="127">
        <f>'Détail impôt'!AJ98</f>
        <v>9755.0557525000004</v>
      </c>
      <c r="AK66" s="127">
        <f>'Détail impôt'!AK98</f>
        <v>9801.3982524999992</v>
      </c>
      <c r="AL66" s="127">
        <f>'Détail impôt'!AL98</f>
        <v>9801.3982524999992</v>
      </c>
      <c r="AM66" s="127">
        <f>'Détail impôt'!AM98</f>
        <v>9801.3982524999992</v>
      </c>
      <c r="AN66" s="127">
        <f>'Détail impôt'!AN98</f>
        <v>9801.3982524999992</v>
      </c>
      <c r="AO66" s="127">
        <f>'Détail impôt'!AO98</f>
        <v>9801.3982524999992</v>
      </c>
      <c r="AP66" s="127">
        <f>'Détail impôt'!AP98</f>
        <v>9801.3982524999992</v>
      </c>
      <c r="AQ66" s="127">
        <f>'Détail impôt'!AQ98</f>
        <v>9801.3982524999992</v>
      </c>
      <c r="AR66" s="127">
        <f>'Détail impôt'!AR98</f>
        <v>9801.3982524999992</v>
      </c>
      <c r="AS66" s="192">
        <f>'Détail impôt'!AS98</f>
        <v>4073.2723675000002</v>
      </c>
      <c r="AT66" s="192">
        <f>'Détail impôt'!AT98</f>
        <v>5146.5838725000003</v>
      </c>
      <c r="AU66" s="192">
        <f>'Détail impôt'!AU98</f>
        <v>5146.8214300000009</v>
      </c>
      <c r="AV66" s="192">
        <f>'Détail impôt'!AV98</f>
        <v>5146.8214300000009</v>
      </c>
      <c r="AW66" s="192">
        <f>'Détail impôt'!AW98</f>
        <v>5146.8214300000009</v>
      </c>
      <c r="AX66" s="192">
        <f>'Détail impôt'!AX98</f>
        <v>3509.2741225000009</v>
      </c>
      <c r="AY66" s="192">
        <f>'Détail impôt'!AY98</f>
        <v>3509.2741225000009</v>
      </c>
      <c r="AZ66" s="192">
        <f>'Détail impôt'!AZ98</f>
        <v>3509.2741225000009</v>
      </c>
      <c r="BA66" s="192">
        <f>'Détail impôt'!BA98</f>
        <v>3509.2741225000009</v>
      </c>
      <c r="BB66" s="192">
        <f>'Détail impôt'!BB98</f>
        <v>3509.2741225000009</v>
      </c>
      <c r="BC66" s="192">
        <f>'Détail impôt'!BC98</f>
        <v>3509.2741225000009</v>
      </c>
      <c r="BD66" s="192">
        <f>'Détail impôt'!BD98</f>
        <v>3509.2741225000009</v>
      </c>
      <c r="BE66" s="192">
        <f>'Détail impôt'!BE98</f>
        <v>3509.2741225000009</v>
      </c>
      <c r="BF66" s="192">
        <f>'Détail impôt'!BF98</f>
        <v>3509.2741225000009</v>
      </c>
      <c r="BG66" s="192">
        <f>'Détail impôt'!BG98</f>
        <v>3509.2741225000009</v>
      </c>
      <c r="BH66" s="192">
        <f>'Détail impôt'!BH98</f>
        <v>3509.2741225000009</v>
      </c>
      <c r="BI66" s="192">
        <f>'Détail impôt'!BI98</f>
        <v>3509.2741225000009</v>
      </c>
      <c r="BJ66" s="192">
        <f>'Détail impôt'!BJ98</f>
        <v>3509.2741225000009</v>
      </c>
      <c r="BK66" s="192">
        <f>'Détail impôt'!BK98</f>
        <v>3509.2741225000009</v>
      </c>
      <c r="BL66" s="192">
        <f>'Détail impôt'!BL98</f>
        <v>3509.2741225000009</v>
      </c>
      <c r="BM66" s="192">
        <f>'Détail impôt'!BM98</f>
        <v>3509.2741225000009</v>
      </c>
      <c r="BN66" s="192">
        <f>'Détail impôt'!BN98</f>
        <v>3509.2741225000009</v>
      </c>
      <c r="BO66" s="192">
        <f>'Détail impôt'!BO98</f>
        <v>3631.6037100000003</v>
      </c>
      <c r="BP66" s="192">
        <f>'Détail impôt'!BP98</f>
        <v>3631.6037100000003</v>
      </c>
      <c r="BQ66" s="192">
        <f>'Détail impôt'!BQ98</f>
        <v>3631.6037100000003</v>
      </c>
      <c r="BR66" s="192">
        <f>'Détail impôt'!BR98</f>
        <v>3631.6037100000003</v>
      </c>
      <c r="BS66" s="192">
        <f>'Détail impôt'!BS98</f>
        <v>3631.6037100000003</v>
      </c>
      <c r="BT66" s="192">
        <f>'Détail impôt'!BT98</f>
        <v>3631.6037100000003</v>
      </c>
    </row>
    <row r="67" spans="1:74" x14ac:dyDescent="0.25">
      <c r="A67" s="447"/>
      <c r="B67" s="423" t="s">
        <v>56</v>
      </c>
      <c r="C67" s="109"/>
      <c r="D67" s="109"/>
      <c r="E67" s="109"/>
      <c r="F67" s="109"/>
      <c r="G67" s="109"/>
      <c r="H67" s="109"/>
      <c r="I67" s="109"/>
      <c r="J67" s="109"/>
      <c r="K67" s="109"/>
      <c r="L67" s="281"/>
      <c r="M67" s="127"/>
      <c r="N67" s="131"/>
      <c r="O67" s="192">
        <f>'B.P. Coût place garderie'!C58</f>
        <v>650.40000000000009</v>
      </c>
      <c r="P67" s="192">
        <f>'B.P. Coût place garderie'!D58</f>
        <v>168</v>
      </c>
      <c r="Q67" s="192">
        <f>'B.P. Coût place garderie'!E58</f>
        <v>1267.1999999999998</v>
      </c>
      <c r="R67" s="192">
        <f>'B.P. Coût place garderie'!F58</f>
        <v>1322.4</v>
      </c>
      <c r="S67" s="192">
        <f>'B.P. Coût place garderie'!G58</f>
        <v>916.80000000000007</v>
      </c>
      <c r="T67" s="192">
        <f>'B.P. Coût place garderie'!H58</f>
        <v>952.80000000000007</v>
      </c>
      <c r="U67" s="131"/>
      <c r="V67" s="131"/>
      <c r="W67" s="128"/>
      <c r="X67" s="128"/>
      <c r="Y67" s="128"/>
      <c r="Z67" s="128"/>
      <c r="AA67" s="128"/>
      <c r="AB67" s="128"/>
      <c r="AC67" s="128"/>
      <c r="AD67" s="128"/>
      <c r="AE67" s="128"/>
      <c r="AF67" s="128"/>
      <c r="AG67" s="128"/>
      <c r="AH67" s="128"/>
      <c r="AI67" s="128"/>
      <c r="AJ67" s="128"/>
      <c r="AK67" s="128"/>
      <c r="AL67" s="128"/>
      <c r="AM67" s="128"/>
      <c r="AN67" s="128"/>
      <c r="AO67" s="128"/>
      <c r="AP67" s="128"/>
      <c r="AQ67" s="128"/>
      <c r="AR67" s="128"/>
      <c r="AS67" s="189"/>
      <c r="AT67" s="128"/>
      <c r="AU67" s="128"/>
      <c r="AV67" s="128"/>
      <c r="AW67" s="128"/>
      <c r="AX67" s="128"/>
      <c r="AY67" s="128"/>
      <c r="AZ67" s="128"/>
      <c r="BA67" s="128"/>
      <c r="BB67" s="128"/>
      <c r="BC67" s="128"/>
      <c r="BD67" s="128"/>
      <c r="BE67" s="128"/>
      <c r="BF67" s="128"/>
      <c r="BG67" s="128"/>
      <c r="BH67" s="128"/>
      <c r="BI67" s="128"/>
      <c r="BJ67" s="128"/>
      <c r="BK67" s="128"/>
      <c r="BL67" s="128"/>
      <c r="BM67" s="128"/>
      <c r="BN67" s="128"/>
      <c r="BO67" s="128"/>
      <c r="BP67" s="128"/>
      <c r="BQ67" s="128"/>
      <c r="BR67" s="128"/>
      <c r="BS67" s="128"/>
      <c r="BT67" s="128"/>
    </row>
    <row r="68" spans="1:74" x14ac:dyDescent="0.25">
      <c r="A68" s="447"/>
      <c r="B68" s="423" t="s">
        <v>14</v>
      </c>
      <c r="C68" s="109">
        <f t="shared" ref="C68:K68" si="131">C16</f>
        <v>217.57</v>
      </c>
      <c r="D68" s="109">
        <v>217.57</v>
      </c>
      <c r="E68" s="109">
        <v>217.57</v>
      </c>
      <c r="F68" s="109">
        <f t="shared" si="131"/>
        <v>1717.308</v>
      </c>
      <c r="G68" s="109">
        <f t="shared" si="131"/>
        <v>1780.434</v>
      </c>
      <c r="H68" s="109">
        <f t="shared" si="131"/>
        <v>1862.298</v>
      </c>
      <c r="I68" s="109">
        <f t="shared" si="131"/>
        <v>1933.308</v>
      </c>
      <c r="J68" s="109">
        <f t="shared" si="131"/>
        <v>2017.116</v>
      </c>
      <c r="K68" s="109">
        <f t="shared" si="131"/>
        <v>2094.0659999999998</v>
      </c>
      <c r="L68" s="281">
        <f>L16+L123</f>
        <v>4667.7559999999994</v>
      </c>
      <c r="M68" s="127">
        <f>M16+M123</f>
        <v>4809.5059999999994</v>
      </c>
      <c r="N68" s="131">
        <f>N56+N123</f>
        <v>2222</v>
      </c>
      <c r="O68" s="131">
        <f>O16+O123</f>
        <v>5105.8580000000002</v>
      </c>
      <c r="P68" s="131">
        <f>P56+P123</f>
        <v>2330</v>
      </c>
      <c r="Q68" s="131">
        <f t="shared" ref="Q68:BT68" si="132">Q16+Q123</f>
        <v>5421.0020000000004</v>
      </c>
      <c r="R68" s="131">
        <f t="shared" si="132"/>
        <v>5478.732</v>
      </c>
      <c r="S68" s="131">
        <f t="shared" si="132"/>
        <v>5500.6019999999999</v>
      </c>
      <c r="T68" s="131">
        <f t="shared" si="132"/>
        <v>5501.0020000000004</v>
      </c>
      <c r="U68" s="131">
        <f t="shared" si="132"/>
        <v>5501.0020000000004</v>
      </c>
      <c r="V68" s="131">
        <f t="shared" si="132"/>
        <v>5501.0020000000004</v>
      </c>
      <c r="W68" s="131">
        <f t="shared" si="132"/>
        <v>5501.0020000000004</v>
      </c>
      <c r="X68" s="131">
        <f t="shared" si="132"/>
        <v>5501.0020000000004</v>
      </c>
      <c r="Y68" s="131">
        <f t="shared" si="132"/>
        <v>5501.0020000000004</v>
      </c>
      <c r="Z68" s="131">
        <f t="shared" si="132"/>
        <v>5501.0020000000004</v>
      </c>
      <c r="AA68" s="131">
        <f t="shared" si="132"/>
        <v>5501.0020000000004</v>
      </c>
      <c r="AB68" s="131">
        <f t="shared" si="132"/>
        <v>5501.0020000000004</v>
      </c>
      <c r="AC68" s="131">
        <f t="shared" si="132"/>
        <v>5501.0020000000004</v>
      </c>
      <c r="AD68" s="131">
        <f t="shared" si="132"/>
        <v>5501.0020000000004</v>
      </c>
      <c r="AE68" s="131">
        <f t="shared" si="132"/>
        <v>5501.0020000000004</v>
      </c>
      <c r="AF68" s="131">
        <f t="shared" si="132"/>
        <v>5501.0020000000004</v>
      </c>
      <c r="AG68" s="131">
        <f t="shared" si="132"/>
        <v>5501.0020000000004</v>
      </c>
      <c r="AH68" s="131">
        <f t="shared" si="132"/>
        <v>5501.0020000000004</v>
      </c>
      <c r="AI68" s="131">
        <f t="shared" si="132"/>
        <v>5501.0020000000004</v>
      </c>
      <c r="AJ68" s="131">
        <f t="shared" si="132"/>
        <v>5501.0020000000004</v>
      </c>
      <c r="AK68" s="131">
        <f t="shared" si="132"/>
        <v>5501.0020000000004</v>
      </c>
      <c r="AL68" s="131">
        <f t="shared" si="132"/>
        <v>5501.0020000000004</v>
      </c>
      <c r="AM68" s="131">
        <f t="shared" si="132"/>
        <v>5501.0020000000004</v>
      </c>
      <c r="AN68" s="131">
        <f t="shared" si="132"/>
        <v>5501.0020000000004</v>
      </c>
      <c r="AO68" s="131">
        <f t="shared" si="132"/>
        <v>5501.0020000000004</v>
      </c>
      <c r="AP68" s="131">
        <f t="shared" si="132"/>
        <v>5501.0020000000004</v>
      </c>
      <c r="AQ68" s="131">
        <f t="shared" si="132"/>
        <v>5501.0020000000004</v>
      </c>
      <c r="AR68" s="131">
        <f t="shared" si="132"/>
        <v>5501.0020000000004</v>
      </c>
      <c r="AS68" s="189">
        <f t="shared" si="132"/>
        <v>0</v>
      </c>
      <c r="AT68" s="128">
        <f t="shared" si="132"/>
        <v>0</v>
      </c>
      <c r="AU68" s="128">
        <f t="shared" si="132"/>
        <v>0</v>
      </c>
      <c r="AV68" s="128">
        <f t="shared" si="132"/>
        <v>0</v>
      </c>
      <c r="AW68" s="128">
        <f t="shared" si="132"/>
        <v>0</v>
      </c>
      <c r="AX68" s="128">
        <f t="shared" si="132"/>
        <v>0</v>
      </c>
      <c r="AY68" s="128">
        <f t="shared" si="132"/>
        <v>0</v>
      </c>
      <c r="AZ68" s="128">
        <f t="shared" si="132"/>
        <v>0</v>
      </c>
      <c r="BA68" s="128">
        <f t="shared" si="132"/>
        <v>0</v>
      </c>
      <c r="BB68" s="128">
        <f t="shared" si="132"/>
        <v>0</v>
      </c>
      <c r="BC68" s="128">
        <f t="shared" si="132"/>
        <v>0</v>
      </c>
      <c r="BD68" s="128">
        <f t="shared" si="132"/>
        <v>0</v>
      </c>
      <c r="BE68" s="128">
        <f t="shared" si="132"/>
        <v>0</v>
      </c>
      <c r="BF68" s="128">
        <f t="shared" si="132"/>
        <v>0</v>
      </c>
      <c r="BG68" s="128">
        <f t="shared" si="132"/>
        <v>0</v>
      </c>
      <c r="BH68" s="128">
        <f t="shared" si="132"/>
        <v>0</v>
      </c>
      <c r="BI68" s="128">
        <f t="shared" si="132"/>
        <v>0</v>
      </c>
      <c r="BJ68" s="128">
        <f t="shared" si="132"/>
        <v>0</v>
      </c>
      <c r="BK68" s="128">
        <f t="shared" si="132"/>
        <v>0</v>
      </c>
      <c r="BL68" s="128">
        <f t="shared" si="132"/>
        <v>0</v>
      </c>
      <c r="BM68" s="128">
        <f t="shared" si="132"/>
        <v>0</v>
      </c>
      <c r="BN68" s="128">
        <f t="shared" si="132"/>
        <v>0</v>
      </c>
      <c r="BO68" s="128">
        <f t="shared" si="132"/>
        <v>0</v>
      </c>
      <c r="BP68" s="128">
        <f t="shared" si="132"/>
        <v>0</v>
      </c>
      <c r="BQ68" s="128">
        <f t="shared" si="132"/>
        <v>0</v>
      </c>
      <c r="BR68" s="128">
        <f t="shared" si="132"/>
        <v>0</v>
      </c>
      <c r="BS68" s="128">
        <f t="shared" si="132"/>
        <v>0</v>
      </c>
      <c r="BT68" s="128">
        <f t="shared" si="132"/>
        <v>0</v>
      </c>
    </row>
    <row r="69" spans="1:74" x14ac:dyDescent="0.25">
      <c r="A69" s="447"/>
      <c r="B69" s="423" t="s">
        <v>15</v>
      </c>
      <c r="C69" s="109">
        <f>C17</f>
        <v>41.26</v>
      </c>
      <c r="D69" s="109">
        <v>41.26</v>
      </c>
      <c r="E69" s="109">
        <v>41.26</v>
      </c>
      <c r="F69" s="109">
        <f t="shared" ref="F69:J69" si="133">F17</f>
        <v>193.45496</v>
      </c>
      <c r="G69" s="109">
        <f t="shared" si="133"/>
        <v>199.86107999999999</v>
      </c>
      <c r="H69" s="109">
        <f t="shared" si="133"/>
        <v>208.16875999999999</v>
      </c>
      <c r="I69" s="109">
        <f t="shared" si="133"/>
        <v>215.37495999999999</v>
      </c>
      <c r="J69" s="109">
        <f t="shared" si="133"/>
        <v>223.87992</v>
      </c>
      <c r="K69" s="109">
        <f>K17</f>
        <v>231.68892</v>
      </c>
      <c r="L69" s="281">
        <f>L124+L17</f>
        <v>512.19671999999991</v>
      </c>
      <c r="M69" s="127">
        <f>M124+M17</f>
        <v>526.10172</v>
      </c>
      <c r="N69" s="127">
        <f>N57+N124</f>
        <v>264</v>
      </c>
      <c r="O69" s="127">
        <f>O124+O17</f>
        <v>556.21596</v>
      </c>
      <c r="P69" s="127">
        <f>P57+P124</f>
        <v>275</v>
      </c>
      <c r="Q69" s="127">
        <f t="shared" ref="Q69:BT69" si="134">Q124+Q17</f>
        <v>588.23723999999993</v>
      </c>
      <c r="R69" s="127">
        <f t="shared" si="134"/>
        <v>594.16000000000008</v>
      </c>
      <c r="S69" s="127">
        <f t="shared" si="134"/>
        <v>599.16000000000008</v>
      </c>
      <c r="T69" s="127">
        <f t="shared" si="134"/>
        <v>605.16000000000008</v>
      </c>
      <c r="U69" s="127">
        <f t="shared" si="134"/>
        <v>610.16000000000008</v>
      </c>
      <c r="V69" s="127">
        <f t="shared" si="134"/>
        <v>616.16000000000008</v>
      </c>
      <c r="W69" s="127">
        <f t="shared" si="134"/>
        <v>621.16000000000008</v>
      </c>
      <c r="X69" s="127">
        <f t="shared" si="134"/>
        <v>627.16000000000008</v>
      </c>
      <c r="Y69" s="127">
        <f t="shared" si="134"/>
        <v>632.16000000000008</v>
      </c>
      <c r="Z69" s="127">
        <f t="shared" si="134"/>
        <v>636.16000000000008</v>
      </c>
      <c r="AA69" s="127">
        <f t="shared" si="134"/>
        <v>636.16000000000008</v>
      </c>
      <c r="AB69" s="127">
        <f t="shared" si="134"/>
        <v>636.16000000000008</v>
      </c>
      <c r="AC69" s="127">
        <f t="shared" si="134"/>
        <v>636.16000000000008</v>
      </c>
      <c r="AD69" s="127">
        <f t="shared" si="134"/>
        <v>636.16000000000008</v>
      </c>
      <c r="AE69" s="127">
        <f t="shared" si="134"/>
        <v>636.16000000000008</v>
      </c>
      <c r="AF69" s="127">
        <f t="shared" si="134"/>
        <v>636.16000000000008</v>
      </c>
      <c r="AG69" s="127">
        <f t="shared" si="134"/>
        <v>636.16000000000008</v>
      </c>
      <c r="AH69" s="127">
        <f t="shared" si="134"/>
        <v>636.16000000000008</v>
      </c>
      <c r="AI69" s="127">
        <f t="shared" si="134"/>
        <v>636.16000000000008</v>
      </c>
      <c r="AJ69" s="127">
        <f t="shared" si="134"/>
        <v>636.16000000000008</v>
      </c>
      <c r="AK69" s="127">
        <f t="shared" si="134"/>
        <v>636.16000000000008</v>
      </c>
      <c r="AL69" s="127">
        <f t="shared" si="134"/>
        <v>636.16000000000008</v>
      </c>
      <c r="AM69" s="127">
        <f t="shared" si="134"/>
        <v>636.16000000000008</v>
      </c>
      <c r="AN69" s="127">
        <f t="shared" si="134"/>
        <v>636.16000000000008</v>
      </c>
      <c r="AO69" s="127">
        <f t="shared" si="134"/>
        <v>636.16000000000008</v>
      </c>
      <c r="AP69" s="127">
        <f t="shared" si="134"/>
        <v>636.16000000000008</v>
      </c>
      <c r="AQ69" s="127">
        <f t="shared" si="134"/>
        <v>636.16000000000008</v>
      </c>
      <c r="AR69" s="127">
        <f t="shared" si="134"/>
        <v>636.16000000000008</v>
      </c>
      <c r="AS69" s="190">
        <f t="shared" si="134"/>
        <v>0</v>
      </c>
      <c r="AT69" s="127">
        <f t="shared" si="134"/>
        <v>0</v>
      </c>
      <c r="AU69" s="127">
        <f t="shared" si="134"/>
        <v>0</v>
      </c>
      <c r="AV69" s="127">
        <f t="shared" si="134"/>
        <v>0</v>
      </c>
      <c r="AW69" s="127">
        <f t="shared" si="134"/>
        <v>0</v>
      </c>
      <c r="AX69" s="127">
        <f t="shared" si="134"/>
        <v>0</v>
      </c>
      <c r="AY69" s="127">
        <f t="shared" si="134"/>
        <v>0</v>
      </c>
      <c r="AZ69" s="127">
        <f t="shared" si="134"/>
        <v>0</v>
      </c>
      <c r="BA69" s="127">
        <f t="shared" si="134"/>
        <v>0</v>
      </c>
      <c r="BB69" s="127">
        <f t="shared" si="134"/>
        <v>0</v>
      </c>
      <c r="BC69" s="127">
        <f t="shared" si="134"/>
        <v>0</v>
      </c>
      <c r="BD69" s="127">
        <f t="shared" si="134"/>
        <v>0</v>
      </c>
      <c r="BE69" s="127">
        <f t="shared" si="134"/>
        <v>0</v>
      </c>
      <c r="BF69" s="127">
        <f t="shared" si="134"/>
        <v>0</v>
      </c>
      <c r="BG69" s="127">
        <f t="shared" si="134"/>
        <v>0</v>
      </c>
      <c r="BH69" s="127">
        <f t="shared" si="134"/>
        <v>0</v>
      </c>
      <c r="BI69" s="127">
        <f t="shared" si="134"/>
        <v>0</v>
      </c>
      <c r="BJ69" s="127">
        <f t="shared" si="134"/>
        <v>0</v>
      </c>
      <c r="BK69" s="127">
        <f t="shared" si="134"/>
        <v>0</v>
      </c>
      <c r="BL69" s="127">
        <f t="shared" si="134"/>
        <v>0</v>
      </c>
      <c r="BM69" s="127">
        <f t="shared" si="134"/>
        <v>0</v>
      </c>
      <c r="BN69" s="127">
        <f t="shared" si="134"/>
        <v>0</v>
      </c>
      <c r="BO69" s="127">
        <f t="shared" si="134"/>
        <v>0</v>
      </c>
      <c r="BP69" s="127">
        <f t="shared" si="134"/>
        <v>0</v>
      </c>
      <c r="BQ69" s="127">
        <f t="shared" si="134"/>
        <v>0</v>
      </c>
      <c r="BR69" s="127">
        <f t="shared" si="134"/>
        <v>0</v>
      </c>
      <c r="BS69" s="127">
        <f t="shared" si="134"/>
        <v>0</v>
      </c>
      <c r="BT69" s="127">
        <f t="shared" si="134"/>
        <v>0</v>
      </c>
    </row>
    <row r="70" spans="1:74" x14ac:dyDescent="0.25">
      <c r="A70" s="447"/>
      <c r="B70" s="423" t="s">
        <v>16</v>
      </c>
      <c r="C70" s="109">
        <f>C18</f>
        <v>97.88</v>
      </c>
      <c r="D70" s="109">
        <v>97.88</v>
      </c>
      <c r="E70" s="109">
        <v>97.88</v>
      </c>
      <c r="F70" s="109">
        <f t="shared" ref="F70:J70" si="135">F18</f>
        <v>458.92599999999999</v>
      </c>
      <c r="G70" s="109">
        <f t="shared" si="135"/>
        <v>474.12299999999999</v>
      </c>
      <c r="H70" s="109">
        <f t="shared" si="135"/>
        <v>493.83099999999996</v>
      </c>
      <c r="I70" s="109">
        <f t="shared" si="135"/>
        <v>510.92599999999999</v>
      </c>
      <c r="J70" s="109">
        <f t="shared" si="135"/>
        <v>531.10199999999998</v>
      </c>
      <c r="K70" s="109">
        <f>K18</f>
        <v>549.62699999999995</v>
      </c>
      <c r="L70" s="281">
        <f>L18+L125</f>
        <v>1215.182</v>
      </c>
      <c r="M70" s="127">
        <f>M18+M125</f>
        <v>1249.307</v>
      </c>
      <c r="N70" s="127">
        <f>N58+N125</f>
        <v>626</v>
      </c>
      <c r="O70" s="127">
        <f>O18+O125</f>
        <v>1310.6509999999998</v>
      </c>
      <c r="P70" s="127">
        <f>P58+P125</f>
        <v>652</v>
      </c>
      <c r="Q70" s="127">
        <f t="shared" ref="Q70:BT70" si="136">Q18+Q125</f>
        <v>1344.1</v>
      </c>
      <c r="R70" s="127">
        <f t="shared" si="136"/>
        <v>1344.1</v>
      </c>
      <c r="S70" s="127">
        <f t="shared" si="136"/>
        <v>1344.1</v>
      </c>
      <c r="T70" s="127">
        <f t="shared" si="136"/>
        <v>1344.1</v>
      </c>
      <c r="U70" s="127">
        <f t="shared" si="136"/>
        <v>1344.1</v>
      </c>
      <c r="V70" s="127">
        <f t="shared" si="136"/>
        <v>1344.1</v>
      </c>
      <c r="W70" s="127">
        <f t="shared" si="136"/>
        <v>1344.1</v>
      </c>
      <c r="X70" s="127">
        <f t="shared" si="136"/>
        <v>1344.1</v>
      </c>
      <c r="Y70" s="127">
        <f t="shared" si="136"/>
        <v>1344.1</v>
      </c>
      <c r="Z70" s="127">
        <f t="shared" si="136"/>
        <v>1344.1</v>
      </c>
      <c r="AA70" s="127">
        <f t="shared" si="136"/>
        <v>1344.1</v>
      </c>
      <c r="AB70" s="127">
        <f t="shared" si="136"/>
        <v>1344.1</v>
      </c>
      <c r="AC70" s="127">
        <f t="shared" si="136"/>
        <v>1344.1</v>
      </c>
      <c r="AD70" s="127">
        <f t="shared" si="136"/>
        <v>1344.1</v>
      </c>
      <c r="AE70" s="127">
        <f t="shared" si="136"/>
        <v>1344.1</v>
      </c>
      <c r="AF70" s="127">
        <f t="shared" si="136"/>
        <v>1344.1</v>
      </c>
      <c r="AG70" s="127">
        <f t="shared" si="136"/>
        <v>1344.1</v>
      </c>
      <c r="AH70" s="127">
        <f t="shared" si="136"/>
        <v>1344.1</v>
      </c>
      <c r="AI70" s="127">
        <f t="shared" si="136"/>
        <v>1344.1</v>
      </c>
      <c r="AJ70" s="127">
        <f t="shared" si="136"/>
        <v>1344.1</v>
      </c>
      <c r="AK70" s="127">
        <f t="shared" si="136"/>
        <v>1344.1</v>
      </c>
      <c r="AL70" s="127">
        <f t="shared" si="136"/>
        <v>1344.1</v>
      </c>
      <c r="AM70" s="127">
        <f t="shared" si="136"/>
        <v>1344.1</v>
      </c>
      <c r="AN70" s="127">
        <f t="shared" si="136"/>
        <v>1344.1</v>
      </c>
      <c r="AO70" s="127">
        <f t="shared" si="136"/>
        <v>1344.1</v>
      </c>
      <c r="AP70" s="127">
        <f t="shared" si="136"/>
        <v>1344.1</v>
      </c>
      <c r="AQ70" s="127">
        <f t="shared" si="136"/>
        <v>1344.1</v>
      </c>
      <c r="AR70" s="127">
        <f t="shared" si="136"/>
        <v>1344.1</v>
      </c>
      <c r="AS70" s="190">
        <f t="shared" si="136"/>
        <v>0</v>
      </c>
      <c r="AT70" s="127">
        <f t="shared" si="136"/>
        <v>0</v>
      </c>
      <c r="AU70" s="127">
        <f t="shared" si="136"/>
        <v>0</v>
      </c>
      <c r="AV70" s="127">
        <f t="shared" si="136"/>
        <v>0</v>
      </c>
      <c r="AW70" s="127">
        <f t="shared" si="136"/>
        <v>0</v>
      </c>
      <c r="AX70" s="127">
        <f t="shared" si="136"/>
        <v>0</v>
      </c>
      <c r="AY70" s="127">
        <f t="shared" si="136"/>
        <v>0</v>
      </c>
      <c r="AZ70" s="127">
        <f t="shared" si="136"/>
        <v>0</v>
      </c>
      <c r="BA70" s="127">
        <f t="shared" si="136"/>
        <v>0</v>
      </c>
      <c r="BB70" s="127">
        <f t="shared" si="136"/>
        <v>0</v>
      </c>
      <c r="BC70" s="127">
        <f t="shared" si="136"/>
        <v>0</v>
      </c>
      <c r="BD70" s="127">
        <f t="shared" si="136"/>
        <v>0</v>
      </c>
      <c r="BE70" s="127">
        <f t="shared" si="136"/>
        <v>0</v>
      </c>
      <c r="BF70" s="127">
        <f t="shared" si="136"/>
        <v>0</v>
      </c>
      <c r="BG70" s="127">
        <f t="shared" si="136"/>
        <v>0</v>
      </c>
      <c r="BH70" s="127">
        <f t="shared" si="136"/>
        <v>0</v>
      </c>
      <c r="BI70" s="127">
        <f t="shared" si="136"/>
        <v>0</v>
      </c>
      <c r="BJ70" s="127">
        <f t="shared" si="136"/>
        <v>0</v>
      </c>
      <c r="BK70" s="127">
        <f t="shared" si="136"/>
        <v>0</v>
      </c>
      <c r="BL70" s="127">
        <f t="shared" si="136"/>
        <v>0</v>
      </c>
      <c r="BM70" s="127">
        <f t="shared" si="136"/>
        <v>0</v>
      </c>
      <c r="BN70" s="127">
        <f t="shared" si="136"/>
        <v>0</v>
      </c>
      <c r="BO70" s="127">
        <f t="shared" si="136"/>
        <v>0</v>
      </c>
      <c r="BP70" s="127">
        <f t="shared" si="136"/>
        <v>0</v>
      </c>
      <c r="BQ70" s="127">
        <f t="shared" si="136"/>
        <v>0</v>
      </c>
      <c r="BR70" s="127">
        <f t="shared" si="136"/>
        <v>0</v>
      </c>
      <c r="BS70" s="127">
        <f t="shared" si="136"/>
        <v>0</v>
      </c>
      <c r="BT70" s="127">
        <f t="shared" si="136"/>
        <v>0</v>
      </c>
    </row>
    <row r="71" spans="1:74" x14ac:dyDescent="0.25">
      <c r="A71" s="447"/>
      <c r="B71" s="121" t="s">
        <v>17</v>
      </c>
      <c r="C71" s="109">
        <f>'Taxes consommation- sommaire'!C79+'Taxes consommation- sommaire'!C80</f>
        <v>1188.1963167500001</v>
      </c>
      <c r="D71" s="109">
        <f>'Taxes consommation- sommaire'!D79+'Taxes consommation- sommaire'!D80</f>
        <v>1188.1963167500001</v>
      </c>
      <c r="E71" s="109">
        <f>'Taxes consommation- sommaire'!E79+'Taxes consommation- sommaire'!E80</f>
        <v>1188.1963167500001</v>
      </c>
      <c r="F71" s="109">
        <f>'Taxes consommation- sommaire'!F79+'Taxes consommation- sommaire'!F80</f>
        <v>1758.9812785388131</v>
      </c>
      <c r="G71" s="109">
        <f>'Taxes consommation- sommaire'!G79+'Taxes consommation- sommaire'!G80</f>
        <v>1758.9812785388131</v>
      </c>
      <c r="H71" s="109">
        <f>'Taxes consommation- sommaire'!H79+'Taxes consommation- sommaire'!H80</f>
        <v>1758.9812785388131</v>
      </c>
      <c r="I71" s="109">
        <f>'Taxes consommation- sommaire'!I79+'Taxes consommation- sommaire'!I80</f>
        <v>1758.9812785388131</v>
      </c>
      <c r="J71" s="109">
        <f>'Taxes consommation- sommaire'!J79+'Taxes consommation- sommaire'!J80</f>
        <v>2239.4151924881248</v>
      </c>
      <c r="K71" s="109">
        <f>'Taxes consommation- sommaire'!K79+'Taxes consommation- sommaire'!K80</f>
        <v>2239.4151924881248</v>
      </c>
      <c r="L71" s="417">
        <f>'Taxes consommation- sommaire'!L79+'Taxes consommation- sommaire'!L80</f>
        <v>4182.9489388997608</v>
      </c>
      <c r="M71" s="127">
        <f>'Taxes consommation- sommaire'!M79+'Taxes consommation- sommaire'!M80</f>
        <v>4182.9489388997608</v>
      </c>
      <c r="N71" s="127">
        <f>'Taxes consommation- sommaire'!N79+'Taxes consommation- sommaire'!N80</f>
        <v>3964.9228375733851</v>
      </c>
      <c r="O71" s="127">
        <f>'Taxes consommation- sommaire'!O79+'Taxes consommation- sommaire'!O80</f>
        <v>4705.4204696673187</v>
      </c>
      <c r="P71" s="127">
        <f>'Taxes consommation- sommaire'!P79+'Taxes consommation- sommaire'!P80</f>
        <v>4705.4204696673187</v>
      </c>
      <c r="Q71" s="127">
        <f>'Taxes consommation- sommaire'!Q79+'Taxes consommation- sommaire'!Q80</f>
        <v>4800.3213981300287</v>
      </c>
      <c r="R71" s="127">
        <f>'Taxes consommation- sommaire'!R79+'Taxes consommation- sommaire'!R80</f>
        <v>4800.3213981300287</v>
      </c>
      <c r="S71" s="127">
        <f>'Taxes consommation- sommaire'!S79+'Taxes consommation- sommaire'!S80</f>
        <v>4800.3213981300287</v>
      </c>
      <c r="T71" s="127">
        <f>'Taxes consommation- sommaire'!T79+'Taxes consommation- sommaire'!T80</f>
        <v>4997.5785192433132</v>
      </c>
      <c r="U71" s="127">
        <f>'Taxes consommation- sommaire'!U79+'Taxes consommation- sommaire'!U80</f>
        <v>4997.5785192433132</v>
      </c>
      <c r="V71" s="127">
        <f>'Taxes consommation- sommaire'!V79+'Taxes consommation- sommaire'!V80</f>
        <v>4997.5785192433132</v>
      </c>
      <c r="W71" s="127">
        <f>'Taxes consommation- sommaire'!W79+'Taxes consommation- sommaire'!W80</f>
        <v>4997.5785192433132</v>
      </c>
      <c r="X71" s="127">
        <f>'Taxes consommation- sommaire'!X79+'Taxes consommation- sommaire'!X80</f>
        <v>4997.5785192433132</v>
      </c>
      <c r="Y71" s="127">
        <f>'Taxes consommation- sommaire'!Y79+'Taxes consommation- sommaire'!Y80</f>
        <v>5179.3025856990653</v>
      </c>
      <c r="Z71" s="127">
        <f>'Taxes consommation- sommaire'!Z79+'Taxes consommation- sommaire'!Z80</f>
        <v>5179.3025856990653</v>
      </c>
      <c r="AA71" s="127">
        <f>'Taxes consommation- sommaire'!AA79+'Taxes consommation- sommaire'!AA80</f>
        <v>5179.3025856990653</v>
      </c>
      <c r="AB71" s="127">
        <f>'Taxes consommation- sommaire'!AB79+'Taxes consommation- sommaire'!AB80</f>
        <v>5179.3025856990653</v>
      </c>
      <c r="AC71" s="127">
        <f>'Taxes consommation- sommaire'!AC79+'Taxes consommation- sommaire'!AC80</f>
        <v>5179.3025856990653</v>
      </c>
      <c r="AD71" s="127">
        <f>'Taxes consommation- sommaire'!AD79+'Taxes consommation- sommaire'!AD80</f>
        <v>5345.4934529245493</v>
      </c>
      <c r="AE71" s="127">
        <f>'Taxes consommation- sommaire'!AE79+'Taxes consommation- sommaire'!AE80</f>
        <v>5345.4934529245493</v>
      </c>
      <c r="AF71" s="127">
        <f>'Taxes consommation- sommaire'!AF79+'Taxes consommation- sommaire'!AF80</f>
        <v>5345.4934529245493</v>
      </c>
      <c r="AG71" s="127">
        <f>'Taxes consommation- sommaire'!AG79+'Taxes consommation- sommaire'!AG80</f>
        <v>5345.4934529245493</v>
      </c>
      <c r="AH71" s="127">
        <f>'Taxes consommation- sommaire'!AH79+'Taxes consommation- sommaire'!AH80</f>
        <v>5250.5925244618402</v>
      </c>
      <c r="AI71" s="127">
        <f>'Taxes consommation- sommaire'!AI79+'Taxes consommation- sommaire'!AI80</f>
        <v>5401.2503370297882</v>
      </c>
      <c r="AJ71" s="127">
        <f>'Taxes consommation- sommaire'!AJ79+'Taxes consommation- sommaire'!AJ80</f>
        <v>5401.2503370297882</v>
      </c>
      <c r="AK71" s="127">
        <f>'Taxes consommation- sommaire'!AK79+'Taxes consommation- sommaire'!AK80</f>
        <v>5029.3298173515977</v>
      </c>
      <c r="AL71" s="127">
        <f>'Taxes consommation- sommaire'!AL79+'Taxes consommation- sommaire'!AL80</f>
        <v>5029.3298173515977</v>
      </c>
      <c r="AM71" s="127">
        <f>'Taxes consommation- sommaire'!AM79+'Taxes consommation- sommaire'!AM80</f>
        <v>5029.3298173515977</v>
      </c>
      <c r="AN71" s="127">
        <f>'Taxes consommation- sommaire'!AN79+'Taxes consommation- sommaire'!AN80</f>
        <v>5024.0340269623839</v>
      </c>
      <c r="AO71" s="127">
        <f>'Taxes consommation- sommaire'!AO79+'Taxes consommation- sommaire'!AO80</f>
        <v>5024.0340269623839</v>
      </c>
      <c r="AP71" s="127">
        <f>'Taxes consommation- sommaire'!AP79+'Taxes consommation- sommaire'!AP80</f>
        <v>5024.0340269623839</v>
      </c>
      <c r="AQ71" s="127">
        <f>'Taxes consommation- sommaire'!AQ79+'Taxes consommation- sommaire'!AQ80</f>
        <v>5024.0340269623839</v>
      </c>
      <c r="AR71" s="127">
        <f>'Taxes consommation- sommaire'!AR79+'Taxes consommation- sommaire'!AR80</f>
        <v>5024.0340269623839</v>
      </c>
      <c r="AS71" s="127">
        <f>'Taxes consommation- sommaire'!AS79+'Taxes consommation- sommaire'!AS80</f>
        <v>3941.1321569906504</v>
      </c>
      <c r="AT71" s="127">
        <f>'Taxes consommation- sommaire'!AT79+'Taxes consommation- sommaire'!AT80</f>
        <v>3941.1321569906504</v>
      </c>
      <c r="AU71" s="127">
        <f>'Taxes consommation- sommaire'!AU79+'Taxes consommation- sommaire'!AU80</f>
        <v>4399.5553620352257</v>
      </c>
      <c r="AV71" s="127">
        <f>'Taxes consommation- sommaire'!AV79+'Taxes consommation- sommaire'!AV80</f>
        <v>4399.5553620352257</v>
      </c>
      <c r="AW71" s="127">
        <f>'Taxes consommation- sommaire'!AW79+'Taxes consommation- sommaire'!AW80</f>
        <v>4399.5553620352257</v>
      </c>
      <c r="AX71" s="127">
        <f>'Taxes consommation- sommaire'!AX79+'Taxes consommation- sommaire'!AX80</f>
        <v>4358.0200065231566</v>
      </c>
      <c r="AY71" s="127">
        <f>'Taxes consommation- sommaire'!AY79+'Taxes consommation- sommaire'!AY80</f>
        <v>4358.0200065231566</v>
      </c>
      <c r="AZ71" s="127">
        <f>'Taxes consommation- sommaire'!AZ79+'Taxes consommation- sommaire'!AZ80</f>
        <v>4358.0200065231566</v>
      </c>
      <c r="BA71" s="127">
        <f>'Taxes consommation- sommaire'!BA79+'Taxes consommation- sommaire'!BA80</f>
        <v>4358.0200065231566</v>
      </c>
      <c r="BB71" s="127">
        <f>'Taxes consommation- sommaire'!BB79+'Taxes consommation- sommaire'!BB80</f>
        <v>4358.0200065231566</v>
      </c>
      <c r="BC71" s="127">
        <f>'Taxes consommation- sommaire'!BC79+'Taxes consommation- sommaire'!BC80</f>
        <v>4298.3648684496629</v>
      </c>
      <c r="BD71" s="127">
        <f>'Taxes consommation- sommaire'!BD79+'Taxes consommation- sommaire'!BD80</f>
        <v>4298.3648684496629</v>
      </c>
      <c r="BE71" s="127">
        <f>'Taxes consommation- sommaire'!BE79+'Taxes consommation- sommaire'!BE80</f>
        <v>4298.3648684496629</v>
      </c>
      <c r="BF71" s="127">
        <f>'Taxes consommation- sommaire'!BF79+'Taxes consommation- sommaire'!BF80</f>
        <v>4298.3648684496629</v>
      </c>
      <c r="BG71" s="127">
        <f>'Taxes consommation- sommaire'!BG79+'Taxes consommation- sommaire'!BG80</f>
        <v>4298.3648684496629</v>
      </c>
      <c r="BH71" s="127">
        <f>'Taxes consommation- sommaire'!BH79+'Taxes consommation- sommaire'!BH80</f>
        <v>4220.5899478147421</v>
      </c>
      <c r="BI71" s="127">
        <f>'Taxes consommation- sommaire'!BI79+'Taxes consommation- sommaire'!BI80</f>
        <v>4220.5899478147421</v>
      </c>
      <c r="BJ71" s="127">
        <f>'Taxes consommation- sommaire'!BJ79+'Taxes consommation- sommaire'!BJ80</f>
        <v>4220.5899478147421</v>
      </c>
      <c r="BK71" s="127">
        <f>'Taxes consommation- sommaire'!BK79+'Taxes consommation- sommaire'!BK80</f>
        <v>4220.5899478147421</v>
      </c>
      <c r="BL71" s="127">
        <f>'Taxes consommation- sommaire'!BL79+'Taxes consommation- sommaire'!BL80</f>
        <v>4220.5899478147421</v>
      </c>
      <c r="BM71" s="127">
        <f>'Taxes consommation- sommaire'!BM79+'Taxes consommation- sommaire'!BM80</f>
        <v>4124.695244618395</v>
      </c>
      <c r="BN71" s="127">
        <f>'Taxes consommation- sommaire'!BN79+'Taxes consommation- sommaire'!BN80</f>
        <v>4124.695244618395</v>
      </c>
      <c r="BO71" s="127">
        <f>'Taxes consommation- sommaire'!BO79+'Taxes consommation- sommaire'!BO80</f>
        <v>1993.0276016525331</v>
      </c>
      <c r="BP71" s="127">
        <f>'Taxes consommation- sommaire'!BP79+'Taxes consommation- sommaire'!BP80</f>
        <v>1993.0276016525331</v>
      </c>
      <c r="BQ71" s="127">
        <f>'Taxes consommation- sommaire'!BQ79+'Taxes consommation- sommaire'!BQ80</f>
        <v>1993.0276016525331</v>
      </c>
      <c r="BR71" s="127">
        <f>'Taxes consommation- sommaire'!BR79+'Taxes consommation- sommaire'!BR80</f>
        <v>1894.6725570776257</v>
      </c>
      <c r="BS71" s="127">
        <f>'Taxes consommation- sommaire'!BS79+'Taxes consommation- sommaire'!BS80</f>
        <v>1894.6725570776257</v>
      </c>
      <c r="BT71" s="127">
        <f>'Taxes consommation- sommaire'!BT79+'Taxes consommation- sommaire'!BT80</f>
        <v>1894.6725570776257</v>
      </c>
    </row>
    <row r="72" spans="1:74" x14ac:dyDescent="0.25">
      <c r="A72" s="447"/>
      <c r="B72" s="423" t="s">
        <v>18</v>
      </c>
      <c r="C72" s="109"/>
      <c r="D72" s="109"/>
      <c r="E72" s="109"/>
      <c r="F72" s="109"/>
      <c r="G72" s="109"/>
      <c r="H72" s="109"/>
      <c r="I72" s="109"/>
      <c r="J72" s="109"/>
      <c r="K72" s="109"/>
      <c r="L72" s="281"/>
      <c r="M72" s="127"/>
      <c r="N72" s="190">
        <v>115</v>
      </c>
      <c r="O72" s="127"/>
      <c r="P72" s="127">
        <v>135</v>
      </c>
      <c r="Q72" s="127"/>
      <c r="R72" s="127"/>
      <c r="S72" s="127"/>
      <c r="T72" s="127"/>
      <c r="U72" s="127"/>
      <c r="V72" s="127"/>
      <c r="W72" s="127"/>
      <c r="X72" s="127"/>
      <c r="Y72" s="127"/>
      <c r="Z72" s="127"/>
      <c r="AA72" s="127"/>
      <c r="AB72" s="127"/>
      <c r="AC72" s="127"/>
      <c r="AD72" s="127"/>
      <c r="AE72" s="127"/>
      <c r="AF72" s="127"/>
      <c r="AG72" s="127"/>
      <c r="AH72" s="127"/>
      <c r="AI72" s="127"/>
      <c r="AJ72" s="127"/>
      <c r="AK72" s="127"/>
      <c r="AL72" s="127"/>
      <c r="AM72" s="127"/>
      <c r="AN72" s="127"/>
      <c r="AO72" s="127"/>
      <c r="AP72" s="127"/>
      <c r="AQ72" s="127"/>
      <c r="AR72" s="127"/>
      <c r="AS72" s="190">
        <f>150+48.26</f>
        <v>198.26</v>
      </c>
      <c r="AT72" s="127">
        <f t="shared" ref="AT72:AW73" si="137">AS72</f>
        <v>198.26</v>
      </c>
      <c r="AU72" s="127">
        <f t="shared" si="137"/>
        <v>198.26</v>
      </c>
      <c r="AV72" s="127">
        <f t="shared" si="137"/>
        <v>198.26</v>
      </c>
      <c r="AW72" s="127">
        <f t="shared" si="137"/>
        <v>198.26</v>
      </c>
      <c r="AX72" s="127">
        <f>150+47.66</f>
        <v>197.66</v>
      </c>
      <c r="AY72" s="127">
        <f t="shared" ref="AY72:BJ72" si="138">AX72</f>
        <v>197.66</v>
      </c>
      <c r="AZ72" s="127">
        <f t="shared" si="138"/>
        <v>197.66</v>
      </c>
      <c r="BA72" s="127">
        <f t="shared" si="138"/>
        <v>197.66</v>
      </c>
      <c r="BB72" s="127">
        <f t="shared" si="138"/>
        <v>197.66</v>
      </c>
      <c r="BC72" s="127">
        <f t="shared" si="138"/>
        <v>197.66</v>
      </c>
      <c r="BD72" s="127">
        <f t="shared" si="138"/>
        <v>197.66</v>
      </c>
      <c r="BE72" s="127">
        <f t="shared" si="138"/>
        <v>197.66</v>
      </c>
      <c r="BF72" s="127">
        <f t="shared" si="138"/>
        <v>197.66</v>
      </c>
      <c r="BG72" s="127">
        <f t="shared" si="138"/>
        <v>197.66</v>
      </c>
      <c r="BH72" s="127">
        <f t="shared" si="138"/>
        <v>197.66</v>
      </c>
      <c r="BI72" s="127">
        <f t="shared" si="138"/>
        <v>197.66</v>
      </c>
      <c r="BJ72" s="127">
        <f t="shared" si="138"/>
        <v>197.66</v>
      </c>
      <c r="BK72" s="127">
        <f t="shared" ref="BK72:BN73" si="139">BJ72</f>
        <v>197.66</v>
      </c>
      <c r="BL72" s="127">
        <f t="shared" si="139"/>
        <v>197.66</v>
      </c>
      <c r="BM72" s="127">
        <f t="shared" si="139"/>
        <v>197.66</v>
      </c>
      <c r="BN72" s="127">
        <f t="shared" si="139"/>
        <v>197.66</v>
      </c>
      <c r="BO72" s="127">
        <v>150</v>
      </c>
      <c r="BP72" s="127">
        <f t="shared" ref="BP72:BT73" si="140">BO72</f>
        <v>150</v>
      </c>
      <c r="BQ72" s="127">
        <f t="shared" si="140"/>
        <v>150</v>
      </c>
      <c r="BR72" s="127">
        <f t="shared" si="140"/>
        <v>150</v>
      </c>
      <c r="BS72" s="127">
        <f t="shared" si="140"/>
        <v>150</v>
      </c>
      <c r="BT72" s="127">
        <f t="shared" si="140"/>
        <v>150</v>
      </c>
    </row>
    <row r="73" spans="1:74" x14ac:dyDescent="0.25">
      <c r="A73" s="447"/>
      <c r="B73" s="423" t="s">
        <v>19</v>
      </c>
      <c r="C73" s="109"/>
      <c r="D73" s="109"/>
      <c r="E73" s="109"/>
      <c r="F73" s="109"/>
      <c r="G73" s="109"/>
      <c r="H73" s="109"/>
      <c r="I73" s="109"/>
      <c r="J73" s="109"/>
      <c r="K73" s="109"/>
      <c r="L73" s="281"/>
      <c r="M73" s="127"/>
      <c r="N73" s="190"/>
      <c r="O73" s="127"/>
      <c r="P73" s="127"/>
      <c r="Q73" s="127"/>
      <c r="R73" s="127"/>
      <c r="S73" s="127"/>
      <c r="T73" s="127"/>
      <c r="U73" s="127"/>
      <c r="V73" s="127"/>
      <c r="W73" s="127"/>
      <c r="X73" s="127"/>
      <c r="Y73" s="127"/>
      <c r="Z73" s="127"/>
      <c r="AA73" s="127"/>
      <c r="AB73" s="127"/>
      <c r="AC73" s="127"/>
      <c r="AD73" s="127"/>
      <c r="AE73" s="127"/>
      <c r="AF73" s="127"/>
      <c r="AG73" s="127"/>
      <c r="AH73" s="127"/>
      <c r="AI73" s="127"/>
      <c r="AJ73" s="127"/>
      <c r="AK73" s="127"/>
      <c r="AL73" s="127"/>
      <c r="AM73" s="127"/>
      <c r="AN73" s="127"/>
      <c r="AO73" s="127"/>
      <c r="AP73" s="127"/>
      <c r="AQ73" s="127"/>
      <c r="AR73" s="127"/>
      <c r="AS73" s="190">
        <f>641.5+641.5</f>
        <v>1283</v>
      </c>
      <c r="AT73" s="127">
        <f t="shared" si="137"/>
        <v>1283</v>
      </c>
      <c r="AU73" s="127">
        <f t="shared" si="137"/>
        <v>1283</v>
      </c>
      <c r="AV73" s="127">
        <f t="shared" si="137"/>
        <v>1283</v>
      </c>
      <c r="AW73" s="127">
        <f t="shared" si="137"/>
        <v>1283</v>
      </c>
      <c r="AX73" s="127">
        <f>641.5+641.5</f>
        <v>1283</v>
      </c>
      <c r="AY73" s="127">
        <f t="shared" ref="AY73:BJ73" si="141">AX73</f>
        <v>1283</v>
      </c>
      <c r="AZ73" s="127">
        <f t="shared" si="141"/>
        <v>1283</v>
      </c>
      <c r="BA73" s="127">
        <f t="shared" si="141"/>
        <v>1283</v>
      </c>
      <c r="BB73" s="127">
        <f t="shared" si="141"/>
        <v>1283</v>
      </c>
      <c r="BC73" s="127">
        <f t="shared" si="141"/>
        <v>1283</v>
      </c>
      <c r="BD73" s="127">
        <f t="shared" si="141"/>
        <v>1283</v>
      </c>
      <c r="BE73" s="127">
        <f t="shared" si="141"/>
        <v>1283</v>
      </c>
      <c r="BF73" s="127">
        <f t="shared" si="141"/>
        <v>1283</v>
      </c>
      <c r="BG73" s="127">
        <f t="shared" si="141"/>
        <v>1283</v>
      </c>
      <c r="BH73" s="127">
        <f t="shared" si="141"/>
        <v>1283</v>
      </c>
      <c r="BI73" s="127">
        <f t="shared" si="141"/>
        <v>1283</v>
      </c>
      <c r="BJ73" s="127">
        <f t="shared" si="141"/>
        <v>1283</v>
      </c>
      <c r="BK73" s="127">
        <f t="shared" si="139"/>
        <v>1283</v>
      </c>
      <c r="BL73" s="127">
        <f t="shared" si="139"/>
        <v>1283</v>
      </c>
      <c r="BM73" s="127">
        <f t="shared" si="139"/>
        <v>1283</v>
      </c>
      <c r="BN73" s="127">
        <f t="shared" si="139"/>
        <v>1283</v>
      </c>
      <c r="BO73" s="127">
        <v>641.5</v>
      </c>
      <c r="BP73" s="127">
        <f t="shared" si="140"/>
        <v>641.5</v>
      </c>
      <c r="BQ73" s="127">
        <f t="shared" si="140"/>
        <v>641.5</v>
      </c>
      <c r="BR73" s="127">
        <f t="shared" si="140"/>
        <v>641.5</v>
      </c>
      <c r="BS73" s="127">
        <f t="shared" si="140"/>
        <v>641.5</v>
      </c>
      <c r="BT73" s="127">
        <f t="shared" si="140"/>
        <v>641.5</v>
      </c>
    </row>
    <row r="74" spans="1:74" x14ac:dyDescent="0.25">
      <c r="A74" s="448"/>
      <c r="B74" s="425" t="s">
        <v>20</v>
      </c>
      <c r="C74" s="235">
        <f t="shared" ref="C74:K74" si="142">C64+C68+C69+C70+C71</f>
        <v>1544.9063167500001</v>
      </c>
      <c r="D74" s="235">
        <f t="shared" si="142"/>
        <v>1544.9063167500001</v>
      </c>
      <c r="E74" s="235">
        <f t="shared" si="142"/>
        <v>1544.9063167500001</v>
      </c>
      <c r="F74" s="235">
        <f t="shared" si="142"/>
        <v>8594.3935962988144</v>
      </c>
      <c r="G74" s="235">
        <f t="shared" si="142"/>
        <v>8945.8669440188132</v>
      </c>
      <c r="H74" s="235">
        <f t="shared" si="142"/>
        <v>9415.2331440988128</v>
      </c>
      <c r="I74" s="235">
        <f t="shared" si="142"/>
        <v>9842.738616298815</v>
      </c>
      <c r="J74" s="235">
        <f t="shared" si="142"/>
        <v>10827.516398008125</v>
      </c>
      <c r="K74" s="235">
        <f t="shared" si="142"/>
        <v>11290.726577008125</v>
      </c>
      <c r="L74" s="282">
        <f>L64+L68+L69+L70+L71+L72+L73</f>
        <v>26806.519218899761</v>
      </c>
      <c r="M74" s="231">
        <f>M64+M68+M69+M70+M71+M67+M72+M73</f>
        <v>26366.860631399759</v>
      </c>
      <c r="N74" s="236">
        <f t="shared" ref="N74:BT74" si="143">N64+N68+N69+N70+N71+N67+N72+N73</f>
        <v>20466.340452573386</v>
      </c>
      <c r="O74" s="231">
        <f t="shared" si="143"/>
        <v>29162.904612167324</v>
      </c>
      <c r="P74" s="231">
        <f>P64+P68+P69+P70+P71+P67+P72+P73</f>
        <v>21146.179419667318</v>
      </c>
      <c r="Q74" s="231">
        <f t="shared" si="143"/>
        <v>31686.35507063003</v>
      </c>
      <c r="R74" s="231">
        <f t="shared" si="143"/>
        <v>32161.53247813003</v>
      </c>
      <c r="S74" s="231">
        <f t="shared" si="143"/>
        <v>32259.142093130024</v>
      </c>
      <c r="T74" s="231">
        <f t="shared" si="143"/>
        <v>32864.284646743312</v>
      </c>
      <c r="U74" s="231">
        <f t="shared" si="143"/>
        <v>32464.601279243318</v>
      </c>
      <c r="V74" s="231">
        <f t="shared" si="143"/>
        <v>32840.594459243315</v>
      </c>
      <c r="W74" s="231">
        <f t="shared" si="143"/>
        <v>32966.728141743311</v>
      </c>
      <c r="X74" s="231">
        <f t="shared" si="143"/>
        <v>33342.714224243311</v>
      </c>
      <c r="Y74" s="231">
        <f t="shared" si="143"/>
        <v>33899.441470699065</v>
      </c>
      <c r="Z74" s="231">
        <f t="shared" si="143"/>
        <v>34615.510938199062</v>
      </c>
      <c r="AA74" s="231">
        <f t="shared" si="143"/>
        <v>34615.510938199062</v>
      </c>
      <c r="AB74" s="231">
        <f t="shared" si="143"/>
        <v>34615.510938199062</v>
      </c>
      <c r="AC74" s="231">
        <f t="shared" si="143"/>
        <v>34615.510938199062</v>
      </c>
      <c r="AD74" s="231">
        <f t="shared" si="143"/>
        <v>34781.701805424549</v>
      </c>
      <c r="AE74" s="231">
        <f t="shared" si="143"/>
        <v>33840.559305424547</v>
      </c>
      <c r="AF74" s="231">
        <f t="shared" si="143"/>
        <v>34508.272305424551</v>
      </c>
      <c r="AG74" s="231">
        <f t="shared" si="143"/>
        <v>33567.129805424549</v>
      </c>
      <c r="AH74" s="231">
        <f t="shared" si="143"/>
        <v>34139.941876961842</v>
      </c>
      <c r="AI74" s="231">
        <f t="shared" si="143"/>
        <v>34564.029189529785</v>
      </c>
      <c r="AJ74" s="231">
        <f t="shared" si="143"/>
        <v>34564.029189529785</v>
      </c>
      <c r="AK74" s="231">
        <f t="shared" si="143"/>
        <v>34465.538169851599</v>
      </c>
      <c r="AL74" s="231">
        <f t="shared" si="143"/>
        <v>34465.538169851599</v>
      </c>
      <c r="AM74" s="231">
        <f t="shared" si="143"/>
        <v>34465.538169851599</v>
      </c>
      <c r="AN74" s="231">
        <f t="shared" si="143"/>
        <v>34460.242379462383</v>
      </c>
      <c r="AO74" s="231">
        <f t="shared" si="143"/>
        <v>34460.242379462383</v>
      </c>
      <c r="AP74" s="231">
        <f t="shared" si="143"/>
        <v>34460.242379462383</v>
      </c>
      <c r="AQ74" s="231">
        <f t="shared" si="143"/>
        <v>34460.242379462383</v>
      </c>
      <c r="AR74" s="231">
        <f t="shared" si="143"/>
        <v>34460.242379462383</v>
      </c>
      <c r="AS74" s="236">
        <f t="shared" si="143"/>
        <v>14023.82502449065</v>
      </c>
      <c r="AT74" s="231">
        <f t="shared" si="143"/>
        <v>16799.53602949065</v>
      </c>
      <c r="AU74" s="231">
        <f t="shared" si="143"/>
        <v>18203.660792035225</v>
      </c>
      <c r="AV74" s="231">
        <f t="shared" si="143"/>
        <v>18203.660792035225</v>
      </c>
      <c r="AW74" s="231">
        <f t="shared" si="143"/>
        <v>18203.660792035225</v>
      </c>
      <c r="AX74" s="231">
        <f t="shared" si="143"/>
        <v>14672.230129023157</v>
      </c>
      <c r="AY74" s="231">
        <f t="shared" si="143"/>
        <v>14672.230129023157</v>
      </c>
      <c r="AZ74" s="231">
        <f t="shared" si="143"/>
        <v>14672.230129023157</v>
      </c>
      <c r="BA74" s="231">
        <f t="shared" si="143"/>
        <v>14672.230129023157</v>
      </c>
      <c r="BB74" s="231">
        <f t="shared" si="143"/>
        <v>14672.230129023157</v>
      </c>
      <c r="BC74" s="231">
        <f t="shared" si="143"/>
        <v>14612.574990949663</v>
      </c>
      <c r="BD74" s="231">
        <f t="shared" si="143"/>
        <v>14612.574990949663</v>
      </c>
      <c r="BE74" s="231">
        <f t="shared" si="143"/>
        <v>14612.574990949663</v>
      </c>
      <c r="BF74" s="231">
        <f t="shared" si="143"/>
        <v>14612.574990949663</v>
      </c>
      <c r="BG74" s="231">
        <f t="shared" si="143"/>
        <v>14612.574990949663</v>
      </c>
      <c r="BH74" s="231">
        <f t="shared" si="143"/>
        <v>14534.800070314743</v>
      </c>
      <c r="BI74" s="231">
        <f t="shared" si="143"/>
        <v>14534.800070314743</v>
      </c>
      <c r="BJ74" s="231">
        <f t="shared" si="143"/>
        <v>14534.800070314743</v>
      </c>
      <c r="BK74" s="231">
        <f t="shared" si="143"/>
        <v>14534.800070314743</v>
      </c>
      <c r="BL74" s="231">
        <f t="shared" si="143"/>
        <v>14534.800070314743</v>
      </c>
      <c r="BM74" s="231">
        <f t="shared" si="143"/>
        <v>14438.905367118396</v>
      </c>
      <c r="BN74" s="231">
        <f t="shared" si="143"/>
        <v>14438.905367118396</v>
      </c>
      <c r="BO74" s="231">
        <f t="shared" si="143"/>
        <v>10847.381811652533</v>
      </c>
      <c r="BP74" s="231">
        <f t="shared" si="143"/>
        <v>10847.381811652533</v>
      </c>
      <c r="BQ74" s="231">
        <f t="shared" si="143"/>
        <v>10847.381811652533</v>
      </c>
      <c r="BR74" s="231">
        <f t="shared" si="143"/>
        <v>10749.026767077627</v>
      </c>
      <c r="BS74" s="231">
        <f t="shared" si="143"/>
        <v>10749.026767077627</v>
      </c>
      <c r="BT74" s="231">
        <f t="shared" si="143"/>
        <v>10749.026767077627</v>
      </c>
      <c r="BU74" s="423"/>
      <c r="BV74" s="423"/>
    </row>
    <row r="75" spans="1:74" x14ac:dyDescent="0.25">
      <c r="A75" s="449" t="s">
        <v>21</v>
      </c>
      <c r="B75" s="121" t="s">
        <v>22</v>
      </c>
      <c r="C75" s="129">
        <f t="shared" ref="C75:E75" si="144">SUM(C76:C82)</f>
        <v>571</v>
      </c>
      <c r="D75" s="129">
        <f t="shared" si="144"/>
        <v>571</v>
      </c>
      <c r="E75" s="129">
        <f t="shared" si="144"/>
        <v>571</v>
      </c>
      <c r="F75" s="129">
        <f t="shared" ref="F75:J75" si="145">SUM(F76:F83)</f>
        <v>1414</v>
      </c>
      <c r="G75" s="129">
        <f t="shared" si="145"/>
        <v>1414</v>
      </c>
      <c r="H75" s="129">
        <f t="shared" si="145"/>
        <v>1394.9510320000002</v>
      </c>
      <c r="I75" s="129">
        <f t="shared" si="145"/>
        <v>1326.1581219999998</v>
      </c>
      <c r="J75" s="129">
        <f t="shared" si="145"/>
        <v>1211.2067940000002</v>
      </c>
      <c r="K75" s="129">
        <f>SUM(K76:K83)</f>
        <v>1075.4593439999999</v>
      </c>
      <c r="L75" s="283">
        <f t="shared" ref="L75:BT75" si="146">SUM(L76:L83)</f>
        <v>0</v>
      </c>
      <c r="M75" s="130">
        <f t="shared" si="146"/>
        <v>0</v>
      </c>
      <c r="N75" s="237">
        <f t="shared" si="146"/>
        <v>4973.6100000000006</v>
      </c>
      <c r="O75" s="130">
        <f t="shared" si="146"/>
        <v>3901.63</v>
      </c>
      <c r="P75" s="130">
        <f t="shared" si="146"/>
        <v>10476.864834615384</v>
      </c>
      <c r="Q75" s="130">
        <f t="shared" si="146"/>
        <v>8603.2344251133927</v>
      </c>
      <c r="R75" s="130">
        <f t="shared" si="146"/>
        <v>8609.497265113394</v>
      </c>
      <c r="S75" s="130">
        <f t="shared" si="146"/>
        <v>8462.7541051133921</v>
      </c>
      <c r="T75" s="130">
        <f t="shared" si="146"/>
        <v>7452.9209451133938</v>
      </c>
      <c r="U75" s="130">
        <f t="shared" si="146"/>
        <v>7274.9777851133931</v>
      </c>
      <c r="V75" s="130">
        <f t="shared" si="146"/>
        <v>6163.104625113393</v>
      </c>
      <c r="W75" s="130">
        <f t="shared" si="146"/>
        <v>6131.2847083343358</v>
      </c>
      <c r="X75" s="130">
        <f t="shared" si="146"/>
        <v>6034.4115483343357</v>
      </c>
      <c r="Y75" s="130">
        <f t="shared" si="146"/>
        <v>5937.5383883343347</v>
      </c>
      <c r="Z75" s="130">
        <f t="shared" si="146"/>
        <v>5689.9905083343365</v>
      </c>
      <c r="AA75" s="130">
        <f t="shared" si="146"/>
        <v>5689.9905083343365</v>
      </c>
      <c r="AB75" s="130">
        <f t="shared" si="146"/>
        <v>5689.9905083343365</v>
      </c>
      <c r="AC75" s="130">
        <f t="shared" si="146"/>
        <v>5689.9905083343365</v>
      </c>
      <c r="AD75" s="130">
        <f t="shared" si="146"/>
        <v>5689.9905083343365</v>
      </c>
      <c r="AE75" s="130">
        <f t="shared" si="146"/>
        <v>5589.9905083343365</v>
      </c>
      <c r="AF75" s="130">
        <f t="shared" si="146"/>
        <v>2470.8199999999997</v>
      </c>
      <c r="AG75" s="130">
        <f t="shared" si="146"/>
        <v>2370.8199999999997</v>
      </c>
      <c r="AH75" s="130">
        <f t="shared" si="146"/>
        <v>0</v>
      </c>
      <c r="AI75" s="130">
        <f t="shared" si="146"/>
        <v>0</v>
      </c>
      <c r="AJ75" s="130">
        <f t="shared" si="146"/>
        <v>0</v>
      </c>
      <c r="AK75" s="130">
        <f t="shared" si="146"/>
        <v>0</v>
      </c>
      <c r="AL75" s="130">
        <f t="shared" si="146"/>
        <v>0</v>
      </c>
      <c r="AM75" s="130">
        <f t="shared" si="146"/>
        <v>0</v>
      </c>
      <c r="AN75" s="130">
        <f t="shared" si="146"/>
        <v>0</v>
      </c>
      <c r="AO75" s="130">
        <f t="shared" si="146"/>
        <v>0</v>
      </c>
      <c r="AP75" s="130">
        <f t="shared" si="146"/>
        <v>0</v>
      </c>
      <c r="AQ75" s="130">
        <f t="shared" si="146"/>
        <v>0</v>
      </c>
      <c r="AR75" s="130">
        <f t="shared" si="146"/>
        <v>0</v>
      </c>
      <c r="AS75" s="237">
        <f t="shared" si="146"/>
        <v>0</v>
      </c>
      <c r="AT75" s="130">
        <f t="shared" si="146"/>
        <v>0</v>
      </c>
      <c r="AU75" s="130">
        <f t="shared" si="146"/>
        <v>7121.31</v>
      </c>
      <c r="AV75" s="130">
        <f t="shared" si="146"/>
        <v>7121.31</v>
      </c>
      <c r="AW75" s="130">
        <f t="shared" si="146"/>
        <v>7121.31</v>
      </c>
      <c r="AX75" s="130">
        <f t="shared" si="146"/>
        <v>14242.62</v>
      </c>
      <c r="AY75" s="130">
        <f t="shared" si="146"/>
        <v>14242.62</v>
      </c>
      <c r="AZ75" s="130">
        <f t="shared" si="146"/>
        <v>14242.62</v>
      </c>
      <c r="BA75" s="130">
        <f t="shared" si="146"/>
        <v>14242.62</v>
      </c>
      <c r="BB75" s="130">
        <f t="shared" si="146"/>
        <v>14242.62</v>
      </c>
      <c r="BC75" s="130">
        <f t="shared" si="146"/>
        <v>14242.62</v>
      </c>
      <c r="BD75" s="130">
        <f t="shared" si="146"/>
        <v>14242.62</v>
      </c>
      <c r="BE75" s="130">
        <f t="shared" si="146"/>
        <v>14242.62</v>
      </c>
      <c r="BF75" s="130">
        <f t="shared" si="146"/>
        <v>14242.62</v>
      </c>
      <c r="BG75" s="130">
        <f t="shared" si="146"/>
        <v>14242.62</v>
      </c>
      <c r="BH75" s="130">
        <f t="shared" si="146"/>
        <v>15056.990000000002</v>
      </c>
      <c r="BI75" s="130">
        <f t="shared" si="146"/>
        <v>15056.990000000002</v>
      </c>
      <c r="BJ75" s="130">
        <f t="shared" si="146"/>
        <v>15056.990000000002</v>
      </c>
      <c r="BK75" s="130">
        <f t="shared" si="146"/>
        <v>15056.990000000002</v>
      </c>
      <c r="BL75" s="130">
        <f t="shared" si="146"/>
        <v>15056.990000000002</v>
      </c>
      <c r="BM75" s="130">
        <f t="shared" si="146"/>
        <v>15056.990000000002</v>
      </c>
      <c r="BN75" s="130">
        <f t="shared" si="146"/>
        <v>15056.990000000002</v>
      </c>
      <c r="BO75" s="130">
        <f t="shared" si="146"/>
        <v>7881.1900000000005</v>
      </c>
      <c r="BP75" s="130">
        <f t="shared" si="146"/>
        <v>7881.1900000000005</v>
      </c>
      <c r="BQ75" s="130">
        <f t="shared" si="146"/>
        <v>7881.1900000000005</v>
      </c>
      <c r="BR75" s="130">
        <f t="shared" si="146"/>
        <v>7881.1900000000005</v>
      </c>
      <c r="BS75" s="130">
        <f t="shared" si="146"/>
        <v>7881.1900000000005</v>
      </c>
      <c r="BT75" s="130">
        <f t="shared" si="146"/>
        <v>7881.1900000000005</v>
      </c>
      <c r="BU75" s="423"/>
      <c r="BV75" s="423"/>
    </row>
    <row r="76" spans="1:74" x14ac:dyDescent="0.25">
      <c r="A76" s="447"/>
      <c r="B76" s="423" t="s">
        <v>23</v>
      </c>
      <c r="C76" s="109">
        <f t="shared" ref="C76:K76" si="147">C24</f>
        <v>284</v>
      </c>
      <c r="D76" s="109">
        <f t="shared" si="147"/>
        <v>284</v>
      </c>
      <c r="E76" s="109">
        <f t="shared" si="147"/>
        <v>284</v>
      </c>
      <c r="F76" s="109">
        <f t="shared" si="147"/>
        <v>433</v>
      </c>
      <c r="G76" s="109">
        <f t="shared" si="147"/>
        <v>433</v>
      </c>
      <c r="H76" s="109">
        <f t="shared" si="147"/>
        <v>433</v>
      </c>
      <c r="I76" s="109">
        <f t="shared" si="147"/>
        <v>433</v>
      </c>
      <c r="J76" s="109">
        <f t="shared" si="147"/>
        <v>399.24</v>
      </c>
      <c r="K76" s="109">
        <f t="shared" si="147"/>
        <v>338.04</v>
      </c>
      <c r="L76" s="281"/>
      <c r="M76" s="127"/>
      <c r="N76" s="192"/>
      <c r="O76" s="131"/>
      <c r="P76" s="131"/>
      <c r="Q76" s="131"/>
      <c r="R76" s="131"/>
      <c r="S76" s="131"/>
      <c r="T76" s="131"/>
      <c r="U76" s="131"/>
      <c r="V76" s="128"/>
      <c r="W76" s="128"/>
      <c r="X76" s="128"/>
      <c r="Y76" s="128"/>
      <c r="Z76" s="128"/>
      <c r="AA76" s="128"/>
      <c r="AB76" s="128"/>
      <c r="AC76" s="128"/>
      <c r="AD76" s="128"/>
      <c r="AE76" s="128"/>
      <c r="AF76" s="128"/>
      <c r="AG76" s="128"/>
      <c r="AH76" s="128"/>
      <c r="AI76" s="128"/>
      <c r="AJ76" s="128"/>
      <c r="AK76" s="128"/>
      <c r="AL76" s="128"/>
      <c r="AM76" s="128"/>
      <c r="AN76" s="128"/>
      <c r="AO76" s="128"/>
      <c r="AP76" s="128"/>
      <c r="AQ76" s="128"/>
      <c r="AR76" s="128"/>
      <c r="AS76" s="189"/>
      <c r="AT76" s="128"/>
      <c r="AU76" s="128"/>
      <c r="AV76" s="128"/>
      <c r="AW76" s="128"/>
      <c r="AX76" s="128"/>
      <c r="AY76" s="128"/>
      <c r="AZ76" s="128"/>
      <c r="BA76" s="128"/>
      <c r="BB76" s="128"/>
      <c r="BC76" s="128"/>
      <c r="BD76" s="128"/>
      <c r="BE76" s="128"/>
      <c r="BF76" s="128"/>
      <c r="BG76" s="128"/>
      <c r="BH76" s="128"/>
      <c r="BI76" s="128"/>
      <c r="BJ76" s="128"/>
      <c r="BK76" s="128"/>
      <c r="BL76" s="128"/>
      <c r="BM76" s="128"/>
      <c r="BN76" s="128"/>
      <c r="BO76" s="128"/>
      <c r="BP76" s="128"/>
      <c r="BQ76" s="128"/>
      <c r="BR76" s="128"/>
      <c r="BS76" s="128"/>
      <c r="BT76" s="128"/>
      <c r="BU76" s="423"/>
      <c r="BV76" s="423"/>
    </row>
    <row r="77" spans="1:74" x14ac:dyDescent="0.25">
      <c r="A77" s="447"/>
      <c r="B77" s="423" t="s">
        <v>24</v>
      </c>
      <c r="C77" s="109">
        <f t="shared" ref="C77:K77" si="148">C25</f>
        <v>287</v>
      </c>
      <c r="D77" s="109">
        <f t="shared" si="148"/>
        <v>287</v>
      </c>
      <c r="E77" s="109">
        <f t="shared" si="148"/>
        <v>287</v>
      </c>
      <c r="F77" s="109">
        <f t="shared" si="148"/>
        <v>981</v>
      </c>
      <c r="G77" s="109">
        <f t="shared" si="148"/>
        <v>981</v>
      </c>
      <c r="H77" s="109">
        <f t="shared" si="148"/>
        <v>961.95103200000017</v>
      </c>
      <c r="I77" s="109">
        <f t="shared" si="148"/>
        <v>893.15812199999982</v>
      </c>
      <c r="J77" s="109">
        <f t="shared" si="148"/>
        <v>811.96679400000005</v>
      </c>
      <c r="K77" s="109">
        <f t="shared" si="148"/>
        <v>737.41934399999991</v>
      </c>
      <c r="L77" s="281"/>
      <c r="M77" s="127"/>
      <c r="N77" s="192"/>
      <c r="O77" s="131"/>
      <c r="P77" s="131"/>
      <c r="Q77" s="131"/>
      <c r="R77" s="131"/>
      <c r="S77" s="131"/>
      <c r="T77" s="131"/>
      <c r="U77" s="131"/>
      <c r="V77" s="128"/>
      <c r="W77" s="128"/>
      <c r="X77" s="128"/>
      <c r="Y77" s="128"/>
      <c r="Z77" s="128"/>
      <c r="AA77" s="128"/>
      <c r="AB77" s="128"/>
      <c r="AC77" s="128"/>
      <c r="AD77" s="128"/>
      <c r="AE77" s="128"/>
      <c r="AF77" s="128"/>
      <c r="AG77" s="128"/>
      <c r="AH77" s="128"/>
      <c r="AI77" s="128"/>
      <c r="AJ77" s="128"/>
      <c r="AK77" s="128"/>
      <c r="AL77" s="128"/>
      <c r="AM77" s="128"/>
      <c r="AN77" s="128"/>
      <c r="AO77" s="128"/>
      <c r="AP77" s="128"/>
      <c r="AQ77" s="128"/>
      <c r="AR77" s="128"/>
      <c r="AS77" s="189"/>
      <c r="AT77" s="128"/>
      <c r="AU77" s="128"/>
      <c r="AV77" s="128"/>
      <c r="AW77" s="128"/>
      <c r="AX77" s="128"/>
      <c r="AY77" s="128"/>
      <c r="AZ77" s="128"/>
      <c r="BA77" s="128"/>
      <c r="BB77" s="128"/>
      <c r="BC77" s="128"/>
      <c r="BD77" s="128"/>
      <c r="BE77" s="128"/>
      <c r="BF77" s="128"/>
      <c r="BG77" s="128"/>
      <c r="BH77" s="128"/>
      <c r="BI77" s="128"/>
      <c r="BJ77" s="128"/>
      <c r="BK77" s="128"/>
      <c r="BL77" s="128"/>
      <c r="BM77" s="128"/>
      <c r="BN77" s="128"/>
      <c r="BO77" s="128">
        <v>155.08000000000001</v>
      </c>
      <c r="BP77" s="128">
        <f>BO77</f>
        <v>155.08000000000001</v>
      </c>
      <c r="BQ77" s="128">
        <f>BP77</f>
        <v>155.08000000000001</v>
      </c>
      <c r="BR77" s="128">
        <f>BQ77</f>
        <v>155.08000000000001</v>
      </c>
      <c r="BS77" s="128">
        <f>BR77</f>
        <v>155.08000000000001</v>
      </c>
      <c r="BT77" s="128">
        <f>BS77</f>
        <v>155.08000000000001</v>
      </c>
      <c r="BU77" s="423"/>
      <c r="BV77" s="423"/>
    </row>
    <row r="78" spans="1:74" x14ac:dyDescent="0.25">
      <c r="A78" s="447"/>
      <c r="B78" s="423" t="s">
        <v>25</v>
      </c>
      <c r="C78" s="109">
        <f t="shared" ref="C78" si="149">C26</f>
        <v>0</v>
      </c>
      <c r="D78" s="109">
        <f t="shared" ref="D78:K78" si="150">D26</f>
        <v>0</v>
      </c>
      <c r="E78" s="109">
        <f t="shared" si="150"/>
        <v>0</v>
      </c>
      <c r="F78" s="109">
        <f t="shared" si="150"/>
        <v>0</v>
      </c>
      <c r="G78" s="109">
        <f t="shared" si="150"/>
        <v>0</v>
      </c>
      <c r="H78" s="109">
        <f t="shared" si="150"/>
        <v>0</v>
      </c>
      <c r="I78" s="109">
        <f t="shared" si="150"/>
        <v>0</v>
      </c>
      <c r="J78" s="109">
        <f t="shared" si="150"/>
        <v>0</v>
      </c>
      <c r="K78" s="109">
        <f t="shared" si="150"/>
        <v>0</v>
      </c>
      <c r="L78" s="281"/>
      <c r="M78" s="127"/>
      <c r="N78" s="189"/>
      <c r="O78" s="128"/>
      <c r="P78" s="128"/>
      <c r="Q78" s="128"/>
      <c r="R78" s="128"/>
      <c r="S78" s="128"/>
      <c r="T78" s="128"/>
      <c r="U78" s="128"/>
      <c r="V78" s="128"/>
      <c r="W78" s="128"/>
      <c r="X78" s="128"/>
      <c r="Y78" s="128"/>
      <c r="Z78" s="128"/>
      <c r="AA78" s="128"/>
      <c r="AB78" s="128"/>
      <c r="AC78" s="128"/>
      <c r="AD78" s="128"/>
      <c r="AE78" s="128"/>
      <c r="AF78" s="128"/>
      <c r="AG78" s="128"/>
      <c r="AH78" s="128"/>
      <c r="AI78" s="128"/>
      <c r="AJ78" s="128"/>
      <c r="AK78" s="128"/>
      <c r="AL78" s="128"/>
      <c r="AM78" s="128"/>
      <c r="AN78" s="128"/>
      <c r="AO78" s="128"/>
      <c r="AP78" s="128"/>
      <c r="AQ78" s="128"/>
      <c r="AR78" s="128"/>
      <c r="AS78" s="189"/>
      <c r="AT78" s="128"/>
      <c r="AU78" s="128"/>
      <c r="AV78" s="128"/>
      <c r="AW78" s="128"/>
      <c r="AX78" s="128"/>
      <c r="AY78" s="128"/>
      <c r="AZ78" s="128"/>
      <c r="BA78" s="128"/>
      <c r="BB78" s="128"/>
      <c r="BC78" s="128"/>
      <c r="BD78" s="128"/>
      <c r="BE78" s="128"/>
      <c r="BF78" s="128"/>
      <c r="BG78" s="128"/>
      <c r="BH78" s="128"/>
      <c r="BI78" s="128"/>
      <c r="BJ78" s="128"/>
      <c r="BK78" s="128"/>
      <c r="BL78" s="128"/>
      <c r="BM78" s="128"/>
      <c r="BN78" s="128"/>
      <c r="BO78" s="128"/>
      <c r="BP78" s="128"/>
      <c r="BQ78" s="128"/>
      <c r="BR78" s="128"/>
      <c r="BS78" s="128"/>
      <c r="BT78" s="128"/>
      <c r="BU78" s="423"/>
      <c r="BV78" s="423"/>
    </row>
    <row r="79" spans="1:74" x14ac:dyDescent="0.25">
      <c r="A79" s="447"/>
      <c r="B79" s="423" t="s">
        <v>57</v>
      </c>
      <c r="C79" s="109">
        <f>C27</f>
        <v>0</v>
      </c>
      <c r="D79" s="109">
        <f t="shared" ref="D79:K79" si="151">D27</f>
        <v>0</v>
      </c>
      <c r="E79" s="109">
        <f t="shared" si="151"/>
        <v>0</v>
      </c>
      <c r="F79" s="109">
        <f t="shared" si="151"/>
        <v>0</v>
      </c>
      <c r="G79" s="109">
        <f t="shared" si="151"/>
        <v>0</v>
      </c>
      <c r="H79" s="109">
        <f t="shared" si="151"/>
        <v>0</v>
      </c>
      <c r="I79" s="109">
        <f t="shared" si="151"/>
        <v>0</v>
      </c>
      <c r="J79" s="109">
        <f t="shared" si="151"/>
        <v>0</v>
      </c>
      <c r="K79" s="109">
        <f t="shared" si="151"/>
        <v>0</v>
      </c>
      <c r="L79" s="281"/>
      <c r="M79" s="127"/>
      <c r="N79" s="189"/>
      <c r="O79" s="128"/>
      <c r="P79" s="128"/>
      <c r="Q79" s="128"/>
      <c r="R79" s="128"/>
      <c r="S79" s="128"/>
      <c r="T79" s="128"/>
      <c r="U79" s="128"/>
      <c r="V79" s="128"/>
      <c r="W79" s="128"/>
      <c r="X79" s="128"/>
      <c r="Y79" s="128"/>
      <c r="Z79" s="128"/>
      <c r="AA79" s="128"/>
      <c r="AB79" s="128"/>
      <c r="AC79" s="128"/>
      <c r="AD79" s="128"/>
      <c r="AE79" s="128"/>
      <c r="AF79" s="128"/>
      <c r="AG79" s="128"/>
      <c r="AH79" s="128"/>
      <c r="AI79" s="128"/>
      <c r="AJ79" s="128"/>
      <c r="AK79" s="128"/>
      <c r="AL79" s="128"/>
      <c r="AM79" s="128"/>
      <c r="AN79" s="128"/>
      <c r="AO79" s="128"/>
      <c r="AP79" s="128"/>
      <c r="AQ79" s="128"/>
      <c r="AR79" s="128"/>
      <c r="AS79" s="189"/>
      <c r="AT79" s="128"/>
      <c r="AU79" s="127">
        <f>'Calculs source'!$G$87</f>
        <v>7121.31</v>
      </c>
      <c r="AV79" s="127">
        <f>'Calculs source'!$G$87</f>
        <v>7121.31</v>
      </c>
      <c r="AW79" s="127">
        <f>'Calculs source'!$G$87</f>
        <v>7121.31</v>
      </c>
      <c r="AX79" s="127">
        <f>$AW$79+$AX$27</f>
        <v>14242.62</v>
      </c>
      <c r="AY79" s="127">
        <f t="shared" ref="AY79:BN79" si="152">$AW$79+$AX$27</f>
        <v>14242.62</v>
      </c>
      <c r="AZ79" s="127">
        <f t="shared" si="152"/>
        <v>14242.62</v>
      </c>
      <c r="BA79" s="127">
        <f t="shared" si="152"/>
        <v>14242.62</v>
      </c>
      <c r="BB79" s="127">
        <f t="shared" si="152"/>
        <v>14242.62</v>
      </c>
      <c r="BC79" s="127">
        <f t="shared" si="152"/>
        <v>14242.62</v>
      </c>
      <c r="BD79" s="127">
        <f t="shared" si="152"/>
        <v>14242.62</v>
      </c>
      <c r="BE79" s="127">
        <f t="shared" si="152"/>
        <v>14242.62</v>
      </c>
      <c r="BF79" s="127">
        <f t="shared" si="152"/>
        <v>14242.62</v>
      </c>
      <c r="BG79" s="127">
        <f t="shared" si="152"/>
        <v>14242.62</v>
      </c>
      <c r="BH79" s="127">
        <f t="shared" si="152"/>
        <v>14242.62</v>
      </c>
      <c r="BI79" s="127">
        <f t="shared" si="152"/>
        <v>14242.62</v>
      </c>
      <c r="BJ79" s="127">
        <f t="shared" si="152"/>
        <v>14242.62</v>
      </c>
      <c r="BK79" s="127">
        <f t="shared" si="152"/>
        <v>14242.62</v>
      </c>
      <c r="BL79" s="127">
        <f t="shared" si="152"/>
        <v>14242.62</v>
      </c>
      <c r="BM79" s="127">
        <f t="shared" si="152"/>
        <v>14242.62</v>
      </c>
      <c r="BN79" s="127">
        <f t="shared" si="152"/>
        <v>14242.62</v>
      </c>
      <c r="BO79" s="127">
        <f>$AW$79</f>
        <v>7121.31</v>
      </c>
      <c r="BP79" s="127">
        <f>BO79</f>
        <v>7121.31</v>
      </c>
      <c r="BQ79" s="127">
        <f>BP79</f>
        <v>7121.31</v>
      </c>
      <c r="BR79" s="127">
        <f>BQ79</f>
        <v>7121.31</v>
      </c>
      <c r="BS79" s="127">
        <f>BR79</f>
        <v>7121.31</v>
      </c>
      <c r="BT79" s="127">
        <f>BS79</f>
        <v>7121.31</v>
      </c>
      <c r="BU79" s="423"/>
      <c r="BV79" s="423"/>
    </row>
    <row r="80" spans="1:74" x14ac:dyDescent="0.25">
      <c r="A80" s="447"/>
      <c r="B80" s="423" t="s">
        <v>58</v>
      </c>
      <c r="C80" s="109"/>
      <c r="D80" s="109"/>
      <c r="E80" s="109"/>
      <c r="F80" s="109"/>
      <c r="G80" s="109"/>
      <c r="H80" s="109"/>
      <c r="I80" s="109"/>
      <c r="J80" s="109"/>
      <c r="K80" s="109"/>
      <c r="L80" s="281"/>
      <c r="M80" s="127"/>
      <c r="N80" s="192">
        <f>3649.53</f>
        <v>3649.53</v>
      </c>
      <c r="O80" s="192">
        <v>3215.83</v>
      </c>
      <c r="P80" s="192">
        <v>7668.1</v>
      </c>
      <c r="Q80" s="131">
        <v>6635.63</v>
      </c>
      <c r="R80" s="131">
        <v>6581.85</v>
      </c>
      <c r="S80" s="131">
        <v>6475.06</v>
      </c>
      <c r="T80" s="192">
        <v>5405.18</v>
      </c>
      <c r="U80" s="192">
        <v>5267.19</v>
      </c>
      <c r="V80" s="192">
        <f>4195.27</f>
        <v>4195.2700000000004</v>
      </c>
      <c r="W80" s="131">
        <v>4176.5600000000004</v>
      </c>
      <c r="X80" s="131">
        <v>4119.6400000000003</v>
      </c>
      <c r="Y80" s="131">
        <v>4062.72</v>
      </c>
      <c r="Z80" s="131">
        <f>3840.9</f>
        <v>3840.9</v>
      </c>
      <c r="AA80" s="131">
        <f t="shared" ref="AA80:AE81" si="153">Z80</f>
        <v>3840.9</v>
      </c>
      <c r="AB80" s="131">
        <f t="shared" si="153"/>
        <v>3840.9</v>
      </c>
      <c r="AC80" s="131">
        <f t="shared" si="153"/>
        <v>3840.9</v>
      </c>
      <c r="AD80" s="131">
        <f t="shared" si="153"/>
        <v>3840.9</v>
      </c>
      <c r="AE80" s="131">
        <f t="shared" si="153"/>
        <v>3840.9</v>
      </c>
      <c r="AF80" s="131">
        <v>1688.86</v>
      </c>
      <c r="AG80" s="131">
        <f>AF80</f>
        <v>1688.86</v>
      </c>
      <c r="AH80" s="128"/>
      <c r="AI80" s="128"/>
      <c r="AJ80" s="128"/>
      <c r="AK80" s="128"/>
      <c r="AL80" s="128"/>
      <c r="AM80" s="128"/>
      <c r="AN80" s="128"/>
      <c r="AO80" s="128"/>
      <c r="AP80" s="128"/>
      <c r="AQ80" s="128"/>
      <c r="AR80" s="128"/>
      <c r="AS80" s="189"/>
      <c r="AT80" s="128"/>
      <c r="AU80" s="128"/>
      <c r="AV80" s="128"/>
      <c r="AW80" s="128"/>
      <c r="AX80" s="128"/>
      <c r="AY80" s="128"/>
      <c r="AZ80" s="128"/>
      <c r="BA80" s="128"/>
      <c r="BB80" s="128"/>
      <c r="BC80" s="128"/>
      <c r="BD80" s="128"/>
      <c r="BE80" s="128"/>
      <c r="BF80" s="128"/>
      <c r="BG80" s="128"/>
      <c r="BH80" s="128"/>
      <c r="BI80" s="128"/>
      <c r="BJ80" s="128"/>
      <c r="BK80" s="128"/>
      <c r="BL80" s="128"/>
      <c r="BM80" s="128"/>
      <c r="BN80" s="128"/>
      <c r="BO80" s="128"/>
      <c r="BP80" s="128"/>
      <c r="BQ80" s="128"/>
      <c r="BR80" s="128"/>
      <c r="BS80" s="128"/>
      <c r="BT80" s="128"/>
      <c r="BU80" s="423"/>
      <c r="BV80" s="423"/>
    </row>
    <row r="81" spans="1:74" x14ac:dyDescent="0.25">
      <c r="A81" s="447"/>
      <c r="B81" s="423" t="s">
        <v>59</v>
      </c>
      <c r="C81" s="109"/>
      <c r="D81" s="109"/>
      <c r="E81" s="109"/>
      <c r="F81" s="109"/>
      <c r="G81" s="109"/>
      <c r="H81" s="109"/>
      <c r="I81" s="109"/>
      <c r="J81" s="109"/>
      <c r="K81" s="109"/>
      <c r="L81" s="281"/>
      <c r="M81" s="127"/>
      <c r="N81" s="192">
        <f>1324.08</f>
        <v>1324.08</v>
      </c>
      <c r="O81" s="131">
        <v>685.8</v>
      </c>
      <c r="P81" s="192">
        <f>2527.32/2+'Allocation famille'!C16</f>
        <v>2808.7648346153842</v>
      </c>
      <c r="Q81" s="127">
        <f>1686.128/2+'Allocation famille'!D16</f>
        <v>1967.6044251133922</v>
      </c>
      <c r="R81" s="127">
        <f>1646.16/2+'Allocation famille'!E16</f>
        <v>1927.6472651133927</v>
      </c>
      <c r="S81" s="127">
        <f>1606.2/2+'Allocation famille'!F16</f>
        <v>1887.6941051133927</v>
      </c>
      <c r="T81" s="192">
        <f>1566.24/2+'Allocation famille'!G16</f>
        <v>1847.7409451133931</v>
      </c>
      <c r="U81" s="192">
        <f>1526.28/2+'Allocation famille'!H16</f>
        <v>1807.7877851133931</v>
      </c>
      <c r="V81" s="192">
        <f>1486.32/2+'Allocation famille'!I16</f>
        <v>1767.8346251133926</v>
      </c>
      <c r="W81" s="131">
        <f>1473.24/2+'Allocation famille'!J16</f>
        <v>1754.7247083343354</v>
      </c>
      <c r="X81" s="131">
        <f>1433.28/2+'Allocation famille'!K16</f>
        <v>1714.7715483343354</v>
      </c>
      <c r="Y81" s="131">
        <f>1393.32/2+'Allocation famille'!L16</f>
        <v>1674.8183883343354</v>
      </c>
      <c r="Z81" s="131">
        <f>1367.64/2+'Allocation famille'!M16</f>
        <v>1649.0905083343359</v>
      </c>
      <c r="AA81" s="131">
        <f t="shared" si="153"/>
        <v>1649.0905083343359</v>
      </c>
      <c r="AB81" s="131">
        <f t="shared" si="153"/>
        <v>1649.0905083343359</v>
      </c>
      <c r="AC81" s="131">
        <f t="shared" si="153"/>
        <v>1649.0905083343359</v>
      </c>
      <c r="AD81" s="131">
        <f t="shared" si="153"/>
        <v>1649.0905083343359</v>
      </c>
      <c r="AE81" s="131">
        <f t="shared" si="153"/>
        <v>1649.0905083343359</v>
      </c>
      <c r="AF81" s="131">
        <v>681.96</v>
      </c>
      <c r="AG81" s="131">
        <f>AF81</f>
        <v>681.96</v>
      </c>
      <c r="AH81" s="128"/>
      <c r="AI81" s="128"/>
      <c r="AJ81" s="128"/>
      <c r="AK81" s="128"/>
      <c r="AL81" s="128"/>
      <c r="AM81" s="128"/>
      <c r="AN81" s="128"/>
      <c r="AO81" s="128"/>
      <c r="AP81" s="128"/>
      <c r="AQ81" s="128"/>
      <c r="AR81" s="128"/>
      <c r="AS81" s="189"/>
      <c r="AT81" s="128"/>
      <c r="AU81" s="128"/>
      <c r="AV81" s="128"/>
      <c r="AW81" s="128"/>
      <c r="AX81" s="128"/>
      <c r="AY81" s="128"/>
      <c r="AZ81" s="128"/>
      <c r="BA81" s="128"/>
      <c r="BB81" s="128"/>
      <c r="BC81" s="128"/>
      <c r="BD81" s="128"/>
      <c r="BE81" s="128"/>
      <c r="BF81" s="128"/>
      <c r="BG81" s="128"/>
      <c r="BH81" s="128"/>
      <c r="BI81" s="128"/>
      <c r="BJ81" s="128"/>
      <c r="BK81" s="128"/>
      <c r="BL81" s="128"/>
      <c r="BM81" s="128"/>
      <c r="BN81" s="128"/>
      <c r="BO81" s="128"/>
      <c r="BP81" s="128"/>
      <c r="BQ81" s="128"/>
      <c r="BR81" s="128"/>
      <c r="BS81" s="128"/>
      <c r="BT81" s="128"/>
      <c r="BU81" s="423"/>
      <c r="BV81" s="423"/>
    </row>
    <row r="82" spans="1:74" x14ac:dyDescent="0.25">
      <c r="A82" s="447"/>
      <c r="B82" s="423" t="s">
        <v>60</v>
      </c>
      <c r="C82" s="109"/>
      <c r="D82" s="109"/>
      <c r="E82" s="109"/>
      <c r="F82" s="109"/>
      <c r="G82" s="109"/>
      <c r="H82" s="109"/>
      <c r="I82" s="109"/>
      <c r="J82" s="109"/>
      <c r="K82" s="109"/>
      <c r="L82" s="281"/>
      <c r="M82" s="127"/>
      <c r="N82" s="189"/>
      <c r="O82" s="128"/>
      <c r="P82" s="128"/>
      <c r="Q82" s="127"/>
      <c r="R82" s="127">
        <v>100</v>
      </c>
      <c r="S82" s="127">
        <v>100</v>
      </c>
      <c r="T82" s="189">
        <v>200</v>
      </c>
      <c r="U82" s="189">
        <v>200</v>
      </c>
      <c r="V82" s="189">
        <v>200</v>
      </c>
      <c r="W82" s="128">
        <v>200</v>
      </c>
      <c r="X82" s="128">
        <v>200</v>
      </c>
      <c r="Y82" s="128">
        <v>200</v>
      </c>
      <c r="Z82" s="128">
        <v>200</v>
      </c>
      <c r="AA82" s="128">
        <v>200</v>
      </c>
      <c r="AB82" s="128">
        <v>200</v>
      </c>
      <c r="AC82" s="128">
        <v>200</v>
      </c>
      <c r="AD82" s="128">
        <v>200</v>
      </c>
      <c r="AE82" s="128">
        <v>100</v>
      </c>
      <c r="AF82" s="128">
        <v>100</v>
      </c>
      <c r="AG82" s="128"/>
      <c r="AH82" s="128"/>
      <c r="AI82" s="128"/>
      <c r="AJ82" s="128"/>
      <c r="AK82" s="128"/>
      <c r="AL82" s="128"/>
      <c r="AM82" s="128"/>
      <c r="AN82" s="128"/>
      <c r="AO82" s="128"/>
      <c r="AP82" s="128"/>
      <c r="AQ82" s="128"/>
      <c r="AR82" s="128"/>
      <c r="AS82" s="189"/>
      <c r="AT82" s="128"/>
      <c r="AU82" s="128"/>
      <c r="AV82" s="128"/>
      <c r="AW82" s="128"/>
      <c r="AX82" s="128"/>
      <c r="AY82" s="128"/>
      <c r="AZ82" s="128"/>
      <c r="BA82" s="128"/>
      <c r="BB82" s="128"/>
      <c r="BC82" s="128"/>
      <c r="BD82" s="128"/>
      <c r="BE82" s="128"/>
      <c r="BF82" s="128"/>
      <c r="BG82" s="128"/>
      <c r="BH82" s="128"/>
      <c r="BI82" s="128"/>
      <c r="BJ82" s="128"/>
      <c r="BK82" s="128"/>
      <c r="BL82" s="128"/>
      <c r="BM82" s="128"/>
      <c r="BN82" s="128"/>
      <c r="BO82" s="128"/>
      <c r="BP82" s="128"/>
      <c r="BQ82" s="128"/>
      <c r="BR82" s="128"/>
      <c r="BS82" s="128"/>
      <c r="BT82" s="128"/>
      <c r="BU82" s="423"/>
      <c r="BV82" s="78"/>
    </row>
    <row r="83" spans="1:74" x14ac:dyDescent="0.25">
      <c r="A83" s="447"/>
      <c r="B83" s="185" t="s">
        <v>27</v>
      </c>
      <c r="C83" s="109"/>
      <c r="D83" s="109"/>
      <c r="E83" s="109"/>
      <c r="F83" s="109"/>
      <c r="G83" s="109"/>
      <c r="H83" s="109"/>
      <c r="I83" s="109"/>
      <c r="J83" s="109"/>
      <c r="K83" s="109"/>
      <c r="L83" s="281"/>
      <c r="M83" s="127"/>
      <c r="N83" s="189"/>
      <c r="O83" s="128"/>
      <c r="P83" s="128"/>
      <c r="Q83" s="127"/>
      <c r="R83" s="127"/>
      <c r="S83" s="127"/>
      <c r="T83" s="128"/>
      <c r="U83" s="128"/>
      <c r="V83" s="128"/>
      <c r="W83" s="128"/>
      <c r="X83" s="128"/>
      <c r="Y83" s="128"/>
      <c r="Z83" s="128"/>
      <c r="AA83" s="128"/>
      <c r="AB83" s="128"/>
      <c r="AC83" s="128"/>
      <c r="AD83" s="128"/>
      <c r="AE83" s="128"/>
      <c r="AF83" s="128"/>
      <c r="AG83" s="128"/>
      <c r="AH83" s="128"/>
      <c r="AI83" s="128"/>
      <c r="AJ83" s="128"/>
      <c r="AK83" s="128"/>
      <c r="AL83" s="128"/>
      <c r="AM83" s="128"/>
      <c r="AN83" s="128"/>
      <c r="AO83" s="128"/>
      <c r="AP83" s="128"/>
      <c r="AQ83" s="128"/>
      <c r="AR83" s="128"/>
      <c r="AS83" s="189"/>
      <c r="AT83" s="128"/>
      <c r="AU83" s="128"/>
      <c r="AV83" s="128"/>
      <c r="AW83" s="128"/>
      <c r="AX83" s="128"/>
      <c r="AY83" s="128"/>
      <c r="AZ83" s="131"/>
      <c r="BA83" s="131"/>
      <c r="BB83" s="131"/>
      <c r="BC83" s="131"/>
      <c r="BD83" s="131"/>
      <c r="BE83" s="270"/>
      <c r="BF83" s="270"/>
      <c r="BG83" s="270"/>
      <c r="BH83" s="192">
        <v>814.37</v>
      </c>
      <c r="BI83" s="192">
        <f t="shared" ref="BI83:BN83" si="154">BH83</f>
        <v>814.37</v>
      </c>
      <c r="BJ83" s="192">
        <f t="shared" si="154"/>
        <v>814.37</v>
      </c>
      <c r="BK83" s="192">
        <f t="shared" si="154"/>
        <v>814.37</v>
      </c>
      <c r="BL83" s="192">
        <f t="shared" si="154"/>
        <v>814.37</v>
      </c>
      <c r="BM83" s="192">
        <f t="shared" si="154"/>
        <v>814.37</v>
      </c>
      <c r="BN83" s="192">
        <f t="shared" si="154"/>
        <v>814.37</v>
      </c>
      <c r="BO83" s="192">
        <v>604.79999999999995</v>
      </c>
      <c r="BP83" s="192">
        <f t="shared" ref="BP83:BT83" si="155">BO83</f>
        <v>604.79999999999995</v>
      </c>
      <c r="BQ83" s="192">
        <f t="shared" si="155"/>
        <v>604.79999999999995</v>
      </c>
      <c r="BR83" s="192">
        <f t="shared" si="155"/>
        <v>604.79999999999995</v>
      </c>
      <c r="BS83" s="192">
        <f t="shared" si="155"/>
        <v>604.79999999999995</v>
      </c>
      <c r="BT83" s="192">
        <f t="shared" si="155"/>
        <v>604.79999999999995</v>
      </c>
      <c r="BU83" s="423"/>
      <c r="BV83" s="423"/>
    </row>
    <row r="84" spans="1:74" s="121" customFormat="1" x14ac:dyDescent="0.25">
      <c r="A84" s="447"/>
      <c r="B84" s="121" t="s">
        <v>28</v>
      </c>
      <c r="C84" s="129">
        <f>C85+C86+C87+C88+C89</f>
        <v>13906.271173536106</v>
      </c>
      <c r="D84" s="129">
        <f t="shared" ref="D84:BO84" si="156">D85+D86+D87+D88+D89</f>
        <v>13906.271173536106</v>
      </c>
      <c r="E84" s="129">
        <f t="shared" si="156"/>
        <v>14182.555242799746</v>
      </c>
      <c r="F84" s="129">
        <f t="shared" si="156"/>
        <v>1944.5552427997472</v>
      </c>
      <c r="G84" s="129">
        <f t="shared" si="156"/>
        <v>1944.5552427997472</v>
      </c>
      <c r="H84" s="129">
        <f t="shared" si="156"/>
        <v>1944.5552427997472</v>
      </c>
      <c r="I84" s="129">
        <f t="shared" si="156"/>
        <v>1944.5552427997472</v>
      </c>
      <c r="J84" s="129">
        <f t="shared" si="156"/>
        <v>2705.7574510131226</v>
      </c>
      <c r="K84" s="129">
        <f t="shared" si="156"/>
        <v>2705.7574510131226</v>
      </c>
      <c r="L84" s="283">
        <f t="shared" si="156"/>
        <v>4282.3415556269465</v>
      </c>
      <c r="M84" s="130">
        <f>M85+M86+M87+M88+M89</f>
        <v>4282.3415556269465</v>
      </c>
      <c r="N84" s="130">
        <f t="shared" si="156"/>
        <v>14001.323546704994</v>
      </c>
      <c r="O84" s="130">
        <f t="shared" si="156"/>
        <v>16520.101761861853</v>
      </c>
      <c r="P84" s="130">
        <f t="shared" si="156"/>
        <v>25184.341508312242</v>
      </c>
      <c r="Q84" s="130">
        <f t="shared" si="156"/>
        <v>28515.46140462943</v>
      </c>
      <c r="R84" s="130">
        <f t="shared" si="156"/>
        <v>28515.46140462943</v>
      </c>
      <c r="S84" s="130">
        <f t="shared" si="156"/>
        <v>24544.701051256459</v>
      </c>
      <c r="T84" s="130">
        <f t="shared" si="156"/>
        <v>24200.183365215293</v>
      </c>
      <c r="U84" s="130">
        <f t="shared" si="156"/>
        <v>20277.493739484551</v>
      </c>
      <c r="V84" s="130">
        <f t="shared" si="156"/>
        <v>20503.327756947121</v>
      </c>
      <c r="W84" s="130">
        <f t="shared" si="156"/>
        <v>20503.327756947121</v>
      </c>
      <c r="X84" s="130">
        <f t="shared" si="156"/>
        <v>20339.890078326174</v>
      </c>
      <c r="Y84" s="130">
        <f t="shared" si="156"/>
        <v>20096.571069574704</v>
      </c>
      <c r="Z84" s="130">
        <f t="shared" si="156"/>
        <v>19094.524713730469</v>
      </c>
      <c r="AA84" s="130">
        <f t="shared" si="156"/>
        <v>19511.861039845491</v>
      </c>
      <c r="AB84" s="130">
        <f t="shared" si="156"/>
        <v>20071.414737551633</v>
      </c>
      <c r="AC84" s="130">
        <f t="shared" si="156"/>
        <v>20213.492041167403</v>
      </c>
      <c r="AD84" s="130">
        <f t="shared" si="156"/>
        <v>20447.702206548955</v>
      </c>
      <c r="AE84" s="130">
        <f t="shared" si="156"/>
        <v>26623.655702648124</v>
      </c>
      <c r="AF84" s="130">
        <f t="shared" si="156"/>
        <v>13434.034033802898</v>
      </c>
      <c r="AG84" s="130">
        <f t="shared" si="156"/>
        <v>19264.280023107709</v>
      </c>
      <c r="AH84" s="130">
        <f t="shared" si="156"/>
        <v>5358.0088495716036</v>
      </c>
      <c r="AI84" s="130">
        <f t="shared" si="156"/>
        <v>5737.6202303479504</v>
      </c>
      <c r="AJ84" s="130">
        <f t="shared" si="156"/>
        <v>5737.6202303479504</v>
      </c>
      <c r="AK84" s="130">
        <f t="shared" si="156"/>
        <v>6463.3094789950446</v>
      </c>
      <c r="AL84" s="130">
        <f t="shared" si="156"/>
        <v>6463.3094789950446</v>
      </c>
      <c r="AM84" s="130">
        <f t="shared" si="156"/>
        <v>6463.3094789950446</v>
      </c>
      <c r="AN84" s="130">
        <f t="shared" si="156"/>
        <v>7004.4409803116687</v>
      </c>
      <c r="AO84" s="130">
        <f t="shared" si="156"/>
        <v>7004.4409803116687</v>
      </c>
      <c r="AP84" s="130">
        <f t="shared" si="156"/>
        <v>8041.0501321007578</v>
      </c>
      <c r="AQ84" s="130">
        <f t="shared" si="156"/>
        <v>8041.0501321007578</v>
      </c>
      <c r="AR84" s="130">
        <f t="shared" si="156"/>
        <v>8041.0501321007578</v>
      </c>
      <c r="AS84" s="237">
        <f t="shared" si="156"/>
        <v>8922.9340597271475</v>
      </c>
      <c r="AT84" s="130">
        <f t="shared" si="156"/>
        <v>8922.9340597271475</v>
      </c>
      <c r="AU84" s="130">
        <f t="shared" si="156"/>
        <v>10847.706883084507</v>
      </c>
      <c r="AV84" s="130">
        <f t="shared" si="156"/>
        <v>10847.706883084507</v>
      </c>
      <c r="AW84" s="130">
        <f t="shared" si="156"/>
        <v>10847.706883084507</v>
      </c>
      <c r="AX84" s="130">
        <f t="shared" si="156"/>
        <v>12489.533121707889</v>
      </c>
      <c r="AY84" s="130">
        <f t="shared" si="156"/>
        <v>12489.533121707889</v>
      </c>
      <c r="AZ84" s="130">
        <f t="shared" si="156"/>
        <v>14672.574572697729</v>
      </c>
      <c r="BA84" s="130">
        <f t="shared" si="156"/>
        <v>14672.574572697729</v>
      </c>
      <c r="BB84" s="130">
        <f t="shared" si="156"/>
        <v>14672.574572697729</v>
      </c>
      <c r="BC84" s="130">
        <f t="shared" si="156"/>
        <v>16401.338187845555</v>
      </c>
      <c r="BD84" s="130">
        <f t="shared" si="156"/>
        <v>16401.338187845555</v>
      </c>
      <c r="BE84" s="130">
        <f t="shared" si="156"/>
        <v>19916.677428496514</v>
      </c>
      <c r="BF84" s="130">
        <f t="shared" si="156"/>
        <v>19916.677428496514</v>
      </c>
      <c r="BG84" s="130">
        <f t="shared" si="156"/>
        <v>19916.677428496514</v>
      </c>
      <c r="BH84" s="130">
        <f t="shared" si="156"/>
        <v>23341.435167687479</v>
      </c>
      <c r="BI84" s="130">
        <f t="shared" si="156"/>
        <v>23341.435167687479</v>
      </c>
      <c r="BJ84" s="130">
        <f t="shared" si="156"/>
        <v>28157.233571823141</v>
      </c>
      <c r="BK84" s="130">
        <f t="shared" si="156"/>
        <v>28157.233571823141</v>
      </c>
      <c r="BL84" s="130">
        <f t="shared" si="156"/>
        <v>28157.233571823141</v>
      </c>
      <c r="BM84" s="130">
        <f t="shared" si="156"/>
        <v>33810.663475828827</v>
      </c>
      <c r="BN84" s="130">
        <f t="shared" si="156"/>
        <v>33810.663475828827</v>
      </c>
      <c r="BO84" s="130">
        <f t="shared" si="156"/>
        <v>16782.229671402936</v>
      </c>
      <c r="BP84" s="130">
        <f t="shared" ref="BP84:BT84" si="157">BP85+BP86+BP87+BP88+BP89</f>
        <v>16782.229671402936</v>
      </c>
      <c r="BQ84" s="130">
        <f t="shared" si="157"/>
        <v>16782.229671402936</v>
      </c>
      <c r="BR84" s="130">
        <f t="shared" si="157"/>
        <v>28143.248858429186</v>
      </c>
      <c r="BS84" s="130">
        <f t="shared" si="157"/>
        <v>28143.248858429186</v>
      </c>
      <c r="BT84" s="130">
        <f t="shared" si="157"/>
        <v>28143.248858429186</v>
      </c>
    </row>
    <row r="85" spans="1:74" x14ac:dyDescent="0.25">
      <c r="A85" s="447"/>
      <c r="B85" s="423" t="s">
        <v>29</v>
      </c>
      <c r="C85" s="109">
        <f t="shared" ref="C85" si="158">C30</f>
        <v>1668.2711735361063</v>
      </c>
      <c r="D85" s="109">
        <f t="shared" ref="D85:K85" si="159">D30</f>
        <v>1668.2711735361063</v>
      </c>
      <c r="E85" s="109">
        <f t="shared" si="159"/>
        <v>1944.5552427997472</v>
      </c>
      <c r="F85" s="109">
        <f t="shared" si="159"/>
        <v>1944.5552427997472</v>
      </c>
      <c r="G85" s="109">
        <f t="shared" si="159"/>
        <v>1944.5552427997472</v>
      </c>
      <c r="H85" s="109">
        <f t="shared" si="159"/>
        <v>1944.5552427997472</v>
      </c>
      <c r="I85" s="109">
        <f t="shared" si="159"/>
        <v>1944.5552427997472</v>
      </c>
      <c r="J85" s="109">
        <f t="shared" si="159"/>
        <v>2705.7574510131226</v>
      </c>
      <c r="K85" s="109">
        <f t="shared" si="159"/>
        <v>2705.7574510131226</v>
      </c>
      <c r="L85" s="287">
        <f>L30+'Calculs source'!$X$71</f>
        <v>4282.3415556269465</v>
      </c>
      <c r="M85" s="131">
        <f>M30+'Calculs source'!$X$71</f>
        <v>4282.3415556269465</v>
      </c>
      <c r="N85" s="192">
        <f>N30+'Calculs source'!$X$71+N139+N144</f>
        <v>14001.323546704994</v>
      </c>
      <c r="O85" s="192">
        <f>O30+'Calculs source'!$X$71+O139+O144</f>
        <v>6254.5527562315738</v>
      </c>
      <c r="P85" s="192">
        <f>P30+'Calculs source'!$X$71+P139+P144</f>
        <v>14918.792502681961</v>
      </c>
      <c r="Q85" s="190">
        <f>Q30+'Calculs source'!$X$72+Q139+Q144</f>
        <v>7984.363393368867</v>
      </c>
      <c r="R85" s="190">
        <f>R30+'Calculs source'!$X$72+R139+R144</f>
        <v>7984.363393368867</v>
      </c>
      <c r="S85" s="127">
        <f>S30+'Calculs source'!$X$72+S139+S144</f>
        <v>7672.951732637136</v>
      </c>
      <c r="T85" s="131">
        <f>T30+'Calculs source'!$X$72+T139+T144</f>
        <v>7328.4340465959658</v>
      </c>
      <c r="U85" s="131">
        <f>U30+'Calculs source'!$X$72+U139+U144</f>
        <v>7065.0931135064611</v>
      </c>
      <c r="V85" s="131">
        <f>V30+'Calculs source'!$X$73+V139+V144</f>
        <v>7290.9271309690303</v>
      </c>
      <c r="W85" s="131">
        <f>W30+'Calculs source'!$X$73+W139+W144</f>
        <v>7290.9271309690303</v>
      </c>
      <c r="X85" s="131">
        <f>X30+'Calculs source'!$X$73+X139+X144</f>
        <v>7127.4894523480834</v>
      </c>
      <c r="Y85" s="131">
        <f>Y30+'Calculs source'!$X$73+Y139+Y144</f>
        <v>6884.1704435966139</v>
      </c>
      <c r="Z85" s="131">
        <f>Z30+'Calculs source'!$X$73+Z139+Z144</f>
        <v>6838.5703900462377</v>
      </c>
      <c r="AA85" s="131">
        <f>AA30+'Calculs source'!$X$74+AA139+AA144</f>
        <v>7255.9067161612566</v>
      </c>
      <c r="AB85" s="131">
        <f>AB30+'Calculs source'!$X$74+AB139+AB144</f>
        <v>7255.9067161612566</v>
      </c>
      <c r="AC85" s="131">
        <f>AC30+'Calculs source'!$X$74+AC139+AC144</f>
        <v>7397.9840197770291</v>
      </c>
      <c r="AD85" s="131">
        <f>AD30+'Calculs source'!$X$74+AD139+AD144</f>
        <v>7632.1941851585807</v>
      </c>
      <c r="AE85" s="131">
        <f>AE30+'Calculs source'!$X$74+AE139+AE144</f>
        <v>7977.9016919529377</v>
      </c>
      <c r="AF85" s="131">
        <f>AF30+'Calculs source'!$X$75+AF139+AF144</f>
        <v>7026.2800231077099</v>
      </c>
      <c r="AG85" s="131">
        <f>AG30+'Calculs source'!$X$75+AG139+AG144</f>
        <v>7026.2800231077099</v>
      </c>
      <c r="AH85" s="131">
        <f>AH30+'Calculs source'!$X$75+AH139+AH144</f>
        <v>5358.0088495716036</v>
      </c>
      <c r="AI85" s="131">
        <f>AI30+'Calculs source'!$X$75+AI139+AI144</f>
        <v>5737.6202303479504</v>
      </c>
      <c r="AJ85" s="131">
        <f>AJ30+'Calculs source'!$X$75+AJ139+AJ144</f>
        <v>5737.6202303479504</v>
      </c>
      <c r="AK85" s="131">
        <f>AK30+'Calculs source'!$X$76+AK139+AK144</f>
        <v>6463.3094789950446</v>
      </c>
      <c r="AL85" s="131">
        <f>AL30+'Calculs source'!$X$76+AL139+AL144</f>
        <v>6463.3094789950446</v>
      </c>
      <c r="AM85" s="131">
        <f>AM30+'Calculs source'!$X$76+AM139+AM144</f>
        <v>6463.3094789950446</v>
      </c>
      <c r="AN85" s="131">
        <f>AN30+'Calculs source'!$X$76+AN139+AN144</f>
        <v>7004.4409803116687</v>
      </c>
      <c r="AO85" s="131">
        <f>AO30+'Calculs source'!$X$76+AO139+AO144</f>
        <v>7004.4409803116687</v>
      </c>
      <c r="AP85" s="131">
        <f>AP30+'Calculs source'!$X$77+AP139+AP144</f>
        <v>8041.0501321007578</v>
      </c>
      <c r="AQ85" s="131">
        <f>AQ30+'Calculs source'!$X$77+AQ139+AQ144</f>
        <v>8041.0501321007578</v>
      </c>
      <c r="AR85" s="131">
        <f>AR30+'Calculs source'!$X$77</f>
        <v>8041.0501321007578</v>
      </c>
      <c r="AS85" s="192">
        <f>AS30+'Calculs source'!$X$77</f>
        <v>8922.9340597271475</v>
      </c>
      <c r="AT85" s="131">
        <f>AT30+'Calculs source'!$X$77</f>
        <v>8922.9340597271475</v>
      </c>
      <c r="AU85" s="131">
        <f>AU30+'Calculs source'!$X$78</f>
        <v>10847.706883084507</v>
      </c>
      <c r="AV85" s="131">
        <f>AV30+'Calculs source'!$X$78</f>
        <v>10847.706883084507</v>
      </c>
      <c r="AW85" s="131">
        <f>AW30+'Calculs source'!$X$78</f>
        <v>10847.706883084507</v>
      </c>
      <c r="AX85" s="131">
        <f>AX30+'Calculs source'!$X$78</f>
        <v>12489.533121707889</v>
      </c>
      <c r="AY85" s="131">
        <f>AY30+'Calculs source'!$X$78</f>
        <v>12489.533121707889</v>
      </c>
      <c r="AZ85" s="127">
        <f>AZ30+'Calculs source'!$X$79</f>
        <v>14672.574572697729</v>
      </c>
      <c r="BA85" s="127">
        <f>BA30+'Calculs source'!$X$79</f>
        <v>14672.574572697729</v>
      </c>
      <c r="BB85" s="127">
        <f>BB30+'Calculs source'!$X$79</f>
        <v>14672.574572697729</v>
      </c>
      <c r="BC85" s="127">
        <f>BC30+'Calculs source'!$X$79</f>
        <v>16401.338187845555</v>
      </c>
      <c r="BD85" s="127">
        <f>BD30+'Calculs source'!$X$79</f>
        <v>16401.338187845555</v>
      </c>
      <c r="BE85" s="127">
        <f>BE30+'Calculs source'!$X$80</f>
        <v>19916.677428496514</v>
      </c>
      <c r="BF85" s="127">
        <f>BF30+'Calculs source'!$X$80</f>
        <v>19916.677428496514</v>
      </c>
      <c r="BG85" s="127">
        <f>BG30+'Calculs source'!$X$80</f>
        <v>19916.677428496514</v>
      </c>
      <c r="BH85" s="127">
        <f>BH30+'Calculs source'!$X$80</f>
        <v>23341.435167687479</v>
      </c>
      <c r="BI85" s="127">
        <f>BI30+'Calculs source'!$X$80</f>
        <v>23341.435167687479</v>
      </c>
      <c r="BJ85" s="127">
        <f>BJ30+'Calculs source'!$X$81</f>
        <v>28157.233571823141</v>
      </c>
      <c r="BK85" s="127">
        <f>BK30+'Calculs source'!$X$81</f>
        <v>28157.233571823141</v>
      </c>
      <c r="BL85" s="127">
        <f>BL30+'Calculs source'!$X$81</f>
        <v>28157.233571823141</v>
      </c>
      <c r="BM85" s="127">
        <f>BM30+'Calculs source'!$X$81</f>
        <v>33810.663475828827</v>
      </c>
      <c r="BN85" s="127">
        <f>BN30+'Calculs source'!$X$81</f>
        <v>33810.663475828827</v>
      </c>
      <c r="BO85" s="127">
        <f>BO30</f>
        <v>16782.229671402936</v>
      </c>
      <c r="BP85" s="127">
        <f t="shared" ref="BP85:BS85" si="160">BP30</f>
        <v>16782.229671402936</v>
      </c>
      <c r="BQ85" s="127">
        <f t="shared" si="160"/>
        <v>16782.229671402936</v>
      </c>
      <c r="BR85" s="127">
        <f t="shared" si="160"/>
        <v>28143.248858429186</v>
      </c>
      <c r="BS85" s="127">
        <f t="shared" si="160"/>
        <v>28143.248858429186</v>
      </c>
      <c r="BT85" s="127">
        <f>BT30</f>
        <v>28143.248858429186</v>
      </c>
      <c r="BU85" s="423"/>
      <c r="BV85" s="423"/>
    </row>
    <row r="86" spans="1:74" x14ac:dyDescent="0.25">
      <c r="A86" s="447"/>
      <c r="B86" s="423" t="s">
        <v>30</v>
      </c>
      <c r="C86" s="109">
        <f t="shared" ref="C86" si="161">C31</f>
        <v>12238</v>
      </c>
      <c r="D86" s="109">
        <f t="shared" ref="D86:M86" si="162">D31</f>
        <v>12238</v>
      </c>
      <c r="E86" s="109">
        <f t="shared" si="162"/>
        <v>12238</v>
      </c>
      <c r="F86" s="109">
        <f t="shared" si="162"/>
        <v>0</v>
      </c>
      <c r="G86" s="109">
        <f t="shared" si="162"/>
        <v>0</v>
      </c>
      <c r="H86" s="109">
        <f t="shared" si="162"/>
        <v>0</v>
      </c>
      <c r="I86" s="109">
        <f t="shared" si="162"/>
        <v>0</v>
      </c>
      <c r="J86" s="109">
        <f t="shared" si="162"/>
        <v>0</v>
      </c>
      <c r="K86" s="109">
        <f t="shared" si="162"/>
        <v>0</v>
      </c>
      <c r="L86" s="281">
        <f t="shared" si="162"/>
        <v>0</v>
      </c>
      <c r="M86" s="127">
        <f t="shared" si="162"/>
        <v>0</v>
      </c>
      <c r="N86" s="189"/>
      <c r="O86" s="128"/>
      <c r="P86" s="128"/>
      <c r="Q86" s="127"/>
      <c r="R86" s="127"/>
      <c r="S86" s="127"/>
      <c r="T86" s="128"/>
      <c r="U86" s="128"/>
      <c r="V86" s="128"/>
      <c r="W86" s="128"/>
      <c r="X86" s="128"/>
      <c r="Y86" s="128"/>
      <c r="Z86" s="128"/>
      <c r="AA86" s="128"/>
      <c r="AB86" s="128"/>
      <c r="AC86" s="128"/>
      <c r="AD86" s="128"/>
      <c r="AE86" s="144">
        <f>'Calculs source'!G16*2</f>
        <v>12238</v>
      </c>
      <c r="AF86" s="144"/>
      <c r="AG86" s="144">
        <f>'Calculs source'!G16*2</f>
        <v>12238</v>
      </c>
      <c r="AH86" s="128"/>
      <c r="AI86" s="128"/>
      <c r="AJ86" s="128"/>
      <c r="AK86" s="128"/>
      <c r="AL86" s="128"/>
      <c r="AM86" s="128"/>
      <c r="AN86" s="128"/>
      <c r="AO86" s="128"/>
      <c r="AP86" s="128"/>
      <c r="AQ86" s="128"/>
      <c r="AR86" s="128"/>
      <c r="AS86" s="189"/>
      <c r="AT86" s="128"/>
      <c r="AU86" s="128"/>
      <c r="AV86" s="128"/>
      <c r="AW86" s="128"/>
      <c r="AX86" s="128"/>
      <c r="AY86" s="128"/>
      <c r="AZ86" s="128"/>
      <c r="BA86" s="128"/>
      <c r="BB86" s="128"/>
      <c r="BC86" s="128"/>
      <c r="BD86" s="128"/>
      <c r="BE86" s="128"/>
      <c r="BF86" s="128"/>
      <c r="BG86" s="128"/>
      <c r="BH86" s="128"/>
      <c r="BI86" s="128"/>
      <c r="BJ86" s="128"/>
      <c r="BK86" s="128"/>
      <c r="BL86" s="128"/>
      <c r="BM86" s="128"/>
      <c r="BN86" s="128"/>
      <c r="BO86" s="128"/>
      <c r="BP86" s="128"/>
      <c r="BQ86" s="128"/>
      <c r="BR86" s="128"/>
      <c r="BS86" s="128"/>
      <c r="BT86" s="128"/>
      <c r="BU86" s="423"/>
      <c r="BV86" s="423"/>
    </row>
    <row r="87" spans="1:74" x14ac:dyDescent="0.25">
      <c r="A87" s="447"/>
      <c r="B87" s="423" t="s">
        <v>61</v>
      </c>
      <c r="C87" s="109"/>
      <c r="D87" s="109"/>
      <c r="E87" s="109"/>
      <c r="F87" s="109"/>
      <c r="G87" s="109"/>
      <c r="H87" s="109"/>
      <c r="I87" s="109"/>
      <c r="J87" s="109"/>
      <c r="K87" s="109"/>
      <c r="L87" s="281"/>
      <c r="M87" s="127"/>
      <c r="N87" s="189"/>
      <c r="O87" s="131">
        <f>'B.P. Coût place garderie'!F37</f>
        <v>10265.549005630281</v>
      </c>
      <c r="P87" s="131">
        <f>O87</f>
        <v>10265.549005630281</v>
      </c>
      <c r="Q87" s="127">
        <f>P87*2</f>
        <v>20531.098011260561</v>
      </c>
      <c r="R87" s="127">
        <f>Q87</f>
        <v>20531.098011260561</v>
      </c>
      <c r="S87" s="127">
        <f>P87</f>
        <v>10265.549005630281</v>
      </c>
      <c r="T87" s="131">
        <f>S87</f>
        <v>10265.549005630281</v>
      </c>
      <c r="U87" s="128"/>
      <c r="V87" s="128"/>
      <c r="W87" s="128"/>
      <c r="X87" s="128"/>
      <c r="Y87" s="128"/>
      <c r="Z87" s="128"/>
      <c r="AA87" s="128"/>
      <c r="AB87" s="128"/>
      <c r="AC87" s="128"/>
      <c r="AD87" s="128"/>
      <c r="AE87" s="128"/>
      <c r="AF87" s="128"/>
      <c r="AG87" s="128"/>
      <c r="AH87" s="128"/>
      <c r="AI87" s="128"/>
      <c r="AJ87" s="128"/>
      <c r="AK87" s="128"/>
      <c r="AL87" s="128"/>
      <c r="AM87" s="128"/>
      <c r="AN87" s="128"/>
      <c r="AO87" s="128"/>
      <c r="AP87" s="128"/>
      <c r="AQ87" s="128"/>
      <c r="AR87" s="128"/>
      <c r="AS87" s="189"/>
      <c r="AT87" s="128"/>
      <c r="AU87" s="128"/>
      <c r="AV87" s="128"/>
      <c r="AW87" s="128"/>
      <c r="AX87" s="128"/>
      <c r="AY87" s="128"/>
      <c r="AZ87" s="128"/>
      <c r="BA87" s="128"/>
      <c r="BB87" s="128"/>
      <c r="BC87" s="128"/>
      <c r="BD87" s="128"/>
      <c r="BE87" s="128"/>
      <c r="BF87" s="128"/>
      <c r="BG87" s="128"/>
      <c r="BH87" s="128"/>
      <c r="BI87" s="128"/>
      <c r="BJ87" s="128"/>
      <c r="BK87" s="128"/>
      <c r="BL87" s="128"/>
      <c r="BM87" s="128"/>
      <c r="BN87" s="128"/>
      <c r="BO87" s="128"/>
      <c r="BP87" s="128"/>
      <c r="BQ87" s="128"/>
      <c r="BR87" s="128"/>
      <c r="BS87" s="128"/>
      <c r="BT87" s="128"/>
      <c r="BU87" s="423"/>
      <c r="BV87" s="423"/>
    </row>
    <row r="88" spans="1:74" x14ac:dyDescent="0.25">
      <c r="A88" s="447"/>
      <c r="B88" s="423" t="s">
        <v>62</v>
      </c>
      <c r="C88" s="109"/>
      <c r="D88" s="109"/>
      <c r="E88" s="109"/>
      <c r="F88" s="109"/>
      <c r="G88" s="109"/>
      <c r="H88" s="109"/>
      <c r="I88" s="109"/>
      <c r="J88" s="109"/>
      <c r="K88" s="109"/>
      <c r="L88" s="281"/>
      <c r="M88" s="127"/>
      <c r="N88" s="189"/>
      <c r="O88" s="131"/>
      <c r="P88" s="131"/>
      <c r="Q88" s="127"/>
      <c r="R88" s="127"/>
      <c r="S88" s="127">
        <f>758</f>
        <v>758</v>
      </c>
      <c r="T88" s="131">
        <v>758</v>
      </c>
      <c r="U88" s="128">
        <f>758*2</f>
        <v>1516</v>
      </c>
      <c r="V88" s="128">
        <f>U88</f>
        <v>1516</v>
      </c>
      <c r="W88" s="128">
        <f>V88</f>
        <v>1516</v>
      </c>
      <c r="X88" s="128">
        <f>W88</f>
        <v>1516</v>
      </c>
      <c r="Y88" s="128">
        <f>758*2</f>
        <v>1516</v>
      </c>
      <c r="Z88" s="128"/>
      <c r="AA88" s="128"/>
      <c r="AB88" s="128"/>
      <c r="AC88" s="128"/>
      <c r="AD88" s="128"/>
      <c r="AE88" s="128"/>
      <c r="AF88" s="128"/>
      <c r="AG88" s="128"/>
      <c r="AH88" s="128"/>
      <c r="AI88" s="128"/>
      <c r="AJ88" s="128"/>
      <c r="AK88" s="128"/>
      <c r="AL88" s="128"/>
      <c r="AM88" s="128"/>
      <c r="AN88" s="128"/>
      <c r="AO88" s="128"/>
      <c r="AP88" s="128"/>
      <c r="AQ88" s="128"/>
      <c r="AR88" s="128"/>
      <c r="AS88" s="189"/>
      <c r="AT88" s="128"/>
      <c r="AU88" s="128"/>
      <c r="AV88" s="128"/>
      <c r="AW88" s="128"/>
      <c r="AX88" s="128"/>
      <c r="AY88" s="128"/>
      <c r="AZ88" s="128"/>
      <c r="BA88" s="128"/>
      <c r="BB88" s="128"/>
      <c r="BC88" s="128"/>
      <c r="BD88" s="128"/>
      <c r="BE88" s="128"/>
      <c r="BF88" s="128"/>
      <c r="BG88" s="128"/>
      <c r="BH88" s="128"/>
      <c r="BI88" s="128"/>
      <c r="BJ88" s="128"/>
      <c r="BK88" s="128"/>
      <c r="BL88" s="128"/>
      <c r="BM88" s="128"/>
      <c r="BN88" s="128"/>
      <c r="BO88" s="128"/>
      <c r="BP88" s="128"/>
      <c r="BQ88" s="128"/>
      <c r="BR88" s="128"/>
      <c r="BS88" s="128"/>
      <c r="BT88" s="128"/>
      <c r="BU88" s="423"/>
      <c r="BV88" s="423"/>
    </row>
    <row r="89" spans="1:74" x14ac:dyDescent="0.25">
      <c r="A89" s="447"/>
      <c r="B89" s="423" t="s">
        <v>63</v>
      </c>
      <c r="C89" s="109"/>
      <c r="D89" s="109"/>
      <c r="E89" s="109"/>
      <c r="F89" s="109"/>
      <c r="G89" s="109"/>
      <c r="H89" s="109"/>
      <c r="I89" s="109"/>
      <c r="J89" s="109"/>
      <c r="K89" s="109"/>
      <c r="L89" s="281"/>
      <c r="M89" s="127"/>
      <c r="N89" s="189"/>
      <c r="O89" s="128"/>
      <c r="P89" s="128"/>
      <c r="Q89" s="127"/>
      <c r="R89" s="127"/>
      <c r="S89" s="127">
        <f>'B.P. Cout ecole'!E5</f>
        <v>5848.2003129890454</v>
      </c>
      <c r="T89" s="131">
        <f>S89</f>
        <v>5848.2003129890454</v>
      </c>
      <c r="U89" s="131">
        <f>T89+'B.P. Cout ecole'!E5</f>
        <v>11696.400625978091</v>
      </c>
      <c r="V89" s="131">
        <f>U89</f>
        <v>11696.400625978091</v>
      </c>
      <c r="W89" s="131">
        <f>U89</f>
        <v>11696.400625978091</v>
      </c>
      <c r="X89" s="131">
        <f>U89</f>
        <v>11696.400625978091</v>
      </c>
      <c r="Y89" s="131">
        <f>'B.P. Cout ecole'!E5+'B.P. Cout ecole'!E5</f>
        <v>11696.400625978091</v>
      </c>
      <c r="Z89" s="131">
        <f>'B.P. Cout ecole'!E11+'B.P. Cout ecole'!E5</f>
        <v>12255.954323684233</v>
      </c>
      <c r="AA89" s="131">
        <f>Z89</f>
        <v>12255.954323684233</v>
      </c>
      <c r="AB89" s="131">
        <f>'B.P. Cout ecole'!E11+'B.P. Cout ecole'!E11</f>
        <v>12815.508021390375</v>
      </c>
      <c r="AC89" s="131">
        <f>AB89</f>
        <v>12815.508021390375</v>
      </c>
      <c r="AD89" s="131">
        <f>AC89</f>
        <v>12815.508021390375</v>
      </c>
      <c r="AE89" s="131">
        <f>'B.P. Cout ecole'!E11</f>
        <v>6407.7540106951874</v>
      </c>
      <c r="AF89" s="131">
        <f>AE89</f>
        <v>6407.7540106951874</v>
      </c>
      <c r="AG89" s="128"/>
      <c r="AH89" s="128"/>
      <c r="AI89" s="128"/>
      <c r="AJ89" s="128"/>
      <c r="AK89" s="128"/>
      <c r="AL89" s="128"/>
      <c r="AM89" s="128"/>
      <c r="AN89" s="128"/>
      <c r="AO89" s="128"/>
      <c r="AP89" s="128"/>
      <c r="AQ89" s="128"/>
      <c r="AR89" s="128"/>
      <c r="AS89" s="189"/>
      <c r="AT89" s="128"/>
      <c r="AU89" s="128"/>
      <c r="AV89" s="128"/>
      <c r="AW89" s="128"/>
      <c r="AX89" s="128"/>
      <c r="AY89" s="128"/>
      <c r="AZ89" s="128"/>
      <c r="BA89" s="128"/>
      <c r="BB89" s="128"/>
      <c r="BC89" s="128"/>
      <c r="BD89" s="128"/>
      <c r="BE89" s="128"/>
      <c r="BF89" s="128"/>
      <c r="BG89" s="128"/>
      <c r="BH89" s="128"/>
      <c r="BI89" s="128"/>
      <c r="BJ89" s="128"/>
      <c r="BK89" s="128"/>
      <c r="BL89" s="128"/>
      <c r="BM89" s="128"/>
      <c r="BN89" s="128"/>
      <c r="BO89" s="128"/>
      <c r="BP89" s="128"/>
      <c r="BQ89" s="128"/>
      <c r="BR89" s="128"/>
      <c r="BS89" s="128"/>
      <c r="BT89" s="128"/>
      <c r="BU89" s="423"/>
      <c r="BV89" s="423"/>
    </row>
    <row r="90" spans="1:74" s="121" customFormat="1" x14ac:dyDescent="0.25">
      <c r="A90" s="447"/>
      <c r="B90" s="121" t="s">
        <v>31</v>
      </c>
      <c r="C90" s="303">
        <f t="shared" ref="C90:M90" si="163">C91+C92+C93</f>
        <v>0</v>
      </c>
      <c r="D90" s="303">
        <f t="shared" si="163"/>
        <v>0</v>
      </c>
      <c r="E90" s="303">
        <f t="shared" si="163"/>
        <v>0</v>
      </c>
      <c r="F90" s="303">
        <f t="shared" si="163"/>
        <v>0</v>
      </c>
      <c r="G90" s="303">
        <f t="shared" si="163"/>
        <v>0</v>
      </c>
      <c r="H90" s="303">
        <f t="shared" si="163"/>
        <v>0</v>
      </c>
      <c r="I90" s="303">
        <f t="shared" si="163"/>
        <v>0</v>
      </c>
      <c r="J90" s="303">
        <f t="shared" si="163"/>
        <v>0</v>
      </c>
      <c r="K90" s="303">
        <f t="shared" si="163"/>
        <v>0</v>
      </c>
      <c r="L90" s="304">
        <f t="shared" si="163"/>
        <v>0</v>
      </c>
      <c r="M90" s="305">
        <f t="shared" si="163"/>
        <v>0</v>
      </c>
      <c r="N90" s="305">
        <f>N91+N92+N93</f>
        <v>30949.84</v>
      </c>
      <c r="O90" s="305">
        <f t="shared" ref="O90:BT90" si="164">O91+O92+O93</f>
        <v>0</v>
      </c>
      <c r="P90" s="305">
        <f t="shared" si="164"/>
        <v>33140.79</v>
      </c>
      <c r="Q90" s="305">
        <f t="shared" si="164"/>
        <v>0</v>
      </c>
      <c r="R90" s="305">
        <f t="shared" si="164"/>
        <v>0</v>
      </c>
      <c r="S90" s="305">
        <f t="shared" si="164"/>
        <v>0</v>
      </c>
      <c r="T90" s="305">
        <f t="shared" si="164"/>
        <v>0</v>
      </c>
      <c r="U90" s="305">
        <f t="shared" si="164"/>
        <v>0</v>
      </c>
      <c r="V90" s="305">
        <f t="shared" si="164"/>
        <v>0</v>
      </c>
      <c r="W90" s="305">
        <f t="shared" si="164"/>
        <v>0</v>
      </c>
      <c r="X90" s="305">
        <f t="shared" si="164"/>
        <v>0</v>
      </c>
      <c r="Y90" s="305">
        <f t="shared" si="164"/>
        <v>0</v>
      </c>
      <c r="Z90" s="305">
        <f t="shared" si="164"/>
        <v>0</v>
      </c>
      <c r="AA90" s="305">
        <f t="shared" si="164"/>
        <v>0</v>
      </c>
      <c r="AB90" s="305">
        <f t="shared" si="164"/>
        <v>0</v>
      </c>
      <c r="AC90" s="305">
        <f t="shared" si="164"/>
        <v>0</v>
      </c>
      <c r="AD90" s="305">
        <f t="shared" si="164"/>
        <v>0</v>
      </c>
      <c r="AE90" s="305">
        <f t="shared" si="164"/>
        <v>0</v>
      </c>
      <c r="AF90" s="305">
        <f t="shared" si="164"/>
        <v>0</v>
      </c>
      <c r="AG90" s="305">
        <f t="shared" si="164"/>
        <v>0</v>
      </c>
      <c r="AH90" s="305">
        <f t="shared" si="164"/>
        <v>0</v>
      </c>
      <c r="AI90" s="305">
        <f t="shared" si="164"/>
        <v>0</v>
      </c>
      <c r="AJ90" s="305">
        <f t="shared" si="164"/>
        <v>0</v>
      </c>
      <c r="AK90" s="305">
        <f t="shared" si="164"/>
        <v>0</v>
      </c>
      <c r="AL90" s="305">
        <f t="shared" si="164"/>
        <v>0</v>
      </c>
      <c r="AM90" s="305">
        <f t="shared" si="164"/>
        <v>0</v>
      </c>
      <c r="AN90" s="305">
        <f t="shared" si="164"/>
        <v>0</v>
      </c>
      <c r="AO90" s="305">
        <f t="shared" si="164"/>
        <v>0</v>
      </c>
      <c r="AP90" s="305">
        <f t="shared" si="164"/>
        <v>0</v>
      </c>
      <c r="AQ90" s="305">
        <f t="shared" si="164"/>
        <v>0</v>
      </c>
      <c r="AR90" s="305">
        <f t="shared" si="164"/>
        <v>0</v>
      </c>
      <c r="AS90" s="305">
        <f t="shared" si="164"/>
        <v>11726.316667814544</v>
      </c>
      <c r="AT90" s="305">
        <f t="shared" si="164"/>
        <v>20231.437877898577</v>
      </c>
      <c r="AU90" s="305">
        <f t="shared" si="164"/>
        <v>21098.522613752324</v>
      </c>
      <c r="AV90" s="305">
        <f t="shared" si="164"/>
        <v>21060.453765747006</v>
      </c>
      <c r="AW90" s="305">
        <f t="shared" si="164"/>
        <v>21060.453765747006</v>
      </c>
      <c r="AX90" s="305">
        <f t="shared" si="164"/>
        <v>21965.607349606071</v>
      </c>
      <c r="AY90" s="305">
        <f t="shared" si="164"/>
        <v>21965.607349606071</v>
      </c>
      <c r="AZ90" s="305">
        <f t="shared" si="164"/>
        <v>21965.607349606071</v>
      </c>
      <c r="BA90" s="305">
        <f t="shared" si="164"/>
        <v>21965.607349606071</v>
      </c>
      <c r="BB90" s="305">
        <f t="shared" si="164"/>
        <v>21965.607349606071</v>
      </c>
      <c r="BC90" s="305">
        <f t="shared" si="164"/>
        <v>21965.607349606071</v>
      </c>
      <c r="BD90" s="305">
        <f t="shared" si="164"/>
        <v>21965.607349606071</v>
      </c>
      <c r="BE90" s="305">
        <f t="shared" si="164"/>
        <v>21965.607349606071</v>
      </c>
      <c r="BF90" s="305">
        <f t="shared" si="164"/>
        <v>21965.607349606071</v>
      </c>
      <c r="BG90" s="305">
        <f t="shared" si="164"/>
        <v>21965.607349606071</v>
      </c>
      <c r="BH90" s="305">
        <f t="shared" si="164"/>
        <v>21965.607349606071</v>
      </c>
      <c r="BI90" s="305">
        <f t="shared" si="164"/>
        <v>21965.607349606071</v>
      </c>
      <c r="BJ90" s="305">
        <f t="shared" si="164"/>
        <v>21965.607349606071</v>
      </c>
      <c r="BK90" s="305">
        <f t="shared" si="164"/>
        <v>21965.607349606071</v>
      </c>
      <c r="BL90" s="305">
        <f t="shared" si="164"/>
        <v>21965.607349606071</v>
      </c>
      <c r="BM90" s="305">
        <f t="shared" si="164"/>
        <v>21965.607349606071</v>
      </c>
      <c r="BN90" s="305">
        <f t="shared" si="164"/>
        <v>21965.607349606071</v>
      </c>
      <c r="BO90" s="305">
        <f t="shared" si="164"/>
        <v>13895.829409012722</v>
      </c>
      <c r="BP90" s="305">
        <f t="shared" si="164"/>
        <v>13895.829409012722</v>
      </c>
      <c r="BQ90" s="305">
        <f t="shared" si="164"/>
        <v>13895.829409012722</v>
      </c>
      <c r="BR90" s="305">
        <f t="shared" si="164"/>
        <v>13895.829409012722</v>
      </c>
      <c r="BS90" s="305">
        <f t="shared" si="164"/>
        <v>13895.829409012722</v>
      </c>
      <c r="BT90" s="305">
        <f t="shared" si="164"/>
        <v>13895.829409012722</v>
      </c>
    </row>
    <row r="91" spans="1:74" x14ac:dyDescent="0.25">
      <c r="A91" s="447"/>
      <c r="B91" s="423" t="s">
        <v>64</v>
      </c>
      <c r="C91" s="109"/>
      <c r="D91" s="109"/>
      <c r="E91" s="109"/>
      <c r="F91" s="109"/>
      <c r="G91" s="109"/>
      <c r="H91" s="109"/>
      <c r="I91" s="109"/>
      <c r="J91" s="109"/>
      <c r="K91" s="109"/>
      <c r="L91" s="281"/>
      <c r="M91" s="127"/>
      <c r="N91" s="192">
        <f>'Calculs source'!G175</f>
        <v>30949.84</v>
      </c>
      <c r="O91" s="131"/>
      <c r="P91" s="131">
        <f>'Calculs source'!G193</f>
        <v>33140.79</v>
      </c>
      <c r="Q91" s="128"/>
      <c r="R91" s="128"/>
      <c r="S91" s="128"/>
      <c r="T91" s="128"/>
      <c r="U91" s="128"/>
      <c r="V91" s="128"/>
      <c r="W91" s="128"/>
      <c r="X91" s="128"/>
      <c r="Y91" s="128"/>
      <c r="Z91" s="128"/>
      <c r="AA91" s="128"/>
      <c r="AB91" s="128"/>
      <c r="AC91" s="128"/>
      <c r="AD91" s="128"/>
      <c r="AE91" s="128"/>
      <c r="AF91" s="128"/>
      <c r="AG91" s="128"/>
      <c r="AH91" s="128"/>
      <c r="AI91" s="128"/>
      <c r="AJ91" s="128"/>
      <c r="AK91" s="128"/>
      <c r="AL91" s="128"/>
      <c r="AM91" s="128"/>
      <c r="AN91" s="128"/>
      <c r="AO91" s="128"/>
      <c r="AP91" s="128"/>
      <c r="AQ91" s="128"/>
      <c r="AR91" s="128"/>
      <c r="AS91" s="189"/>
      <c r="AT91" s="128"/>
      <c r="AU91" s="128"/>
      <c r="AV91" s="128"/>
      <c r="AW91" s="128"/>
      <c r="AX91" s="128"/>
      <c r="AY91" s="128"/>
      <c r="AZ91" s="128"/>
      <c r="BA91" s="128"/>
      <c r="BB91" s="128"/>
      <c r="BC91" s="128"/>
      <c r="BD91" s="128"/>
      <c r="BE91" s="128"/>
      <c r="BF91" s="128"/>
      <c r="BG91" s="128"/>
      <c r="BH91" s="128"/>
      <c r="BI91" s="128"/>
      <c r="BJ91" s="128"/>
      <c r="BK91" s="128"/>
      <c r="BL91" s="128"/>
      <c r="BM91" s="128"/>
      <c r="BN91" s="128"/>
      <c r="BO91" s="128"/>
      <c r="BP91" s="128"/>
      <c r="BQ91" s="128"/>
      <c r="BR91" s="128"/>
      <c r="BS91" s="128"/>
      <c r="BT91" s="128"/>
    </row>
    <row r="92" spans="1:74" x14ac:dyDescent="0.25">
      <c r="A92" s="447"/>
      <c r="B92" s="423" t="s">
        <v>33</v>
      </c>
      <c r="C92" s="109"/>
      <c r="D92" s="109"/>
      <c r="E92" s="109"/>
      <c r="F92" s="109"/>
      <c r="G92" s="109"/>
      <c r="H92" s="109"/>
      <c r="I92" s="109"/>
      <c r="J92" s="109"/>
      <c r="K92" s="109"/>
      <c r="L92" s="281"/>
      <c r="M92" s="127"/>
      <c r="N92" s="190"/>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310">
        <f>AS34+'Calculs source'!$X$39</f>
        <v>1010.0377011559202</v>
      </c>
      <c r="AT92" s="310">
        <f>AT34+'Calculs source'!$X$39</f>
        <v>1010.0377011559202</v>
      </c>
      <c r="AU92" s="132">
        <f>AU34+'Calculs source'!$X$40</f>
        <v>1877.122437009667</v>
      </c>
      <c r="AV92" s="132">
        <f>AV34+'Calculs source'!$G$40</f>
        <v>1839.0535890043498</v>
      </c>
      <c r="AW92" s="132">
        <f>AW34+'Calculs source'!$G$40</f>
        <v>1839.0535890043498</v>
      </c>
      <c r="AX92" s="127">
        <f>AX34*2</f>
        <v>2744.2071728634137</v>
      </c>
      <c r="AY92" s="127">
        <f t="shared" ref="AY92:BN92" si="165">AY34*2</f>
        <v>2744.2071728634137</v>
      </c>
      <c r="AZ92" s="127">
        <f t="shared" si="165"/>
        <v>2744.2071728634137</v>
      </c>
      <c r="BA92" s="127">
        <f t="shared" si="165"/>
        <v>2744.2071728634137</v>
      </c>
      <c r="BB92" s="127">
        <f t="shared" si="165"/>
        <v>2744.2071728634137</v>
      </c>
      <c r="BC92" s="127">
        <f t="shared" si="165"/>
        <v>2744.2071728634137</v>
      </c>
      <c r="BD92" s="127">
        <f t="shared" si="165"/>
        <v>2744.2071728634137</v>
      </c>
      <c r="BE92" s="127">
        <f t="shared" si="165"/>
        <v>2744.2071728634137</v>
      </c>
      <c r="BF92" s="127">
        <f t="shared" si="165"/>
        <v>2744.2071728634137</v>
      </c>
      <c r="BG92" s="127">
        <f t="shared" si="165"/>
        <v>2744.2071728634137</v>
      </c>
      <c r="BH92" s="127">
        <f t="shared" si="165"/>
        <v>2744.2071728634137</v>
      </c>
      <c r="BI92" s="127">
        <f t="shared" si="165"/>
        <v>2744.2071728634137</v>
      </c>
      <c r="BJ92" s="127">
        <f t="shared" si="165"/>
        <v>2744.2071728634137</v>
      </c>
      <c r="BK92" s="127">
        <f t="shared" si="165"/>
        <v>2744.2071728634137</v>
      </c>
      <c r="BL92" s="127">
        <f t="shared" si="165"/>
        <v>2744.2071728634137</v>
      </c>
      <c r="BM92" s="127">
        <f t="shared" si="165"/>
        <v>2744.2071728634137</v>
      </c>
      <c r="BN92" s="127">
        <f t="shared" si="165"/>
        <v>2744.2071728634137</v>
      </c>
      <c r="BO92" s="127">
        <f>BO34</f>
        <v>1372.1035864317068</v>
      </c>
      <c r="BP92" s="127">
        <f t="shared" ref="BP92:BT92" si="166">BP34</f>
        <v>1372.1035864317068</v>
      </c>
      <c r="BQ92" s="127">
        <f t="shared" si="166"/>
        <v>1372.1035864317068</v>
      </c>
      <c r="BR92" s="127">
        <f t="shared" si="166"/>
        <v>1372.1035864317068</v>
      </c>
      <c r="BS92" s="127">
        <f t="shared" si="166"/>
        <v>1372.1035864317068</v>
      </c>
      <c r="BT92" s="127">
        <f t="shared" si="166"/>
        <v>1372.1035864317068</v>
      </c>
    </row>
    <row r="93" spans="1:74" x14ac:dyDescent="0.25">
      <c r="A93" s="447"/>
      <c r="B93" s="423" t="s">
        <v>32</v>
      </c>
      <c r="C93" s="109">
        <f t="shared" ref="C93:AH93" si="167">C129+C33</f>
        <v>0</v>
      </c>
      <c r="D93" s="109">
        <f t="shared" si="167"/>
        <v>0</v>
      </c>
      <c r="E93" s="109">
        <f t="shared" si="167"/>
        <v>0</v>
      </c>
      <c r="F93" s="109">
        <f t="shared" si="167"/>
        <v>0</v>
      </c>
      <c r="G93" s="109">
        <f t="shared" si="167"/>
        <v>0</v>
      </c>
      <c r="H93" s="109">
        <f t="shared" si="167"/>
        <v>0</v>
      </c>
      <c r="I93" s="109">
        <f t="shared" si="167"/>
        <v>0</v>
      </c>
      <c r="J93" s="109">
        <f t="shared" si="167"/>
        <v>0</v>
      </c>
      <c r="K93" s="109">
        <f t="shared" si="167"/>
        <v>0</v>
      </c>
      <c r="L93" s="281">
        <f t="shared" si="167"/>
        <v>0</v>
      </c>
      <c r="M93" s="127">
        <f t="shared" si="167"/>
        <v>0</v>
      </c>
      <c r="N93" s="190">
        <f t="shared" si="167"/>
        <v>0</v>
      </c>
      <c r="O93" s="127">
        <f t="shared" si="167"/>
        <v>0</v>
      </c>
      <c r="P93" s="127">
        <f t="shared" si="167"/>
        <v>0</v>
      </c>
      <c r="Q93" s="127">
        <f t="shared" si="167"/>
        <v>0</v>
      </c>
      <c r="R93" s="127">
        <f t="shared" si="167"/>
        <v>0</v>
      </c>
      <c r="S93" s="127">
        <f t="shared" si="167"/>
        <v>0</v>
      </c>
      <c r="T93" s="127">
        <f t="shared" si="167"/>
        <v>0</v>
      </c>
      <c r="U93" s="127">
        <f t="shared" si="167"/>
        <v>0</v>
      </c>
      <c r="V93" s="127">
        <f t="shared" si="167"/>
        <v>0</v>
      </c>
      <c r="W93" s="127">
        <f t="shared" si="167"/>
        <v>0</v>
      </c>
      <c r="X93" s="127">
        <f t="shared" si="167"/>
        <v>0</v>
      </c>
      <c r="Y93" s="127">
        <f t="shared" si="167"/>
        <v>0</v>
      </c>
      <c r="Z93" s="127">
        <f t="shared" si="167"/>
        <v>0</v>
      </c>
      <c r="AA93" s="127">
        <f t="shared" si="167"/>
        <v>0</v>
      </c>
      <c r="AB93" s="127">
        <f t="shared" si="167"/>
        <v>0</v>
      </c>
      <c r="AC93" s="127">
        <f t="shared" si="167"/>
        <v>0</v>
      </c>
      <c r="AD93" s="127">
        <f t="shared" si="167"/>
        <v>0</v>
      </c>
      <c r="AE93" s="127">
        <f t="shared" si="167"/>
        <v>0</v>
      </c>
      <c r="AF93" s="127">
        <f t="shared" si="167"/>
        <v>0</v>
      </c>
      <c r="AG93" s="127">
        <f t="shared" si="167"/>
        <v>0</v>
      </c>
      <c r="AH93" s="127">
        <f t="shared" si="167"/>
        <v>0</v>
      </c>
      <c r="AI93" s="127">
        <f t="shared" ref="AI93:AR93" si="168">AI129+AI33</f>
        <v>0</v>
      </c>
      <c r="AJ93" s="127">
        <f t="shared" si="168"/>
        <v>0</v>
      </c>
      <c r="AK93" s="127">
        <f t="shared" si="168"/>
        <v>0</v>
      </c>
      <c r="AL93" s="127">
        <f t="shared" si="168"/>
        <v>0</v>
      </c>
      <c r="AM93" s="127">
        <f t="shared" si="168"/>
        <v>0</v>
      </c>
      <c r="AN93" s="127">
        <f t="shared" si="168"/>
        <v>0</v>
      </c>
      <c r="AO93" s="127">
        <f t="shared" si="168"/>
        <v>0</v>
      </c>
      <c r="AP93" s="127">
        <f t="shared" si="168"/>
        <v>0</v>
      </c>
      <c r="AQ93" s="127">
        <f t="shared" si="168"/>
        <v>0</v>
      </c>
      <c r="AR93" s="127">
        <f t="shared" si="168"/>
        <v>0</v>
      </c>
      <c r="AS93" s="190">
        <f>AS129</f>
        <v>10716.278966658625</v>
      </c>
      <c r="AT93" s="127">
        <f>AT129+'Calculs source'!$G$123</f>
        <v>19221.400176742656</v>
      </c>
      <c r="AU93" s="127">
        <f>AU129+'Calculs source'!$G$123</f>
        <v>19221.400176742656</v>
      </c>
      <c r="AV93" s="127">
        <f>AV129+'Calculs source'!$G$123</f>
        <v>19221.400176742656</v>
      </c>
      <c r="AW93" s="127">
        <f>AW129+'Calculs source'!$G$123</f>
        <v>19221.400176742656</v>
      </c>
      <c r="AX93" s="127">
        <f>AX129+'Calculs source'!$G$123</f>
        <v>19221.400176742656</v>
      </c>
      <c r="AY93" s="127">
        <f>AY129+'Calculs source'!$G$123</f>
        <v>19221.400176742656</v>
      </c>
      <c r="AZ93" s="127">
        <f>AZ129+'Calculs source'!$G$123</f>
        <v>19221.400176742656</v>
      </c>
      <c r="BA93" s="127">
        <f>BA129+'Calculs source'!$G$123</f>
        <v>19221.400176742656</v>
      </c>
      <c r="BB93" s="127">
        <f>BB129+'Calculs source'!$G$123</f>
        <v>19221.400176742656</v>
      </c>
      <c r="BC93" s="127">
        <f>BC129+'Calculs source'!$G$123</f>
        <v>19221.400176742656</v>
      </c>
      <c r="BD93" s="127">
        <f>BD129+'Calculs source'!$G$123</f>
        <v>19221.400176742656</v>
      </c>
      <c r="BE93" s="127">
        <f>BE129+'Calculs source'!$G$123</f>
        <v>19221.400176742656</v>
      </c>
      <c r="BF93" s="127">
        <f>BF129+'Calculs source'!$G$123</f>
        <v>19221.400176742656</v>
      </c>
      <c r="BG93" s="127">
        <f>BG129+'Calculs source'!$G$123</f>
        <v>19221.400176742656</v>
      </c>
      <c r="BH93" s="127">
        <f>BH129+'Calculs source'!$G$123</f>
        <v>19221.400176742656</v>
      </c>
      <c r="BI93" s="127">
        <f>BI129+'Calculs source'!$G$123</f>
        <v>19221.400176742656</v>
      </c>
      <c r="BJ93" s="127">
        <f>BJ129+'Calculs source'!$G$123</f>
        <v>19221.400176742656</v>
      </c>
      <c r="BK93" s="127">
        <f>BK129+'Calculs source'!$G$123</f>
        <v>19221.400176742656</v>
      </c>
      <c r="BL93" s="127">
        <f>BL129+'Calculs source'!$G$123</f>
        <v>19221.400176742656</v>
      </c>
      <c r="BM93" s="127">
        <f>BM129+'Calculs source'!$G$123</f>
        <v>19221.400176742656</v>
      </c>
      <c r="BN93" s="127">
        <f>BN129+'Calculs source'!$G$123</f>
        <v>19221.400176742656</v>
      </c>
      <c r="BO93" s="190">
        <f>'Calculs source'!E158</f>
        <v>12523.725822581015</v>
      </c>
      <c r="BP93" s="190">
        <f>BO93</f>
        <v>12523.725822581015</v>
      </c>
      <c r="BQ93" s="190">
        <f>BP93</f>
        <v>12523.725822581015</v>
      </c>
      <c r="BR93" s="190">
        <f>BQ93</f>
        <v>12523.725822581015</v>
      </c>
      <c r="BS93" s="190">
        <f>BR93</f>
        <v>12523.725822581015</v>
      </c>
      <c r="BT93" s="190">
        <f>BS93</f>
        <v>12523.725822581015</v>
      </c>
    </row>
    <row r="94" spans="1:74" ht="19.5" customHeight="1" x14ac:dyDescent="0.25">
      <c r="A94" s="448"/>
      <c r="B94" s="425" t="s">
        <v>34</v>
      </c>
      <c r="C94" s="109">
        <f>C35</f>
        <v>14477.271173536106</v>
      </c>
      <c r="D94" s="109">
        <f t="shared" ref="D94:K94" si="169">D35</f>
        <v>14477.271173536106</v>
      </c>
      <c r="E94" s="109">
        <f t="shared" si="169"/>
        <v>14753.555242799746</v>
      </c>
      <c r="F94" s="109">
        <f t="shared" si="169"/>
        <v>3358.5552427997472</v>
      </c>
      <c r="G94" s="109">
        <f t="shared" si="169"/>
        <v>3358.5552427997472</v>
      </c>
      <c r="H94" s="109">
        <f t="shared" si="169"/>
        <v>3339.5062747997472</v>
      </c>
      <c r="I94" s="109">
        <f t="shared" si="169"/>
        <v>3270.7133647997471</v>
      </c>
      <c r="J94" s="109">
        <f t="shared" si="169"/>
        <v>3916.9642450131228</v>
      </c>
      <c r="K94" s="109">
        <f t="shared" si="169"/>
        <v>3781.2167950131225</v>
      </c>
      <c r="L94" s="281">
        <f>L90+L84+L75</f>
        <v>4282.3415556269465</v>
      </c>
      <c r="M94" s="127">
        <f t="shared" ref="M94:BT94" si="170">M90+M84+M75</f>
        <v>4282.3415556269465</v>
      </c>
      <c r="N94" s="190">
        <f t="shared" si="170"/>
        <v>49924.773546704993</v>
      </c>
      <c r="O94" s="127">
        <f t="shared" si="170"/>
        <v>20421.731761861854</v>
      </c>
      <c r="P94" s="127">
        <f>P90+P84+P75</f>
        <v>68801.996342927625</v>
      </c>
      <c r="Q94" s="127">
        <f t="shared" si="170"/>
        <v>37118.695829742821</v>
      </c>
      <c r="R94" s="127">
        <f t="shared" si="170"/>
        <v>37124.958669742824</v>
      </c>
      <c r="S94" s="127">
        <f t="shared" si="170"/>
        <v>33007.455156369848</v>
      </c>
      <c r="T94" s="127">
        <f t="shared" si="170"/>
        <v>31653.104310328687</v>
      </c>
      <c r="U94" s="127">
        <f t="shared" si="170"/>
        <v>27552.471524597946</v>
      </c>
      <c r="V94" s="127">
        <f t="shared" si="170"/>
        <v>26666.432382060513</v>
      </c>
      <c r="W94" s="127">
        <f t="shared" si="170"/>
        <v>26634.612465281458</v>
      </c>
      <c r="X94" s="127">
        <f t="shared" si="170"/>
        <v>26374.301626660512</v>
      </c>
      <c r="Y94" s="127">
        <f t="shared" si="170"/>
        <v>26034.109457909039</v>
      </c>
      <c r="Z94" s="127">
        <f t="shared" si="170"/>
        <v>24784.515222064805</v>
      </c>
      <c r="AA94" s="127">
        <f t="shared" si="170"/>
        <v>25201.851548179828</v>
      </c>
      <c r="AB94" s="127">
        <f t="shared" si="170"/>
        <v>25761.40524588597</v>
      </c>
      <c r="AC94" s="127">
        <f t="shared" si="170"/>
        <v>25903.482549501739</v>
      </c>
      <c r="AD94" s="127">
        <f t="shared" si="170"/>
        <v>26137.692714883291</v>
      </c>
      <c r="AE94" s="127">
        <f t="shared" si="170"/>
        <v>32213.646210982461</v>
      </c>
      <c r="AF94" s="127">
        <f t="shared" si="170"/>
        <v>15904.854033802898</v>
      </c>
      <c r="AG94" s="127">
        <f t="shared" si="170"/>
        <v>21635.100023107709</v>
      </c>
      <c r="AH94" s="127">
        <f t="shared" si="170"/>
        <v>5358.0088495716036</v>
      </c>
      <c r="AI94" s="127">
        <f t="shared" si="170"/>
        <v>5737.6202303479504</v>
      </c>
      <c r="AJ94" s="127">
        <f t="shared" si="170"/>
        <v>5737.6202303479504</v>
      </c>
      <c r="AK94" s="127">
        <f t="shared" si="170"/>
        <v>6463.3094789950446</v>
      </c>
      <c r="AL94" s="127">
        <f t="shared" si="170"/>
        <v>6463.3094789950446</v>
      </c>
      <c r="AM94" s="127">
        <f t="shared" si="170"/>
        <v>6463.3094789950446</v>
      </c>
      <c r="AN94" s="127">
        <f t="shared" si="170"/>
        <v>7004.4409803116687</v>
      </c>
      <c r="AO94" s="127">
        <f t="shared" si="170"/>
        <v>7004.4409803116687</v>
      </c>
      <c r="AP94" s="127">
        <f t="shared" si="170"/>
        <v>8041.0501321007578</v>
      </c>
      <c r="AQ94" s="127">
        <f t="shared" si="170"/>
        <v>8041.0501321007578</v>
      </c>
      <c r="AR94" s="127">
        <f t="shared" si="170"/>
        <v>8041.0501321007578</v>
      </c>
      <c r="AS94" s="190">
        <f t="shared" si="170"/>
        <v>20649.250727541694</v>
      </c>
      <c r="AT94" s="127">
        <f t="shared" si="170"/>
        <v>29154.371937625725</v>
      </c>
      <c r="AU94" s="127">
        <f t="shared" si="170"/>
        <v>39067.539496836827</v>
      </c>
      <c r="AV94" s="127">
        <f t="shared" si="170"/>
        <v>39029.470648831513</v>
      </c>
      <c r="AW94" s="127">
        <f t="shared" si="170"/>
        <v>39029.470648831513</v>
      </c>
      <c r="AX94" s="127">
        <f t="shared" si="170"/>
        <v>48697.760471313966</v>
      </c>
      <c r="AY94" s="127">
        <f t="shared" si="170"/>
        <v>48697.760471313966</v>
      </c>
      <c r="AZ94" s="127">
        <f t="shared" si="170"/>
        <v>50880.801922303806</v>
      </c>
      <c r="BA94" s="127">
        <f t="shared" si="170"/>
        <v>50880.801922303806</v>
      </c>
      <c r="BB94" s="127">
        <f t="shared" si="170"/>
        <v>50880.801922303806</v>
      </c>
      <c r="BC94" s="127">
        <f t="shared" si="170"/>
        <v>52609.565537451628</v>
      </c>
      <c r="BD94" s="127">
        <f t="shared" si="170"/>
        <v>52609.565537451628</v>
      </c>
      <c r="BE94" s="127">
        <f t="shared" si="170"/>
        <v>56124.904778102587</v>
      </c>
      <c r="BF94" s="127">
        <f t="shared" si="170"/>
        <v>56124.904778102587</v>
      </c>
      <c r="BG94" s="127">
        <f t="shared" si="170"/>
        <v>56124.904778102587</v>
      </c>
      <c r="BH94" s="127">
        <f t="shared" si="170"/>
        <v>60364.032517293555</v>
      </c>
      <c r="BI94" s="127">
        <f t="shared" si="170"/>
        <v>60364.032517293555</v>
      </c>
      <c r="BJ94" s="127">
        <f t="shared" si="170"/>
        <v>65179.830921429209</v>
      </c>
      <c r="BK94" s="127">
        <f t="shared" si="170"/>
        <v>65179.830921429209</v>
      </c>
      <c r="BL94" s="127">
        <f t="shared" si="170"/>
        <v>65179.830921429209</v>
      </c>
      <c r="BM94" s="127">
        <f t="shared" si="170"/>
        <v>70833.260825434903</v>
      </c>
      <c r="BN94" s="127">
        <f t="shared" si="170"/>
        <v>70833.260825434903</v>
      </c>
      <c r="BO94" s="127">
        <f t="shared" si="170"/>
        <v>38559.249080415662</v>
      </c>
      <c r="BP94" s="127">
        <f t="shared" si="170"/>
        <v>38559.249080415662</v>
      </c>
      <c r="BQ94" s="127">
        <f t="shared" si="170"/>
        <v>38559.249080415662</v>
      </c>
      <c r="BR94" s="127">
        <f t="shared" si="170"/>
        <v>49920.268267441912</v>
      </c>
      <c r="BS94" s="127">
        <f t="shared" si="170"/>
        <v>49920.268267441912</v>
      </c>
      <c r="BT94" s="127">
        <f t="shared" si="170"/>
        <v>49920.268267441912</v>
      </c>
    </row>
    <row r="95" spans="1:74" x14ac:dyDescent="0.25">
      <c r="A95" s="123"/>
      <c r="B95" s="438" t="s">
        <v>1107</v>
      </c>
      <c r="C95" s="109">
        <f>C36</f>
        <v>12932.364856786106</v>
      </c>
      <c r="D95" s="109">
        <f t="shared" ref="D95:K95" si="171">D36</f>
        <v>12932.364856786106</v>
      </c>
      <c r="E95" s="109">
        <f t="shared" si="171"/>
        <v>13208.648926049746</v>
      </c>
      <c r="F95" s="109">
        <f t="shared" si="171"/>
        <v>-5235.8383534990671</v>
      </c>
      <c r="G95" s="109">
        <f t="shared" si="171"/>
        <v>-5587.311701219066</v>
      </c>
      <c r="H95" s="109">
        <f t="shared" si="171"/>
        <v>-6075.7268692990656</v>
      </c>
      <c r="I95" s="109">
        <f t="shared" si="171"/>
        <v>-6572.025251499068</v>
      </c>
      <c r="J95" s="109">
        <f t="shared" si="171"/>
        <v>-6910.552152995002</v>
      </c>
      <c r="K95" s="109">
        <f t="shared" si="171"/>
        <v>-7509.5097819950024</v>
      </c>
      <c r="L95" s="281">
        <f>L94-L74</f>
        <v>-22524.177663272814</v>
      </c>
      <c r="M95" s="127">
        <f>M94-M74</f>
        <v>-22084.519075772812</v>
      </c>
      <c r="N95" s="127">
        <f t="shared" ref="N95:BT95" si="172">N94-N74</f>
        <v>29458.433094131608</v>
      </c>
      <c r="O95" s="127">
        <f t="shared" si="172"/>
        <v>-8741.1728503054692</v>
      </c>
      <c r="P95" s="127">
        <f t="shared" si="172"/>
        <v>47655.81692326031</v>
      </c>
      <c r="Q95" s="127">
        <f t="shared" si="172"/>
        <v>5432.3407591127907</v>
      </c>
      <c r="R95" s="127">
        <f t="shared" si="172"/>
        <v>4963.4261916127944</v>
      </c>
      <c r="S95" s="127">
        <f t="shared" si="172"/>
        <v>748.31306323982426</v>
      </c>
      <c r="T95" s="127">
        <f t="shared" si="172"/>
        <v>-1211.1803364146253</v>
      </c>
      <c r="U95" s="127">
        <f t="shared" si="172"/>
        <v>-4912.1297546453716</v>
      </c>
      <c r="V95" s="127">
        <f t="shared" si="172"/>
        <v>-6174.162077182802</v>
      </c>
      <c r="W95" s="127">
        <f t="shared" si="172"/>
        <v>-6332.1156764618536</v>
      </c>
      <c r="X95" s="127">
        <f t="shared" si="172"/>
        <v>-6968.4125975827992</v>
      </c>
      <c r="Y95" s="127">
        <f t="shared" si="172"/>
        <v>-7865.3320127900261</v>
      </c>
      <c r="Z95" s="127">
        <f t="shared" si="172"/>
        <v>-9830.9957161342572</v>
      </c>
      <c r="AA95" s="127">
        <f t="shared" si="172"/>
        <v>-9413.6593900192347</v>
      </c>
      <c r="AB95" s="127">
        <f t="shared" si="172"/>
        <v>-8854.1056923130927</v>
      </c>
      <c r="AC95" s="127">
        <f t="shared" si="172"/>
        <v>-8712.028388697323</v>
      </c>
      <c r="AD95" s="127">
        <f t="shared" si="172"/>
        <v>-8644.009090541258</v>
      </c>
      <c r="AE95" s="127">
        <f t="shared" si="172"/>
        <v>-1626.9130944420867</v>
      </c>
      <c r="AF95" s="127">
        <f t="shared" si="172"/>
        <v>-18603.418271621653</v>
      </c>
      <c r="AG95" s="127">
        <f t="shared" si="172"/>
        <v>-11932.02978231684</v>
      </c>
      <c r="AH95" s="127">
        <f t="shared" si="172"/>
        <v>-28781.933027390238</v>
      </c>
      <c r="AI95" s="127">
        <f t="shared" si="172"/>
        <v>-28826.408959181834</v>
      </c>
      <c r="AJ95" s="127">
        <f t="shared" si="172"/>
        <v>-28826.408959181834</v>
      </c>
      <c r="AK95" s="127">
        <f t="shared" si="172"/>
        <v>-28002.228690856555</v>
      </c>
      <c r="AL95" s="127">
        <f t="shared" si="172"/>
        <v>-28002.228690856555</v>
      </c>
      <c r="AM95" s="127">
        <f t="shared" si="172"/>
        <v>-28002.228690856555</v>
      </c>
      <c r="AN95" s="127">
        <f t="shared" si="172"/>
        <v>-27455.801399150714</v>
      </c>
      <c r="AO95" s="127">
        <f t="shared" si="172"/>
        <v>-27455.801399150714</v>
      </c>
      <c r="AP95" s="127">
        <f t="shared" si="172"/>
        <v>-26419.192247361625</v>
      </c>
      <c r="AQ95" s="127">
        <f t="shared" si="172"/>
        <v>-26419.192247361625</v>
      </c>
      <c r="AR95" s="127">
        <f t="shared" si="172"/>
        <v>-26419.192247361625</v>
      </c>
      <c r="AS95" s="127">
        <f t="shared" si="172"/>
        <v>6625.4257030510435</v>
      </c>
      <c r="AT95" s="127">
        <f t="shared" si="172"/>
        <v>12354.835908135075</v>
      </c>
      <c r="AU95" s="127">
        <f t="shared" si="172"/>
        <v>20863.878704801602</v>
      </c>
      <c r="AV95" s="127">
        <f t="shared" si="172"/>
        <v>20825.809856796288</v>
      </c>
      <c r="AW95" s="127">
        <f t="shared" si="172"/>
        <v>20825.809856796288</v>
      </c>
      <c r="AX95" s="127">
        <f t="shared" si="172"/>
        <v>34025.530342290811</v>
      </c>
      <c r="AY95" s="127">
        <f t="shared" si="172"/>
        <v>34025.530342290811</v>
      </c>
      <c r="AZ95" s="127">
        <f t="shared" si="172"/>
        <v>36208.571793280651</v>
      </c>
      <c r="BA95" s="127">
        <f t="shared" si="172"/>
        <v>36208.571793280651</v>
      </c>
      <c r="BB95" s="127">
        <f t="shared" si="172"/>
        <v>36208.571793280651</v>
      </c>
      <c r="BC95" s="127">
        <f t="shared" si="172"/>
        <v>37996.990546501969</v>
      </c>
      <c r="BD95" s="127">
        <f t="shared" si="172"/>
        <v>37996.990546501969</v>
      </c>
      <c r="BE95" s="127">
        <f t="shared" si="172"/>
        <v>41512.329787152921</v>
      </c>
      <c r="BF95" s="127">
        <f t="shared" si="172"/>
        <v>41512.329787152921</v>
      </c>
      <c r="BG95" s="127">
        <f t="shared" si="172"/>
        <v>41512.329787152921</v>
      </c>
      <c r="BH95" s="127">
        <f t="shared" si="172"/>
        <v>45829.232446978815</v>
      </c>
      <c r="BI95" s="127">
        <f t="shared" si="172"/>
        <v>45829.232446978815</v>
      </c>
      <c r="BJ95" s="127">
        <f t="shared" si="172"/>
        <v>50645.030851114469</v>
      </c>
      <c r="BK95" s="127">
        <f t="shared" si="172"/>
        <v>50645.030851114469</v>
      </c>
      <c r="BL95" s="127">
        <f t="shared" si="172"/>
        <v>50645.030851114469</v>
      </c>
      <c r="BM95" s="127">
        <f t="shared" si="172"/>
        <v>56394.35545831651</v>
      </c>
      <c r="BN95" s="127">
        <f t="shared" si="172"/>
        <v>56394.35545831651</v>
      </c>
      <c r="BO95" s="127">
        <f t="shared" si="172"/>
        <v>27711.86726876313</v>
      </c>
      <c r="BP95" s="127">
        <f t="shared" si="172"/>
        <v>27711.86726876313</v>
      </c>
      <c r="BQ95" s="127">
        <f t="shared" si="172"/>
        <v>27711.86726876313</v>
      </c>
      <c r="BR95" s="127">
        <f t="shared" si="172"/>
        <v>39171.241500364282</v>
      </c>
      <c r="BS95" s="127">
        <f t="shared" si="172"/>
        <v>39171.241500364282</v>
      </c>
      <c r="BT95" s="127">
        <f t="shared" si="172"/>
        <v>39171.241500364282</v>
      </c>
    </row>
    <row r="96" spans="1:74" x14ac:dyDescent="0.25">
      <c r="A96" s="123"/>
      <c r="B96" s="124" t="s">
        <v>65</v>
      </c>
      <c r="C96" s="109">
        <f t="shared" ref="C96:C101" si="173">C38</f>
        <v>7743.6465805934249</v>
      </c>
      <c r="D96" s="109">
        <f t="shared" ref="D96:K96" si="174">D38</f>
        <v>7743.6465805934249</v>
      </c>
      <c r="E96" s="109">
        <f t="shared" si="174"/>
        <v>7743.6465805934249</v>
      </c>
      <c r="F96" s="109">
        <f t="shared" si="174"/>
        <v>27461.092982239996</v>
      </c>
      <c r="G96" s="109">
        <f t="shared" si="174"/>
        <v>28113.673734519998</v>
      </c>
      <c r="H96" s="109">
        <f t="shared" si="174"/>
        <v>28927.350966440001</v>
      </c>
      <c r="I96" s="109">
        <f t="shared" si="174"/>
        <v>29560.506084240002</v>
      </c>
      <c r="J96" s="109">
        <f t="shared" si="174"/>
        <v>30274.22368848</v>
      </c>
      <c r="K96" s="109">
        <f t="shared" si="174"/>
        <v>30899.198559480003</v>
      </c>
      <c r="L96" s="281">
        <f t="shared" ref="L96:AU96" si="175">(L7+L9+L127+L128)-L74+L71+L75+L91+L93</f>
        <v>67170.661820000023</v>
      </c>
      <c r="M96" s="127">
        <f t="shared" si="175"/>
        <v>66336.389651830366</v>
      </c>
      <c r="N96" s="190">
        <f>(N55-N59-N60+N122-N126)-N74+N71+N75+N91+N93</f>
        <v>65688.346269615417</v>
      </c>
      <c r="O96" s="127">
        <f>(O7+O9+O127+O128)-O74+O71+O75+O91+O93-'B.P. Coût place garderie'!C61</f>
        <v>70214.206401830379</v>
      </c>
      <c r="P96" s="190">
        <f>(P55-P59-P60+P122-P126)-P74+P71+P75+P91+P93-'B.P. Coût place garderie'!D61</f>
        <v>69275.194153846183</v>
      </c>
      <c r="Q96" s="127">
        <f>(Q7+Q9+Q127+Q128)-Q74+Q71+Q75+Q91+Q93-'B.P. Coût place garderie'!E61</f>
        <v>75069.51769694376</v>
      </c>
      <c r="R96" s="127">
        <f>(R7+R9+R127+R128)-R74+R71+R75+R91+R93-'B.P. Coût place garderie'!F61</f>
        <v>75544.061129443784</v>
      </c>
      <c r="S96" s="127">
        <f>(S7+S9+S127+S128)-S74+S71+S75+S91+S93-'B.P. Coût place garderie'!G61</f>
        <v>77173.366354443773</v>
      </c>
      <c r="T96" s="127">
        <f>(T7+T9+T127+T128)-T74+T71+T75+T91+T93-'B.P. Coût place garderie'!H61</f>
        <v>76718.305761943746</v>
      </c>
      <c r="U96" s="127">
        <f>(U7+U9+U127+U128)-U74+U71+U75+U91+U93-'B.P. Coût place garderie'!I61</f>
        <v>79360.903969443738</v>
      </c>
      <c r="V96" s="127">
        <f>(V7+V9+V127+V128)-V74+V71+V75+V91+V93-'B.P. Coût place garderie'!J61</f>
        <v>78871.695629443726</v>
      </c>
      <c r="W96" s="127">
        <f>(W7+W9+W127+W128)-W74+W71+W75+W91+W93-'B.P. Coût place garderie'!K61</f>
        <v>79042.237869117555</v>
      </c>
      <c r="X96" s="127">
        <f>(X7+X9+X127+X128)-X74+X71+X75+X91+X93-'B.P. Coût place garderie'!L61</f>
        <v>79568.03662661757</v>
      </c>
      <c r="Y96" s="127">
        <f>(Y7+Y9+Y127+Y128)-Y74+Y71+Y75+Y91+Y93-'B.P. Coût place garderie'!M61</f>
        <v>80094.818286617563</v>
      </c>
      <c r="Z96" s="127">
        <f>(Z7+Z9+Z127+Z128)-Z74+Z71+Z75+Z91+Z93</f>
        <v>83022.79493911755</v>
      </c>
      <c r="AA96" s="127">
        <f t="shared" si="175"/>
        <v>83022.79493911755</v>
      </c>
      <c r="AB96" s="127">
        <f t="shared" si="175"/>
        <v>83022.79493911755</v>
      </c>
      <c r="AC96" s="127">
        <f t="shared" si="175"/>
        <v>83022.79493911755</v>
      </c>
      <c r="AD96" s="127">
        <f t="shared" si="175"/>
        <v>83022.79493911755</v>
      </c>
      <c r="AE96" s="127">
        <f t="shared" si="175"/>
        <v>83863.937439117537</v>
      </c>
      <c r="AF96" s="127">
        <f t="shared" si="175"/>
        <v>80077.053930783208</v>
      </c>
      <c r="AG96" s="127">
        <f t="shared" si="175"/>
        <v>80918.196430783195</v>
      </c>
      <c r="AH96" s="127">
        <f t="shared" si="175"/>
        <v>77879.663430783214</v>
      </c>
      <c r="AI96" s="127">
        <f t="shared" si="175"/>
        <v>77606.233930783215</v>
      </c>
      <c r="AJ96" s="127">
        <f t="shared" si="175"/>
        <v>77606.233930783215</v>
      </c>
      <c r="AK96" s="127">
        <f t="shared" si="175"/>
        <v>77332.804430783202</v>
      </c>
      <c r="AL96" s="127">
        <f t="shared" si="175"/>
        <v>77332.804430783202</v>
      </c>
      <c r="AM96" s="127">
        <f t="shared" si="175"/>
        <v>77332.804430783202</v>
      </c>
      <c r="AN96" s="127">
        <f t="shared" si="175"/>
        <v>77332.804430783202</v>
      </c>
      <c r="AO96" s="127">
        <f t="shared" si="175"/>
        <v>77332.804430783202</v>
      </c>
      <c r="AP96" s="127">
        <f t="shared" si="175"/>
        <v>77332.804430783202</v>
      </c>
      <c r="AQ96" s="127">
        <f t="shared" si="175"/>
        <v>77332.804430783202</v>
      </c>
      <c r="AR96" s="127">
        <f t="shared" si="175"/>
        <v>77332.804430783202</v>
      </c>
      <c r="AS96" s="190">
        <f t="shared" si="175"/>
        <v>50719.726099158623</v>
      </c>
      <c r="AT96" s="127">
        <f t="shared" si="175"/>
        <v>56449.136304242653</v>
      </c>
      <c r="AU96" s="127">
        <f t="shared" si="175"/>
        <v>62624.744746742654</v>
      </c>
      <c r="AV96" s="127">
        <f t="shared" ref="AV96:BF96" si="176">(AV7+AV9+AV127+AV128)-AV74+AV71+AV75+AV91+AV93</f>
        <v>62624.744746742654</v>
      </c>
      <c r="AW96" s="127">
        <f t="shared" si="176"/>
        <v>62624.744746742654</v>
      </c>
      <c r="AX96" s="127">
        <f t="shared" si="176"/>
        <v>60260.015054242656</v>
      </c>
      <c r="AY96" s="127">
        <f t="shared" si="176"/>
        <v>60260.015054242656</v>
      </c>
      <c r="AZ96" s="127">
        <f t="shared" si="176"/>
        <v>60260.015054242656</v>
      </c>
      <c r="BA96" s="127">
        <f t="shared" si="176"/>
        <v>60260.015054242656</v>
      </c>
      <c r="BB96" s="127">
        <f t="shared" si="176"/>
        <v>60260.015054242656</v>
      </c>
      <c r="BC96" s="127">
        <f t="shared" si="176"/>
        <v>60260.015054242656</v>
      </c>
      <c r="BD96" s="127">
        <f t="shared" si="176"/>
        <v>60260.015054242656</v>
      </c>
      <c r="BE96" s="127">
        <f t="shared" si="176"/>
        <v>60260.015054242656</v>
      </c>
      <c r="BF96" s="127">
        <f t="shared" si="176"/>
        <v>60260.015054242656</v>
      </c>
      <c r="BG96" s="127">
        <f>(BG7+BG9+BG127+BG128)-BG74+BG71+BG75+BG91+BG93</f>
        <v>60260.015054242656</v>
      </c>
      <c r="BH96" s="127">
        <f>(BH7+BH9+BH127+BH128)-BH74+BH71+BH75+BH91+BH93-'Crédit maintien à domicile'!$C$18</f>
        <v>57619.086003700992</v>
      </c>
      <c r="BI96" s="127">
        <f>(BI7+BI9+BI127+BI128)-BI74+BI71+BI75+BI91+BI93-'Crédit maintien à domicile'!$C$18</f>
        <v>57619.086003700992</v>
      </c>
      <c r="BJ96" s="127">
        <f>(BJ7+BJ9+BJ127+BJ128)-BJ74+BJ71+BJ75+BJ91+BJ93-'Crédit maintien à domicile'!$C$18</f>
        <v>57619.086003700992</v>
      </c>
      <c r="BK96" s="127">
        <f>(BK7+BK9+BK127+BK128)-BK74+BK71+BK75+BK91+BK93-'Crédit maintien à domicile'!$C$18</f>
        <v>57619.086003700992</v>
      </c>
      <c r="BL96" s="127">
        <f>(BL7+BL9+BL127+BL128)-BL74+BL71+BL75+BL91+BL93-'Crédit maintien à domicile'!$C$18</f>
        <v>57619.086003700992</v>
      </c>
      <c r="BM96" s="127">
        <f>(BM7+BM9+BM127+BM128)-BM74+BM71+BM75+BM91+BM93-'Crédit maintien à domicile'!$C$18</f>
        <v>57619.086003700992</v>
      </c>
      <c r="BN96" s="127">
        <f>(BN7+BN9+BN127+BN128)-BN74+BN71+BN75+BN91+BN93-'Crédit maintien à domicile'!$C$18</f>
        <v>57592.386003700994</v>
      </c>
      <c r="BO96" s="127">
        <f>(BO7+BO9+BO127+BO128)-BO74+BO71+BO75+BO91+BO93-'Crédit maintien à domicile'!$C$14</f>
        <v>38158.117087310195</v>
      </c>
      <c r="BP96" s="127">
        <f>(BP7+BP9+BP127+BP128)-BP74+BP71+BP75+BP91+BP93-'Crédit maintien à domicile'!$C$14</f>
        <v>38158.117087310195</v>
      </c>
      <c r="BQ96" s="127">
        <f>(BQ7+BQ9+BQ127+BQ128)-BQ74+BQ71+BQ75+BQ91+BQ93-'Crédit maintien à domicile'!$C$14</f>
        <v>38158.117087310195</v>
      </c>
      <c r="BR96" s="127">
        <f>(BR7+BR9+BR127+BR128)-BR74+BR71+BR75+BR91+BR93-'Crédit maintien à domicile'!$C$14</f>
        <v>38158.11708731018</v>
      </c>
      <c r="BS96" s="127">
        <f>(BS7+BS9+BS127+BS128)-BS74+BS71+BS75+BS91+BS93-'Crédit maintien à domicile'!$C$14</f>
        <v>38158.11708731018</v>
      </c>
      <c r="BT96" s="127">
        <f>(BT7+BT9+BT127+BT128)-BT74+BT71+BT75+BT91+BT93-'Crédit maintien à domicile'!$C$14</f>
        <v>38158.11708731018</v>
      </c>
    </row>
    <row r="97" spans="1:72" x14ac:dyDescent="0.25">
      <c r="A97" s="447" t="s">
        <v>36</v>
      </c>
      <c r="B97" s="425" t="s">
        <v>66</v>
      </c>
      <c r="C97" s="109">
        <f t="shared" si="173"/>
        <v>9492.7293167499993</v>
      </c>
      <c r="D97" s="109">
        <f t="shared" ref="D97:K101" si="177">D39</f>
        <v>9492.7293167499993</v>
      </c>
      <c r="E97" s="109">
        <f t="shared" si="177"/>
        <v>9492.7293167499993</v>
      </c>
      <c r="F97" s="109">
        <f t="shared" si="177"/>
        <v>25937.03</v>
      </c>
      <c r="G97" s="109">
        <f t="shared" si="177"/>
        <v>25937.03</v>
      </c>
      <c r="H97" s="109">
        <f t="shared" si="177"/>
        <v>25937.03</v>
      </c>
      <c r="I97" s="109">
        <f t="shared" si="177"/>
        <v>25937.03</v>
      </c>
      <c r="J97" s="109">
        <f t="shared" si="177"/>
        <v>33215.623739988121</v>
      </c>
      <c r="K97" s="109">
        <f t="shared" si="177"/>
        <v>33215.623739988121</v>
      </c>
      <c r="L97" s="281">
        <f>'Taxes consommation- sommaire'!L70</f>
        <v>54947.86</v>
      </c>
      <c r="M97" s="127">
        <f>'Taxes consommation- sommaire'!M70</f>
        <v>54947.86</v>
      </c>
      <c r="N97" s="190">
        <f>'Taxes consommation- sommaire'!N70</f>
        <v>55003</v>
      </c>
      <c r="O97" s="127">
        <f>'Taxes consommation- sommaire'!O70</f>
        <v>67555.899999999994</v>
      </c>
      <c r="P97" s="127">
        <f>'Taxes consommation- sommaire'!P70</f>
        <v>67555.899999999994</v>
      </c>
      <c r="Q97" s="127">
        <f>'Taxes consommation- sommaire'!Q70</f>
        <v>70584.800000000003</v>
      </c>
      <c r="R97" s="131">
        <f>'Taxes consommation- sommaire'!R70</f>
        <v>70584.800000000003</v>
      </c>
      <c r="S97" s="131">
        <f>'Taxes consommation- sommaire'!S70</f>
        <v>70115.399999999994</v>
      </c>
      <c r="T97" s="131">
        <f>'Taxes consommation- sommaire'!T70</f>
        <v>72224.800000000017</v>
      </c>
      <c r="U97" s="131">
        <f>'Taxes consommation- sommaire'!U70</f>
        <v>71755.400000000009</v>
      </c>
      <c r="V97" s="131">
        <f>'Taxes consommation- sommaire'!V70</f>
        <v>71755.400000000009</v>
      </c>
      <c r="W97" s="131">
        <f>'Taxes consommation- sommaire'!W70</f>
        <v>71755.400000000009</v>
      </c>
      <c r="X97" s="131">
        <f>'Taxes consommation- sommaire'!X70</f>
        <v>71755.400000000009</v>
      </c>
      <c r="Y97" s="131">
        <f>'Taxes consommation- sommaire'!Y70</f>
        <v>73526.200370000006</v>
      </c>
      <c r="Z97" s="131">
        <f>'Taxes consommation- sommaire'!Z70</f>
        <v>70279.000370000009</v>
      </c>
      <c r="AA97" s="131">
        <f>'Taxes consommation- sommaire'!AA70</f>
        <v>70279.000370000009</v>
      </c>
      <c r="AB97" s="131">
        <f>'Taxes consommation- sommaire'!AB70</f>
        <v>70279.000370000009</v>
      </c>
      <c r="AC97" s="131">
        <f>'Taxes consommation- sommaire'!AC70</f>
        <v>70279.000370000009</v>
      </c>
      <c r="AD97" s="131">
        <f>'Taxes consommation- sommaire'!AD70</f>
        <v>71711.199999999997</v>
      </c>
      <c r="AE97" s="131">
        <f>'Taxes consommation- sommaire'!AE70</f>
        <v>72081.2</v>
      </c>
      <c r="AF97" s="131">
        <f>'Taxes consommation- sommaire'!AF70</f>
        <v>72081.2</v>
      </c>
      <c r="AG97" s="131">
        <f>'Taxes consommation- sommaire'!AG70</f>
        <v>72451.199999999997</v>
      </c>
      <c r="AH97" s="131">
        <f>'Taxes consommation- sommaire'!AH70</f>
        <v>71515.3</v>
      </c>
      <c r="AI97" s="131">
        <f>'Taxes consommation- sommaire'!AI70</f>
        <v>72238.89999999998</v>
      </c>
      <c r="AJ97" s="131">
        <f>'Taxes consommation- sommaire'!AJ70</f>
        <v>72238.89999999998</v>
      </c>
      <c r="AK97" s="131">
        <f>'Taxes consommation- sommaire'!AK70</f>
        <v>65143.639999999992</v>
      </c>
      <c r="AL97" s="131">
        <f>'Taxes consommation- sommaire'!AL70</f>
        <v>65143.639999999992</v>
      </c>
      <c r="AM97" s="131">
        <f>'Taxes consommation- sommaire'!AM70</f>
        <v>65143.639999999992</v>
      </c>
      <c r="AN97" s="131">
        <f>'Taxes consommation- sommaire'!AN70</f>
        <v>64910.97</v>
      </c>
      <c r="AO97" s="131">
        <f>'Taxes consommation- sommaire'!AO70</f>
        <v>64910.97</v>
      </c>
      <c r="AP97" s="131">
        <f>'Taxes consommation- sommaire'!AP70</f>
        <v>64910.97</v>
      </c>
      <c r="AQ97" s="131">
        <f>'Taxes consommation- sommaire'!AQ70</f>
        <v>64910.97</v>
      </c>
      <c r="AR97" s="131">
        <f>'Taxes consommation- sommaire'!AR70</f>
        <v>64910.97</v>
      </c>
      <c r="AS97" s="192">
        <f>'Taxes consommation- sommaire'!AS70</f>
        <v>49498.11</v>
      </c>
      <c r="AT97" s="131">
        <f>'Taxes consommation- sommaire'!AT70</f>
        <v>49498.11</v>
      </c>
      <c r="AU97" s="131">
        <f>'Taxes consommation- sommaire'!AU70</f>
        <v>54797.570000000007</v>
      </c>
      <c r="AV97" s="131">
        <f>'Taxes consommation- sommaire'!AV70</f>
        <v>54797.570000000007</v>
      </c>
      <c r="AW97" s="131">
        <f>'Taxes consommation- sommaire'!AW70</f>
        <v>54797.570000000007</v>
      </c>
      <c r="AX97" s="131">
        <f>'Taxes consommation- sommaire'!AX70</f>
        <v>54353.69999999999</v>
      </c>
      <c r="AY97" s="131">
        <f>'Taxes consommation- sommaire'!AY70</f>
        <v>54353.69999999999</v>
      </c>
      <c r="AZ97" s="131">
        <f>'Taxes consommation- sommaire'!AZ70</f>
        <v>54353.69999999999</v>
      </c>
      <c r="BA97" s="131">
        <f>'Taxes consommation- sommaire'!BA70</f>
        <v>54353.69999999999</v>
      </c>
      <c r="BB97" s="131">
        <f>'Taxes consommation- sommaire'!BB70</f>
        <v>54353.69999999999</v>
      </c>
      <c r="BC97" s="131">
        <f>'Taxes consommation- sommaire'!BC70</f>
        <v>53804.229999999996</v>
      </c>
      <c r="BD97" s="131">
        <f>'Taxes consommation- sommaire'!BD70</f>
        <v>53804.229999999996</v>
      </c>
      <c r="BE97" s="131">
        <f>'Taxes consommation- sommaire'!BE70</f>
        <v>53804.229999999996</v>
      </c>
      <c r="BF97" s="131">
        <f>'Taxes consommation- sommaire'!BF70</f>
        <v>53804.229999999996</v>
      </c>
      <c r="BG97" s="131">
        <f>'Taxes consommation- sommaire'!BG70</f>
        <v>53804.229999999996</v>
      </c>
      <c r="BH97" s="131">
        <f>'Taxes consommation- sommaire'!BH70</f>
        <v>53149.159999999996</v>
      </c>
      <c r="BI97" s="131">
        <f>'Taxes consommation- sommaire'!BI70</f>
        <v>53149.159999999996</v>
      </c>
      <c r="BJ97" s="131">
        <f>'Taxes consommation- sommaire'!BJ70</f>
        <v>53149.159999999996</v>
      </c>
      <c r="BK97" s="131">
        <f>'Taxes consommation- sommaire'!BK70</f>
        <v>53149.159999999996</v>
      </c>
      <c r="BL97" s="131">
        <f>'Taxes consommation- sommaire'!BL70</f>
        <v>53149.159999999996</v>
      </c>
      <c r="BM97" s="131">
        <f>'Taxes consommation- sommaire'!BM70</f>
        <v>52388.49</v>
      </c>
      <c r="BN97" s="131">
        <f>'Taxes consommation- sommaire'!BN70</f>
        <v>52388.49</v>
      </c>
      <c r="BO97" s="131">
        <f>'Taxes consommation- sommaire'!BO70</f>
        <v>33942.35</v>
      </c>
      <c r="BP97" s="131">
        <f>'Taxes consommation- sommaire'!BP70</f>
        <v>33942.35</v>
      </c>
      <c r="BQ97" s="131">
        <f>'Taxes consommation- sommaire'!BQ70</f>
        <v>33942.35</v>
      </c>
      <c r="BR97" s="131">
        <f>'Taxes consommation- sommaire'!BR70</f>
        <v>33675.199999999997</v>
      </c>
      <c r="BS97" s="131">
        <f>'Taxes consommation- sommaire'!BS70</f>
        <v>33675.199999999997</v>
      </c>
      <c r="BT97" s="131">
        <f>'Taxes consommation- sommaire'!BT70</f>
        <v>33675.199999999997</v>
      </c>
    </row>
    <row r="98" spans="1:72" x14ac:dyDescent="0.25">
      <c r="A98" s="447"/>
      <c r="B98" s="425" t="s">
        <v>67</v>
      </c>
      <c r="C98" s="109">
        <f t="shared" si="173"/>
        <v>1749.0827361565744</v>
      </c>
      <c r="D98" s="109">
        <f t="shared" si="177"/>
        <v>1749.0827361565744</v>
      </c>
      <c r="E98" s="109">
        <f t="shared" si="177"/>
        <v>1749.0827361565744</v>
      </c>
      <c r="F98" s="109">
        <f t="shared" si="177"/>
        <v>0</v>
      </c>
      <c r="G98" s="109">
        <f t="shared" si="177"/>
        <v>0</v>
      </c>
      <c r="H98" s="109">
        <f t="shared" si="177"/>
        <v>0</v>
      </c>
      <c r="I98" s="109">
        <f t="shared" si="177"/>
        <v>0</v>
      </c>
      <c r="J98" s="109">
        <f t="shared" si="177"/>
        <v>0</v>
      </c>
      <c r="K98" s="109">
        <f t="shared" si="177"/>
        <v>0</v>
      </c>
      <c r="L98" s="288"/>
      <c r="M98" s="127"/>
      <c r="N98" s="189"/>
      <c r="O98" s="128"/>
      <c r="P98" s="128"/>
      <c r="Q98" s="128"/>
      <c r="R98" s="128"/>
      <c r="S98" s="128"/>
      <c r="T98" s="128"/>
      <c r="U98" s="128"/>
      <c r="V98" s="128"/>
      <c r="W98" s="128"/>
      <c r="X98" s="128"/>
      <c r="Y98" s="128"/>
      <c r="Z98" s="128"/>
      <c r="AA98" s="128"/>
      <c r="AB98" s="128"/>
      <c r="AC98" s="128"/>
      <c r="AD98" s="128"/>
      <c r="AE98" s="128"/>
      <c r="AF98" s="280">
        <f>-C40</f>
        <v>-1749.0827361565744</v>
      </c>
      <c r="AG98" s="280">
        <f>AF98</f>
        <v>-1749.0827361565744</v>
      </c>
      <c r="AH98" s="280">
        <f>AG98*2</f>
        <v>-3498.1654723131487</v>
      </c>
      <c r="AI98" s="280">
        <f>AG98</f>
        <v>-1749.0827361565744</v>
      </c>
      <c r="AJ98" s="280">
        <f>AI98</f>
        <v>-1749.0827361565744</v>
      </c>
      <c r="AK98" s="128"/>
      <c r="AL98" s="128"/>
      <c r="AM98" s="128"/>
      <c r="AN98" s="128"/>
      <c r="AO98" s="128"/>
      <c r="AP98" s="128"/>
      <c r="AQ98" s="128"/>
      <c r="AR98" s="128"/>
      <c r="AS98" s="189"/>
      <c r="AT98" s="128"/>
      <c r="AU98" s="128"/>
      <c r="AV98" s="128"/>
      <c r="AW98" s="128"/>
      <c r="AX98" s="128"/>
      <c r="AY98" s="128"/>
      <c r="AZ98" s="128"/>
      <c r="BA98" s="128"/>
      <c r="BB98" s="128"/>
      <c r="BC98" s="128"/>
      <c r="BD98" s="128"/>
      <c r="BE98" s="128"/>
      <c r="BF98" s="128"/>
      <c r="BG98" s="128"/>
      <c r="BH98" s="128"/>
      <c r="BI98" s="128"/>
      <c r="BJ98" s="128"/>
      <c r="BK98" s="128"/>
      <c r="BL98" s="128"/>
      <c r="BM98" s="128"/>
      <c r="BN98" s="128"/>
      <c r="BO98" s="128"/>
      <c r="BP98" s="128"/>
      <c r="BQ98" s="128"/>
      <c r="BR98" s="128"/>
      <c r="BS98" s="128"/>
      <c r="BT98" s="128"/>
    </row>
    <row r="99" spans="1:72" x14ac:dyDescent="0.25">
      <c r="A99" s="447"/>
      <c r="B99" s="423" t="s">
        <v>39</v>
      </c>
      <c r="C99" s="109">
        <f t="shared" si="173"/>
        <v>0</v>
      </c>
      <c r="D99" s="109">
        <f t="shared" si="177"/>
        <v>0</v>
      </c>
      <c r="E99" s="109">
        <f t="shared" si="177"/>
        <v>0</v>
      </c>
      <c r="F99" s="109">
        <f t="shared" si="177"/>
        <v>1524.0629822399969</v>
      </c>
      <c r="G99" s="109">
        <f t="shared" si="177"/>
        <v>2176.6437345199993</v>
      </c>
      <c r="H99" s="109">
        <f t="shared" si="177"/>
        <v>2990.3209664400019</v>
      </c>
      <c r="I99" s="109">
        <f t="shared" si="177"/>
        <v>3623.4760842400028</v>
      </c>
      <c r="J99" s="109">
        <f t="shared" si="177"/>
        <v>-2941.4000515081207</v>
      </c>
      <c r="K99" s="109">
        <f t="shared" si="177"/>
        <v>-2316.4251805081185</v>
      </c>
      <c r="L99" s="281">
        <f t="shared" ref="L99:P99" si="178">L96-L97+L98</f>
        <v>12222.801820000022</v>
      </c>
      <c r="M99" s="127">
        <f t="shared" si="178"/>
        <v>11388.529651830366</v>
      </c>
      <c r="N99" s="190">
        <f t="shared" si="178"/>
        <v>10685.346269615417</v>
      </c>
      <c r="O99" s="127">
        <f t="shared" si="178"/>
        <v>2658.3064018303849</v>
      </c>
      <c r="P99" s="127">
        <f t="shared" si="178"/>
        <v>1719.2941538461891</v>
      </c>
      <c r="Q99" s="127">
        <f>Q96-Q97+Q98</f>
        <v>4484.7176969437569</v>
      </c>
      <c r="R99" s="127">
        <f t="shared" ref="R99:BT99" si="179">R96-R97+R98</f>
        <v>4959.2611294437811</v>
      </c>
      <c r="S99" s="127">
        <f t="shared" si="179"/>
        <v>7057.966354443779</v>
      </c>
      <c r="T99" s="127">
        <f t="shared" si="179"/>
        <v>4493.5057619437284</v>
      </c>
      <c r="U99" s="127">
        <f t="shared" si="179"/>
        <v>7605.5039694437291</v>
      </c>
      <c r="V99" s="127">
        <f t="shared" si="179"/>
        <v>7116.2956294437172</v>
      </c>
      <c r="W99" s="127">
        <f t="shared" si="179"/>
        <v>7286.8378691175458</v>
      </c>
      <c r="X99" s="127">
        <f t="shared" si="179"/>
        <v>7812.636626617561</v>
      </c>
      <c r="Y99" s="127">
        <f t="shared" si="179"/>
        <v>6568.6179166175571</v>
      </c>
      <c r="Z99" s="127">
        <f t="shared" si="179"/>
        <v>12743.794569117541</v>
      </c>
      <c r="AA99" s="127">
        <f t="shared" si="179"/>
        <v>12743.794569117541</v>
      </c>
      <c r="AB99" s="127">
        <f t="shared" si="179"/>
        <v>12743.794569117541</v>
      </c>
      <c r="AC99" s="127">
        <f t="shared" si="179"/>
        <v>12743.794569117541</v>
      </c>
      <c r="AD99" s="127">
        <f>AD96-AD97+AD98</f>
        <v>11311.594939117553</v>
      </c>
      <c r="AE99" s="127">
        <f t="shared" si="179"/>
        <v>11782.73743911754</v>
      </c>
      <c r="AF99" s="127">
        <f t="shared" si="179"/>
        <v>6246.7711946266363</v>
      </c>
      <c r="AG99" s="127">
        <f t="shared" si="179"/>
        <v>6717.9136946266235</v>
      </c>
      <c r="AH99" s="127">
        <f t="shared" si="179"/>
        <v>2866.1979584700621</v>
      </c>
      <c r="AI99" s="127">
        <f t="shared" si="179"/>
        <v>3618.2511946266613</v>
      </c>
      <c r="AJ99" s="127">
        <f t="shared" si="179"/>
        <v>3618.2511946266613</v>
      </c>
      <c r="AK99" s="127">
        <f>AK96-AK97+AK98</f>
        <v>12189.16443078321</v>
      </c>
      <c r="AL99" s="127">
        <f t="shared" si="179"/>
        <v>12189.16443078321</v>
      </c>
      <c r="AM99" s="127">
        <f t="shared" si="179"/>
        <v>12189.16443078321</v>
      </c>
      <c r="AN99" s="127">
        <f t="shared" si="179"/>
        <v>12421.834430783201</v>
      </c>
      <c r="AO99" s="127">
        <f t="shared" si="179"/>
        <v>12421.834430783201</v>
      </c>
      <c r="AP99" s="127">
        <f t="shared" si="179"/>
        <v>12421.834430783201</v>
      </c>
      <c r="AQ99" s="127">
        <f t="shared" si="179"/>
        <v>12421.834430783201</v>
      </c>
      <c r="AR99" s="127">
        <f t="shared" si="179"/>
        <v>12421.834430783201</v>
      </c>
      <c r="AS99" s="190">
        <f t="shared" si="179"/>
        <v>1221.6160991586221</v>
      </c>
      <c r="AT99" s="127">
        <f t="shared" si="179"/>
        <v>6951.0263042426523</v>
      </c>
      <c r="AU99" s="127">
        <f t="shared" si="179"/>
        <v>7827.1747467426467</v>
      </c>
      <c r="AV99" s="127">
        <f t="shared" si="179"/>
        <v>7827.1747467426467</v>
      </c>
      <c r="AW99" s="127">
        <f t="shared" si="179"/>
        <v>7827.1747467426467</v>
      </c>
      <c r="AX99" s="127">
        <f t="shared" si="179"/>
        <v>5906.3150542426665</v>
      </c>
      <c r="AY99" s="127">
        <f t="shared" si="179"/>
        <v>5906.3150542426665</v>
      </c>
      <c r="AZ99" s="127">
        <f t="shared" si="179"/>
        <v>5906.3150542426665</v>
      </c>
      <c r="BA99" s="127">
        <f t="shared" si="179"/>
        <v>5906.3150542426665</v>
      </c>
      <c r="BB99" s="127">
        <f t="shared" si="179"/>
        <v>5906.3150542426665</v>
      </c>
      <c r="BC99" s="127">
        <f t="shared" si="179"/>
        <v>6455.7850542426604</v>
      </c>
      <c r="BD99" s="127">
        <f t="shared" si="179"/>
        <v>6455.7850542426604</v>
      </c>
      <c r="BE99" s="127">
        <f t="shared" si="179"/>
        <v>6455.7850542426604</v>
      </c>
      <c r="BF99" s="127">
        <f t="shared" si="179"/>
        <v>6455.7850542426604</v>
      </c>
      <c r="BG99" s="127">
        <f t="shared" si="179"/>
        <v>6455.7850542426604</v>
      </c>
      <c r="BH99" s="127">
        <f t="shared" si="179"/>
        <v>4469.9260037009954</v>
      </c>
      <c r="BI99" s="127">
        <f t="shared" si="179"/>
        <v>4469.9260037009954</v>
      </c>
      <c r="BJ99" s="127">
        <f t="shared" si="179"/>
        <v>4469.9260037009954</v>
      </c>
      <c r="BK99" s="127">
        <f t="shared" si="179"/>
        <v>4469.9260037009954</v>
      </c>
      <c r="BL99" s="127">
        <f t="shared" si="179"/>
        <v>4469.9260037009954</v>
      </c>
      <c r="BM99" s="127">
        <f t="shared" si="179"/>
        <v>5230.5960037009936</v>
      </c>
      <c r="BN99" s="127">
        <f t="shared" si="179"/>
        <v>5203.8960037009965</v>
      </c>
      <c r="BO99" s="127">
        <f t="shared" si="179"/>
        <v>4215.7670873101961</v>
      </c>
      <c r="BP99" s="127">
        <f t="shared" si="179"/>
        <v>4215.7670873101961</v>
      </c>
      <c r="BQ99" s="127">
        <f t="shared" si="179"/>
        <v>4215.7670873101961</v>
      </c>
      <c r="BR99" s="127">
        <f t="shared" si="179"/>
        <v>4482.917087310183</v>
      </c>
      <c r="BS99" s="127">
        <f t="shared" si="179"/>
        <v>4482.917087310183</v>
      </c>
      <c r="BT99" s="127">
        <f t="shared" si="179"/>
        <v>4482.917087310183</v>
      </c>
    </row>
    <row r="100" spans="1:72" ht="36.75" customHeight="1" x14ac:dyDescent="0.25">
      <c r="A100" s="448"/>
      <c r="B100" s="15" t="s">
        <v>68</v>
      </c>
      <c r="C100" s="109">
        <f t="shared" si="173"/>
        <v>0</v>
      </c>
      <c r="D100" s="109">
        <f t="shared" si="177"/>
        <v>0</v>
      </c>
      <c r="E100" s="109">
        <f t="shared" si="177"/>
        <v>0</v>
      </c>
      <c r="F100" s="109">
        <f t="shared" si="177"/>
        <v>1524.0629822399969</v>
      </c>
      <c r="G100" s="109">
        <f t="shared" si="177"/>
        <v>3700.7067167599962</v>
      </c>
      <c r="H100" s="109">
        <f t="shared" si="177"/>
        <v>6691.0276831999981</v>
      </c>
      <c r="I100" s="109">
        <f t="shared" si="177"/>
        <v>10314.503767440001</v>
      </c>
      <c r="J100" s="109">
        <f t="shared" si="177"/>
        <v>7373.1037159318803</v>
      </c>
      <c r="K100" s="109">
        <f t="shared" si="177"/>
        <v>5056.6785354237618</v>
      </c>
      <c r="L100" s="281">
        <f t="shared" ref="L100" si="180">K100+L99</f>
        <v>17279.480355423784</v>
      </c>
      <c r="M100" s="127">
        <f t="shared" ref="M100" si="181">L100+M99</f>
        <v>28668.01000725415</v>
      </c>
      <c r="N100" s="190">
        <f t="shared" ref="N100" si="182">M100+N99</f>
        <v>39353.35627686957</v>
      </c>
      <c r="O100" s="127">
        <f t="shared" ref="O100" si="183">N100+O99</f>
        <v>42011.662678699955</v>
      </c>
      <c r="P100" s="127">
        <f t="shared" ref="P100" si="184">O100+P99</f>
        <v>43730.956832546144</v>
      </c>
      <c r="Q100" s="127">
        <f t="shared" ref="Q100" si="185">P100+Q99</f>
        <v>48215.674529489901</v>
      </c>
      <c r="R100" s="127">
        <f t="shared" ref="R100" si="186">Q100+R99</f>
        <v>53174.935658933682</v>
      </c>
      <c r="S100" s="127">
        <f t="shared" ref="S100" si="187">R100+S99</f>
        <v>60232.902013377461</v>
      </c>
      <c r="T100" s="127">
        <f t="shared" ref="T100" si="188">S100+T99</f>
        <v>64726.40777532119</v>
      </c>
      <c r="U100" s="127">
        <f t="shared" ref="U100" si="189">T100+U99</f>
        <v>72331.911744764919</v>
      </c>
      <c r="V100" s="127">
        <f t="shared" ref="V100" si="190">U100+V99</f>
        <v>79448.207374208636</v>
      </c>
      <c r="W100" s="127">
        <f t="shared" ref="W100" si="191">V100+W99</f>
        <v>86735.045243326182</v>
      </c>
      <c r="X100" s="127">
        <f t="shared" ref="X100" si="192">W100+X99</f>
        <v>94547.681869943743</v>
      </c>
      <c r="Y100" s="127">
        <f t="shared" ref="Y100" si="193">X100+Y99</f>
        <v>101116.2997865613</v>
      </c>
      <c r="Z100" s="127">
        <f t="shared" ref="Z100" si="194">Y100+Z99</f>
        <v>113860.09435567884</v>
      </c>
      <c r="AA100" s="127">
        <f t="shared" ref="AA100" si="195">Z100+AA99</f>
        <v>126603.88892479638</v>
      </c>
      <c r="AB100" s="127">
        <f t="shared" ref="AB100" si="196">AA100+AB99</f>
        <v>139347.68349391391</v>
      </c>
      <c r="AC100" s="127">
        <f t="shared" ref="AC100" si="197">AB100+AC99</f>
        <v>152091.47806303145</v>
      </c>
      <c r="AD100" s="127">
        <f t="shared" ref="AD100" si="198">AC100+AD99</f>
        <v>163403.073002149</v>
      </c>
      <c r="AE100" s="127">
        <f t="shared" ref="AE100" si="199">AD100+AE99</f>
        <v>175185.81044126654</v>
      </c>
      <c r="AF100" s="127">
        <f t="shared" ref="AF100" si="200">AE100+AF99</f>
        <v>181432.58163589318</v>
      </c>
      <c r="AG100" s="127">
        <f t="shared" ref="AG100" si="201">AF100+AG99</f>
        <v>188150.4953305198</v>
      </c>
      <c r="AH100" s="127">
        <f t="shared" ref="AH100" si="202">AG100+AH99</f>
        <v>191016.69328898986</v>
      </c>
      <c r="AI100" s="127">
        <f t="shared" ref="AI100" si="203">AH100+AI99</f>
        <v>194634.94448361653</v>
      </c>
      <c r="AJ100" s="127">
        <f t="shared" ref="AJ100" si="204">AI100+AJ99</f>
        <v>198253.19567824321</v>
      </c>
      <c r="AK100" s="127">
        <f t="shared" ref="AK100" si="205">AJ100+AK99</f>
        <v>210442.36010902643</v>
      </c>
      <c r="AL100" s="127">
        <f t="shared" ref="AL100" si="206">AK100+AL99</f>
        <v>222631.52453980964</v>
      </c>
      <c r="AM100" s="127">
        <f t="shared" ref="AM100" si="207">AL100+AM99</f>
        <v>234820.68897059286</v>
      </c>
      <c r="AN100" s="127">
        <f t="shared" ref="AN100" si="208">AM100+AN99</f>
        <v>247242.52340137606</v>
      </c>
      <c r="AO100" s="127">
        <f t="shared" ref="AO100" si="209">AN100+AO99</f>
        <v>259664.35783215926</v>
      </c>
      <c r="AP100" s="127">
        <f t="shared" ref="AP100" si="210">AO100+AP99</f>
        <v>272086.19226294244</v>
      </c>
      <c r="AQ100" s="127">
        <f t="shared" ref="AQ100" si="211">AP100+AQ99</f>
        <v>284508.02669372561</v>
      </c>
      <c r="AR100" s="127">
        <f t="shared" ref="AR100" si="212">AQ100+AR99</f>
        <v>296929.86112450878</v>
      </c>
      <c r="AS100" s="190">
        <f t="shared" ref="AS100" si="213">AR100+AS99</f>
        <v>298151.47722366743</v>
      </c>
      <c r="AT100" s="127">
        <f t="shared" ref="AT100" si="214">AS100+AT99</f>
        <v>305102.5035279101</v>
      </c>
      <c r="AU100" s="127">
        <f t="shared" ref="AU100" si="215">AT100+AU99</f>
        <v>312929.67827465275</v>
      </c>
      <c r="AV100" s="127">
        <f t="shared" ref="AV100" si="216">AU100+AV99</f>
        <v>320756.85302139539</v>
      </c>
      <c r="AW100" s="127">
        <f t="shared" ref="AW100" si="217">AV100+AW99</f>
        <v>328584.02776813804</v>
      </c>
      <c r="AX100" s="127">
        <f t="shared" ref="AX100" si="218">AW100+AX99</f>
        <v>334490.34282238071</v>
      </c>
      <c r="AY100" s="127">
        <f t="shared" ref="AY100" si="219">AX100+AY99</f>
        <v>340396.65787662339</v>
      </c>
      <c r="AZ100" s="127">
        <f t="shared" ref="AZ100" si="220">AY100+AZ99</f>
        <v>346302.97293086606</v>
      </c>
      <c r="BA100" s="127">
        <f t="shared" ref="BA100" si="221">AZ100+BA99</f>
        <v>352209.28798510873</v>
      </c>
      <c r="BB100" s="127">
        <f t="shared" ref="BB100" si="222">BA100+BB99</f>
        <v>358115.60303935141</v>
      </c>
      <c r="BC100" s="127">
        <f t="shared" ref="BC100" si="223">BB100+BC99</f>
        <v>364571.38809359405</v>
      </c>
      <c r="BD100" s="127">
        <f t="shared" ref="BD100" si="224">BC100+BD99</f>
        <v>371027.1731478367</v>
      </c>
      <c r="BE100" s="127">
        <f t="shared" ref="BE100" si="225">BD100+BE99</f>
        <v>377482.95820207935</v>
      </c>
      <c r="BF100" s="127">
        <f t="shared" ref="BF100" si="226">BE100+BF99</f>
        <v>383938.74325632199</v>
      </c>
      <c r="BG100" s="127">
        <f t="shared" ref="BG100" si="227">BF100+BG99</f>
        <v>390394.52831056464</v>
      </c>
      <c r="BH100" s="127">
        <f t="shared" ref="BH100" si="228">BG100+BH99</f>
        <v>394864.45431426563</v>
      </c>
      <c r="BI100" s="127">
        <f t="shared" ref="BI100" si="229">BH100+BI99</f>
        <v>399334.38031796663</v>
      </c>
      <c r="BJ100" s="127">
        <f t="shared" ref="BJ100" si="230">BI100+BJ99</f>
        <v>403804.30632166762</v>
      </c>
      <c r="BK100" s="127">
        <f t="shared" ref="BK100" si="231">BJ100+BK99</f>
        <v>408274.23232536862</v>
      </c>
      <c r="BL100" s="127">
        <f t="shared" ref="BL100" si="232">BK100+BL99</f>
        <v>412744.15832906961</v>
      </c>
      <c r="BM100" s="127">
        <f t="shared" ref="BM100" si="233">BL100+BM99</f>
        <v>417974.75433277059</v>
      </c>
      <c r="BN100" s="127">
        <f t="shared" ref="BN100" si="234">BM100+BN99</f>
        <v>423178.65033647162</v>
      </c>
      <c r="BO100" s="127">
        <f t="shared" ref="BO100" si="235">BN100+BO99</f>
        <v>427394.41742378182</v>
      </c>
      <c r="BP100" s="127">
        <f t="shared" ref="BP100" si="236">BO100+BP99</f>
        <v>431610.18451109203</v>
      </c>
      <c r="BQ100" s="127">
        <f t="shared" ref="BQ100" si="237">BP100+BQ99</f>
        <v>435825.95159840223</v>
      </c>
      <c r="BR100" s="127">
        <f t="shared" ref="BR100" si="238">BQ100+BR99</f>
        <v>440308.8686857124</v>
      </c>
      <c r="BS100" s="127">
        <f t="shared" ref="BS100" si="239">BR100+BS99</f>
        <v>444791.78577302257</v>
      </c>
      <c r="BT100" s="406">
        <f t="shared" ref="BT100" si="240">BS100+BT99</f>
        <v>449274.70286033273</v>
      </c>
    </row>
    <row r="101" spans="1:72" x14ac:dyDescent="0.25">
      <c r="A101" s="423"/>
      <c r="B101" s="423" t="s">
        <v>41</v>
      </c>
      <c r="C101" s="109" t="str">
        <f t="shared" si="173"/>
        <v>Cégep</v>
      </c>
      <c r="D101" s="109" t="str">
        <f t="shared" si="177"/>
        <v>Cégep</v>
      </c>
      <c r="E101" s="109" t="str">
        <f t="shared" si="177"/>
        <v>Cégep</v>
      </c>
      <c r="F101" s="109" t="str">
        <f t="shared" si="177"/>
        <v>Entrée sur marché du travail</v>
      </c>
      <c r="G101" s="109" t="str">
        <f t="shared" si="177"/>
        <v>Travail</v>
      </c>
      <c r="H101" s="109" t="str">
        <f t="shared" si="177"/>
        <v>Travail</v>
      </c>
      <c r="I101" s="109" t="str">
        <f t="shared" si="177"/>
        <v>Travail</v>
      </c>
      <c r="J101" s="109" t="str">
        <f t="shared" si="177"/>
        <v>Travail</v>
      </c>
      <c r="K101" s="109" t="str">
        <f t="shared" si="177"/>
        <v>Travail</v>
      </c>
      <c r="L101" s="281" t="s">
        <v>69</v>
      </c>
      <c r="M101" s="127" t="str">
        <f>M43</f>
        <v>Travail</v>
      </c>
      <c r="N101" s="189" t="s">
        <v>70</v>
      </c>
      <c r="O101" s="128" t="s">
        <v>44</v>
      </c>
      <c r="P101" s="128" t="s">
        <v>70</v>
      </c>
      <c r="Q101" s="128" t="s">
        <v>44</v>
      </c>
      <c r="R101" s="128" t="s">
        <v>44</v>
      </c>
      <c r="S101" s="128" t="s">
        <v>44</v>
      </c>
      <c r="T101" s="128" t="s">
        <v>44</v>
      </c>
      <c r="U101" s="128" t="s">
        <v>44</v>
      </c>
      <c r="V101" s="128" t="s">
        <v>44</v>
      </c>
      <c r="W101" s="128" t="s">
        <v>44</v>
      </c>
      <c r="X101" s="128" t="s">
        <v>44</v>
      </c>
      <c r="Y101" s="128" t="s">
        <v>44</v>
      </c>
      <c r="Z101" s="128" t="s">
        <v>44</v>
      </c>
      <c r="AA101" s="128" t="s">
        <v>44</v>
      </c>
      <c r="AB101" s="128" t="s">
        <v>44</v>
      </c>
      <c r="AC101" s="128" t="s">
        <v>44</v>
      </c>
      <c r="AD101" s="128" t="s">
        <v>44</v>
      </c>
      <c r="AE101" s="128" t="s">
        <v>44</v>
      </c>
      <c r="AF101" s="128" t="s">
        <v>44</v>
      </c>
      <c r="AG101" s="128" t="s">
        <v>44</v>
      </c>
      <c r="AH101" s="128" t="s">
        <v>44</v>
      </c>
      <c r="AI101" s="128" t="s">
        <v>44</v>
      </c>
      <c r="AJ101" s="128" t="s">
        <v>44</v>
      </c>
      <c r="AK101" s="128" t="s">
        <v>44</v>
      </c>
      <c r="AL101" s="128" t="s">
        <v>44</v>
      </c>
      <c r="AM101" s="128" t="s">
        <v>44</v>
      </c>
      <c r="AN101" s="128" t="s">
        <v>44</v>
      </c>
      <c r="AO101" s="128" t="s">
        <v>44</v>
      </c>
      <c r="AP101" s="128" t="s">
        <v>44</v>
      </c>
      <c r="AQ101" s="128" t="s">
        <v>44</v>
      </c>
      <c r="AR101" s="128" t="s">
        <v>44</v>
      </c>
      <c r="AS101" s="189" t="s">
        <v>45</v>
      </c>
      <c r="AT101" s="128" t="s">
        <v>45</v>
      </c>
      <c r="AU101" s="128" t="s">
        <v>45</v>
      </c>
      <c r="AV101" s="128" t="s">
        <v>45</v>
      </c>
      <c r="AW101" s="128" t="s">
        <v>45</v>
      </c>
      <c r="AX101" s="128" t="s">
        <v>45</v>
      </c>
      <c r="AY101" s="128" t="s">
        <v>45</v>
      </c>
      <c r="AZ101" s="128" t="s">
        <v>45</v>
      </c>
      <c r="BA101" s="128" t="s">
        <v>45</v>
      </c>
      <c r="BB101" s="128" t="s">
        <v>45</v>
      </c>
      <c r="BC101" s="128" t="s">
        <v>45</v>
      </c>
      <c r="BD101" s="128" t="s">
        <v>45</v>
      </c>
      <c r="BE101" s="128" t="s">
        <v>45</v>
      </c>
      <c r="BF101" s="128" t="s">
        <v>45</v>
      </c>
      <c r="BG101" s="128" t="s">
        <v>45</v>
      </c>
      <c r="BH101" s="128" t="s">
        <v>45</v>
      </c>
      <c r="BI101" s="128" t="s">
        <v>45</v>
      </c>
      <c r="BJ101" s="128" t="s">
        <v>45</v>
      </c>
      <c r="BK101" s="128" t="s">
        <v>45</v>
      </c>
      <c r="BL101" s="128" t="s">
        <v>45</v>
      </c>
      <c r="BM101" s="128" t="s">
        <v>45</v>
      </c>
      <c r="BN101" s="128" t="s">
        <v>45</v>
      </c>
      <c r="BO101" s="128" t="s">
        <v>45</v>
      </c>
      <c r="BP101" s="128" t="s">
        <v>45</v>
      </c>
      <c r="BQ101" s="128" t="s">
        <v>45</v>
      </c>
      <c r="BR101" s="128" t="s">
        <v>45</v>
      </c>
      <c r="BS101" s="128" t="s">
        <v>45</v>
      </c>
      <c r="BT101" s="128" t="s">
        <v>46</v>
      </c>
    </row>
    <row r="102" spans="1:72" s="430" customFormat="1" x14ac:dyDescent="0.25">
      <c r="B102" s="430" t="s">
        <v>1102</v>
      </c>
      <c r="C102" s="431">
        <f>C63</f>
        <v>7529.356580593425</v>
      </c>
      <c r="D102" s="431">
        <f t="shared" ref="D102:E102" si="241">D63</f>
        <v>7529.356580593425</v>
      </c>
      <c r="E102" s="431">
        <f t="shared" si="241"/>
        <v>7529.356580593425</v>
      </c>
      <c r="F102" s="431"/>
      <c r="G102" s="431"/>
      <c r="H102" s="431"/>
      <c r="I102" s="431"/>
      <c r="J102" s="431"/>
      <c r="K102" s="431"/>
      <c r="L102" s="431"/>
      <c r="M102" s="431"/>
      <c r="N102" s="433"/>
      <c r="AS102" s="433"/>
    </row>
    <row r="103" spans="1:72" s="430" customFormat="1" x14ac:dyDescent="0.25">
      <c r="B103" s="430" t="s">
        <v>1101</v>
      </c>
      <c r="C103" s="431"/>
      <c r="D103" s="431"/>
      <c r="E103" s="431"/>
      <c r="F103" s="431">
        <f>F63</f>
        <v>35302</v>
      </c>
      <c r="G103" s="431">
        <f t="shared" ref="G103:K103" si="242">G63</f>
        <v>36471</v>
      </c>
      <c r="H103" s="431">
        <f t="shared" si="242"/>
        <v>37987</v>
      </c>
      <c r="I103" s="431">
        <f t="shared" si="242"/>
        <v>39302</v>
      </c>
      <c r="J103" s="431">
        <f t="shared" si="242"/>
        <v>40854</v>
      </c>
      <c r="K103" s="431">
        <f t="shared" si="242"/>
        <v>42279</v>
      </c>
      <c r="L103" s="431"/>
      <c r="M103" s="431"/>
      <c r="N103" s="433"/>
      <c r="AS103" s="433"/>
    </row>
    <row r="104" spans="1:72" s="430" customFormat="1" x14ac:dyDescent="0.25">
      <c r="B104" s="430" t="s">
        <v>1100</v>
      </c>
      <c r="C104" s="431"/>
      <c r="D104" s="431"/>
      <c r="E104" s="431"/>
      <c r="F104" s="431"/>
      <c r="G104" s="431"/>
      <c r="H104" s="431"/>
      <c r="I104" s="431"/>
      <c r="J104" s="431"/>
      <c r="K104" s="431"/>
      <c r="L104" s="431">
        <f>L63</f>
        <v>93442.99000000002</v>
      </c>
      <c r="M104" s="431">
        <f>M63</f>
        <v>96066.64800000003</v>
      </c>
      <c r="N104" s="433"/>
      <c r="AH104" s="431">
        <f>AH63</f>
        <v>116018.93799999999</v>
      </c>
      <c r="AI104" s="431">
        <f t="shared" ref="AI104:AR104" si="243">AI63</f>
        <v>116018.93799999999</v>
      </c>
      <c r="AJ104" s="431">
        <f t="shared" si="243"/>
        <v>116018.93799999999</v>
      </c>
      <c r="AK104" s="431">
        <f t="shared" si="243"/>
        <v>116018.93799999999</v>
      </c>
      <c r="AL104" s="431">
        <f t="shared" si="243"/>
        <v>116018.93799999999</v>
      </c>
      <c r="AM104" s="431">
        <f t="shared" si="243"/>
        <v>116018.93799999999</v>
      </c>
      <c r="AN104" s="431">
        <f t="shared" si="243"/>
        <v>116018.93799999999</v>
      </c>
      <c r="AO104" s="431">
        <f t="shared" si="243"/>
        <v>116018.93799999999</v>
      </c>
      <c r="AP104" s="431">
        <f t="shared" si="243"/>
        <v>116018.93799999999</v>
      </c>
      <c r="AQ104" s="431">
        <f t="shared" si="243"/>
        <v>116018.93799999999</v>
      </c>
      <c r="AR104" s="431">
        <f t="shared" si="243"/>
        <v>116018.93799999999</v>
      </c>
      <c r="AS104" s="431"/>
    </row>
    <row r="105" spans="1:72" s="430" customFormat="1" x14ac:dyDescent="0.25">
      <c r="B105" s="430" t="s">
        <v>1103</v>
      </c>
      <c r="C105" s="431"/>
      <c r="D105" s="431"/>
      <c r="E105" s="431"/>
      <c r="F105" s="431"/>
      <c r="G105" s="431"/>
      <c r="H105" s="431"/>
      <c r="I105" s="431"/>
      <c r="J105" s="431"/>
      <c r="K105" s="431"/>
      <c r="L105" s="431"/>
      <c r="M105" s="431"/>
      <c r="N105" s="434">
        <f>N63</f>
        <v>48147.687884615414</v>
      </c>
      <c r="O105" s="434">
        <f t="shared" ref="O105:AG105" si="244">O63</f>
        <v>101551.96400000004</v>
      </c>
      <c r="P105" s="434">
        <f t="shared" si="244"/>
        <v>50154.288269230798</v>
      </c>
      <c r="Q105" s="434">
        <f t="shared" si="244"/>
        <v>107385.28000000003</v>
      </c>
      <c r="R105" s="434">
        <f t="shared" si="244"/>
        <v>108383.93800000002</v>
      </c>
      <c r="S105" s="434">
        <f t="shared" si="244"/>
        <v>109382.59600000003</v>
      </c>
      <c r="T105" s="434">
        <f t="shared" si="244"/>
        <v>110381.254</v>
      </c>
      <c r="U105" s="434">
        <f t="shared" si="244"/>
        <v>111379.91200000001</v>
      </c>
      <c r="V105" s="434">
        <f t="shared" si="244"/>
        <v>112378.57</v>
      </c>
      <c r="W105" s="434">
        <f t="shared" si="244"/>
        <v>113377.228</v>
      </c>
      <c r="X105" s="434">
        <f t="shared" si="244"/>
        <v>114375.88600000001</v>
      </c>
      <c r="Y105" s="434">
        <f t="shared" si="244"/>
        <v>115374.54400000002</v>
      </c>
      <c r="Z105" s="434">
        <f t="shared" si="244"/>
        <v>116018.93799999999</v>
      </c>
      <c r="AA105" s="434">
        <f t="shared" si="244"/>
        <v>116018.93799999999</v>
      </c>
      <c r="AB105" s="434">
        <f t="shared" si="244"/>
        <v>116018.93799999999</v>
      </c>
      <c r="AC105" s="434">
        <f t="shared" si="244"/>
        <v>116018.93799999999</v>
      </c>
      <c r="AD105" s="434">
        <f t="shared" si="244"/>
        <v>116018.93799999999</v>
      </c>
      <c r="AE105" s="434">
        <f t="shared" si="244"/>
        <v>116018.93799999999</v>
      </c>
      <c r="AF105" s="434">
        <f t="shared" si="244"/>
        <v>116018.93799999999</v>
      </c>
      <c r="AG105" s="434">
        <f t="shared" si="244"/>
        <v>116018.93799999999</v>
      </c>
      <c r="AS105" s="433"/>
    </row>
    <row r="106" spans="1:72" s="430" customFormat="1" x14ac:dyDescent="0.25">
      <c r="B106" s="430" t="s">
        <v>1095</v>
      </c>
      <c r="C106" s="431"/>
      <c r="D106" s="431"/>
      <c r="E106" s="431"/>
      <c r="F106" s="431"/>
      <c r="G106" s="431"/>
      <c r="H106" s="431"/>
      <c r="I106" s="431"/>
      <c r="J106" s="431"/>
      <c r="K106" s="431"/>
      <c r="L106" s="431"/>
      <c r="M106" s="431"/>
      <c r="N106" s="433"/>
      <c r="AS106" s="434">
        <f>AS63</f>
        <v>50086.14</v>
      </c>
      <c r="AT106" s="434">
        <f t="shared" ref="AT106:BN106" si="245">AT63</f>
        <v>50086.14</v>
      </c>
      <c r="AU106" s="434">
        <f t="shared" si="245"/>
        <v>50086.14</v>
      </c>
      <c r="AV106" s="434">
        <f t="shared" si="245"/>
        <v>50086.14</v>
      </c>
      <c r="AW106" s="434">
        <f t="shared" si="245"/>
        <v>50086.14</v>
      </c>
      <c r="AX106" s="434">
        <f t="shared" si="245"/>
        <v>37110.205000000002</v>
      </c>
      <c r="AY106" s="434">
        <f t="shared" si="245"/>
        <v>37110.205000000002</v>
      </c>
      <c r="AZ106" s="434">
        <f t="shared" si="245"/>
        <v>37110.205000000002</v>
      </c>
      <c r="BA106" s="434">
        <f t="shared" si="245"/>
        <v>37110.205000000002</v>
      </c>
      <c r="BB106" s="434">
        <f t="shared" si="245"/>
        <v>37110.205000000002</v>
      </c>
      <c r="BC106" s="434">
        <f t="shared" si="245"/>
        <v>37110.205000000002</v>
      </c>
      <c r="BD106" s="434">
        <f t="shared" si="245"/>
        <v>37110.205000000002</v>
      </c>
      <c r="BE106" s="434">
        <f t="shared" si="245"/>
        <v>37110.205000000002</v>
      </c>
      <c r="BF106" s="434">
        <f t="shared" si="245"/>
        <v>37110.205000000002</v>
      </c>
      <c r="BG106" s="434">
        <f t="shared" si="245"/>
        <v>37110.205000000002</v>
      </c>
      <c r="BH106" s="434">
        <f t="shared" si="245"/>
        <v>37110.205000000002</v>
      </c>
      <c r="BI106" s="434">
        <f t="shared" si="245"/>
        <v>37110.205000000002</v>
      </c>
      <c r="BJ106" s="434">
        <f t="shared" si="245"/>
        <v>37110.205000000002</v>
      </c>
      <c r="BK106" s="434">
        <f t="shared" si="245"/>
        <v>37110.205000000002</v>
      </c>
      <c r="BL106" s="434">
        <f t="shared" si="245"/>
        <v>37110.205000000002</v>
      </c>
      <c r="BM106" s="434">
        <f t="shared" si="245"/>
        <v>37110.205000000002</v>
      </c>
      <c r="BN106" s="434">
        <f t="shared" si="245"/>
        <v>37083.505000000005</v>
      </c>
    </row>
    <row r="107" spans="1:72" s="430" customFormat="1" x14ac:dyDescent="0.25">
      <c r="B107" s="430" t="s">
        <v>1096</v>
      </c>
      <c r="C107" s="431"/>
      <c r="D107" s="431"/>
      <c r="E107" s="431"/>
      <c r="F107" s="431"/>
      <c r="G107" s="431"/>
      <c r="H107" s="431"/>
      <c r="I107" s="431"/>
      <c r="J107" s="431"/>
      <c r="K107" s="431"/>
      <c r="L107" s="431"/>
      <c r="M107" s="431"/>
      <c r="N107" s="433"/>
      <c r="AS107" s="433"/>
      <c r="BO107" s="434">
        <f t="shared" ref="BO107:BT107" si="246">BO63</f>
        <v>28335.205000000002</v>
      </c>
      <c r="BP107" s="434">
        <f t="shared" si="246"/>
        <v>28335.205000000002</v>
      </c>
      <c r="BQ107" s="434">
        <f t="shared" si="246"/>
        <v>28335.205000000002</v>
      </c>
      <c r="BR107" s="434">
        <f t="shared" si="246"/>
        <v>28335.205000000002</v>
      </c>
      <c r="BS107" s="434">
        <f t="shared" si="246"/>
        <v>28335.205000000002</v>
      </c>
      <c r="BT107" s="434">
        <f t="shared" si="246"/>
        <v>28335.205000000002</v>
      </c>
    </row>
    <row r="108" spans="1:72" s="430" customFormat="1" x14ac:dyDescent="0.25">
      <c r="B108" s="429" t="s">
        <v>1104</v>
      </c>
      <c r="C108" s="437">
        <f>C96/C63</f>
        <v>1.0284605992167144</v>
      </c>
      <c r="D108" s="437">
        <f t="shared" ref="D108:BO108" si="247">D96/D63</f>
        <v>1.0284605992167144</v>
      </c>
      <c r="E108" s="437">
        <f t="shared" si="247"/>
        <v>1.0284605992167144</v>
      </c>
      <c r="F108" s="437">
        <f t="shared" si="247"/>
        <v>0.77789057226899316</v>
      </c>
      <c r="G108" s="437">
        <f t="shared" si="247"/>
        <v>0.77085009280030703</v>
      </c>
      <c r="H108" s="437">
        <f t="shared" si="247"/>
        <v>0.76150659347776872</v>
      </c>
      <c r="I108" s="437">
        <f t="shared" si="247"/>
        <v>0.75213745061930692</v>
      </c>
      <c r="J108" s="437">
        <f t="shared" si="247"/>
        <v>0.74103450551916583</v>
      </c>
      <c r="K108" s="437">
        <f t="shared" si="247"/>
        <v>0.73084033585184138</v>
      </c>
      <c r="L108" s="437">
        <f t="shared" si="247"/>
        <v>0.7188411010820609</v>
      </c>
      <c r="M108" s="437">
        <f t="shared" si="247"/>
        <v>0.69052466212655139</v>
      </c>
      <c r="N108" s="437">
        <f t="shared" si="247"/>
        <v>1.3643094643928841</v>
      </c>
      <c r="O108" s="437">
        <f t="shared" si="247"/>
        <v>0.69141160481967989</v>
      </c>
      <c r="P108" s="437">
        <f t="shared" si="247"/>
        <v>1.3812416952658839</v>
      </c>
      <c r="Q108" s="437">
        <f t="shared" si="247"/>
        <v>0.69906711326676929</v>
      </c>
      <c r="R108" s="437">
        <f t="shared" si="247"/>
        <v>0.69700421043424132</v>
      </c>
      <c r="S108" s="437">
        <f t="shared" si="247"/>
        <v>0.70553606493709242</v>
      </c>
      <c r="T108" s="437">
        <f t="shared" si="247"/>
        <v>0.69503020650538849</v>
      </c>
      <c r="U108" s="437">
        <f t="shared" si="247"/>
        <v>0.71252439101804754</v>
      </c>
      <c r="V108" s="437">
        <f t="shared" si="247"/>
        <v>0.70183928866013978</v>
      </c>
      <c r="W108" s="437">
        <f t="shared" si="247"/>
        <v>0.69716149586156362</v>
      </c>
      <c r="X108" s="437">
        <f t="shared" si="247"/>
        <v>0.69567143398231301</v>
      </c>
      <c r="Y108" s="437">
        <f t="shared" si="247"/>
        <v>0.6942156866649678</v>
      </c>
      <c r="Z108" s="437">
        <f t="shared" si="247"/>
        <v>0.71559692210867809</v>
      </c>
      <c r="AA108" s="437">
        <f t="shared" si="247"/>
        <v>0.71559692210867809</v>
      </c>
      <c r="AB108" s="437">
        <f t="shared" si="247"/>
        <v>0.71559692210867809</v>
      </c>
      <c r="AC108" s="437">
        <f t="shared" si="247"/>
        <v>0.71559692210867809</v>
      </c>
      <c r="AD108" s="437">
        <f t="shared" si="247"/>
        <v>0.71559692210867809</v>
      </c>
      <c r="AE108" s="437">
        <f t="shared" si="247"/>
        <v>0.72284696692463724</v>
      </c>
      <c r="AF108" s="437">
        <f t="shared" si="247"/>
        <v>0.69020674823607864</v>
      </c>
      <c r="AG108" s="437">
        <f t="shared" si="247"/>
        <v>0.69745679305203778</v>
      </c>
      <c r="AH108" s="437">
        <f t="shared" si="247"/>
        <v>0.67126681879111161</v>
      </c>
      <c r="AI108" s="437">
        <f t="shared" si="247"/>
        <v>0.66891005269142545</v>
      </c>
      <c r="AJ108" s="437">
        <f t="shared" si="247"/>
        <v>0.66891005269142545</v>
      </c>
      <c r="AK108" s="437">
        <f t="shared" si="247"/>
        <v>0.66655328659173907</v>
      </c>
      <c r="AL108" s="437">
        <f t="shared" si="247"/>
        <v>0.66655328659173907</v>
      </c>
      <c r="AM108" s="437">
        <f t="shared" si="247"/>
        <v>0.66655328659173907</v>
      </c>
      <c r="AN108" s="437">
        <f t="shared" si="247"/>
        <v>0.66655328659173907</v>
      </c>
      <c r="AO108" s="437">
        <f t="shared" si="247"/>
        <v>0.66655328659173907</v>
      </c>
      <c r="AP108" s="437">
        <f t="shared" si="247"/>
        <v>0.66655328659173907</v>
      </c>
      <c r="AQ108" s="437">
        <f t="shared" si="247"/>
        <v>0.66655328659173907</v>
      </c>
      <c r="AR108" s="437">
        <f t="shared" si="247"/>
        <v>0.66655328659173907</v>
      </c>
      <c r="AS108" s="437">
        <f t="shared" si="247"/>
        <v>1.0126499286860322</v>
      </c>
      <c r="AT108" s="437">
        <f t="shared" si="247"/>
        <v>1.1270410597471208</v>
      </c>
      <c r="AU108" s="437">
        <f t="shared" si="247"/>
        <v>1.2503408077911904</v>
      </c>
      <c r="AV108" s="437">
        <f t="shared" si="247"/>
        <v>1.2503408077911904</v>
      </c>
      <c r="AW108" s="437">
        <f t="shared" si="247"/>
        <v>1.2503408077911904</v>
      </c>
      <c r="AX108" s="437">
        <f t="shared" si="247"/>
        <v>1.6238125080215173</v>
      </c>
      <c r="AY108" s="437">
        <f t="shared" si="247"/>
        <v>1.6238125080215173</v>
      </c>
      <c r="AZ108" s="437">
        <f t="shared" si="247"/>
        <v>1.6238125080215173</v>
      </c>
      <c r="BA108" s="437">
        <f t="shared" si="247"/>
        <v>1.6238125080215173</v>
      </c>
      <c r="BB108" s="437">
        <f t="shared" si="247"/>
        <v>1.6238125080215173</v>
      </c>
      <c r="BC108" s="437">
        <f t="shared" si="247"/>
        <v>1.6238125080215173</v>
      </c>
      <c r="BD108" s="437">
        <f t="shared" si="247"/>
        <v>1.6238125080215173</v>
      </c>
      <c r="BE108" s="437">
        <f t="shared" si="247"/>
        <v>1.6238125080215173</v>
      </c>
      <c r="BF108" s="437">
        <f t="shared" si="247"/>
        <v>1.6238125080215173</v>
      </c>
      <c r="BG108" s="437">
        <f t="shared" si="247"/>
        <v>1.6238125080215173</v>
      </c>
      <c r="BH108" s="437">
        <f t="shared" si="247"/>
        <v>1.5526480116103101</v>
      </c>
      <c r="BI108" s="437">
        <f t="shared" si="247"/>
        <v>1.5526480116103101</v>
      </c>
      <c r="BJ108" s="437">
        <f t="shared" si="247"/>
        <v>1.5526480116103101</v>
      </c>
      <c r="BK108" s="437">
        <f t="shared" si="247"/>
        <v>1.5526480116103101</v>
      </c>
      <c r="BL108" s="437">
        <f t="shared" si="247"/>
        <v>1.5526480116103101</v>
      </c>
      <c r="BM108" s="437">
        <f t="shared" si="247"/>
        <v>1.5526480116103101</v>
      </c>
      <c r="BN108" s="437">
        <f t="shared" si="247"/>
        <v>1.5530459163366837</v>
      </c>
      <c r="BO108" s="437">
        <f t="shared" si="247"/>
        <v>1.3466681143584525</v>
      </c>
      <c r="BP108" s="437">
        <f t="shared" ref="BP108:BT108" si="248">BP96/BP63</f>
        <v>1.3466681143584525</v>
      </c>
      <c r="BQ108" s="437">
        <f t="shared" si="248"/>
        <v>1.3466681143584525</v>
      </c>
      <c r="BR108" s="437">
        <f t="shared" si="248"/>
        <v>1.3466681143584518</v>
      </c>
      <c r="BS108" s="437">
        <f t="shared" si="248"/>
        <v>1.3466681143584518</v>
      </c>
      <c r="BT108" s="437">
        <f t="shared" si="248"/>
        <v>1.3466681143584518</v>
      </c>
    </row>
    <row r="109" spans="1:72" s="25" customFormat="1" x14ac:dyDescent="0.25">
      <c r="B109" s="25" t="s">
        <v>1090</v>
      </c>
      <c r="C109" s="259">
        <f>C95</f>
        <v>12932.364856786106</v>
      </c>
      <c r="D109" s="259">
        <f>C109+D95</f>
        <v>25864.729713572211</v>
      </c>
      <c r="E109" s="259">
        <f t="shared" ref="E109:BP109" si="249">D109+E95</f>
        <v>39073.378639621958</v>
      </c>
      <c r="F109" s="259">
        <f t="shared" si="249"/>
        <v>33837.540286122894</v>
      </c>
      <c r="G109" s="259">
        <f t="shared" si="249"/>
        <v>28250.228584903827</v>
      </c>
      <c r="H109" s="259">
        <f t="shared" si="249"/>
        <v>22174.501715604762</v>
      </c>
      <c r="I109" s="259">
        <f t="shared" si="249"/>
        <v>15602.476464105694</v>
      </c>
      <c r="J109" s="259">
        <f t="shared" si="249"/>
        <v>8691.9243111106916</v>
      </c>
      <c r="K109" s="259">
        <f t="shared" si="249"/>
        <v>1182.4145291156892</v>
      </c>
      <c r="L109" s="259">
        <f t="shared" si="249"/>
        <v>-21341.763134157125</v>
      </c>
      <c r="M109" s="259">
        <f t="shared" si="249"/>
        <v>-43426.282209929937</v>
      </c>
      <c r="N109" s="259">
        <f t="shared" si="249"/>
        <v>-13967.84911579833</v>
      </c>
      <c r="O109" s="259">
        <f t="shared" si="249"/>
        <v>-22709.021966103799</v>
      </c>
      <c r="P109" s="259">
        <f t="shared" si="249"/>
        <v>24946.794957156511</v>
      </c>
      <c r="Q109" s="259">
        <f t="shared" si="249"/>
        <v>30379.135716269302</v>
      </c>
      <c r="R109" s="259">
        <f t="shared" si="249"/>
        <v>35342.561907882096</v>
      </c>
      <c r="S109" s="259">
        <f t="shared" si="249"/>
        <v>36090.874971121921</v>
      </c>
      <c r="T109" s="259">
        <f t="shared" si="249"/>
        <v>34879.694634707295</v>
      </c>
      <c r="U109" s="259">
        <f t="shared" si="249"/>
        <v>29967.564880061924</v>
      </c>
      <c r="V109" s="259">
        <f t="shared" si="249"/>
        <v>23793.402802879122</v>
      </c>
      <c r="W109" s="259">
        <f t="shared" si="249"/>
        <v>17461.287126417268</v>
      </c>
      <c r="X109" s="259">
        <f t="shared" si="249"/>
        <v>10492.874528834469</v>
      </c>
      <c r="Y109" s="259">
        <f t="shared" si="249"/>
        <v>2627.5425160444429</v>
      </c>
      <c r="Z109" s="259">
        <f t="shared" si="249"/>
        <v>-7203.4532000898143</v>
      </c>
      <c r="AA109" s="259">
        <f t="shared" si="249"/>
        <v>-16617.112590109049</v>
      </c>
      <c r="AB109" s="259">
        <f t="shared" si="249"/>
        <v>-25471.218282422142</v>
      </c>
      <c r="AC109" s="259">
        <f t="shared" si="249"/>
        <v>-34183.246671119465</v>
      </c>
      <c r="AD109" s="259">
        <f t="shared" si="249"/>
        <v>-42827.255761660723</v>
      </c>
      <c r="AE109" s="259">
        <f t="shared" si="249"/>
        <v>-44454.168856102813</v>
      </c>
      <c r="AF109" s="259">
        <f t="shared" si="249"/>
        <v>-63057.587127724466</v>
      </c>
      <c r="AG109" s="259">
        <f t="shared" si="249"/>
        <v>-74989.61691004131</v>
      </c>
      <c r="AH109" s="259">
        <f t="shared" si="249"/>
        <v>-103771.54993743156</v>
      </c>
      <c r="AI109" s="259">
        <f t="shared" si="249"/>
        <v>-132597.95889661339</v>
      </c>
      <c r="AJ109" s="259">
        <f t="shared" si="249"/>
        <v>-161424.36785579522</v>
      </c>
      <c r="AK109" s="259">
        <f t="shared" si="249"/>
        <v>-189426.59654665177</v>
      </c>
      <c r="AL109" s="259">
        <f t="shared" si="249"/>
        <v>-217428.82523750831</v>
      </c>
      <c r="AM109" s="259">
        <f t="shared" si="249"/>
        <v>-245431.05392836485</v>
      </c>
      <c r="AN109" s="259">
        <f t="shared" si="249"/>
        <v>-272886.85532751557</v>
      </c>
      <c r="AO109" s="259">
        <f t="shared" si="249"/>
        <v>-300342.65672666626</v>
      </c>
      <c r="AP109" s="259">
        <f t="shared" si="249"/>
        <v>-326761.8489740279</v>
      </c>
      <c r="AQ109" s="259">
        <f t="shared" si="249"/>
        <v>-353181.04122138955</v>
      </c>
      <c r="AR109" s="259">
        <f t="shared" si="249"/>
        <v>-379600.23346875119</v>
      </c>
      <c r="AS109" s="259">
        <f t="shared" si="249"/>
        <v>-372974.80776570016</v>
      </c>
      <c r="AT109" s="259">
        <f t="shared" si="249"/>
        <v>-360619.97185756511</v>
      </c>
      <c r="AU109" s="259">
        <f t="shared" si="249"/>
        <v>-339756.0931527635</v>
      </c>
      <c r="AV109" s="259">
        <f t="shared" si="249"/>
        <v>-318930.28329596721</v>
      </c>
      <c r="AW109" s="259">
        <f t="shared" si="249"/>
        <v>-298104.47343917092</v>
      </c>
      <c r="AX109" s="259">
        <f t="shared" si="249"/>
        <v>-264078.9430968801</v>
      </c>
      <c r="AY109" s="259">
        <f t="shared" si="249"/>
        <v>-230053.41275458928</v>
      </c>
      <c r="AZ109" s="259">
        <f t="shared" si="249"/>
        <v>-193844.84096130863</v>
      </c>
      <c r="BA109" s="259">
        <f t="shared" si="249"/>
        <v>-157636.26916802797</v>
      </c>
      <c r="BB109" s="259">
        <f t="shared" si="249"/>
        <v>-121427.69737474731</v>
      </c>
      <c r="BC109" s="259">
        <f t="shared" si="249"/>
        <v>-83430.70682824534</v>
      </c>
      <c r="BD109" s="259">
        <f t="shared" si="249"/>
        <v>-45433.716281743371</v>
      </c>
      <c r="BE109" s="259">
        <f t="shared" si="249"/>
        <v>-3921.3864945904497</v>
      </c>
      <c r="BF109" s="259">
        <f t="shared" si="249"/>
        <v>37590.943292562471</v>
      </c>
      <c r="BG109" s="259">
        <f t="shared" si="249"/>
        <v>79103.273079715393</v>
      </c>
      <c r="BH109" s="259">
        <f t="shared" si="249"/>
        <v>124932.50552669421</v>
      </c>
      <c r="BI109" s="259">
        <f t="shared" si="249"/>
        <v>170761.73797367304</v>
      </c>
      <c r="BJ109" s="259">
        <f t="shared" si="249"/>
        <v>221406.76882478752</v>
      </c>
      <c r="BK109" s="259">
        <f t="shared" si="249"/>
        <v>272051.799675902</v>
      </c>
      <c r="BL109" s="259">
        <f t="shared" si="249"/>
        <v>322696.83052701649</v>
      </c>
      <c r="BM109" s="259">
        <f t="shared" si="249"/>
        <v>379091.185985333</v>
      </c>
      <c r="BN109" s="259">
        <f t="shared" si="249"/>
        <v>435485.5414436495</v>
      </c>
      <c r="BO109" s="259">
        <f t="shared" si="249"/>
        <v>463197.40871241264</v>
      </c>
      <c r="BP109" s="259">
        <f t="shared" si="249"/>
        <v>490909.27598117577</v>
      </c>
      <c r="BQ109" s="259">
        <f t="shared" ref="BQ109:BT109" si="250">BP109+BQ95</f>
        <v>518621.1432499389</v>
      </c>
      <c r="BR109" s="259">
        <f t="shared" si="250"/>
        <v>557792.38475030323</v>
      </c>
      <c r="BS109" s="259">
        <f t="shared" si="250"/>
        <v>596963.6262506675</v>
      </c>
      <c r="BT109" s="259">
        <f t="shared" si="250"/>
        <v>636134.86775103176</v>
      </c>
    </row>
    <row r="110" spans="1:72" s="25" customFormat="1" x14ac:dyDescent="0.25">
      <c r="B110" s="25" t="s">
        <v>1093</v>
      </c>
      <c r="C110" s="259">
        <f>((C74-C71-C75-C91-C93)/(C63))*100</f>
        <v>-2.8460599216714311</v>
      </c>
      <c r="D110" s="259">
        <f t="shared" ref="D110:BO110" si="251">((D74-D71-D75-D91-D93)/(D63))*100</f>
        <v>-2.8460599216714311</v>
      </c>
      <c r="E110" s="259">
        <f t="shared" si="251"/>
        <v>-2.8460599216714311</v>
      </c>
      <c r="F110" s="259">
        <f t="shared" si="251"/>
        <v>15.357238450399416</v>
      </c>
      <c r="G110" s="259">
        <f t="shared" si="251"/>
        <v>15.828701339365525</v>
      </c>
      <c r="H110" s="259">
        <f t="shared" si="251"/>
        <v>16.482746290994289</v>
      </c>
      <c r="I110" s="259">
        <f t="shared" si="251"/>
        <v>17.194033931504762</v>
      </c>
      <c r="J110" s="259">
        <f t="shared" si="251"/>
        <v>18.056724951094143</v>
      </c>
      <c r="K110" s="259">
        <f t="shared" si="251"/>
        <v>18.864807683530831</v>
      </c>
      <c r="L110" s="259">
        <f t="shared" si="251"/>
        <v>24.211094144140716</v>
      </c>
      <c r="M110" s="259">
        <f t="shared" si="251"/>
        <v>23.092209579853346</v>
      </c>
      <c r="N110" s="259">
        <f t="shared" si="251"/>
        <v>-40.338452869314004</v>
      </c>
      <c r="O110" s="259">
        <f t="shared" si="251"/>
        <v>20.241710088935353</v>
      </c>
      <c r="P110" s="259">
        <f t="shared" si="251"/>
        <v>-54.186584681908769</v>
      </c>
      <c r="Q110" s="259">
        <f t="shared" si="251"/>
        <v>17.025424012850372</v>
      </c>
      <c r="R110" s="259">
        <f t="shared" si="251"/>
        <v>17.301192557597052</v>
      </c>
      <c r="S110" s="259">
        <f t="shared" si="251"/>
        <v>17.366626213448615</v>
      </c>
      <c r="T110" s="259">
        <f t="shared" si="251"/>
        <v>18.493887723350745</v>
      </c>
      <c r="U110" s="259">
        <f t="shared" si="251"/>
        <v>18.128982697424476</v>
      </c>
      <c r="V110" s="259">
        <f t="shared" si="251"/>
        <v>19.291855479996414</v>
      </c>
      <c r="W110" s="259">
        <f t="shared" si="251"/>
        <v>19.26124434279312</v>
      </c>
      <c r="X110" s="259">
        <f t="shared" si="251"/>
        <v>19.506492965366544</v>
      </c>
      <c r="Y110" s="259">
        <f t="shared" si="251"/>
        <v>19.746644022849321</v>
      </c>
      <c r="Z110" s="259">
        <f t="shared" si="251"/>
        <v>20.46753595017881</v>
      </c>
      <c r="AA110" s="259">
        <f t="shared" si="251"/>
        <v>20.46753595017881</v>
      </c>
      <c r="AB110" s="259">
        <f t="shared" si="251"/>
        <v>20.46753595017881</v>
      </c>
      <c r="AC110" s="259">
        <f t="shared" si="251"/>
        <v>20.46753595017881</v>
      </c>
      <c r="AD110" s="259">
        <f t="shared" si="251"/>
        <v>20.46753595017881</v>
      </c>
      <c r="AE110" s="259">
        <f t="shared" si="251"/>
        <v>19.742531468582879</v>
      </c>
      <c r="AF110" s="259">
        <f t="shared" si="251"/>
        <v>23.006553337438756</v>
      </c>
      <c r="AG110" s="259">
        <f t="shared" si="251"/>
        <v>22.281548855842829</v>
      </c>
      <c r="AH110" s="259">
        <f t="shared" si="251"/>
        <v>24.900546281935458</v>
      </c>
      <c r="AI110" s="259">
        <f t="shared" si="251"/>
        <v>25.136222891904076</v>
      </c>
      <c r="AJ110" s="259">
        <f t="shared" si="251"/>
        <v>25.136222891904076</v>
      </c>
      <c r="AK110" s="259">
        <f t="shared" si="251"/>
        <v>25.371899501872708</v>
      </c>
      <c r="AL110" s="259">
        <f t="shared" si="251"/>
        <v>25.371899501872708</v>
      </c>
      <c r="AM110" s="259">
        <f t="shared" si="251"/>
        <v>25.371899501872708</v>
      </c>
      <c r="AN110" s="259">
        <f t="shared" si="251"/>
        <v>25.371899501872701</v>
      </c>
      <c r="AO110" s="259">
        <f t="shared" si="251"/>
        <v>25.371899501872701</v>
      </c>
      <c r="AP110" s="259">
        <f t="shared" si="251"/>
        <v>25.371899501872701</v>
      </c>
      <c r="AQ110" s="259">
        <f t="shared" si="251"/>
        <v>25.371899501872701</v>
      </c>
      <c r="AR110" s="259">
        <f t="shared" si="251"/>
        <v>25.371899501872701</v>
      </c>
      <c r="AS110" s="259">
        <f t="shared" si="251"/>
        <v>-1.2649928686032204</v>
      </c>
      <c r="AT110" s="259">
        <f t="shared" si="251"/>
        <v>-12.70410597471208</v>
      </c>
      <c r="AU110" s="259">
        <f t="shared" si="251"/>
        <v>-25.034080779119051</v>
      </c>
      <c r="AV110" s="259">
        <f t="shared" si="251"/>
        <v>-25.034080779119051</v>
      </c>
      <c r="AW110" s="259">
        <f t="shared" si="251"/>
        <v>-25.034080779119051</v>
      </c>
      <c r="AX110" s="259">
        <f t="shared" si="251"/>
        <v>-62.381250802151733</v>
      </c>
      <c r="AY110" s="259">
        <f t="shared" si="251"/>
        <v>-62.381250802151733</v>
      </c>
      <c r="AZ110" s="259">
        <f t="shared" si="251"/>
        <v>-62.381250802151733</v>
      </c>
      <c r="BA110" s="259">
        <f t="shared" si="251"/>
        <v>-62.381250802151733</v>
      </c>
      <c r="BB110" s="259">
        <f t="shared" si="251"/>
        <v>-62.381250802151733</v>
      </c>
      <c r="BC110" s="259">
        <f t="shared" si="251"/>
        <v>-62.381250802151733</v>
      </c>
      <c r="BD110" s="259">
        <f t="shared" si="251"/>
        <v>-62.381250802151733</v>
      </c>
      <c r="BE110" s="259">
        <f t="shared" si="251"/>
        <v>-62.381250802151733</v>
      </c>
      <c r="BF110" s="259">
        <f t="shared" si="251"/>
        <v>-62.381250802151733</v>
      </c>
      <c r="BG110" s="259">
        <f t="shared" si="251"/>
        <v>-62.381250802151733</v>
      </c>
      <c r="BH110" s="259">
        <f t="shared" si="251"/>
        <v>-64.575714562187557</v>
      </c>
      <c r="BI110" s="259">
        <f t="shared" si="251"/>
        <v>-64.575714562187557</v>
      </c>
      <c r="BJ110" s="259">
        <f t="shared" si="251"/>
        <v>-64.575714562187557</v>
      </c>
      <c r="BK110" s="259">
        <f t="shared" si="251"/>
        <v>-64.575714562187557</v>
      </c>
      <c r="BL110" s="259">
        <f t="shared" si="251"/>
        <v>-64.575714562187557</v>
      </c>
      <c r="BM110" s="259">
        <f t="shared" si="251"/>
        <v>-64.575714562187557</v>
      </c>
      <c r="BN110" s="259">
        <f t="shared" si="251"/>
        <v>-64.622208861440285</v>
      </c>
      <c r="BO110" s="259">
        <f t="shared" si="251"/>
        <v>-40.763995222836805</v>
      </c>
      <c r="BP110" s="259">
        <f t="shared" ref="BP110:BT110" si="252">((BP74-BP71-BP75-BP91-BP93)/(BP63))*100</f>
        <v>-40.763995222836805</v>
      </c>
      <c r="BQ110" s="259">
        <f t="shared" si="252"/>
        <v>-40.763995222836805</v>
      </c>
      <c r="BR110" s="259">
        <f t="shared" si="252"/>
        <v>-40.763995222836797</v>
      </c>
      <c r="BS110" s="259">
        <f t="shared" si="252"/>
        <v>-40.763995222836797</v>
      </c>
      <c r="BT110" s="259">
        <f t="shared" si="252"/>
        <v>-40.763995222836797</v>
      </c>
    </row>
    <row r="111" spans="1:72" s="25" customFormat="1" x14ac:dyDescent="0.25">
      <c r="B111" s="25" t="s">
        <v>1091</v>
      </c>
      <c r="C111" s="259">
        <f>((C74-C75-C91-C93)/(C63))*100</f>
        <v>12.934788070207745</v>
      </c>
      <c r="D111" s="259">
        <f t="shared" ref="D111:BO111" si="253">((D74-D75-D91-D93)/(D63))*100</f>
        <v>12.934788070207745</v>
      </c>
      <c r="E111" s="259">
        <f t="shared" si="253"/>
        <v>12.934788070207745</v>
      </c>
      <c r="F111" s="259">
        <f t="shared" si="253"/>
        <v>20.339905943852514</v>
      </c>
      <c r="G111" s="259">
        <f t="shared" si="253"/>
        <v>20.651660069695961</v>
      </c>
      <c r="H111" s="259">
        <f t="shared" si="253"/>
        <v>21.113228504748498</v>
      </c>
      <c r="I111" s="259">
        <f t="shared" si="253"/>
        <v>21.669585502770378</v>
      </c>
      <c r="J111" s="259">
        <f t="shared" si="253"/>
        <v>23.538232740999966</v>
      </c>
      <c r="K111" s="259">
        <f t="shared" si="253"/>
        <v>24.161563028946109</v>
      </c>
      <c r="L111" s="259">
        <f t="shared" si="253"/>
        <v>28.687565775559786</v>
      </c>
      <c r="M111" s="259">
        <f t="shared" si="253"/>
        <v>27.446425143718713</v>
      </c>
      <c r="N111" s="259">
        <f t="shared" si="253"/>
        <v>-32.103534409521686</v>
      </c>
      <c r="O111" s="259">
        <f t="shared" si="253"/>
        <v>24.875220150510643</v>
      </c>
      <c r="P111" s="259">
        <f t="shared" si="253"/>
        <v>-44.80469405591009</v>
      </c>
      <c r="Q111" s="259">
        <f t="shared" si="253"/>
        <v>21.495609682739232</v>
      </c>
      <c r="R111" s="259">
        <f t="shared" si="253"/>
        <v>21.730189590469237</v>
      </c>
      <c r="S111" s="259">
        <f t="shared" si="253"/>
        <v>21.755186709974065</v>
      </c>
      <c r="T111" s="259">
        <f t="shared" si="253"/>
        <v>23.021448643471579</v>
      </c>
      <c r="U111" s="259">
        <f t="shared" si="253"/>
        <v>22.615948461271834</v>
      </c>
      <c r="V111" s="259">
        <f t="shared" si="253"/>
        <v>23.738947589500313</v>
      </c>
      <c r="W111" s="259">
        <f t="shared" si="253"/>
        <v>23.669165234317578</v>
      </c>
      <c r="X111" s="259">
        <f t="shared" si="253"/>
        <v>23.8759266755835</v>
      </c>
      <c r="Y111" s="259">
        <f t="shared" si="253"/>
        <v>24.235764764855517</v>
      </c>
      <c r="Z111" s="259">
        <f t="shared" si="253"/>
        <v>24.931723155287568</v>
      </c>
      <c r="AA111" s="259">
        <f t="shared" si="253"/>
        <v>24.931723155287568</v>
      </c>
      <c r="AB111" s="259">
        <f t="shared" si="253"/>
        <v>24.931723155287568</v>
      </c>
      <c r="AC111" s="259">
        <f t="shared" si="253"/>
        <v>24.931723155287568</v>
      </c>
      <c r="AD111" s="259">
        <f t="shared" si="253"/>
        <v>25.074967758358742</v>
      </c>
      <c r="AE111" s="259">
        <f t="shared" si="253"/>
        <v>24.349963276762811</v>
      </c>
      <c r="AF111" s="259">
        <f t="shared" si="253"/>
        <v>27.613985145618685</v>
      </c>
      <c r="AG111" s="259">
        <f t="shared" si="253"/>
        <v>26.888980664022753</v>
      </c>
      <c r="AH111" s="259">
        <f t="shared" si="253"/>
        <v>29.426180299083448</v>
      </c>
      <c r="AI111" s="259">
        <f t="shared" si="253"/>
        <v>29.791713133531516</v>
      </c>
      <c r="AJ111" s="259">
        <f t="shared" si="253"/>
        <v>29.791713133531516</v>
      </c>
      <c r="AK111" s="259">
        <f t="shared" si="253"/>
        <v>29.706820941466987</v>
      </c>
      <c r="AL111" s="259">
        <f t="shared" si="253"/>
        <v>29.706820941466987</v>
      </c>
      <c r="AM111" s="259">
        <f t="shared" si="253"/>
        <v>29.706820941466987</v>
      </c>
      <c r="AN111" s="259">
        <f t="shared" si="253"/>
        <v>29.702256350133442</v>
      </c>
      <c r="AO111" s="259">
        <f t="shared" si="253"/>
        <v>29.702256350133442</v>
      </c>
      <c r="AP111" s="259">
        <f t="shared" si="253"/>
        <v>29.702256350133442</v>
      </c>
      <c r="AQ111" s="259">
        <f t="shared" si="253"/>
        <v>29.702256350133442</v>
      </c>
      <c r="AR111" s="259">
        <f t="shared" si="253"/>
        <v>29.702256350133442</v>
      </c>
      <c r="AS111" s="259">
        <f t="shared" si="253"/>
        <v>6.6037152350570949</v>
      </c>
      <c r="AT111" s="259">
        <f t="shared" si="253"/>
        <v>-4.8353978710517653</v>
      </c>
      <c r="AU111" s="259">
        <f t="shared" si="253"/>
        <v>-16.250103091808295</v>
      </c>
      <c r="AV111" s="259">
        <f t="shared" si="253"/>
        <v>-16.250103091808295</v>
      </c>
      <c r="AW111" s="259">
        <f t="shared" si="253"/>
        <v>-16.250103091808295</v>
      </c>
      <c r="AX111" s="259">
        <f t="shared" si="253"/>
        <v>-50.63779638975182</v>
      </c>
      <c r="AY111" s="259">
        <f t="shared" si="253"/>
        <v>-50.63779638975182</v>
      </c>
      <c r="AZ111" s="259">
        <f t="shared" si="253"/>
        <v>-50.63779638975182</v>
      </c>
      <c r="BA111" s="259">
        <f t="shared" si="253"/>
        <v>-50.63779638975182</v>
      </c>
      <c r="BB111" s="259">
        <f t="shared" si="253"/>
        <v>-50.63779638975182</v>
      </c>
      <c r="BC111" s="259">
        <f t="shared" si="253"/>
        <v>-50.798547692724938</v>
      </c>
      <c r="BD111" s="259">
        <f t="shared" si="253"/>
        <v>-50.798547692724938</v>
      </c>
      <c r="BE111" s="259">
        <f t="shared" si="253"/>
        <v>-50.798547692724938</v>
      </c>
      <c r="BF111" s="259">
        <f t="shared" si="253"/>
        <v>-50.798547692724938</v>
      </c>
      <c r="BG111" s="259">
        <f t="shared" si="253"/>
        <v>-50.798547692724938</v>
      </c>
      <c r="BH111" s="259">
        <f t="shared" si="253"/>
        <v>-53.202589709294024</v>
      </c>
      <c r="BI111" s="259">
        <f t="shared" si="253"/>
        <v>-53.202589709294024</v>
      </c>
      <c r="BJ111" s="259">
        <f t="shared" si="253"/>
        <v>-53.202589709294024</v>
      </c>
      <c r="BK111" s="259">
        <f t="shared" si="253"/>
        <v>-53.202589709294024</v>
      </c>
      <c r="BL111" s="259">
        <f t="shared" si="253"/>
        <v>-53.202589709294024</v>
      </c>
      <c r="BM111" s="259">
        <f t="shared" si="253"/>
        <v>-53.460994919387439</v>
      </c>
      <c r="BN111" s="259">
        <f t="shared" si="253"/>
        <v>-53.499486657542917</v>
      </c>
      <c r="BO111" s="259">
        <f t="shared" si="253"/>
        <v>-33.730244799458767</v>
      </c>
      <c r="BP111" s="259">
        <f t="shared" ref="BP111:BT111" si="254">((BP74-BP75-BP91-BP93)/(BP63))*100</f>
        <v>-33.730244799458767</v>
      </c>
      <c r="BQ111" s="259">
        <f t="shared" si="254"/>
        <v>-33.730244799458767</v>
      </c>
      <c r="BR111" s="259">
        <f t="shared" si="254"/>
        <v>-34.077357321054805</v>
      </c>
      <c r="BS111" s="259">
        <f t="shared" si="254"/>
        <v>-34.077357321054805</v>
      </c>
      <c r="BT111" s="259">
        <f t="shared" si="254"/>
        <v>-34.077357321054805</v>
      </c>
    </row>
    <row r="112" spans="1:72" s="25" customFormat="1" x14ac:dyDescent="0.25">
      <c r="B112" s="25" t="s">
        <v>1092</v>
      </c>
      <c r="C112" s="259">
        <f>((C95)/(C63))*100</f>
        <v>171.75922960161947</v>
      </c>
      <c r="D112" s="259">
        <f t="shared" ref="D112:BO112" si="255">((D95)/(D63))*100</f>
        <v>171.75922960161947</v>
      </c>
      <c r="E112" s="259">
        <f t="shared" si="255"/>
        <v>175.42865429025423</v>
      </c>
      <c r="F112" s="259">
        <f t="shared" si="255"/>
        <v>-14.831562952521294</v>
      </c>
      <c r="G112" s="259">
        <f t="shared" si="255"/>
        <v>-15.319875246686591</v>
      </c>
      <c r="H112" s="259">
        <f t="shared" si="255"/>
        <v>-15.994226628317755</v>
      </c>
      <c r="I112" s="259">
        <f t="shared" si="255"/>
        <v>-16.721859578390585</v>
      </c>
      <c r="J112" s="259">
        <f t="shared" si="255"/>
        <v>-16.915240008310086</v>
      </c>
      <c r="K112" s="259">
        <f t="shared" si="255"/>
        <v>-17.761796120993882</v>
      </c>
      <c r="L112" s="259">
        <f t="shared" si="255"/>
        <v>-24.104727024758958</v>
      </c>
      <c r="M112" s="259">
        <f t="shared" si="255"/>
        <v>-22.988747432691525</v>
      </c>
      <c r="N112" s="259">
        <f t="shared" si="255"/>
        <v>61.183484375673281</v>
      </c>
      <c r="O112" s="259">
        <f t="shared" si="255"/>
        <v>-8.6075862110411432</v>
      </c>
      <c r="P112" s="259">
        <f t="shared" si="255"/>
        <v>95.018429266589195</v>
      </c>
      <c r="Q112" s="259">
        <f t="shared" si="255"/>
        <v>5.0587387387850447</v>
      </c>
      <c r="R112" s="259">
        <f t="shared" si="255"/>
        <v>4.579485007836487</v>
      </c>
      <c r="S112" s="259">
        <f t="shared" si="255"/>
        <v>0.68412443167816572</v>
      </c>
      <c r="T112" s="259">
        <f t="shared" si="255"/>
        <v>-1.0972699552902574</v>
      </c>
      <c r="U112" s="259">
        <f t="shared" si="255"/>
        <v>-4.410247473211661</v>
      </c>
      <c r="V112" s="259">
        <f t="shared" si="255"/>
        <v>-5.4940742502621287</v>
      </c>
      <c r="W112" s="259">
        <f t="shared" si="255"/>
        <v>-5.5849977884993391</v>
      </c>
      <c r="X112" s="259">
        <f t="shared" si="255"/>
        <v>-6.0925539825613226</v>
      </c>
      <c r="Y112" s="259">
        <f t="shared" si="255"/>
        <v>-6.8172161207328577</v>
      </c>
      <c r="Z112" s="259">
        <f t="shared" si="255"/>
        <v>-8.4736129166552594</v>
      </c>
      <c r="AA112" s="259">
        <f t="shared" si="255"/>
        <v>-8.1138989481348602</v>
      </c>
      <c r="AB112" s="259">
        <f t="shared" si="255"/>
        <v>-7.6316038096410548</v>
      </c>
      <c r="AC112" s="259">
        <f t="shared" si="255"/>
        <v>-7.5091433682122855</v>
      </c>
      <c r="AD112" s="259">
        <f t="shared" si="255"/>
        <v>-7.450515613702013</v>
      </c>
      <c r="AE112" s="259">
        <f t="shared" si="255"/>
        <v>-1.402282353629273</v>
      </c>
      <c r="AF112" s="259">
        <f t="shared" si="255"/>
        <v>-16.034811723256468</v>
      </c>
      <c r="AG112" s="259">
        <f t="shared" si="255"/>
        <v>-10.28455352893925</v>
      </c>
      <c r="AH112" s="259">
        <f t="shared" si="255"/>
        <v>-24.807961116994743</v>
      </c>
      <c r="AI112" s="259">
        <f t="shared" si="255"/>
        <v>-24.846296178975397</v>
      </c>
      <c r="AJ112" s="259">
        <f t="shared" si="255"/>
        <v>-24.846296178975397</v>
      </c>
      <c r="AK112" s="259">
        <f t="shared" si="255"/>
        <v>-24.135911924014124</v>
      </c>
      <c r="AL112" s="259">
        <f t="shared" si="255"/>
        <v>-24.135911924014124</v>
      </c>
      <c r="AM112" s="259">
        <f t="shared" si="255"/>
        <v>-24.135911924014124</v>
      </c>
      <c r="AN112" s="259">
        <f t="shared" si="255"/>
        <v>-23.664930805650638</v>
      </c>
      <c r="AO112" s="259">
        <f t="shared" si="255"/>
        <v>-23.664930805650638</v>
      </c>
      <c r="AP112" s="259">
        <f t="shared" si="255"/>
        <v>-22.77144809527702</v>
      </c>
      <c r="AQ112" s="259">
        <f t="shared" si="255"/>
        <v>-22.77144809527702</v>
      </c>
      <c r="AR112" s="259">
        <f t="shared" si="255"/>
        <v>-22.77144809527702</v>
      </c>
      <c r="AS112" s="259">
        <f t="shared" si="255"/>
        <v>13.228062100714974</v>
      </c>
      <c r="AT112" s="259">
        <f t="shared" si="255"/>
        <v>24.667175206823835</v>
      </c>
      <c r="AU112" s="259">
        <f t="shared" si="255"/>
        <v>41.655992465783157</v>
      </c>
      <c r="AV112" s="259">
        <f t="shared" si="255"/>
        <v>41.579985714204142</v>
      </c>
      <c r="AW112" s="259">
        <f t="shared" si="255"/>
        <v>41.579985714204142</v>
      </c>
      <c r="AX112" s="259">
        <f t="shared" si="255"/>
        <v>91.687799467264625</v>
      </c>
      <c r="AY112" s="259">
        <f t="shared" si="255"/>
        <v>91.687799467264625</v>
      </c>
      <c r="AZ112" s="259">
        <f t="shared" si="255"/>
        <v>97.570390121209655</v>
      </c>
      <c r="BA112" s="259">
        <f t="shared" si="255"/>
        <v>97.570390121209655</v>
      </c>
      <c r="BB112" s="259">
        <f t="shared" si="255"/>
        <v>97.570390121209655</v>
      </c>
      <c r="BC112" s="259">
        <f t="shared" si="255"/>
        <v>102.3896002366518</v>
      </c>
      <c r="BD112" s="259">
        <f t="shared" si="255"/>
        <v>102.3896002366518</v>
      </c>
      <c r="BE112" s="259">
        <f t="shared" si="255"/>
        <v>111.86230253148135</v>
      </c>
      <c r="BF112" s="259">
        <f t="shared" si="255"/>
        <v>111.86230253148135</v>
      </c>
      <c r="BG112" s="259">
        <f t="shared" si="255"/>
        <v>111.86230253148135</v>
      </c>
      <c r="BH112" s="259">
        <f t="shared" si="255"/>
        <v>123.49495899302849</v>
      </c>
      <c r="BI112" s="259">
        <f t="shared" si="255"/>
        <v>123.49495899302849</v>
      </c>
      <c r="BJ112" s="259">
        <f t="shared" si="255"/>
        <v>136.47197812869658</v>
      </c>
      <c r="BK112" s="259">
        <f t="shared" si="255"/>
        <v>136.47197812869658</v>
      </c>
      <c r="BL112" s="259">
        <f t="shared" si="255"/>
        <v>136.47197812869658</v>
      </c>
      <c r="BM112" s="259">
        <f t="shared" si="255"/>
        <v>151.96454845322603</v>
      </c>
      <c r="BN112" s="259">
        <f t="shared" si="255"/>
        <v>152.0739624216117</v>
      </c>
      <c r="BO112" s="259">
        <f t="shared" si="255"/>
        <v>97.800129798824926</v>
      </c>
      <c r="BP112" s="259">
        <f t="shared" ref="BP112:BT112" si="256">((BP95)/(BP63))*100</f>
        <v>97.800129798824926</v>
      </c>
      <c r="BQ112" s="259">
        <f t="shared" si="256"/>
        <v>97.800129798824926</v>
      </c>
      <c r="BR112" s="259">
        <f t="shared" si="256"/>
        <v>138.24230846526177</v>
      </c>
      <c r="BS112" s="259">
        <f t="shared" si="256"/>
        <v>138.24230846526177</v>
      </c>
      <c r="BT112" s="259">
        <f t="shared" si="256"/>
        <v>138.24230846526177</v>
      </c>
    </row>
    <row r="113" spans="1:72" s="25" customFormat="1" x14ac:dyDescent="0.25">
      <c r="B113" s="25" t="s">
        <v>1121</v>
      </c>
      <c r="C113" s="445">
        <f t="shared" ref="C113:BC113" si="257">C74/C63</f>
        <v>0.20518437401834919</v>
      </c>
      <c r="D113" s="445">
        <f t="shared" si="257"/>
        <v>0.20518437401834919</v>
      </c>
      <c r="E113" s="445">
        <f t="shared" si="257"/>
        <v>0.20518437401834919</v>
      </c>
      <c r="F113" s="445">
        <f t="shared" si="257"/>
        <v>0.24345344729190455</v>
      </c>
      <c r="G113" s="445">
        <f t="shared" si="257"/>
        <v>0.24528713070710464</v>
      </c>
      <c r="H113" s="445">
        <f t="shared" si="257"/>
        <v>0.24785408545288684</v>
      </c>
      <c r="I113" s="445">
        <f t="shared" si="257"/>
        <v>0.25043861931450856</v>
      </c>
      <c r="J113" s="445">
        <f t="shared" si="257"/>
        <v>0.26502952949547476</v>
      </c>
      <c r="K113" s="445">
        <f t="shared" si="257"/>
        <v>0.26705282946635739</v>
      </c>
      <c r="L113" s="445">
        <f t="shared" si="257"/>
        <v>0.28687565775559787</v>
      </c>
      <c r="M113" s="445">
        <f t="shared" si="257"/>
        <v>0.27446425143718711</v>
      </c>
      <c r="N113" s="445">
        <f t="shared" si="257"/>
        <v>0.42507421128134748</v>
      </c>
      <c r="O113" s="445">
        <f t="shared" si="257"/>
        <v>0.28717223639483047</v>
      </c>
      <c r="P113" s="445">
        <f t="shared" si="257"/>
        <v>0.42162256009204119</v>
      </c>
      <c r="Q113" s="445">
        <f t="shared" si="257"/>
        <v>0.29507168087311431</v>
      </c>
      <c r="R113" s="445">
        <f t="shared" si="257"/>
        <v>0.29673707259215865</v>
      </c>
      <c r="S113" s="445">
        <f t="shared" si="257"/>
        <v>0.29492024575033871</v>
      </c>
      <c r="T113" s="445">
        <f t="shared" si="257"/>
        <v>0.29773429324098194</v>
      </c>
      <c r="U113" s="445">
        <f t="shared" si="257"/>
        <v>0.29147626978950492</v>
      </c>
      <c r="V113" s="445">
        <f t="shared" si="257"/>
        <v>0.2922318237297673</v>
      </c>
      <c r="W113" s="445">
        <f t="shared" si="257"/>
        <v>0.29077027832911306</v>
      </c>
      <c r="X113" s="445">
        <f t="shared" si="257"/>
        <v>0.29151874044711928</v>
      </c>
      <c r="Y113" s="445">
        <f t="shared" si="257"/>
        <v>0.29382080565968743</v>
      </c>
      <c r="Z113" s="445">
        <f t="shared" si="257"/>
        <v>0.29836086706981463</v>
      </c>
      <c r="AA113" s="445">
        <f t="shared" si="257"/>
        <v>0.29836086706981463</v>
      </c>
      <c r="AB113" s="445">
        <f t="shared" si="257"/>
        <v>0.29836086706981463</v>
      </c>
      <c r="AC113" s="445">
        <f t="shared" si="257"/>
        <v>0.29836086706981463</v>
      </c>
      <c r="AD113" s="445">
        <f t="shared" si="257"/>
        <v>0.29979331310052632</v>
      </c>
      <c r="AE113" s="445">
        <f t="shared" si="257"/>
        <v>0.29168134003626672</v>
      </c>
      <c r="AF113" s="445">
        <f t="shared" si="257"/>
        <v>0.2974365470008401</v>
      </c>
      <c r="AG113" s="445">
        <f t="shared" si="257"/>
        <v>0.28932457393658051</v>
      </c>
      <c r="AH113" s="445">
        <f t="shared" si="257"/>
        <v>0.29426180299083449</v>
      </c>
      <c r="AI113" s="445">
        <f t="shared" si="257"/>
        <v>0.29791713133531517</v>
      </c>
      <c r="AJ113" s="445">
        <f t="shared" si="257"/>
        <v>0.29791713133531517</v>
      </c>
      <c r="AK113" s="445">
        <f t="shared" si="257"/>
        <v>0.29706820941466988</v>
      </c>
      <c r="AL113" s="445">
        <f t="shared" si="257"/>
        <v>0.29706820941466988</v>
      </c>
      <c r="AM113" s="445">
        <f t="shared" si="257"/>
        <v>0.29706820941466988</v>
      </c>
      <c r="AN113" s="445">
        <f t="shared" si="257"/>
        <v>0.29702256350133444</v>
      </c>
      <c r="AO113" s="445">
        <f t="shared" si="257"/>
        <v>0.29702256350133444</v>
      </c>
      <c r="AP113" s="445">
        <f t="shared" si="257"/>
        <v>0.29702256350133444</v>
      </c>
      <c r="AQ113" s="445">
        <f t="shared" si="257"/>
        <v>0.29702256350133444</v>
      </c>
      <c r="AR113" s="445">
        <f t="shared" si="257"/>
        <v>0.29702256350133444</v>
      </c>
      <c r="AS113" s="445">
        <f t="shared" si="257"/>
        <v>0.27999412660849188</v>
      </c>
      <c r="AT113" s="445">
        <f t="shared" si="257"/>
        <v>0.33541287129514574</v>
      </c>
      <c r="AU113" s="445">
        <f t="shared" si="257"/>
        <v>0.36344706922983533</v>
      </c>
      <c r="AV113" s="445">
        <f t="shared" si="257"/>
        <v>0.36344706922983533</v>
      </c>
      <c r="AW113" s="445">
        <f t="shared" si="257"/>
        <v>0.36344706922983533</v>
      </c>
      <c r="AX113" s="445">
        <f t="shared" si="257"/>
        <v>0.39536914789404037</v>
      </c>
      <c r="AY113" s="445">
        <f t="shared" si="257"/>
        <v>0.39536914789404037</v>
      </c>
      <c r="AZ113" s="445">
        <f t="shared" si="257"/>
        <v>0.39536914789404037</v>
      </c>
      <c r="BA113" s="445">
        <f t="shared" si="257"/>
        <v>0.39536914789404037</v>
      </c>
      <c r="BB113" s="445">
        <f t="shared" si="257"/>
        <v>0.39536914789404037</v>
      </c>
      <c r="BC113" s="445">
        <f t="shared" si="257"/>
        <v>0.39376163486430921</v>
      </c>
      <c r="BD113" s="445">
        <f>BD74/BD63</f>
        <v>0.39376163486430921</v>
      </c>
      <c r="BE113" s="445">
        <f t="shared" ref="BE113:BT113" si="258">BE74/BE63</f>
        <v>0.39376163486430921</v>
      </c>
      <c r="BF113" s="445">
        <f t="shared" si="258"/>
        <v>0.39376163486430921</v>
      </c>
      <c r="BG113" s="445">
        <f t="shared" si="258"/>
        <v>0.39376163486430921</v>
      </c>
      <c r="BH113" s="445">
        <f t="shared" si="258"/>
        <v>0.3916658522989766</v>
      </c>
      <c r="BI113" s="445">
        <f t="shared" si="258"/>
        <v>0.3916658522989766</v>
      </c>
      <c r="BJ113" s="445">
        <f t="shared" si="258"/>
        <v>0.3916658522989766</v>
      </c>
      <c r="BK113" s="445">
        <f t="shared" si="258"/>
        <v>0.3916658522989766</v>
      </c>
      <c r="BL113" s="445">
        <f t="shared" si="258"/>
        <v>0.3916658522989766</v>
      </c>
      <c r="BM113" s="445">
        <f t="shared" si="258"/>
        <v>0.38908180019804245</v>
      </c>
      <c r="BN113" s="445">
        <f t="shared" si="258"/>
        <v>0.38936193779736822</v>
      </c>
      <c r="BO113" s="445">
        <f t="shared" si="258"/>
        <v>0.38282348095425928</v>
      </c>
      <c r="BP113" s="445">
        <f t="shared" si="258"/>
        <v>0.38282348095425928</v>
      </c>
      <c r="BQ113" s="445">
        <f t="shared" si="258"/>
        <v>0.38282348095425928</v>
      </c>
      <c r="BR113" s="445">
        <f t="shared" si="258"/>
        <v>0.3793523557382989</v>
      </c>
      <c r="BS113" s="445">
        <f t="shared" si="258"/>
        <v>0.3793523557382989</v>
      </c>
      <c r="BT113" s="445">
        <f t="shared" si="258"/>
        <v>0.3793523557382989</v>
      </c>
    </row>
    <row r="114" spans="1:72" s="25" customFormat="1" x14ac:dyDescent="0.25">
      <c r="B114" s="25" t="s">
        <v>1122</v>
      </c>
      <c r="C114" s="445">
        <f t="shared" ref="C114:BC114" si="259">C94/C63</f>
        <v>1.9227766700345439</v>
      </c>
      <c r="D114" s="445">
        <f t="shared" si="259"/>
        <v>1.9227766700345439</v>
      </c>
      <c r="E114" s="445">
        <f t="shared" si="259"/>
        <v>1.9594709169208915</v>
      </c>
      <c r="F114" s="445">
        <f t="shared" si="259"/>
        <v>9.5137817766691612E-2</v>
      </c>
      <c r="G114" s="445">
        <f t="shared" si="259"/>
        <v>9.2088378240238744E-2</v>
      </c>
      <c r="H114" s="445">
        <f t="shared" si="259"/>
        <v>8.7911819169709304E-2</v>
      </c>
      <c r="I114" s="445">
        <f t="shared" si="259"/>
        <v>8.3220023530602691E-2</v>
      </c>
      <c r="J114" s="445">
        <f t="shared" si="259"/>
        <v>9.587712941237389E-2</v>
      </c>
      <c r="K114" s="445">
        <f t="shared" si="259"/>
        <v>8.9434868256418609E-2</v>
      </c>
      <c r="L114" s="445">
        <f t="shared" si="259"/>
        <v>4.5828387508008314E-2</v>
      </c>
      <c r="M114" s="445">
        <f t="shared" si="259"/>
        <v>4.4576777110271873E-2</v>
      </c>
      <c r="N114" s="445">
        <f t="shared" si="259"/>
        <v>1.0369090550380802</v>
      </c>
      <c r="O114" s="445">
        <f t="shared" si="259"/>
        <v>0.20109637428441904</v>
      </c>
      <c r="P114" s="445">
        <f t="shared" si="259"/>
        <v>1.371806852757933</v>
      </c>
      <c r="Q114" s="445">
        <f t="shared" si="259"/>
        <v>0.34565906826096476</v>
      </c>
      <c r="R114" s="445">
        <f t="shared" si="259"/>
        <v>0.34253192267052351</v>
      </c>
      <c r="S114" s="445">
        <f t="shared" si="259"/>
        <v>0.30176149006712033</v>
      </c>
      <c r="T114" s="445">
        <f t="shared" si="259"/>
        <v>0.28676159368807935</v>
      </c>
      <c r="U114" s="445">
        <f t="shared" si="259"/>
        <v>0.2473737950573883</v>
      </c>
      <c r="V114" s="445">
        <f t="shared" si="259"/>
        <v>0.23729108122714598</v>
      </c>
      <c r="W114" s="445">
        <f t="shared" si="259"/>
        <v>0.23492030044411968</v>
      </c>
      <c r="X114" s="445">
        <f t="shared" si="259"/>
        <v>0.23059320062150609</v>
      </c>
      <c r="Y114" s="445">
        <f t="shared" si="259"/>
        <v>0.22564864445235885</v>
      </c>
      <c r="Z114" s="445">
        <f t="shared" si="259"/>
        <v>0.21362473790326203</v>
      </c>
      <c r="AA114" s="445">
        <f t="shared" si="259"/>
        <v>0.21722187758846603</v>
      </c>
      <c r="AB114" s="445">
        <f t="shared" si="259"/>
        <v>0.22204482897340408</v>
      </c>
      <c r="AC114" s="445">
        <f t="shared" si="259"/>
        <v>0.22326943338769176</v>
      </c>
      <c r="AD114" s="445">
        <f t="shared" si="259"/>
        <v>0.22528815696350618</v>
      </c>
      <c r="AE114" s="445">
        <f t="shared" si="259"/>
        <v>0.27765851649997403</v>
      </c>
      <c r="AF114" s="445">
        <f t="shared" si="259"/>
        <v>0.1370884297682754</v>
      </c>
      <c r="AG114" s="445">
        <f t="shared" si="259"/>
        <v>0.18647903864718801</v>
      </c>
      <c r="AH114" s="445">
        <f t="shared" si="259"/>
        <v>4.6182191820887071E-2</v>
      </c>
      <c r="AI114" s="445">
        <f t="shared" si="259"/>
        <v>4.9454169545561179E-2</v>
      </c>
      <c r="AJ114" s="445">
        <f t="shared" si="259"/>
        <v>4.9454169545561179E-2</v>
      </c>
      <c r="AK114" s="445">
        <f t="shared" si="259"/>
        <v>5.5709090174528617E-2</v>
      </c>
      <c r="AL114" s="445">
        <f t="shared" si="259"/>
        <v>5.5709090174528617E-2</v>
      </c>
      <c r="AM114" s="445">
        <f t="shared" si="259"/>
        <v>5.5709090174528617E-2</v>
      </c>
      <c r="AN114" s="445">
        <f t="shared" si="259"/>
        <v>6.0373255444828057E-2</v>
      </c>
      <c r="AO114" s="445">
        <f t="shared" si="259"/>
        <v>6.0373255444828057E-2</v>
      </c>
      <c r="AP114" s="445">
        <f t="shared" si="259"/>
        <v>6.9308082548564257E-2</v>
      </c>
      <c r="AQ114" s="445">
        <f t="shared" si="259"/>
        <v>6.9308082548564257E-2</v>
      </c>
      <c r="AR114" s="445">
        <f t="shared" si="259"/>
        <v>6.9308082548564257E-2</v>
      </c>
      <c r="AS114" s="445">
        <f t="shared" si="259"/>
        <v>0.41227474761564165</v>
      </c>
      <c r="AT114" s="445">
        <f t="shared" si="259"/>
        <v>0.58208462336338407</v>
      </c>
      <c r="AU114" s="445">
        <f t="shared" si="259"/>
        <v>0.78000699388766692</v>
      </c>
      <c r="AV114" s="445">
        <f t="shared" si="259"/>
        <v>0.77924692637187676</v>
      </c>
      <c r="AW114" s="445">
        <f t="shared" si="259"/>
        <v>0.77924692637187676</v>
      </c>
      <c r="AX114" s="445">
        <f t="shared" si="259"/>
        <v>1.3122471425666866</v>
      </c>
      <c r="AY114" s="445">
        <f t="shared" si="259"/>
        <v>1.3122471425666866</v>
      </c>
      <c r="AZ114" s="445">
        <f t="shared" si="259"/>
        <v>1.3710730491061369</v>
      </c>
      <c r="BA114" s="445">
        <f t="shared" si="259"/>
        <v>1.3710730491061369</v>
      </c>
      <c r="BB114" s="445">
        <f t="shared" si="259"/>
        <v>1.3710730491061369</v>
      </c>
      <c r="BC114" s="445">
        <f t="shared" si="259"/>
        <v>1.4176576372308272</v>
      </c>
      <c r="BD114" s="445">
        <f>BD94/BD63</f>
        <v>1.4176576372308272</v>
      </c>
      <c r="BE114" s="445">
        <f t="shared" ref="BE114:BT114" si="260">BE94/BE63</f>
        <v>1.5123846601791229</v>
      </c>
      <c r="BF114" s="445">
        <f t="shared" si="260"/>
        <v>1.5123846601791229</v>
      </c>
      <c r="BG114" s="445">
        <f t="shared" si="260"/>
        <v>1.5123846601791229</v>
      </c>
      <c r="BH114" s="445">
        <f t="shared" si="260"/>
        <v>1.6266154422292616</v>
      </c>
      <c r="BI114" s="445">
        <f t="shared" si="260"/>
        <v>1.6266154422292616</v>
      </c>
      <c r="BJ114" s="445">
        <f t="shared" si="260"/>
        <v>1.7563856335859425</v>
      </c>
      <c r="BK114" s="445">
        <f t="shared" si="260"/>
        <v>1.7563856335859425</v>
      </c>
      <c r="BL114" s="445">
        <f t="shared" si="260"/>
        <v>1.7563856335859425</v>
      </c>
      <c r="BM114" s="445">
        <f t="shared" si="260"/>
        <v>1.9087272847303027</v>
      </c>
      <c r="BN114" s="445">
        <f t="shared" si="260"/>
        <v>1.9101015620134854</v>
      </c>
      <c r="BO114" s="445">
        <f t="shared" si="260"/>
        <v>1.3608247789425085</v>
      </c>
      <c r="BP114" s="445">
        <f t="shared" si="260"/>
        <v>1.3608247789425085</v>
      </c>
      <c r="BQ114" s="445">
        <f t="shared" si="260"/>
        <v>1.3608247789425085</v>
      </c>
      <c r="BR114" s="445">
        <f t="shared" si="260"/>
        <v>1.7617754403909169</v>
      </c>
      <c r="BS114" s="445">
        <f t="shared" si="260"/>
        <v>1.7617754403909169</v>
      </c>
      <c r="BT114" s="445">
        <f t="shared" si="260"/>
        <v>1.7617754403909169</v>
      </c>
    </row>
    <row r="115" spans="1:72" s="25" customFormat="1" x14ac:dyDescent="0.25">
      <c r="C115" s="259"/>
      <c r="D115" s="259"/>
      <c r="E115" s="259"/>
      <c r="F115" s="259"/>
      <c r="G115" s="259"/>
      <c r="H115" s="259"/>
      <c r="I115" s="259"/>
      <c r="J115" s="259"/>
      <c r="K115" s="259"/>
      <c r="L115" s="259"/>
      <c r="M115" s="259"/>
      <c r="N115" s="259"/>
      <c r="O115" s="259"/>
      <c r="P115" s="259"/>
      <c r="Q115" s="259"/>
      <c r="R115" s="259"/>
      <c r="S115" s="259"/>
      <c r="T115" s="259"/>
      <c r="U115" s="259"/>
      <c r="V115" s="259"/>
      <c r="W115" s="259"/>
      <c r="X115" s="259"/>
      <c r="Y115" s="259"/>
      <c r="Z115" s="259"/>
      <c r="AA115" s="259"/>
      <c r="AB115" s="259"/>
      <c r="AC115" s="259"/>
      <c r="AD115" s="259"/>
      <c r="AE115" s="259"/>
      <c r="AF115" s="259"/>
      <c r="AG115" s="259"/>
      <c r="AH115" s="259"/>
      <c r="AI115" s="259"/>
      <c r="AJ115" s="259"/>
      <c r="AK115" s="259"/>
      <c r="AL115" s="259"/>
      <c r="AM115" s="259"/>
      <c r="AN115" s="259"/>
      <c r="AO115" s="259"/>
      <c r="AP115" s="259"/>
      <c r="AQ115" s="259"/>
      <c r="AR115" s="259"/>
      <c r="AS115" s="259"/>
      <c r="AT115" s="259"/>
      <c r="AU115" s="259"/>
      <c r="AV115" s="259"/>
      <c r="AW115" s="259"/>
      <c r="AX115" s="259"/>
      <c r="AY115" s="259"/>
      <c r="AZ115" s="259"/>
      <c r="BA115" s="259"/>
      <c r="BB115" s="259"/>
      <c r="BC115" s="259"/>
      <c r="BD115" s="259"/>
      <c r="BE115" s="259"/>
      <c r="BF115" s="259"/>
      <c r="BG115" s="259"/>
      <c r="BH115" s="259"/>
      <c r="BI115" s="259"/>
      <c r="BJ115" s="259"/>
      <c r="BK115" s="259"/>
      <c r="BL115" s="259"/>
      <c r="BM115" s="259"/>
      <c r="BN115" s="259"/>
      <c r="BO115" s="259"/>
      <c r="BP115" s="259"/>
      <c r="BQ115" s="259"/>
      <c r="BR115" s="259"/>
      <c r="BS115" s="259"/>
      <c r="BT115" s="259"/>
    </row>
    <row r="116" spans="1:72" s="25" customFormat="1" x14ac:dyDescent="0.25">
      <c r="C116" s="259"/>
      <c r="D116" s="259"/>
      <c r="E116" s="259"/>
      <c r="F116" s="259"/>
      <c r="G116" s="259"/>
      <c r="H116" s="259"/>
      <c r="I116" s="259"/>
      <c r="J116" s="259"/>
      <c r="K116" s="259"/>
      <c r="L116" s="259"/>
      <c r="M116" s="259"/>
      <c r="N116" s="259"/>
      <c r="O116" s="259"/>
      <c r="P116" s="259"/>
      <c r="Q116" s="259"/>
      <c r="R116" s="259"/>
      <c r="S116" s="259"/>
      <c r="T116" s="259"/>
      <c r="U116" s="259"/>
      <c r="V116" s="259"/>
      <c r="W116" s="259"/>
      <c r="X116" s="259"/>
      <c r="Y116" s="259"/>
      <c r="Z116" s="259"/>
      <c r="AA116" s="259"/>
      <c r="AB116" s="259"/>
      <c r="AC116" s="259"/>
      <c r="AD116" s="259"/>
      <c r="AE116" s="259"/>
      <c r="AF116" s="259"/>
      <c r="AG116" s="259"/>
      <c r="AH116" s="259"/>
      <c r="AI116" s="259"/>
      <c r="AJ116" s="259"/>
      <c r="AK116" s="259"/>
      <c r="AL116" s="259"/>
      <c r="AM116" s="259"/>
      <c r="AN116" s="259"/>
      <c r="AO116" s="259"/>
      <c r="AP116" s="259"/>
      <c r="AQ116" s="259"/>
      <c r="AR116" s="259"/>
      <c r="AS116" s="259"/>
      <c r="AT116" s="259"/>
      <c r="AU116" s="259"/>
      <c r="AV116" s="259"/>
      <c r="AW116" s="259"/>
      <c r="AX116" s="259"/>
      <c r="AY116" s="259"/>
      <c r="AZ116" s="259"/>
      <c r="BA116" s="259"/>
      <c r="BB116" s="259"/>
      <c r="BC116" s="259"/>
      <c r="BD116" s="259"/>
      <c r="BE116" s="259"/>
      <c r="BF116" s="259"/>
      <c r="BG116" s="259"/>
      <c r="BH116" s="259"/>
      <c r="BI116" s="259"/>
      <c r="BJ116" s="259"/>
      <c r="BK116" s="259"/>
      <c r="BL116" s="259"/>
      <c r="BM116" s="259"/>
      <c r="BN116" s="259"/>
      <c r="BO116" s="259"/>
      <c r="BP116" s="259"/>
      <c r="BQ116" s="259"/>
      <c r="BR116" s="259"/>
      <c r="BS116" s="259"/>
      <c r="BT116" s="259"/>
    </row>
    <row r="117" spans="1:72" s="25" customFormat="1" x14ac:dyDescent="0.25">
      <c r="C117" s="259"/>
      <c r="D117" s="259"/>
      <c r="E117" s="259"/>
      <c r="F117" s="259"/>
      <c r="G117" s="259"/>
      <c r="H117" s="259"/>
      <c r="I117" s="259"/>
      <c r="J117" s="259"/>
      <c r="K117" s="259"/>
      <c r="L117" s="259"/>
      <c r="M117" s="259"/>
      <c r="N117" s="259"/>
      <c r="O117" s="259"/>
      <c r="P117" s="259"/>
      <c r="Q117" s="259"/>
      <c r="R117" s="259"/>
      <c r="S117" s="259"/>
      <c r="T117" s="259"/>
      <c r="U117" s="259"/>
      <c r="V117" s="259"/>
      <c r="W117" s="259"/>
      <c r="X117" s="259"/>
      <c r="Y117" s="259"/>
      <c r="Z117" s="259"/>
      <c r="AA117" s="259"/>
      <c r="AB117" s="259"/>
      <c r="AC117" s="259"/>
      <c r="AD117" s="259"/>
      <c r="AE117" s="259"/>
      <c r="AF117" s="259"/>
      <c r="AG117" s="259"/>
      <c r="AH117" s="259"/>
      <c r="AI117" s="259"/>
      <c r="AJ117" s="259"/>
      <c r="AK117" s="259"/>
      <c r="AL117" s="259"/>
      <c r="AM117" s="259"/>
      <c r="AN117" s="259"/>
      <c r="AO117" s="259"/>
      <c r="AP117" s="259"/>
      <c r="AQ117" s="259"/>
      <c r="AR117" s="259"/>
      <c r="AS117" s="259"/>
      <c r="AT117" s="259"/>
      <c r="AU117" s="259"/>
      <c r="AV117" s="259"/>
      <c r="AW117" s="259"/>
      <c r="AX117" s="259"/>
      <c r="AY117" s="259"/>
      <c r="AZ117" s="259"/>
      <c r="BA117" s="259"/>
      <c r="BB117" s="259"/>
      <c r="BC117" s="259"/>
      <c r="BD117" s="259"/>
      <c r="BE117" s="259"/>
      <c r="BF117" s="259"/>
      <c r="BG117" s="259"/>
      <c r="BH117" s="259"/>
      <c r="BI117" s="259"/>
      <c r="BJ117" s="259"/>
      <c r="BK117" s="259"/>
      <c r="BL117" s="259"/>
      <c r="BM117" s="259"/>
      <c r="BN117" s="259"/>
      <c r="BO117" s="259"/>
      <c r="BP117" s="259"/>
      <c r="BQ117" s="259"/>
      <c r="BR117" s="259"/>
      <c r="BS117" s="259"/>
      <c r="BT117" s="259"/>
    </row>
    <row r="118" spans="1:72" s="25" customFormat="1" x14ac:dyDescent="0.25">
      <c r="C118" s="259"/>
      <c r="D118" s="259"/>
      <c r="E118" s="259"/>
      <c r="F118" s="259"/>
      <c r="G118" s="259"/>
      <c r="H118" s="259"/>
      <c r="I118" s="259"/>
      <c r="J118" s="259"/>
      <c r="K118" s="259"/>
      <c r="L118" s="259"/>
      <c r="M118" s="259"/>
      <c r="N118" s="259"/>
      <c r="O118" s="259"/>
      <c r="P118" s="259"/>
      <c r="Q118" s="259"/>
      <c r="R118" s="259"/>
      <c r="S118" s="259"/>
      <c r="T118" s="259"/>
      <c r="U118" s="259"/>
      <c r="V118" s="259"/>
      <c r="W118" s="259"/>
      <c r="X118" s="259"/>
      <c r="Y118" s="259"/>
      <c r="Z118" s="259"/>
      <c r="AA118" s="259"/>
      <c r="AB118" s="259"/>
      <c r="AC118" s="259"/>
      <c r="AD118" s="259"/>
      <c r="AE118" s="259"/>
      <c r="AF118" s="259"/>
      <c r="AG118" s="259"/>
      <c r="AH118" s="259"/>
      <c r="AI118" s="259"/>
      <c r="AJ118" s="259"/>
      <c r="AK118" s="259"/>
      <c r="AL118" s="259"/>
      <c r="AM118" s="259"/>
      <c r="AN118" s="259"/>
      <c r="AO118" s="259"/>
      <c r="AP118" s="259"/>
      <c r="AQ118" s="259"/>
      <c r="AR118" s="259"/>
      <c r="AS118" s="259"/>
      <c r="AT118" s="259"/>
      <c r="AU118" s="259"/>
      <c r="AV118" s="259"/>
      <c r="AW118" s="259"/>
      <c r="AX118" s="259"/>
      <c r="AY118" s="259"/>
      <c r="AZ118" s="259"/>
      <c r="BA118" s="259"/>
      <c r="BB118" s="259"/>
      <c r="BC118" s="259"/>
      <c r="BD118" s="259"/>
      <c r="BE118" s="259"/>
      <c r="BF118" s="259"/>
      <c r="BG118" s="259"/>
      <c r="BH118" s="259"/>
      <c r="BI118" s="259"/>
      <c r="BJ118" s="259"/>
      <c r="BK118" s="259"/>
      <c r="BL118" s="259"/>
      <c r="BM118" s="259"/>
      <c r="BN118" s="259"/>
      <c r="BO118" s="259"/>
      <c r="BP118" s="259"/>
      <c r="BQ118" s="259"/>
      <c r="BR118" s="259"/>
      <c r="BS118" s="259"/>
      <c r="BT118" s="259"/>
    </row>
    <row r="119" spans="1:72" s="25" customFormat="1" ht="15.75" thickBot="1" x14ac:dyDescent="0.3">
      <c r="C119" s="259"/>
      <c r="D119" s="259"/>
      <c r="E119" s="259"/>
      <c r="F119" s="259"/>
      <c r="G119" s="259"/>
      <c r="H119" s="259"/>
      <c r="I119" s="259"/>
      <c r="J119" s="259"/>
      <c r="K119" s="259"/>
      <c r="L119" s="259"/>
      <c r="M119" s="259"/>
      <c r="N119" s="259"/>
      <c r="O119" s="259"/>
      <c r="P119" s="259"/>
      <c r="Q119" s="259"/>
      <c r="R119" s="259"/>
      <c r="S119" s="259"/>
      <c r="T119" s="259"/>
      <c r="U119" s="259"/>
      <c r="V119" s="259"/>
      <c r="W119" s="259"/>
      <c r="X119" s="259"/>
      <c r="Y119" s="259"/>
      <c r="Z119" s="259"/>
      <c r="AA119" s="259"/>
      <c r="AB119" s="259"/>
      <c r="AC119" s="259"/>
      <c r="AD119" s="259"/>
      <c r="AE119" s="259"/>
      <c r="AF119" s="259"/>
      <c r="AG119" s="259"/>
      <c r="AH119" s="259"/>
      <c r="AI119" s="259"/>
      <c r="AJ119" s="259"/>
      <c r="AK119" s="259"/>
      <c r="AL119" s="259"/>
      <c r="AM119" s="259"/>
      <c r="AN119" s="259"/>
      <c r="AO119" s="259"/>
      <c r="AP119" s="259"/>
      <c r="AQ119" s="259"/>
      <c r="AR119" s="259"/>
      <c r="AS119" s="259"/>
      <c r="AT119" s="259"/>
      <c r="AU119" s="259"/>
      <c r="AV119" s="259"/>
      <c r="AW119" s="259"/>
      <c r="AX119" s="259"/>
      <c r="AY119" s="259"/>
      <c r="AZ119" s="259"/>
      <c r="BA119" s="259"/>
      <c r="BB119" s="259"/>
      <c r="BC119" s="259"/>
      <c r="BD119" s="259"/>
      <c r="BE119" s="259"/>
      <c r="BF119" s="259"/>
      <c r="BG119" s="259"/>
      <c r="BH119" s="259"/>
      <c r="BI119" s="259"/>
      <c r="BJ119" s="259"/>
      <c r="BK119" s="259"/>
      <c r="BL119" s="259"/>
      <c r="BM119" s="259"/>
      <c r="BN119" s="259"/>
      <c r="BO119" s="259"/>
      <c r="BP119" s="259"/>
      <c r="BQ119" s="259"/>
      <c r="BR119" s="259"/>
      <c r="BS119" s="259"/>
      <c r="BT119" s="259"/>
    </row>
    <row r="120" spans="1:72" x14ac:dyDescent="0.25">
      <c r="A120" s="423"/>
      <c r="B120" s="134" t="s">
        <v>71</v>
      </c>
      <c r="C120" s="135"/>
      <c r="D120" s="135"/>
      <c r="E120" s="135"/>
      <c r="F120" s="122"/>
      <c r="G120" s="135"/>
      <c r="H120" s="135"/>
      <c r="I120" s="135"/>
      <c r="J120" s="135"/>
      <c r="K120" s="135"/>
      <c r="L120" s="284"/>
      <c r="M120" s="136"/>
      <c r="N120" s="136"/>
      <c r="O120" s="136"/>
      <c r="P120" s="136"/>
      <c r="Q120" s="128"/>
      <c r="R120" s="136"/>
      <c r="S120" s="136"/>
      <c r="T120" s="136"/>
      <c r="U120" s="136"/>
      <c r="V120" s="136"/>
      <c r="W120" s="136"/>
      <c r="X120" s="136"/>
      <c r="Y120" s="136"/>
      <c r="Z120" s="136"/>
      <c r="AA120" s="136"/>
      <c r="AB120" s="136"/>
      <c r="AC120" s="136"/>
      <c r="AD120" s="136"/>
      <c r="AE120" s="136"/>
      <c r="AF120" s="136"/>
      <c r="AG120" s="136"/>
      <c r="AH120" s="136"/>
      <c r="AI120" s="136"/>
      <c r="AJ120" s="136"/>
      <c r="AK120" s="136"/>
      <c r="AL120" s="136"/>
      <c r="AM120" s="136"/>
      <c r="AN120" s="136"/>
      <c r="AO120" s="136"/>
      <c r="AP120" s="136"/>
      <c r="AQ120" s="136"/>
      <c r="AR120" s="136"/>
      <c r="AS120" s="311"/>
      <c r="AT120" s="136"/>
      <c r="AU120" s="136"/>
      <c r="AV120" s="136"/>
      <c r="AW120" s="136"/>
      <c r="AX120" s="136"/>
      <c r="AY120" s="136"/>
      <c r="AZ120" s="136"/>
      <c r="BA120" s="136"/>
      <c r="BB120" s="136"/>
      <c r="BC120" s="136"/>
      <c r="BD120" s="136"/>
      <c r="BE120" s="136"/>
      <c r="BF120" s="136"/>
      <c r="BG120" s="136"/>
      <c r="BH120" s="136"/>
      <c r="BI120" s="136"/>
      <c r="BJ120" s="136"/>
      <c r="BK120" s="136"/>
      <c r="BL120" s="136"/>
      <c r="BM120" s="136"/>
      <c r="BN120" s="136"/>
      <c r="BO120" s="136"/>
      <c r="BP120" s="136"/>
      <c r="BQ120" s="136"/>
      <c r="BR120" s="136"/>
      <c r="BS120" s="136"/>
      <c r="BT120" s="137"/>
    </row>
    <row r="121" spans="1:72" x14ac:dyDescent="0.25">
      <c r="A121" s="423"/>
      <c r="B121" s="115" t="s">
        <v>72</v>
      </c>
      <c r="C121" s="122">
        <v>21</v>
      </c>
      <c r="D121" s="122">
        <v>22</v>
      </c>
      <c r="E121" s="122">
        <v>23</v>
      </c>
      <c r="F121" s="122">
        <v>24</v>
      </c>
      <c r="G121" s="122">
        <v>25</v>
      </c>
      <c r="H121" s="122">
        <v>26</v>
      </c>
      <c r="I121" s="122">
        <v>27</v>
      </c>
      <c r="J121" s="122">
        <v>28</v>
      </c>
      <c r="K121" s="122">
        <v>29</v>
      </c>
      <c r="L121" s="284">
        <v>30</v>
      </c>
      <c r="M121" s="128">
        <v>31</v>
      </c>
      <c r="N121" s="128">
        <v>32</v>
      </c>
      <c r="O121" s="128">
        <v>33</v>
      </c>
      <c r="P121" s="128">
        <v>34</v>
      </c>
      <c r="Q121" s="128">
        <v>35</v>
      </c>
      <c r="R121" s="128">
        <v>36</v>
      </c>
      <c r="S121" s="128">
        <v>37</v>
      </c>
      <c r="T121" s="189">
        <v>38</v>
      </c>
      <c r="U121" s="189">
        <v>39</v>
      </c>
      <c r="V121" s="189">
        <v>40</v>
      </c>
      <c r="W121" s="128">
        <v>41</v>
      </c>
      <c r="X121" s="128">
        <v>42</v>
      </c>
      <c r="Y121" s="128">
        <v>43</v>
      </c>
      <c r="Z121" s="128">
        <v>44</v>
      </c>
      <c r="AA121" s="128">
        <v>45</v>
      </c>
      <c r="AB121" s="128">
        <v>46</v>
      </c>
      <c r="AC121" s="128">
        <v>47</v>
      </c>
      <c r="AD121" s="128">
        <v>48</v>
      </c>
      <c r="AE121" s="128">
        <v>49</v>
      </c>
      <c r="AF121" s="128">
        <v>50</v>
      </c>
      <c r="AG121" s="128">
        <v>51</v>
      </c>
      <c r="AH121" s="128">
        <v>52</v>
      </c>
      <c r="AI121" s="128">
        <v>53</v>
      </c>
      <c r="AJ121" s="128">
        <v>54</v>
      </c>
      <c r="AK121" s="128">
        <v>55</v>
      </c>
      <c r="AL121" s="128">
        <v>56</v>
      </c>
      <c r="AM121" s="128">
        <v>57</v>
      </c>
      <c r="AN121" s="128">
        <v>58</v>
      </c>
      <c r="AO121" s="128">
        <v>59</v>
      </c>
      <c r="AP121" s="128">
        <v>60</v>
      </c>
      <c r="AQ121" s="128">
        <v>61</v>
      </c>
      <c r="AR121" s="128">
        <v>62</v>
      </c>
      <c r="AS121" s="189">
        <v>63</v>
      </c>
      <c r="AT121" s="128">
        <v>64</v>
      </c>
      <c r="AU121" s="128">
        <v>65</v>
      </c>
      <c r="AV121" s="128">
        <v>66</v>
      </c>
      <c r="AW121" s="128">
        <v>67</v>
      </c>
      <c r="AX121" s="128">
        <v>68</v>
      </c>
      <c r="AY121" s="128">
        <v>69</v>
      </c>
      <c r="AZ121" s="128">
        <v>70</v>
      </c>
      <c r="BA121" s="128">
        <v>71</v>
      </c>
      <c r="BB121" s="128">
        <v>72</v>
      </c>
      <c r="BC121" s="128">
        <v>73</v>
      </c>
      <c r="BD121" s="128">
        <v>74</v>
      </c>
      <c r="BE121" s="128">
        <v>75</v>
      </c>
      <c r="BF121" s="128">
        <v>76</v>
      </c>
      <c r="BG121" s="128">
        <v>77</v>
      </c>
      <c r="BH121" s="128">
        <v>78</v>
      </c>
      <c r="BI121" s="128">
        <v>79</v>
      </c>
      <c r="BJ121" s="128">
        <v>80</v>
      </c>
      <c r="BK121" s="128">
        <v>81</v>
      </c>
      <c r="BL121" s="128">
        <v>82</v>
      </c>
      <c r="BM121" s="128">
        <v>83</v>
      </c>
      <c r="BN121" s="128">
        <v>84</v>
      </c>
      <c r="BO121" s="128"/>
      <c r="BP121" s="128"/>
      <c r="BQ121" s="128"/>
      <c r="BR121" s="128"/>
      <c r="BS121" s="128"/>
      <c r="BT121" s="138"/>
    </row>
    <row r="122" spans="1:72" s="185" customFormat="1" x14ac:dyDescent="0.25">
      <c r="B122" s="188" t="s">
        <v>73</v>
      </c>
      <c r="C122" s="275">
        <v>25000</v>
      </c>
      <c r="D122" s="276">
        <f>'Calculs source'!X64</f>
        <v>41439.726000000002</v>
      </c>
      <c r="E122" s="276">
        <f t="shared" ref="E122:M122" si="261">D122+$C$133</f>
        <v>42438.384000000005</v>
      </c>
      <c r="F122" s="276">
        <f t="shared" si="261"/>
        <v>43437.042000000009</v>
      </c>
      <c r="G122" s="276">
        <f t="shared" si="261"/>
        <v>44435.700000000012</v>
      </c>
      <c r="H122" s="276">
        <f t="shared" si="261"/>
        <v>45434.358000000015</v>
      </c>
      <c r="I122" s="276">
        <f t="shared" si="261"/>
        <v>46433.016000000018</v>
      </c>
      <c r="J122" s="276">
        <f t="shared" si="261"/>
        <v>47431.674000000021</v>
      </c>
      <c r="K122" s="276">
        <f t="shared" si="261"/>
        <v>48430.332000000024</v>
      </c>
      <c r="L122" s="285">
        <f t="shared" si="261"/>
        <v>49428.990000000027</v>
      </c>
      <c r="M122" s="190">
        <f t="shared" si="261"/>
        <v>50427.64800000003</v>
      </c>
      <c r="N122" s="190">
        <f>(M122+$C$133)/52*45</f>
        <v>44503.53403846157</v>
      </c>
      <c r="O122" s="190">
        <f>M122+C133*2</f>
        <v>52424.964000000029</v>
      </c>
      <c r="P122" s="190">
        <f>(O122+$C$133)/52*45</f>
        <v>46231.980576923102</v>
      </c>
      <c r="Q122" s="190">
        <f>O122+C133*2</f>
        <v>54422.280000000028</v>
      </c>
      <c r="R122" s="190">
        <f>Q122+$C$133</f>
        <v>55420.938000000031</v>
      </c>
      <c r="S122" s="190">
        <f>R122+$C$133</f>
        <v>56419.596000000034</v>
      </c>
      <c r="T122" s="190">
        <f>'Calculs source'!X63</f>
        <v>57418.254000000001</v>
      </c>
      <c r="U122" s="190">
        <f t="shared" ref="U122:Y122" si="262">T122+$C$133</f>
        <v>58416.912000000004</v>
      </c>
      <c r="V122" s="190">
        <f t="shared" si="262"/>
        <v>59415.570000000007</v>
      </c>
      <c r="W122" s="190">
        <f t="shared" si="262"/>
        <v>60414.22800000001</v>
      </c>
      <c r="X122" s="190">
        <f t="shared" si="262"/>
        <v>61412.886000000013</v>
      </c>
      <c r="Y122" s="190">
        <f t="shared" si="262"/>
        <v>62411.544000000016</v>
      </c>
      <c r="Z122" s="190">
        <f>'Calculs source'!X65</f>
        <v>63055.938000000002</v>
      </c>
      <c r="AA122" s="190">
        <f>Z122</f>
        <v>63055.938000000002</v>
      </c>
      <c r="AB122" s="190">
        <f>AA122</f>
        <v>63055.938000000002</v>
      </c>
      <c r="AC122" s="190">
        <f>AB122</f>
        <v>63055.938000000002</v>
      </c>
      <c r="AD122" s="190">
        <f>AC122</f>
        <v>63055.938000000002</v>
      </c>
      <c r="AE122" s="190">
        <f t="shared" ref="AE122:AO122" si="263">$AP$122</f>
        <v>63055.938000000002</v>
      </c>
      <c r="AF122" s="190">
        <f t="shared" si="263"/>
        <v>63055.938000000002</v>
      </c>
      <c r="AG122" s="190">
        <f t="shared" si="263"/>
        <v>63055.938000000002</v>
      </c>
      <c r="AH122" s="190">
        <f t="shared" si="263"/>
        <v>63055.938000000002</v>
      </c>
      <c r="AI122" s="190">
        <f t="shared" si="263"/>
        <v>63055.938000000002</v>
      </c>
      <c r="AJ122" s="190">
        <f t="shared" si="263"/>
        <v>63055.938000000002</v>
      </c>
      <c r="AK122" s="190">
        <f t="shared" si="263"/>
        <v>63055.938000000002</v>
      </c>
      <c r="AL122" s="190">
        <f t="shared" si="263"/>
        <v>63055.938000000002</v>
      </c>
      <c r="AM122" s="190">
        <f t="shared" si="263"/>
        <v>63055.938000000002</v>
      </c>
      <c r="AN122" s="190">
        <f t="shared" si="263"/>
        <v>63055.938000000002</v>
      </c>
      <c r="AO122" s="190">
        <f t="shared" si="263"/>
        <v>63055.938000000002</v>
      </c>
      <c r="AP122" s="192">
        <f>'Calculs source'!$X$65</f>
        <v>63055.938000000002</v>
      </c>
      <c r="AQ122" s="192">
        <f>'Calculs source'!$X$65</f>
        <v>63055.938000000002</v>
      </c>
      <c r="AR122" s="192">
        <f>'Calculs source'!$X$65</f>
        <v>63055.938000000002</v>
      </c>
      <c r="AS122" s="189"/>
      <c r="AT122" s="189"/>
      <c r="AU122" s="189"/>
      <c r="AV122" s="189"/>
      <c r="AW122" s="189"/>
      <c r="AX122" s="189"/>
      <c r="AY122" s="189"/>
      <c r="AZ122" s="189"/>
      <c r="BA122" s="189"/>
      <c r="BB122" s="189"/>
      <c r="BC122" s="189"/>
      <c r="BD122" s="189"/>
      <c r="BE122" s="189"/>
      <c r="BF122" s="189"/>
      <c r="BG122" s="189"/>
      <c r="BH122" s="189"/>
      <c r="BI122" s="189"/>
      <c r="BJ122" s="189"/>
      <c r="BK122" s="189"/>
      <c r="BL122" s="189"/>
      <c r="BM122" s="189"/>
      <c r="BN122" s="189"/>
      <c r="BO122" s="189"/>
      <c r="BP122" s="189"/>
      <c r="BQ122" s="189"/>
      <c r="BR122" s="189"/>
      <c r="BS122" s="189"/>
      <c r="BT122" s="193"/>
    </row>
    <row r="123" spans="1:72" s="185" customFormat="1" x14ac:dyDescent="0.25">
      <c r="B123" s="188" t="s">
        <v>14</v>
      </c>
      <c r="C123" s="275"/>
      <c r="D123" s="276"/>
      <c r="E123" s="276"/>
      <c r="F123" s="276"/>
      <c r="G123" s="276"/>
      <c r="H123" s="276"/>
      <c r="I123" s="276"/>
      <c r="J123" s="276"/>
      <c r="K123" s="276"/>
      <c r="L123" s="285">
        <v>2480</v>
      </c>
      <c r="M123" s="190">
        <v>2534</v>
      </c>
      <c r="N123" s="190">
        <v>2214</v>
      </c>
      <c r="O123" s="190">
        <v>2642</v>
      </c>
      <c r="P123" s="190">
        <v>2307</v>
      </c>
      <c r="Q123" s="190">
        <v>2750</v>
      </c>
      <c r="R123" s="190">
        <v>2807.73</v>
      </c>
      <c r="S123" s="190">
        <v>2829.6</v>
      </c>
      <c r="T123" s="190">
        <v>2830</v>
      </c>
      <c r="U123" s="190">
        <v>2830</v>
      </c>
      <c r="V123" s="190">
        <v>2830</v>
      </c>
      <c r="W123" s="190">
        <v>2830</v>
      </c>
      <c r="X123" s="190">
        <v>2830</v>
      </c>
      <c r="Y123" s="190">
        <v>2830</v>
      </c>
      <c r="Z123" s="190">
        <v>2830</v>
      </c>
      <c r="AA123" s="190">
        <v>2830</v>
      </c>
      <c r="AB123" s="190">
        <v>2830</v>
      </c>
      <c r="AC123" s="190">
        <v>2830</v>
      </c>
      <c r="AD123" s="190">
        <v>2830</v>
      </c>
      <c r="AE123" s="190">
        <v>2830</v>
      </c>
      <c r="AF123" s="190">
        <v>2830</v>
      </c>
      <c r="AG123" s="190">
        <v>2830</v>
      </c>
      <c r="AH123" s="190">
        <v>2830</v>
      </c>
      <c r="AI123" s="190">
        <v>2830</v>
      </c>
      <c r="AJ123" s="190">
        <v>2830</v>
      </c>
      <c r="AK123" s="190">
        <v>2830</v>
      </c>
      <c r="AL123" s="190">
        <v>2830</v>
      </c>
      <c r="AM123" s="190">
        <v>2830</v>
      </c>
      <c r="AN123" s="190">
        <v>2830</v>
      </c>
      <c r="AO123" s="190">
        <v>2830</v>
      </c>
      <c r="AP123" s="192">
        <v>2830</v>
      </c>
      <c r="AQ123" s="192">
        <v>2830</v>
      </c>
      <c r="AR123" s="192">
        <v>2830</v>
      </c>
      <c r="AS123" s="189"/>
      <c r="AT123" s="189"/>
      <c r="AU123" s="189"/>
      <c r="AV123" s="189"/>
      <c r="AW123" s="189"/>
      <c r="AX123" s="189"/>
      <c r="AY123" s="189"/>
      <c r="AZ123" s="189"/>
      <c r="BA123" s="189"/>
      <c r="BB123" s="189"/>
      <c r="BC123" s="189"/>
      <c r="BD123" s="189"/>
      <c r="BE123" s="189"/>
      <c r="BF123" s="189"/>
      <c r="BG123" s="189"/>
      <c r="BH123" s="189"/>
      <c r="BI123" s="189"/>
      <c r="BJ123" s="189"/>
      <c r="BK123" s="189"/>
      <c r="BL123" s="189"/>
      <c r="BM123" s="189"/>
      <c r="BN123" s="189"/>
      <c r="BO123" s="189"/>
      <c r="BP123" s="189"/>
      <c r="BQ123" s="189"/>
      <c r="BR123" s="189"/>
      <c r="BS123" s="189"/>
      <c r="BT123" s="193"/>
    </row>
    <row r="124" spans="1:72" s="185" customFormat="1" x14ac:dyDescent="0.25">
      <c r="B124" s="188" t="s">
        <v>15</v>
      </c>
      <c r="C124" s="275"/>
      <c r="D124" s="276"/>
      <c r="E124" s="276"/>
      <c r="F124" s="276"/>
      <c r="G124" s="276"/>
      <c r="H124" s="276"/>
      <c r="I124" s="276"/>
      <c r="J124" s="276"/>
      <c r="K124" s="276"/>
      <c r="L124" s="285">
        <v>271</v>
      </c>
      <c r="M124" s="190">
        <v>276</v>
      </c>
      <c r="N124" s="190">
        <v>244</v>
      </c>
      <c r="O124" s="190">
        <v>287</v>
      </c>
      <c r="P124" s="190">
        <v>253</v>
      </c>
      <c r="Q124" s="190">
        <v>298</v>
      </c>
      <c r="R124" s="190">
        <v>304</v>
      </c>
      <c r="S124" s="190">
        <v>309</v>
      </c>
      <c r="T124" s="190">
        <v>315</v>
      </c>
      <c r="U124" s="190">
        <v>320</v>
      </c>
      <c r="V124" s="190">
        <v>326</v>
      </c>
      <c r="W124" s="190">
        <v>331</v>
      </c>
      <c r="X124" s="190">
        <v>337</v>
      </c>
      <c r="Y124" s="190">
        <v>342</v>
      </c>
      <c r="Z124" s="190">
        <v>346</v>
      </c>
      <c r="AA124" s="190">
        <v>346</v>
      </c>
      <c r="AB124" s="190">
        <v>346</v>
      </c>
      <c r="AC124" s="190">
        <v>346</v>
      </c>
      <c r="AD124" s="190">
        <v>346</v>
      </c>
      <c r="AE124" s="190">
        <v>346</v>
      </c>
      <c r="AF124" s="190">
        <v>346</v>
      </c>
      <c r="AG124" s="190">
        <v>346</v>
      </c>
      <c r="AH124" s="190">
        <v>346</v>
      </c>
      <c r="AI124" s="190">
        <v>346</v>
      </c>
      <c r="AJ124" s="190">
        <v>346</v>
      </c>
      <c r="AK124" s="190">
        <v>346</v>
      </c>
      <c r="AL124" s="190">
        <v>346</v>
      </c>
      <c r="AM124" s="190">
        <v>346</v>
      </c>
      <c r="AN124" s="190">
        <v>346</v>
      </c>
      <c r="AO124" s="190">
        <v>346</v>
      </c>
      <c r="AP124" s="192">
        <v>346</v>
      </c>
      <c r="AQ124" s="192">
        <v>346</v>
      </c>
      <c r="AR124" s="192">
        <v>346</v>
      </c>
      <c r="AS124" s="189"/>
      <c r="AT124" s="189"/>
      <c r="AU124" s="189"/>
      <c r="AV124" s="189"/>
      <c r="AW124" s="189"/>
      <c r="AX124" s="189"/>
      <c r="AY124" s="189"/>
      <c r="AZ124" s="189"/>
      <c r="BA124" s="189"/>
      <c r="BB124" s="189"/>
      <c r="BC124" s="189"/>
      <c r="BD124" s="189"/>
      <c r="BE124" s="189"/>
      <c r="BF124" s="189"/>
      <c r="BG124" s="189"/>
      <c r="BH124" s="189"/>
      <c r="BI124" s="189"/>
      <c r="BJ124" s="189"/>
      <c r="BK124" s="189"/>
      <c r="BL124" s="189"/>
      <c r="BM124" s="189"/>
      <c r="BN124" s="189"/>
      <c r="BO124" s="189"/>
      <c r="BP124" s="189"/>
      <c r="BQ124" s="189"/>
      <c r="BR124" s="189"/>
      <c r="BS124" s="189"/>
      <c r="BT124" s="193"/>
    </row>
    <row r="125" spans="1:72" s="185" customFormat="1" x14ac:dyDescent="0.25">
      <c r="B125" s="188" t="s">
        <v>16</v>
      </c>
      <c r="C125" s="275"/>
      <c r="D125" s="276"/>
      <c r="E125" s="276"/>
      <c r="F125" s="276"/>
      <c r="G125" s="276"/>
      <c r="H125" s="276"/>
      <c r="I125" s="276"/>
      <c r="J125" s="276"/>
      <c r="K125" s="276"/>
      <c r="L125" s="285">
        <v>643</v>
      </c>
      <c r="M125" s="190">
        <v>656</v>
      </c>
      <c r="N125" s="190">
        <v>579</v>
      </c>
      <c r="O125" s="190">
        <v>672</v>
      </c>
      <c r="P125" s="190">
        <v>601</v>
      </c>
      <c r="Q125" s="190">
        <v>672</v>
      </c>
      <c r="R125" s="190">
        <v>672</v>
      </c>
      <c r="S125" s="190">
        <v>672</v>
      </c>
      <c r="T125" s="190">
        <v>672</v>
      </c>
      <c r="U125" s="190">
        <v>672</v>
      </c>
      <c r="V125" s="190">
        <v>672</v>
      </c>
      <c r="W125" s="190">
        <v>672</v>
      </c>
      <c r="X125" s="190">
        <v>672</v>
      </c>
      <c r="Y125" s="190">
        <v>672</v>
      </c>
      <c r="Z125" s="190">
        <v>672</v>
      </c>
      <c r="AA125" s="190">
        <v>672</v>
      </c>
      <c r="AB125" s="190">
        <v>672</v>
      </c>
      <c r="AC125" s="190">
        <v>672</v>
      </c>
      <c r="AD125" s="190">
        <v>672</v>
      </c>
      <c r="AE125" s="190">
        <v>672</v>
      </c>
      <c r="AF125" s="190">
        <v>672</v>
      </c>
      <c r="AG125" s="190">
        <v>672</v>
      </c>
      <c r="AH125" s="190">
        <v>672</v>
      </c>
      <c r="AI125" s="190">
        <v>672</v>
      </c>
      <c r="AJ125" s="190">
        <v>672</v>
      </c>
      <c r="AK125" s="190">
        <v>672</v>
      </c>
      <c r="AL125" s="190">
        <v>672</v>
      </c>
      <c r="AM125" s="190">
        <v>672</v>
      </c>
      <c r="AN125" s="190">
        <v>672</v>
      </c>
      <c r="AO125" s="190">
        <v>672</v>
      </c>
      <c r="AP125" s="192">
        <v>672</v>
      </c>
      <c r="AQ125" s="192">
        <v>672</v>
      </c>
      <c r="AR125" s="192">
        <v>672</v>
      </c>
      <c r="AS125" s="189"/>
      <c r="AT125" s="189"/>
      <c r="AU125" s="189"/>
      <c r="AV125" s="189"/>
      <c r="AW125" s="189"/>
      <c r="AX125" s="189"/>
      <c r="AY125" s="189"/>
      <c r="AZ125" s="189"/>
      <c r="BA125" s="189"/>
      <c r="BB125" s="189"/>
      <c r="BC125" s="189"/>
      <c r="BD125" s="189"/>
      <c r="BE125" s="189"/>
      <c r="BF125" s="189"/>
      <c r="BG125" s="189"/>
      <c r="BH125" s="189"/>
      <c r="BI125" s="189"/>
      <c r="BJ125" s="189"/>
      <c r="BK125" s="189"/>
      <c r="BL125" s="189"/>
      <c r="BM125" s="189"/>
      <c r="BN125" s="189"/>
      <c r="BO125" s="189"/>
      <c r="BP125" s="189"/>
      <c r="BQ125" s="189"/>
      <c r="BR125" s="189"/>
      <c r="BS125" s="189"/>
      <c r="BT125" s="193"/>
    </row>
    <row r="126" spans="1:72" x14ac:dyDescent="0.25">
      <c r="B126" s="115" t="s">
        <v>74</v>
      </c>
      <c r="C126" s="275"/>
      <c r="D126" s="276"/>
      <c r="E126" s="276"/>
      <c r="F126" s="276"/>
      <c r="G126" s="276"/>
      <c r="H126" s="276"/>
      <c r="I126" s="276"/>
      <c r="J126" s="276"/>
      <c r="K126" s="276"/>
      <c r="L126" s="285"/>
      <c r="M126" s="190">
        <f>'Calculs revenus retraite'!H14</f>
        <v>3668.301255669654</v>
      </c>
      <c r="N126" s="190"/>
      <c r="O126" s="190">
        <f>'Calculs revenus retraite'!H14</f>
        <v>3668.301255669654</v>
      </c>
      <c r="P126" s="190">
        <v>3668</v>
      </c>
      <c r="Q126" s="190">
        <f>'Calculs revenus retraite'!H14</f>
        <v>3668.301255669654</v>
      </c>
      <c r="R126" s="190">
        <f t="shared" ref="R126:AR126" si="264">Q126</f>
        <v>3668.301255669654</v>
      </c>
      <c r="S126" s="190">
        <f t="shared" si="264"/>
        <v>3668.301255669654</v>
      </c>
      <c r="T126" s="190">
        <f t="shared" si="264"/>
        <v>3668.301255669654</v>
      </c>
      <c r="U126" s="190">
        <f t="shared" si="264"/>
        <v>3668.301255669654</v>
      </c>
      <c r="V126" s="190">
        <f t="shared" si="264"/>
        <v>3668.301255669654</v>
      </c>
      <c r="W126" s="190">
        <f>'Calculs revenus retraite'!H15</f>
        <v>4338.4634167167915</v>
      </c>
      <c r="X126" s="190">
        <f t="shared" si="264"/>
        <v>4338.4634167167915</v>
      </c>
      <c r="Y126" s="190">
        <f t="shared" si="264"/>
        <v>4338.4634167167915</v>
      </c>
      <c r="Z126" s="190">
        <f t="shared" si="264"/>
        <v>4338.4634167167915</v>
      </c>
      <c r="AA126" s="190">
        <f t="shared" si="264"/>
        <v>4338.4634167167915</v>
      </c>
      <c r="AB126" s="190">
        <f t="shared" si="264"/>
        <v>4338.4634167167915</v>
      </c>
      <c r="AC126" s="190">
        <f t="shared" si="264"/>
        <v>4338.4634167167915</v>
      </c>
      <c r="AD126" s="190">
        <f t="shared" si="264"/>
        <v>4338.4634167167915</v>
      </c>
      <c r="AE126" s="190">
        <f t="shared" si="264"/>
        <v>4338.4634167167915</v>
      </c>
      <c r="AF126" s="190">
        <f t="shared" si="264"/>
        <v>4338.4634167167915</v>
      </c>
      <c r="AG126" s="190">
        <f t="shared" si="264"/>
        <v>4338.4634167167915</v>
      </c>
      <c r="AH126" s="190">
        <f t="shared" si="264"/>
        <v>4338.4634167167915</v>
      </c>
      <c r="AI126" s="190">
        <f t="shared" si="264"/>
        <v>4338.4634167167915</v>
      </c>
      <c r="AJ126" s="190">
        <f t="shared" si="264"/>
        <v>4338.4634167167915</v>
      </c>
      <c r="AK126" s="190">
        <f t="shared" si="264"/>
        <v>4338.4634167167915</v>
      </c>
      <c r="AL126" s="190">
        <f t="shared" si="264"/>
        <v>4338.4634167167915</v>
      </c>
      <c r="AM126" s="190">
        <f t="shared" si="264"/>
        <v>4338.4634167167915</v>
      </c>
      <c r="AN126" s="190">
        <f t="shared" si="264"/>
        <v>4338.4634167167915</v>
      </c>
      <c r="AO126" s="190">
        <f t="shared" si="264"/>
        <v>4338.4634167167915</v>
      </c>
      <c r="AP126" s="192">
        <f t="shared" si="264"/>
        <v>4338.4634167167915</v>
      </c>
      <c r="AQ126" s="192">
        <f t="shared" si="264"/>
        <v>4338.4634167167915</v>
      </c>
      <c r="AR126" s="192">
        <f t="shared" si="264"/>
        <v>4338.4634167167915</v>
      </c>
      <c r="AS126" s="189"/>
      <c r="AT126" s="150"/>
      <c r="AU126" s="150"/>
      <c r="AV126" s="150"/>
      <c r="AW126" s="150"/>
      <c r="AX126" s="150"/>
      <c r="AY126" s="150"/>
      <c r="AZ126" s="150"/>
      <c r="BA126" s="150"/>
      <c r="BB126" s="150"/>
      <c r="BC126" s="150"/>
      <c r="BD126" s="150"/>
      <c r="BE126" s="150"/>
      <c r="BF126" s="150"/>
      <c r="BG126" s="150"/>
      <c r="BH126" s="150"/>
      <c r="BI126" s="150"/>
      <c r="BJ126" s="150"/>
      <c r="BK126" s="150"/>
      <c r="BL126" s="150"/>
      <c r="BM126" s="150"/>
      <c r="BN126" s="150"/>
      <c r="BO126" s="128"/>
      <c r="BP126" s="128"/>
      <c r="BQ126" s="128"/>
      <c r="BR126" s="128"/>
      <c r="BS126" s="128"/>
      <c r="BT126" s="138"/>
    </row>
    <row r="127" spans="1:72" x14ac:dyDescent="0.25">
      <c r="B127" s="115" t="s">
        <v>75</v>
      </c>
      <c r="C127" s="191">
        <f t="shared" ref="C127:K127" si="265">C122-C126</f>
        <v>25000</v>
      </c>
      <c r="D127" s="191">
        <f t="shared" si="265"/>
        <v>41439.726000000002</v>
      </c>
      <c r="E127" s="191">
        <f t="shared" si="265"/>
        <v>42438.384000000005</v>
      </c>
      <c r="F127" s="191">
        <f t="shared" si="265"/>
        <v>43437.042000000009</v>
      </c>
      <c r="G127" s="191">
        <f t="shared" si="265"/>
        <v>44435.700000000012</v>
      </c>
      <c r="H127" s="191">
        <f t="shared" si="265"/>
        <v>45434.358000000015</v>
      </c>
      <c r="I127" s="191">
        <f t="shared" si="265"/>
        <v>46433.016000000018</v>
      </c>
      <c r="J127" s="191">
        <f t="shared" si="265"/>
        <v>47431.674000000021</v>
      </c>
      <c r="K127" s="191">
        <f t="shared" si="265"/>
        <v>48430.332000000024</v>
      </c>
      <c r="L127" s="285">
        <f>L122-L126</f>
        <v>49428.990000000027</v>
      </c>
      <c r="M127" s="190">
        <f t="shared" ref="M127:AR127" si="266">M122-M126</f>
        <v>46759.346744330374</v>
      </c>
      <c r="N127" s="190">
        <f t="shared" si="266"/>
        <v>44503.53403846157</v>
      </c>
      <c r="O127" s="190">
        <f t="shared" si="266"/>
        <v>48756.662744330373</v>
      </c>
      <c r="P127" s="190">
        <f t="shared" si="266"/>
        <v>42563.980576923102</v>
      </c>
      <c r="Q127" s="190">
        <f t="shared" si="266"/>
        <v>50753.978744330372</v>
      </c>
      <c r="R127" s="190">
        <f t="shared" si="266"/>
        <v>51752.636744330375</v>
      </c>
      <c r="S127" s="190">
        <f t="shared" si="266"/>
        <v>52751.294744330378</v>
      </c>
      <c r="T127" s="190">
        <f t="shared" si="266"/>
        <v>53749.952744330345</v>
      </c>
      <c r="U127" s="190">
        <f t="shared" si="266"/>
        <v>54748.610744330348</v>
      </c>
      <c r="V127" s="190">
        <f t="shared" si="266"/>
        <v>55747.268744330351</v>
      </c>
      <c r="W127" s="190">
        <f t="shared" si="266"/>
        <v>56075.76458328322</v>
      </c>
      <c r="X127" s="190">
        <f t="shared" si="266"/>
        <v>57074.422583283224</v>
      </c>
      <c r="Y127" s="190">
        <f t="shared" si="266"/>
        <v>58073.080583283227</v>
      </c>
      <c r="Z127" s="190">
        <f t="shared" si="266"/>
        <v>58717.474583283212</v>
      </c>
      <c r="AA127" s="190">
        <f t="shared" si="266"/>
        <v>58717.474583283212</v>
      </c>
      <c r="AB127" s="190">
        <f t="shared" si="266"/>
        <v>58717.474583283212</v>
      </c>
      <c r="AC127" s="190">
        <f t="shared" si="266"/>
        <v>58717.474583283212</v>
      </c>
      <c r="AD127" s="190">
        <f t="shared" si="266"/>
        <v>58717.474583283212</v>
      </c>
      <c r="AE127" s="190">
        <f t="shared" si="266"/>
        <v>58717.474583283212</v>
      </c>
      <c r="AF127" s="190">
        <f t="shared" si="266"/>
        <v>58717.474583283212</v>
      </c>
      <c r="AG127" s="190">
        <f t="shared" si="266"/>
        <v>58717.474583283212</v>
      </c>
      <c r="AH127" s="190">
        <f t="shared" si="266"/>
        <v>58717.474583283212</v>
      </c>
      <c r="AI127" s="190">
        <f t="shared" si="266"/>
        <v>58717.474583283212</v>
      </c>
      <c r="AJ127" s="190">
        <f t="shared" si="266"/>
        <v>58717.474583283212</v>
      </c>
      <c r="AK127" s="190">
        <f t="shared" si="266"/>
        <v>58717.474583283212</v>
      </c>
      <c r="AL127" s="190">
        <f t="shared" si="266"/>
        <v>58717.474583283212</v>
      </c>
      <c r="AM127" s="190">
        <f t="shared" si="266"/>
        <v>58717.474583283212</v>
      </c>
      <c r="AN127" s="190">
        <f t="shared" si="266"/>
        <v>58717.474583283212</v>
      </c>
      <c r="AO127" s="190">
        <f t="shared" si="266"/>
        <v>58717.474583283212</v>
      </c>
      <c r="AP127" s="190">
        <f t="shared" si="266"/>
        <v>58717.474583283212</v>
      </c>
      <c r="AQ127" s="190">
        <f t="shared" si="266"/>
        <v>58717.474583283212</v>
      </c>
      <c r="AR127" s="190">
        <f t="shared" si="266"/>
        <v>58717.474583283212</v>
      </c>
      <c r="AS127" s="189">
        <f t="shared" ref="AS127:BN127" si="267">AS122-(AS126+AS123+AS124+AS125)</f>
        <v>0</v>
      </c>
      <c r="AT127" s="150">
        <f t="shared" si="267"/>
        <v>0</v>
      </c>
      <c r="AU127" s="150">
        <f t="shared" si="267"/>
        <v>0</v>
      </c>
      <c r="AV127" s="150">
        <f t="shared" si="267"/>
        <v>0</v>
      </c>
      <c r="AW127" s="150">
        <f t="shared" si="267"/>
        <v>0</v>
      </c>
      <c r="AX127" s="150">
        <f t="shared" si="267"/>
        <v>0</v>
      </c>
      <c r="AY127" s="150">
        <f t="shared" si="267"/>
        <v>0</v>
      </c>
      <c r="AZ127" s="150">
        <f t="shared" si="267"/>
        <v>0</v>
      </c>
      <c r="BA127" s="150">
        <f t="shared" si="267"/>
        <v>0</v>
      </c>
      <c r="BB127" s="150">
        <f t="shared" si="267"/>
        <v>0</v>
      </c>
      <c r="BC127" s="150">
        <f t="shared" si="267"/>
        <v>0</v>
      </c>
      <c r="BD127" s="150">
        <f t="shared" si="267"/>
        <v>0</v>
      </c>
      <c r="BE127" s="150">
        <f t="shared" si="267"/>
        <v>0</v>
      </c>
      <c r="BF127" s="150">
        <f t="shared" si="267"/>
        <v>0</v>
      </c>
      <c r="BG127" s="150">
        <f t="shared" si="267"/>
        <v>0</v>
      </c>
      <c r="BH127" s="150">
        <f t="shared" si="267"/>
        <v>0</v>
      </c>
      <c r="BI127" s="150">
        <f t="shared" si="267"/>
        <v>0</v>
      </c>
      <c r="BJ127" s="150">
        <f t="shared" si="267"/>
        <v>0</v>
      </c>
      <c r="BK127" s="150">
        <f t="shared" si="267"/>
        <v>0</v>
      </c>
      <c r="BL127" s="150">
        <f t="shared" si="267"/>
        <v>0</v>
      </c>
      <c r="BM127" s="150">
        <f t="shared" si="267"/>
        <v>0</v>
      </c>
      <c r="BN127" s="150">
        <f t="shared" si="267"/>
        <v>0</v>
      </c>
      <c r="BO127" s="128"/>
      <c r="BP127" s="128"/>
      <c r="BQ127" s="128"/>
      <c r="BR127" s="128"/>
      <c r="BS127" s="128"/>
      <c r="BT127" s="138"/>
    </row>
    <row r="128" spans="1:72" x14ac:dyDescent="0.25">
      <c r="B128" s="115" t="s">
        <v>76</v>
      </c>
      <c r="C128" s="122"/>
      <c r="D128" s="122"/>
      <c r="E128" s="122"/>
      <c r="F128" s="122"/>
      <c r="G128" s="122"/>
      <c r="H128" s="122"/>
      <c r="I128" s="122"/>
      <c r="J128" s="122"/>
      <c r="K128" s="122"/>
      <c r="L128" s="284"/>
      <c r="M128" s="128"/>
      <c r="N128" s="128"/>
      <c r="O128" s="128"/>
      <c r="P128" s="128"/>
      <c r="Q128" s="128"/>
      <c r="R128" s="128"/>
      <c r="S128" s="128"/>
      <c r="T128" s="128"/>
      <c r="U128" s="128"/>
      <c r="V128" s="128"/>
      <c r="W128" s="131"/>
      <c r="X128" s="131"/>
      <c r="Y128" s="131"/>
      <c r="Z128" s="131"/>
      <c r="AA128" s="131"/>
      <c r="AB128" s="131"/>
      <c r="AC128" s="131"/>
      <c r="AD128" s="131"/>
      <c r="AE128" s="131"/>
      <c r="AF128" s="131"/>
      <c r="AG128" s="131"/>
      <c r="AH128" s="131"/>
      <c r="AI128" s="131"/>
      <c r="AJ128" s="131"/>
      <c r="AK128" s="131"/>
      <c r="AL128" s="131"/>
      <c r="AM128" s="131"/>
      <c r="AN128" s="131"/>
      <c r="AO128" s="131"/>
      <c r="AP128" s="131"/>
      <c r="AQ128" s="131"/>
      <c r="AR128" s="131"/>
      <c r="AS128" s="190">
        <f>'Calculs revenus retraite'!L86</f>
        <v>8775</v>
      </c>
      <c r="AT128" s="127">
        <f>'Calculs revenus retraite'!L87</f>
        <v>8775</v>
      </c>
      <c r="AU128" s="127">
        <f>'Calculs revenus retraite'!L88</f>
        <v>8775</v>
      </c>
      <c r="AV128" s="127">
        <f>'Calculs revenus retraite'!L89</f>
        <v>8775</v>
      </c>
      <c r="AW128" s="127">
        <f>'Calculs revenus retraite'!L90</f>
        <v>8775</v>
      </c>
      <c r="AX128" s="127">
        <f>'Calculs revenus retraite'!L91</f>
        <v>8775</v>
      </c>
      <c r="AY128" s="127">
        <f>'Calculs revenus retraite'!L92</f>
        <v>8775</v>
      </c>
      <c r="AZ128" s="127">
        <f>'Calculs revenus retraite'!L93</f>
        <v>8775</v>
      </c>
      <c r="BA128" s="127">
        <f>'Calculs revenus retraite'!L94</f>
        <v>8775</v>
      </c>
      <c r="BB128" s="127">
        <f>'Calculs revenus retraite'!L95</f>
        <v>8775</v>
      </c>
      <c r="BC128" s="127">
        <f>'Calculs revenus retraite'!L96</f>
        <v>8775</v>
      </c>
      <c r="BD128" s="127">
        <f>'Calculs revenus retraite'!L97</f>
        <v>8775</v>
      </c>
      <c r="BE128" s="127">
        <f>'Calculs revenus retraite'!L98</f>
        <v>8775</v>
      </c>
      <c r="BF128" s="127">
        <f>'Calculs revenus retraite'!L99</f>
        <v>8775</v>
      </c>
      <c r="BG128" s="127">
        <f>'Calculs revenus retraite'!L100</f>
        <v>8775</v>
      </c>
      <c r="BH128" s="127">
        <f>'Calculs revenus retraite'!L101</f>
        <v>8775</v>
      </c>
      <c r="BI128" s="127">
        <f>'Calculs revenus retraite'!L102</f>
        <v>8775</v>
      </c>
      <c r="BJ128" s="127">
        <f>'Calculs revenus retraite'!L103</f>
        <v>8775</v>
      </c>
      <c r="BK128" s="127">
        <f>'Calculs revenus retraite'!L104</f>
        <v>8775</v>
      </c>
      <c r="BL128" s="127">
        <f>'Calculs revenus retraite'!L105</f>
        <v>8775</v>
      </c>
      <c r="BM128" s="127">
        <f>'Calculs revenus retraite'!L106</f>
        <v>8775</v>
      </c>
      <c r="BN128" s="127">
        <f>'Calculs revenus retraite'!L107</f>
        <v>8748.2999999999993</v>
      </c>
      <c r="BO128" s="128"/>
      <c r="BP128" s="128"/>
      <c r="BQ128" s="128"/>
      <c r="BR128" s="128"/>
      <c r="BS128" s="128"/>
      <c r="BT128" s="138"/>
    </row>
    <row r="129" spans="1:72" x14ac:dyDescent="0.25">
      <c r="B129" s="115" t="s">
        <v>77</v>
      </c>
      <c r="C129" s="122"/>
      <c r="D129" s="122"/>
      <c r="E129" s="122"/>
      <c r="F129" s="122"/>
      <c r="G129" s="122"/>
      <c r="H129" s="122"/>
      <c r="I129" s="122"/>
      <c r="J129" s="122"/>
      <c r="K129" s="122"/>
      <c r="L129" s="284"/>
      <c r="M129" s="128"/>
      <c r="N129" s="128"/>
      <c r="O129" s="128"/>
      <c r="P129" s="128"/>
      <c r="Q129" s="128"/>
      <c r="R129" s="128"/>
      <c r="S129" s="128"/>
      <c r="T129" s="128"/>
      <c r="U129" s="128"/>
      <c r="V129" s="128"/>
      <c r="W129" s="131"/>
      <c r="X129" s="131"/>
      <c r="Y129" s="131"/>
      <c r="Z129" s="131"/>
      <c r="AA129" s="131"/>
      <c r="AB129" s="131"/>
      <c r="AC129" s="131"/>
      <c r="AD129" s="131"/>
      <c r="AE129" s="131"/>
      <c r="AF129" s="131"/>
      <c r="AG129" s="131"/>
      <c r="AH129" s="131"/>
      <c r="AI129" s="131"/>
      <c r="AJ129" s="131"/>
      <c r="AK129" s="131"/>
      <c r="AL129" s="131"/>
      <c r="AM129" s="131"/>
      <c r="AN129" s="131"/>
      <c r="AO129" s="131"/>
      <c r="AP129" s="131"/>
      <c r="AQ129" s="131"/>
      <c r="AR129" s="131"/>
      <c r="AS129" s="190">
        <f>'Calculs source'!$M$144</f>
        <v>10716.278966658625</v>
      </c>
      <c r="AT129" s="127">
        <f>'Calculs source'!$M$144</f>
        <v>10716.278966658625</v>
      </c>
      <c r="AU129" s="127">
        <f>'Calculs source'!$M$144</f>
        <v>10716.278966658625</v>
      </c>
      <c r="AV129" s="127">
        <f>'Calculs source'!$M$144</f>
        <v>10716.278966658625</v>
      </c>
      <c r="AW129" s="127">
        <f>'Calculs source'!$M$144</f>
        <v>10716.278966658625</v>
      </c>
      <c r="AX129" s="127">
        <f>'Calculs source'!$M$144</f>
        <v>10716.278966658625</v>
      </c>
      <c r="AY129" s="127">
        <f>'Calculs source'!$M$144</f>
        <v>10716.278966658625</v>
      </c>
      <c r="AZ129" s="127">
        <f>'Calculs source'!$M$144</f>
        <v>10716.278966658625</v>
      </c>
      <c r="BA129" s="127">
        <f>'Calculs source'!$M$144</f>
        <v>10716.278966658625</v>
      </c>
      <c r="BB129" s="127">
        <f>'Calculs source'!$M$144</f>
        <v>10716.278966658625</v>
      </c>
      <c r="BC129" s="127">
        <f>'Calculs source'!$M$144</f>
        <v>10716.278966658625</v>
      </c>
      <c r="BD129" s="127">
        <f>'Calculs source'!$M$144</f>
        <v>10716.278966658625</v>
      </c>
      <c r="BE129" s="127">
        <f>'Calculs source'!$M$144</f>
        <v>10716.278966658625</v>
      </c>
      <c r="BF129" s="127">
        <f>'Calculs source'!$M$144</f>
        <v>10716.278966658625</v>
      </c>
      <c r="BG129" s="127">
        <f>'Calculs source'!$M$144</f>
        <v>10716.278966658625</v>
      </c>
      <c r="BH129" s="127">
        <f>'Calculs source'!$M$144</f>
        <v>10716.278966658625</v>
      </c>
      <c r="BI129" s="127">
        <f>'Calculs source'!$M$144</f>
        <v>10716.278966658625</v>
      </c>
      <c r="BJ129" s="127">
        <f>'Calculs source'!$M$144</f>
        <v>10716.278966658625</v>
      </c>
      <c r="BK129" s="127">
        <f>'Calculs source'!$M$144</f>
        <v>10716.278966658625</v>
      </c>
      <c r="BL129" s="127">
        <f>'Calculs source'!$M$144</f>
        <v>10716.278966658625</v>
      </c>
      <c r="BM129" s="127">
        <f>'Calculs source'!$M$144</f>
        <v>10716.278966658625</v>
      </c>
      <c r="BN129" s="127">
        <f>'Calculs source'!$M$144</f>
        <v>10716.278966658625</v>
      </c>
      <c r="BO129" s="128"/>
      <c r="BP129" s="128"/>
      <c r="BQ129" s="128"/>
      <c r="BR129" s="128"/>
      <c r="BS129" s="128"/>
      <c r="BT129" s="138"/>
    </row>
    <row r="130" spans="1:72" x14ac:dyDescent="0.25">
      <c r="B130" s="139" t="s">
        <v>78</v>
      </c>
      <c r="C130" s="122"/>
      <c r="D130" s="122"/>
      <c r="E130" s="122"/>
      <c r="F130" s="122"/>
      <c r="G130" s="122"/>
      <c r="H130" s="122"/>
      <c r="I130" s="122"/>
      <c r="J130" s="122"/>
      <c r="K130" s="122"/>
      <c r="L130" s="284"/>
      <c r="M130" s="128"/>
      <c r="N130" s="128"/>
      <c r="O130" s="128"/>
      <c r="P130" s="128"/>
      <c r="Q130" s="128"/>
      <c r="R130" s="128"/>
      <c r="S130" s="128"/>
      <c r="T130" s="128"/>
      <c r="U130" s="128"/>
      <c r="V130" s="128"/>
      <c r="W130" s="128"/>
      <c r="X130" s="128"/>
      <c r="Y130" s="128"/>
      <c r="Z130" s="128"/>
      <c r="AA130" s="128"/>
      <c r="AB130" s="128"/>
      <c r="AC130" s="128"/>
      <c r="AD130" s="128"/>
      <c r="AE130" s="128"/>
      <c r="AF130" s="128"/>
      <c r="AG130" s="128"/>
      <c r="AH130" s="128"/>
      <c r="AI130" s="128"/>
      <c r="AJ130" s="128"/>
      <c r="AK130" s="128"/>
      <c r="AL130" s="128"/>
      <c r="AM130" s="128"/>
      <c r="AN130" s="128"/>
      <c r="AO130" s="128"/>
      <c r="AP130" s="128"/>
      <c r="AQ130" s="128"/>
      <c r="AR130" s="128"/>
      <c r="AS130" s="189"/>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38"/>
    </row>
    <row r="131" spans="1:72" x14ac:dyDescent="0.25">
      <c r="B131" s="115" t="s">
        <v>41</v>
      </c>
      <c r="C131" s="122"/>
      <c r="D131" s="122" t="s">
        <v>43</v>
      </c>
      <c r="E131" s="122" t="s">
        <v>44</v>
      </c>
      <c r="F131" s="122" t="s">
        <v>44</v>
      </c>
      <c r="G131" s="122" t="s">
        <v>44</v>
      </c>
      <c r="H131" s="122" t="s">
        <v>44</v>
      </c>
      <c r="I131" s="122" t="s">
        <v>44</v>
      </c>
      <c r="J131" s="122" t="s">
        <v>44</v>
      </c>
      <c r="K131" s="122" t="s">
        <v>44</v>
      </c>
      <c r="L131" s="284" t="s">
        <v>44</v>
      </c>
      <c r="M131" s="128" t="s">
        <v>44</v>
      </c>
      <c r="N131" s="128" t="s">
        <v>70</v>
      </c>
      <c r="O131" s="128" t="s">
        <v>44</v>
      </c>
      <c r="P131" s="128" t="s">
        <v>70</v>
      </c>
      <c r="Q131" s="128" t="s">
        <v>44</v>
      </c>
      <c r="R131" s="128" t="s">
        <v>44</v>
      </c>
      <c r="S131" s="128" t="s">
        <v>44</v>
      </c>
      <c r="T131" s="128" t="s">
        <v>44</v>
      </c>
      <c r="U131" s="128" t="s">
        <v>44</v>
      </c>
      <c r="V131" s="128" t="s">
        <v>44</v>
      </c>
      <c r="W131" s="128" t="s">
        <v>44</v>
      </c>
      <c r="X131" s="128" t="s">
        <v>44</v>
      </c>
      <c r="Y131" s="128" t="s">
        <v>44</v>
      </c>
      <c r="Z131" s="128" t="s">
        <v>44</v>
      </c>
      <c r="AA131" s="128" t="s">
        <v>44</v>
      </c>
      <c r="AB131" s="128" t="s">
        <v>44</v>
      </c>
      <c r="AC131" s="128" t="s">
        <v>44</v>
      </c>
      <c r="AD131" s="128" t="s">
        <v>44</v>
      </c>
      <c r="AE131" s="128" t="s">
        <v>44</v>
      </c>
      <c r="AF131" s="128" t="s">
        <v>44</v>
      </c>
      <c r="AG131" s="128" t="s">
        <v>44</v>
      </c>
      <c r="AH131" s="128" t="s">
        <v>44</v>
      </c>
      <c r="AI131" s="128" t="s">
        <v>44</v>
      </c>
      <c r="AJ131" s="128" t="s">
        <v>44</v>
      </c>
      <c r="AK131" s="128" t="s">
        <v>44</v>
      </c>
      <c r="AL131" s="128" t="s">
        <v>44</v>
      </c>
      <c r="AM131" s="128" t="s">
        <v>44</v>
      </c>
      <c r="AN131" s="128" t="s">
        <v>44</v>
      </c>
      <c r="AO131" s="128" t="s">
        <v>44</v>
      </c>
      <c r="AP131" s="128" t="s">
        <v>44</v>
      </c>
      <c r="AQ131" s="128" t="s">
        <v>44</v>
      </c>
      <c r="AR131" s="128" t="s">
        <v>44</v>
      </c>
      <c r="AS131" s="189" t="s">
        <v>45</v>
      </c>
      <c r="AT131" s="128" t="s">
        <v>45</v>
      </c>
      <c r="AU131" s="128" t="s">
        <v>45</v>
      </c>
      <c r="AV131" s="128" t="s">
        <v>45</v>
      </c>
      <c r="AW131" s="128" t="s">
        <v>45</v>
      </c>
      <c r="AX131" s="128" t="s">
        <v>45</v>
      </c>
      <c r="AY131" s="128" t="s">
        <v>45</v>
      </c>
      <c r="AZ131" s="128" t="s">
        <v>45</v>
      </c>
      <c r="BA131" s="128" t="s">
        <v>45</v>
      </c>
      <c r="BB131" s="128" t="s">
        <v>45</v>
      </c>
      <c r="BC131" s="128" t="s">
        <v>45</v>
      </c>
      <c r="BD131" s="128" t="s">
        <v>45</v>
      </c>
      <c r="BE131" s="128" t="s">
        <v>45</v>
      </c>
      <c r="BF131" s="128" t="s">
        <v>45</v>
      </c>
      <c r="BG131" s="128" t="s">
        <v>45</v>
      </c>
      <c r="BH131" s="128" t="s">
        <v>45</v>
      </c>
      <c r="BI131" s="128" t="s">
        <v>45</v>
      </c>
      <c r="BJ131" s="128" t="s">
        <v>45</v>
      </c>
      <c r="BK131" s="128" t="s">
        <v>45</v>
      </c>
      <c r="BL131" s="128" t="s">
        <v>45</v>
      </c>
      <c r="BM131" s="128" t="s">
        <v>45</v>
      </c>
      <c r="BN131" s="128" t="s">
        <v>46</v>
      </c>
      <c r="BO131" s="128"/>
      <c r="BP131" s="128"/>
      <c r="BQ131" s="128"/>
      <c r="BR131" s="128"/>
      <c r="BS131" s="128"/>
      <c r="BT131" s="138"/>
    </row>
    <row r="132" spans="1:72" ht="15.75" thickBot="1" x14ac:dyDescent="0.3">
      <c r="B132" s="118" t="s">
        <v>79</v>
      </c>
      <c r="C132" s="133"/>
      <c r="D132" s="133"/>
      <c r="E132" s="133"/>
      <c r="F132" s="133"/>
      <c r="G132" s="140">
        <f t="shared" ref="G132:AR132" si="268">(E122/D122)-1</f>
        <v>2.409904930355955E-2</v>
      </c>
      <c r="H132" s="140">
        <f t="shared" si="268"/>
        <v>2.3531951640759941E-2</v>
      </c>
      <c r="I132" s="140">
        <f t="shared" si="268"/>
        <v>2.299093018350562E-2</v>
      </c>
      <c r="J132" s="140">
        <f t="shared" si="268"/>
        <v>2.2474226804123809E-2</v>
      </c>
      <c r="K132" s="140">
        <f t="shared" si="268"/>
        <v>2.1980237951199966E-2</v>
      </c>
      <c r="L132" s="286">
        <f t="shared" si="268"/>
        <v>2.1507498026835048E-2</v>
      </c>
      <c r="M132" s="141">
        <f t="shared" si="268"/>
        <v>2.1054664863820793E-2</v>
      </c>
      <c r="N132" s="141">
        <f t="shared" si="268"/>
        <v>2.0620506999621702E-2</v>
      </c>
      <c r="O132" s="141">
        <f t="shared" si="268"/>
        <v>2.0203892493049214E-2</v>
      </c>
      <c r="P132" s="141">
        <f t="shared" si="268"/>
        <v>-0.11747749888193193</v>
      </c>
      <c r="Q132" s="141">
        <f t="shared" si="268"/>
        <v>0.17799552625848714</v>
      </c>
      <c r="R132" s="141">
        <f t="shared" si="268"/>
        <v>-0.11813042776866611</v>
      </c>
      <c r="S132" s="141">
        <f t="shared" si="268"/>
        <v>0.1771565769164809</v>
      </c>
      <c r="T132" s="141">
        <f t="shared" si="268"/>
        <v>1.8350168350168339E-2</v>
      </c>
      <c r="U132" s="141">
        <f t="shared" si="268"/>
        <v>1.8019507356587861E-2</v>
      </c>
      <c r="V132" s="141">
        <f t="shared" si="268"/>
        <v>1.7700552127313474E-2</v>
      </c>
      <c r="W132" s="141">
        <f t="shared" si="268"/>
        <v>1.739269187809156E-2</v>
      </c>
      <c r="X132" s="141">
        <f t="shared" si="268"/>
        <v>1.7095357590966254E-2</v>
      </c>
      <c r="Y132" s="141">
        <f t="shared" si="268"/>
        <v>1.6808018504240518E-2</v>
      </c>
      <c r="Z132" s="141">
        <f t="shared" si="268"/>
        <v>1.6530178950561192E-2</v>
      </c>
      <c r="AA132" s="141">
        <f t="shared" si="268"/>
        <v>1.6261375503505926E-2</v>
      </c>
      <c r="AB132" s="141">
        <f t="shared" si="268"/>
        <v>1.0324916813466256E-2</v>
      </c>
      <c r="AC132" s="141">
        <f t="shared" si="268"/>
        <v>0</v>
      </c>
      <c r="AD132" s="141">
        <f t="shared" si="268"/>
        <v>0</v>
      </c>
      <c r="AE132" s="141">
        <f t="shared" si="268"/>
        <v>0</v>
      </c>
      <c r="AF132" s="141">
        <f t="shared" si="268"/>
        <v>0</v>
      </c>
      <c r="AG132" s="141">
        <f t="shared" si="268"/>
        <v>0</v>
      </c>
      <c r="AH132" s="141">
        <f t="shared" si="268"/>
        <v>0</v>
      </c>
      <c r="AI132" s="141">
        <f t="shared" si="268"/>
        <v>0</v>
      </c>
      <c r="AJ132" s="141">
        <f t="shared" si="268"/>
        <v>0</v>
      </c>
      <c r="AK132" s="141">
        <f t="shared" si="268"/>
        <v>0</v>
      </c>
      <c r="AL132" s="141">
        <f t="shared" si="268"/>
        <v>0</v>
      </c>
      <c r="AM132" s="141">
        <f t="shared" si="268"/>
        <v>0</v>
      </c>
      <c r="AN132" s="141">
        <f t="shared" si="268"/>
        <v>0</v>
      </c>
      <c r="AO132" s="141">
        <f t="shared" si="268"/>
        <v>0</v>
      </c>
      <c r="AP132" s="141">
        <f t="shared" si="268"/>
        <v>0</v>
      </c>
      <c r="AQ132" s="141">
        <f t="shared" si="268"/>
        <v>0</v>
      </c>
      <c r="AR132" s="141">
        <f t="shared" si="268"/>
        <v>0</v>
      </c>
      <c r="AS132" s="312"/>
      <c r="AT132" s="142"/>
      <c r="AU132" s="142"/>
      <c r="AV132" s="142"/>
      <c r="AW132" s="142"/>
      <c r="AX132" s="142"/>
      <c r="AY132" s="142"/>
      <c r="AZ132" s="142"/>
      <c r="BA132" s="142"/>
      <c r="BB132" s="142"/>
      <c r="BC132" s="142"/>
      <c r="BD132" s="142"/>
      <c r="BE132" s="142"/>
      <c r="BF132" s="142"/>
      <c r="BG132" s="142"/>
      <c r="BH132" s="142"/>
      <c r="BI132" s="142"/>
      <c r="BJ132" s="142"/>
      <c r="BK132" s="142"/>
      <c r="BL132" s="142"/>
      <c r="BM132" s="142"/>
      <c r="BN132" s="142"/>
      <c r="BO132" s="142"/>
      <c r="BP132" s="142"/>
      <c r="BQ132" s="142"/>
      <c r="BR132" s="142"/>
      <c r="BS132" s="142"/>
      <c r="BT132" s="143"/>
    </row>
    <row r="133" spans="1:72" x14ac:dyDescent="0.25">
      <c r="B133" s="423" t="s">
        <v>1123</v>
      </c>
      <c r="C133" s="144">
        <f>(T122-D122)/16</f>
        <v>998.6579999999999</v>
      </c>
      <c r="D133" s="423"/>
      <c r="E133" s="423"/>
      <c r="F133" s="423"/>
      <c r="G133" s="423"/>
      <c r="H133" s="423"/>
      <c r="I133" s="423"/>
      <c r="J133" s="423"/>
      <c r="K133" s="423"/>
      <c r="L133" s="423"/>
      <c r="M133" s="423"/>
      <c r="N133" s="423"/>
      <c r="O133" s="423"/>
      <c r="P133" s="423"/>
      <c r="Q133" s="423"/>
      <c r="R133" s="423"/>
      <c r="S133" s="423"/>
      <c r="T133" s="423"/>
      <c r="U133" s="423"/>
      <c r="V133" s="423"/>
      <c r="W133" s="423"/>
      <c r="X133" s="423"/>
      <c r="Y133" s="423"/>
      <c r="Z133" s="423"/>
      <c r="AA133" s="423"/>
      <c r="AB133" s="423"/>
      <c r="AC133" s="423"/>
      <c r="AD133" s="423"/>
      <c r="AE133" s="423"/>
      <c r="AF133" s="423"/>
      <c r="AG133" s="423"/>
      <c r="AH133" s="423"/>
      <c r="AI133" s="423"/>
      <c r="AJ133" s="423"/>
      <c r="AK133" s="423"/>
      <c r="AL133" s="423"/>
      <c r="AM133" s="423"/>
      <c r="AN133" s="423"/>
      <c r="AO133" s="423"/>
      <c r="AP133" s="423"/>
      <c r="AQ133" s="423"/>
      <c r="AR133" s="423"/>
      <c r="AS133" s="423"/>
      <c r="AT133" s="423"/>
      <c r="AU133" s="423"/>
      <c r="AV133" s="423"/>
      <c r="AW133" s="423"/>
      <c r="AX133" s="423"/>
      <c r="AY133" s="423"/>
      <c r="AZ133" s="423"/>
      <c r="BA133" s="423"/>
      <c r="BB133" s="423"/>
      <c r="BC133" s="423"/>
      <c r="BD133" s="423"/>
      <c r="BE133" s="423"/>
      <c r="BF133" s="423"/>
      <c r="BG133" s="423"/>
      <c r="BH133" s="423"/>
      <c r="BI133" s="423"/>
      <c r="BJ133" s="423"/>
      <c r="BK133" s="423"/>
      <c r="BL133" s="423"/>
      <c r="BM133" s="423"/>
      <c r="BN133" s="423"/>
      <c r="BO133" s="423"/>
      <c r="BP133" s="423"/>
      <c r="BQ133" s="423"/>
      <c r="BR133" s="423"/>
      <c r="BS133" s="423"/>
      <c r="BT133" s="423"/>
    </row>
    <row r="134" spans="1:72" x14ac:dyDescent="0.25">
      <c r="B134" s="423"/>
      <c r="C134" s="25"/>
      <c r="D134" s="423"/>
      <c r="E134" s="423"/>
      <c r="F134" s="423"/>
      <c r="G134" s="423"/>
      <c r="H134" s="423"/>
      <c r="I134" s="423"/>
      <c r="J134" s="423"/>
      <c r="K134" s="423"/>
      <c r="L134" s="423"/>
      <c r="M134" s="423"/>
      <c r="N134" s="423"/>
      <c r="O134" s="423"/>
      <c r="P134" s="423"/>
      <c r="Q134" s="423"/>
      <c r="R134" s="423"/>
      <c r="S134" s="423"/>
      <c r="T134" s="423"/>
      <c r="U134" s="423"/>
      <c r="V134" s="423"/>
      <c r="W134" s="423"/>
      <c r="X134" s="423"/>
      <c r="Y134" s="423"/>
      <c r="Z134" s="423"/>
      <c r="AA134" s="423"/>
      <c r="AB134" s="423"/>
      <c r="AC134" s="423"/>
      <c r="AD134" s="423"/>
      <c r="AE134" s="423"/>
      <c r="AF134" s="423"/>
      <c r="AG134" s="423"/>
      <c r="AH134" s="423"/>
      <c r="AI134" s="423"/>
      <c r="AJ134" s="423"/>
      <c r="AK134" s="423"/>
      <c r="AL134" s="423"/>
      <c r="AM134" s="423"/>
      <c r="AN134" s="423"/>
      <c r="AO134" s="423"/>
      <c r="AP134" s="423"/>
      <c r="AQ134" s="423"/>
      <c r="AR134" s="423"/>
      <c r="AS134" s="423"/>
      <c r="AT134" s="423"/>
      <c r="AU134" s="423"/>
      <c r="AV134" s="423"/>
      <c r="AW134" s="423"/>
      <c r="AX134" s="423"/>
      <c r="AY134" s="423"/>
      <c r="AZ134" s="423"/>
      <c r="BA134" s="423"/>
      <c r="BB134" s="78">
        <f>BB63+BB75+BB93</f>
        <v>70574.225176742664</v>
      </c>
      <c r="BC134" s="423"/>
      <c r="BD134" s="423"/>
      <c r="BE134" s="423"/>
      <c r="BF134" s="423"/>
      <c r="BG134" s="423"/>
      <c r="BH134" s="423"/>
      <c r="BI134" s="423"/>
      <c r="BJ134" s="423"/>
      <c r="BK134" s="423"/>
      <c r="BL134" s="423"/>
      <c r="BM134" s="423"/>
      <c r="BN134" s="423"/>
      <c r="BO134" s="423"/>
      <c r="BP134" s="423"/>
      <c r="BQ134" s="423"/>
      <c r="BR134" s="423"/>
      <c r="BS134" s="423"/>
      <c r="BT134" s="423"/>
    </row>
    <row r="135" spans="1:72" x14ac:dyDescent="0.25">
      <c r="B135" s="145" t="s">
        <v>80</v>
      </c>
      <c r="C135" s="423"/>
      <c r="D135" s="423"/>
      <c r="E135" s="423"/>
      <c r="F135" s="423"/>
      <c r="G135" s="423"/>
      <c r="H135" s="423"/>
      <c r="I135" s="423"/>
      <c r="J135" s="423"/>
      <c r="K135" s="423"/>
      <c r="L135" s="423"/>
      <c r="M135" s="423"/>
      <c r="N135" s="423"/>
      <c r="O135" s="423"/>
      <c r="P135" s="423"/>
      <c r="Q135" s="423"/>
      <c r="R135" s="423"/>
      <c r="S135" s="423"/>
      <c r="T135" s="423"/>
      <c r="U135" s="423"/>
      <c r="V135" s="423"/>
      <c r="W135" s="423"/>
      <c r="X135" s="423"/>
      <c r="Y135" s="423"/>
      <c r="Z135" s="423"/>
      <c r="AA135" s="423"/>
      <c r="AB135" s="423"/>
      <c r="AC135" s="423"/>
      <c r="AD135" s="423"/>
      <c r="AE135" s="423"/>
      <c r="AF135" s="423"/>
      <c r="AG135" s="423"/>
      <c r="AH135" s="423"/>
      <c r="AI135" s="423"/>
      <c r="AJ135" s="423"/>
      <c r="AK135" s="423"/>
      <c r="AL135" s="423"/>
      <c r="AM135" s="423"/>
      <c r="AN135" s="423"/>
      <c r="AO135" s="423"/>
      <c r="AP135" s="423"/>
      <c r="AQ135" s="423"/>
      <c r="AR135" s="423"/>
      <c r="AS135" s="423"/>
      <c r="AT135" s="423"/>
      <c r="AU135" s="423"/>
      <c r="AV135" s="423"/>
      <c r="AW135" s="423"/>
      <c r="AX135" s="423"/>
      <c r="AY135" s="423"/>
      <c r="AZ135" s="423"/>
      <c r="BA135" s="423"/>
      <c r="BB135" s="423"/>
      <c r="BC135" s="423"/>
      <c r="BD135" s="423"/>
      <c r="BE135" s="423"/>
      <c r="BF135" s="423"/>
      <c r="BG135" s="423"/>
      <c r="BH135" s="423"/>
      <c r="BI135" s="423"/>
      <c r="BJ135" s="423"/>
      <c r="BK135" s="423"/>
      <c r="BL135" s="423"/>
      <c r="BM135" s="423"/>
      <c r="BN135" s="423"/>
      <c r="BO135" s="423"/>
      <c r="BP135" s="423"/>
      <c r="BQ135" s="423"/>
      <c r="BR135" s="423"/>
      <c r="BS135" s="423"/>
      <c r="BT135" s="423"/>
    </row>
    <row r="136" spans="1:72" x14ac:dyDescent="0.25">
      <c r="B136" s="423" t="s">
        <v>72</v>
      </c>
      <c r="C136" s="423"/>
      <c r="D136" s="423"/>
      <c r="E136" s="423"/>
      <c r="F136" s="423"/>
      <c r="G136" s="423"/>
      <c r="H136" s="78"/>
      <c r="I136" s="423"/>
      <c r="J136" s="423"/>
      <c r="K136" s="423"/>
      <c r="L136" s="423"/>
      <c r="M136" s="423"/>
      <c r="N136" s="423">
        <v>0</v>
      </c>
      <c r="O136" s="423">
        <v>1</v>
      </c>
      <c r="P136" s="423">
        <v>2</v>
      </c>
      <c r="Q136" s="423">
        <v>3</v>
      </c>
      <c r="R136" s="423">
        <v>4</v>
      </c>
      <c r="S136" s="423">
        <v>5</v>
      </c>
      <c r="T136" s="423">
        <v>6</v>
      </c>
      <c r="U136" s="423">
        <v>7</v>
      </c>
      <c r="V136" s="423">
        <v>8</v>
      </c>
      <c r="W136" s="423">
        <v>9</v>
      </c>
      <c r="X136" s="423">
        <v>10</v>
      </c>
      <c r="Y136" s="423">
        <v>11</v>
      </c>
      <c r="Z136" s="423">
        <v>12</v>
      </c>
      <c r="AA136" s="423">
        <v>13</v>
      </c>
      <c r="AB136" s="423">
        <v>14</v>
      </c>
      <c r="AC136" s="423">
        <v>15</v>
      </c>
      <c r="AD136" s="423">
        <v>16</v>
      </c>
      <c r="AE136" s="423">
        <v>17</v>
      </c>
      <c r="AF136" s="423">
        <v>18</v>
      </c>
      <c r="AG136" s="423">
        <v>19</v>
      </c>
      <c r="AH136" s="423">
        <v>20</v>
      </c>
      <c r="AI136" s="423">
        <v>21</v>
      </c>
      <c r="AJ136" s="423"/>
      <c r="AK136" s="423"/>
      <c r="AL136" s="423"/>
      <c r="AM136" s="423"/>
      <c r="AN136" s="423"/>
      <c r="AO136" s="423"/>
      <c r="AP136" s="423"/>
      <c r="AQ136" s="423"/>
      <c r="AR136" s="423"/>
      <c r="AS136" s="423"/>
      <c r="AT136" s="423"/>
      <c r="AU136" s="423"/>
      <c r="AV136" s="423"/>
      <c r="AW136" s="423"/>
      <c r="AX136" s="423"/>
      <c r="AY136" s="423"/>
      <c r="AZ136" s="423"/>
      <c r="BA136" s="423"/>
      <c r="BB136" s="423"/>
      <c r="BC136" s="423"/>
      <c r="BD136" s="423"/>
      <c r="BE136" s="423"/>
      <c r="BF136" s="423"/>
      <c r="BG136" s="423"/>
      <c r="BH136" s="423"/>
      <c r="BI136" s="423"/>
      <c r="BJ136" s="423"/>
      <c r="BK136" s="423"/>
      <c r="BL136" s="423"/>
      <c r="BM136" s="423"/>
      <c r="BN136" s="423"/>
      <c r="BO136" s="423"/>
      <c r="BP136" s="423"/>
      <c r="BQ136" s="423"/>
      <c r="BR136" s="423"/>
      <c r="BS136" s="423"/>
      <c r="BT136" s="423"/>
    </row>
    <row r="137" spans="1:72" x14ac:dyDescent="0.25">
      <c r="B137" s="423" t="s">
        <v>41</v>
      </c>
      <c r="C137" s="423"/>
      <c r="D137" s="423"/>
      <c r="E137" s="423"/>
      <c r="F137" s="423"/>
      <c r="G137" s="423"/>
      <c r="H137" s="423"/>
      <c r="I137" s="423"/>
      <c r="J137" s="423"/>
      <c r="K137" s="423"/>
      <c r="L137" s="423"/>
      <c r="M137" s="423"/>
      <c r="N137" s="423" t="s">
        <v>81</v>
      </c>
      <c r="O137" s="423" t="s">
        <v>82</v>
      </c>
      <c r="P137" s="423" t="s">
        <v>82</v>
      </c>
      <c r="Q137" s="423" t="s">
        <v>82</v>
      </c>
      <c r="R137" s="423" t="s">
        <v>82</v>
      </c>
      <c r="S137" s="423" t="s">
        <v>83</v>
      </c>
      <c r="T137" s="423" t="s">
        <v>84</v>
      </c>
      <c r="U137" s="423" t="s">
        <v>84</v>
      </c>
      <c r="V137" s="423" t="s">
        <v>84</v>
      </c>
      <c r="W137" s="423" t="s">
        <v>84</v>
      </c>
      <c r="X137" s="423" t="s">
        <v>84</v>
      </c>
      <c r="Y137" s="423" t="s">
        <v>84</v>
      </c>
      <c r="Z137" s="423" t="s">
        <v>85</v>
      </c>
      <c r="AA137" s="423" t="s">
        <v>85</v>
      </c>
      <c r="AB137" s="423" t="s">
        <v>85</v>
      </c>
      <c r="AC137" s="423" t="s">
        <v>85</v>
      </c>
      <c r="AD137" s="423" t="s">
        <v>85</v>
      </c>
      <c r="AE137" s="423" t="s">
        <v>42</v>
      </c>
      <c r="AF137" s="423" t="s">
        <v>42</v>
      </c>
      <c r="AG137" s="423" t="s">
        <v>42</v>
      </c>
      <c r="AH137" s="423" t="s">
        <v>42</v>
      </c>
      <c r="AI137" s="423" t="s">
        <v>86</v>
      </c>
      <c r="AJ137" s="423"/>
      <c r="AK137" s="423"/>
      <c r="AL137" s="423"/>
      <c r="AM137" s="423"/>
      <c r="AN137" s="423"/>
      <c r="AO137" s="423"/>
      <c r="AP137" s="423"/>
      <c r="AQ137" s="423"/>
      <c r="AR137" s="423"/>
      <c r="AS137" s="423"/>
      <c r="AT137" s="423"/>
      <c r="AU137" s="423"/>
      <c r="AV137" s="423"/>
      <c r="AW137" s="423"/>
      <c r="AX137" s="423"/>
      <c r="AY137" s="423"/>
      <c r="AZ137" s="423"/>
      <c r="BA137" s="423"/>
      <c r="BB137" s="423"/>
      <c r="BC137" s="423"/>
      <c r="BD137" s="423"/>
      <c r="BE137" s="423"/>
      <c r="BF137" s="423"/>
      <c r="BG137" s="423"/>
      <c r="BH137" s="423"/>
      <c r="BI137" s="423"/>
      <c r="BJ137" s="423"/>
      <c r="BK137" s="423"/>
      <c r="BL137" s="423"/>
      <c r="BM137" s="423"/>
      <c r="BN137" s="423"/>
      <c r="BO137" s="423"/>
      <c r="BP137" s="423"/>
      <c r="BQ137" s="423"/>
      <c r="BR137" s="423"/>
      <c r="BS137" s="423"/>
      <c r="BT137" s="423"/>
    </row>
    <row r="138" spans="1:72" x14ac:dyDescent="0.25">
      <c r="B138" s="423" t="s">
        <v>87</v>
      </c>
      <c r="C138" s="423"/>
      <c r="D138" s="423"/>
      <c r="E138" s="423"/>
      <c r="F138" s="423"/>
      <c r="G138" s="423"/>
      <c r="H138" s="423"/>
      <c r="I138" s="423"/>
      <c r="J138" s="423"/>
      <c r="K138" s="423"/>
      <c r="L138" s="423"/>
      <c r="M138" s="423"/>
      <c r="N138" s="423"/>
      <c r="O138" s="423"/>
      <c r="P138" s="423"/>
      <c r="Q138" s="423"/>
      <c r="R138" s="423"/>
      <c r="S138" s="423"/>
      <c r="T138" s="423"/>
      <c r="U138" s="423"/>
      <c r="V138" s="423"/>
      <c r="W138" s="423"/>
      <c r="X138" s="423"/>
      <c r="Y138" s="423"/>
      <c r="Z138" s="423"/>
      <c r="AA138" s="423"/>
      <c r="AB138" s="423"/>
      <c r="AC138" s="423"/>
      <c r="AD138" s="423"/>
      <c r="AE138" s="423"/>
      <c r="AF138" s="423"/>
      <c r="AG138" s="423"/>
      <c r="AH138" s="423"/>
      <c r="AI138" s="423"/>
      <c r="AJ138" s="423"/>
      <c r="AK138" s="423"/>
      <c r="AL138" s="423"/>
      <c r="AM138" s="423"/>
      <c r="AN138" s="423"/>
      <c r="AO138" s="423"/>
      <c r="AP138" s="423"/>
      <c r="AQ138" s="423"/>
      <c r="AR138" s="423"/>
      <c r="AS138" s="423"/>
      <c r="AT138" s="423"/>
      <c r="AU138" s="423"/>
      <c r="AV138" s="423"/>
      <c r="AW138" s="423"/>
      <c r="AX138" s="423"/>
      <c r="AY138" s="423"/>
      <c r="AZ138" s="423"/>
      <c r="BA138" s="423"/>
      <c r="BB138" s="423"/>
      <c r="BC138" s="423"/>
      <c r="BD138" s="423"/>
      <c r="BE138" s="423"/>
      <c r="BF138" s="423"/>
      <c r="BG138" s="423"/>
      <c r="BH138" s="423"/>
      <c r="BI138" s="423"/>
      <c r="BJ138" s="423"/>
      <c r="BK138" s="423"/>
      <c r="BL138" s="423"/>
      <c r="BM138" s="423"/>
      <c r="BN138" s="423"/>
      <c r="BO138" s="423"/>
      <c r="BP138" s="423"/>
      <c r="BQ138" s="423"/>
      <c r="BR138" s="423"/>
      <c r="BS138" s="423"/>
      <c r="BT138" s="423"/>
    </row>
    <row r="139" spans="1:72" x14ac:dyDescent="0.25">
      <c r="A139" s="423"/>
      <c r="B139" s="423" t="s">
        <v>29</v>
      </c>
      <c r="C139" s="423"/>
      <c r="D139" s="423"/>
      <c r="E139" s="423"/>
      <c r="F139" s="423"/>
      <c r="G139" s="423"/>
      <c r="H139" s="423"/>
      <c r="I139" s="423"/>
      <c r="J139" s="423"/>
      <c r="K139" s="423"/>
      <c r="L139" s="423"/>
      <c r="M139" s="423"/>
      <c r="N139" s="34">
        <f>'B.P. Soins de santé'!H23/('Paramètres Indexation'!F26/100)</f>
        <v>9718.9819910780479</v>
      </c>
      <c r="O139" s="423">
        <f>'B.P. Soins de santé'!H24/('Paramètres Indexation'!F26/100)</f>
        <v>1793.5167574909401</v>
      </c>
      <c r="P139" s="423">
        <f>O139</f>
        <v>1793.5167574909401</v>
      </c>
      <c r="Q139" s="423">
        <f>O139</f>
        <v>1793.5167574909401</v>
      </c>
      <c r="R139" s="423">
        <f>O139</f>
        <v>1793.5167574909401</v>
      </c>
      <c r="S139" s="34">
        <f>'B.P. Soins de santé'!H25/('Paramètres Indexation'!F26/100)</f>
        <v>1482.1050967592093</v>
      </c>
      <c r="T139" s="34">
        <f>S139</f>
        <v>1482.1050967592093</v>
      </c>
      <c r="U139" s="34">
        <f>S139</f>
        <v>1482.1050967592093</v>
      </c>
      <c r="V139" s="34">
        <f>S139</f>
        <v>1482.1050967592093</v>
      </c>
      <c r="W139" s="34">
        <f>S139</f>
        <v>1482.1050967592093</v>
      </c>
      <c r="X139" s="34">
        <f>'B.P. Soins de santé'!H26/('Paramètres Indexation'!F26/100)</f>
        <v>1318.6674181382621</v>
      </c>
      <c r="Y139" s="34">
        <f>X139</f>
        <v>1318.6674181382621</v>
      </c>
      <c r="Z139" s="34">
        <f>X139</f>
        <v>1318.6674181382621</v>
      </c>
      <c r="AA139" s="34">
        <f>X139</f>
        <v>1318.6674181382621</v>
      </c>
      <c r="AB139" s="34">
        <f>X139</f>
        <v>1318.6674181382621</v>
      </c>
      <c r="AC139" s="34">
        <f>'B.P. Soins de santé'!H27/('Paramètres Indexation'!F26/100)</f>
        <v>1460.7447217540348</v>
      </c>
      <c r="AD139" s="34">
        <f>AC139</f>
        <v>1460.7447217540348</v>
      </c>
      <c r="AE139" s="34">
        <f>AD139</f>
        <v>1460.7447217540348</v>
      </c>
      <c r="AF139" s="34"/>
      <c r="AG139" s="423"/>
      <c r="AH139" s="423"/>
      <c r="AI139" s="423"/>
      <c r="AJ139" s="423"/>
      <c r="AK139" s="423"/>
      <c r="AL139" s="423"/>
      <c r="AM139" s="423"/>
      <c r="AN139" s="423"/>
      <c r="AO139" s="423"/>
      <c r="AP139" s="423"/>
      <c r="AQ139" s="423"/>
      <c r="AR139" s="423"/>
      <c r="AS139" s="423"/>
      <c r="AT139" s="423"/>
      <c r="AU139" s="423"/>
      <c r="AV139" s="423"/>
      <c r="AW139" s="423"/>
      <c r="AX139" s="423"/>
      <c r="AY139" s="423"/>
      <c r="AZ139" s="423"/>
      <c r="BA139" s="423"/>
      <c r="BB139" s="423"/>
      <c r="BC139" s="423"/>
      <c r="BD139" s="423"/>
      <c r="BE139" s="423"/>
      <c r="BF139" s="423"/>
      <c r="BG139" s="423"/>
      <c r="BH139" s="423"/>
      <c r="BI139" s="423"/>
      <c r="BJ139" s="423"/>
      <c r="BK139" s="423"/>
      <c r="BL139" s="423"/>
      <c r="BM139" s="423"/>
      <c r="BN139" s="423"/>
      <c r="BO139" s="423"/>
      <c r="BP139" s="423"/>
      <c r="BQ139" s="423"/>
      <c r="BR139" s="423"/>
      <c r="BS139" s="423"/>
      <c r="BT139" s="423"/>
    </row>
    <row r="140" spans="1:72" x14ac:dyDescent="0.25">
      <c r="A140" s="423"/>
      <c r="B140" s="145" t="s">
        <v>88</v>
      </c>
      <c r="C140" s="423"/>
      <c r="D140" s="423"/>
      <c r="E140" s="423"/>
      <c r="F140" s="423"/>
      <c r="G140" s="423"/>
      <c r="H140" s="423"/>
      <c r="I140" s="423"/>
      <c r="J140" s="423"/>
      <c r="K140" s="423"/>
      <c r="L140" s="423"/>
      <c r="M140" s="423"/>
      <c r="N140" s="423"/>
      <c r="O140" s="423"/>
      <c r="P140" s="423"/>
      <c r="Q140" s="423"/>
      <c r="R140" s="423"/>
      <c r="S140" s="423"/>
      <c r="T140" s="423"/>
      <c r="U140" s="423"/>
      <c r="V140" s="423"/>
      <c r="W140" s="423"/>
      <c r="X140" s="423"/>
      <c r="Y140" s="423"/>
      <c r="Z140" s="423"/>
      <c r="AA140" s="423"/>
      <c r="AB140" s="423"/>
      <c r="AC140" s="423"/>
      <c r="AD140" s="423"/>
      <c r="AE140" s="423"/>
      <c r="AF140" s="423"/>
      <c r="AG140" s="423"/>
      <c r="AH140" s="423"/>
      <c r="AI140" s="423"/>
      <c r="AJ140" s="423"/>
      <c r="AK140" s="423"/>
      <c r="AL140" s="423"/>
      <c r="AM140" s="423"/>
      <c r="AN140" s="423"/>
      <c r="AO140" s="423"/>
      <c r="AP140" s="423"/>
      <c r="AQ140" s="423"/>
      <c r="AR140" s="423"/>
      <c r="AS140" s="423"/>
      <c r="AT140" s="423"/>
      <c r="AU140" s="423"/>
      <c r="AV140" s="423"/>
      <c r="AW140" s="423"/>
      <c r="AX140" s="423"/>
      <c r="AY140" s="423"/>
      <c r="AZ140" s="423"/>
      <c r="BA140" s="423"/>
      <c r="BB140" s="423"/>
      <c r="BC140" s="423"/>
      <c r="BD140" s="423"/>
      <c r="BE140" s="423"/>
      <c r="BF140" s="423"/>
      <c r="BG140" s="423"/>
      <c r="BH140" s="423"/>
      <c r="BI140" s="423"/>
      <c r="BJ140" s="423"/>
      <c r="BK140" s="423"/>
      <c r="BL140" s="423"/>
      <c r="BM140" s="423"/>
      <c r="BN140" s="423"/>
      <c r="BO140" s="423"/>
      <c r="BP140" s="423"/>
      <c r="BQ140" s="423"/>
      <c r="BR140" s="423"/>
      <c r="BS140" s="423"/>
      <c r="BT140" s="423"/>
    </row>
    <row r="141" spans="1:72" x14ac:dyDescent="0.25">
      <c r="A141" s="423"/>
      <c r="B141" s="423" t="s">
        <v>72</v>
      </c>
      <c r="C141" s="423"/>
      <c r="D141" s="423"/>
      <c r="E141" s="423"/>
      <c r="F141" s="423"/>
      <c r="G141" s="423"/>
      <c r="H141" s="423"/>
      <c r="I141" s="423"/>
      <c r="J141" s="423"/>
      <c r="K141" s="423"/>
      <c r="L141" s="423"/>
      <c r="M141" s="423"/>
      <c r="N141" s="423"/>
      <c r="O141" s="423"/>
      <c r="P141" s="423">
        <v>0</v>
      </c>
      <c r="Q141" s="423">
        <v>1</v>
      </c>
      <c r="R141" s="423">
        <v>2</v>
      </c>
      <c r="S141" s="423">
        <v>3</v>
      </c>
      <c r="T141" s="423">
        <v>4</v>
      </c>
      <c r="U141" s="423">
        <v>5</v>
      </c>
      <c r="V141" s="423">
        <v>6</v>
      </c>
      <c r="W141" s="423">
        <v>7</v>
      </c>
      <c r="X141" s="423">
        <v>8</v>
      </c>
      <c r="Y141" s="423">
        <v>9</v>
      </c>
      <c r="Z141" s="423">
        <v>10</v>
      </c>
      <c r="AA141" s="423">
        <v>11</v>
      </c>
      <c r="AB141" s="423">
        <v>12</v>
      </c>
      <c r="AC141" s="423">
        <v>13</v>
      </c>
      <c r="AD141" s="423">
        <v>14</v>
      </c>
      <c r="AE141" s="423">
        <v>15</v>
      </c>
      <c r="AF141" s="423">
        <v>16</v>
      </c>
      <c r="AG141" s="423">
        <v>17</v>
      </c>
      <c r="AH141" s="423">
        <v>18</v>
      </c>
      <c r="AI141" s="423">
        <v>19</v>
      </c>
      <c r="AJ141" s="423">
        <v>20</v>
      </c>
      <c r="AK141" s="423">
        <v>21</v>
      </c>
      <c r="AL141" s="423"/>
      <c r="AM141" s="423"/>
      <c r="AN141" s="423"/>
      <c r="AO141" s="423"/>
      <c r="AP141" s="423"/>
      <c r="AQ141" s="423"/>
      <c r="AR141" s="423"/>
      <c r="AS141" s="423"/>
      <c r="AT141" s="423"/>
      <c r="AU141" s="423"/>
      <c r="AV141" s="423"/>
      <c r="AW141" s="423"/>
      <c r="AX141" s="423"/>
      <c r="AY141" s="423"/>
      <c r="AZ141" s="423"/>
      <c r="BA141" s="423"/>
      <c r="BB141" s="423"/>
      <c r="BC141" s="423"/>
      <c r="BD141" s="423"/>
      <c r="BE141" s="423"/>
      <c r="BF141" s="423"/>
      <c r="BG141" s="423"/>
      <c r="BH141" s="423"/>
      <c r="BI141" s="423"/>
      <c r="BJ141" s="423"/>
      <c r="BK141" s="423"/>
      <c r="BL141" s="423"/>
      <c r="BM141" s="423"/>
      <c r="BN141" s="423"/>
      <c r="BO141" s="423"/>
      <c r="BP141" s="423"/>
      <c r="BQ141" s="423"/>
      <c r="BR141" s="423"/>
      <c r="BS141" s="423"/>
      <c r="BT141" s="423"/>
    </row>
    <row r="142" spans="1:72" x14ac:dyDescent="0.25">
      <c r="A142" s="423"/>
      <c r="B142" s="423" t="s">
        <v>41</v>
      </c>
      <c r="C142" s="423"/>
      <c r="D142" s="423"/>
      <c r="E142" s="423"/>
      <c r="F142" s="423"/>
      <c r="G142" s="423"/>
      <c r="H142" s="423"/>
      <c r="I142" s="423"/>
      <c r="J142" s="423"/>
      <c r="K142" s="423"/>
      <c r="L142" s="423"/>
      <c r="M142" s="423"/>
      <c r="N142" s="423"/>
      <c r="O142" s="423"/>
      <c r="P142" s="423" t="s">
        <v>81</v>
      </c>
      <c r="Q142" s="423" t="s">
        <v>82</v>
      </c>
      <c r="R142" s="423" t="s">
        <v>82</v>
      </c>
      <c r="S142" s="423" t="s">
        <v>82</v>
      </c>
      <c r="T142" s="423" t="s">
        <v>82</v>
      </c>
      <c r="U142" s="423" t="s">
        <v>83</v>
      </c>
      <c r="V142" s="423" t="s">
        <v>84</v>
      </c>
      <c r="W142" s="423" t="s">
        <v>84</v>
      </c>
      <c r="X142" s="423" t="s">
        <v>84</v>
      </c>
      <c r="Y142" s="423" t="s">
        <v>84</v>
      </c>
      <c r="Z142" s="423" t="s">
        <v>84</v>
      </c>
      <c r="AA142" s="423" t="s">
        <v>84</v>
      </c>
      <c r="AB142" s="423" t="s">
        <v>85</v>
      </c>
      <c r="AC142" s="423" t="s">
        <v>85</v>
      </c>
      <c r="AD142" s="423" t="s">
        <v>85</v>
      </c>
      <c r="AE142" s="423" t="s">
        <v>85</v>
      </c>
      <c r="AF142" s="423" t="s">
        <v>85</v>
      </c>
      <c r="AG142" s="423" t="s">
        <v>42</v>
      </c>
      <c r="AH142" s="423" t="s">
        <v>42</v>
      </c>
      <c r="AI142" s="423" t="s">
        <v>42</v>
      </c>
      <c r="AJ142" s="423" t="s">
        <v>42</v>
      </c>
      <c r="AK142" s="423" t="s">
        <v>89</v>
      </c>
      <c r="AL142" s="423"/>
      <c r="AM142" s="423"/>
      <c r="AN142" s="423"/>
      <c r="AO142" s="423"/>
      <c r="AP142" s="423"/>
      <c r="AQ142" s="423"/>
      <c r="AR142" s="423"/>
      <c r="AS142" s="423"/>
      <c r="AT142" s="423"/>
      <c r="AU142" s="423"/>
      <c r="AV142" s="423"/>
      <c r="AW142" s="423"/>
      <c r="AX142" s="423"/>
      <c r="AY142" s="423"/>
      <c r="AZ142" s="423"/>
      <c r="BA142" s="423"/>
      <c r="BB142" s="423"/>
      <c r="BC142" s="423"/>
      <c r="BD142" s="423"/>
      <c r="BE142" s="423"/>
      <c r="BF142" s="423"/>
      <c r="BG142" s="423"/>
      <c r="BH142" s="423"/>
      <c r="BI142" s="423"/>
      <c r="BJ142" s="423"/>
      <c r="BK142" s="423"/>
      <c r="BL142" s="423"/>
      <c r="BM142" s="423"/>
      <c r="BN142" s="423"/>
      <c r="BO142" s="423"/>
      <c r="BP142" s="423"/>
      <c r="BQ142" s="423"/>
      <c r="BR142" s="423"/>
      <c r="BS142" s="423"/>
      <c r="BT142" s="423"/>
    </row>
    <row r="143" spans="1:72" x14ac:dyDescent="0.25">
      <c r="A143" s="423"/>
      <c r="B143" s="423" t="s">
        <v>90</v>
      </c>
      <c r="C143" s="423"/>
      <c r="D143" s="423"/>
      <c r="E143" s="423"/>
      <c r="F143" s="423"/>
      <c r="G143" s="423"/>
      <c r="H143" s="423"/>
      <c r="I143" s="423"/>
      <c r="J143" s="423"/>
      <c r="K143" s="423"/>
      <c r="L143" s="423"/>
      <c r="M143" s="423"/>
      <c r="N143" s="423"/>
      <c r="O143" s="423"/>
      <c r="P143" s="423"/>
      <c r="Q143" s="423"/>
      <c r="R143" s="423"/>
      <c r="S143" s="423"/>
      <c r="T143" s="423"/>
      <c r="U143" s="423"/>
      <c r="V143" s="423"/>
      <c r="W143" s="423"/>
      <c r="X143" s="423"/>
      <c r="Y143" s="423"/>
      <c r="Z143" s="423"/>
      <c r="AA143" s="423"/>
      <c r="AB143" s="423"/>
      <c r="AC143" s="423"/>
      <c r="AD143" s="423"/>
      <c r="AE143" s="423"/>
      <c r="AF143" s="423"/>
      <c r="AG143" s="423"/>
      <c r="AH143" s="423"/>
      <c r="AI143" s="423"/>
      <c r="AJ143" s="423"/>
      <c r="AK143" s="423"/>
      <c r="AL143" s="423"/>
      <c r="AM143" s="423"/>
      <c r="AN143" s="423"/>
      <c r="AO143" s="423"/>
      <c r="AP143" s="423"/>
      <c r="AQ143" s="423"/>
      <c r="AR143" s="423"/>
      <c r="AS143" s="423"/>
      <c r="AT143" s="423"/>
      <c r="AU143" s="423"/>
      <c r="AV143" s="423"/>
      <c r="AW143" s="423"/>
      <c r="AX143" s="423"/>
      <c r="AY143" s="423"/>
      <c r="AZ143" s="423"/>
      <c r="BA143" s="423"/>
      <c r="BB143" s="423"/>
      <c r="BC143" s="423"/>
      <c r="BD143" s="423"/>
      <c r="BE143" s="423"/>
      <c r="BF143" s="423"/>
      <c r="BG143" s="423"/>
      <c r="BH143" s="423"/>
      <c r="BI143" s="423"/>
      <c r="BJ143" s="423"/>
      <c r="BK143" s="423"/>
      <c r="BL143" s="423"/>
      <c r="BM143" s="423"/>
      <c r="BN143" s="423"/>
      <c r="BO143" s="423"/>
      <c r="BP143" s="423"/>
      <c r="BQ143" s="423"/>
      <c r="BR143" s="423"/>
      <c r="BS143" s="423"/>
      <c r="BT143" s="423"/>
    </row>
    <row r="144" spans="1:72" x14ac:dyDescent="0.25">
      <c r="A144" s="423"/>
      <c r="B144" s="423" t="s">
        <v>29</v>
      </c>
      <c r="C144" s="423"/>
      <c r="D144" s="423"/>
      <c r="E144" s="423"/>
      <c r="F144" s="423"/>
      <c r="G144" s="423"/>
      <c r="H144" s="423"/>
      <c r="I144" s="423"/>
      <c r="J144" s="423"/>
      <c r="K144" s="423"/>
      <c r="L144" s="423"/>
      <c r="M144" s="423"/>
      <c r="N144" s="423"/>
      <c r="O144" s="423"/>
      <c r="P144" s="34">
        <f>'B.P. Soins de santé'!H3/('Paramètres Indexation'!F26/100)</f>
        <v>8664.2397464503865</v>
      </c>
      <c r="Q144" s="34">
        <f>'B.P. Soins de santé'!H4/('Paramètres Indexation'!F26/100)</f>
        <v>1631.5046533816301</v>
      </c>
      <c r="R144" s="34">
        <f>Q144</f>
        <v>1631.5046533816301</v>
      </c>
      <c r="S144" s="34">
        <f>Q144</f>
        <v>1631.5046533816301</v>
      </c>
      <c r="T144" s="34">
        <f>Q144</f>
        <v>1631.5046533816301</v>
      </c>
      <c r="U144" s="34">
        <f>'B.P. Soins de santé'!H5/('Paramètres Indexation'!F26/100)</f>
        <v>1368.1637202921254</v>
      </c>
      <c r="V144" s="34">
        <f>U144</f>
        <v>1368.1637202921254</v>
      </c>
      <c r="W144" s="34">
        <f>U144</f>
        <v>1368.1637202921254</v>
      </c>
      <c r="X144" s="34">
        <f>U144</f>
        <v>1368.1637202921254</v>
      </c>
      <c r="Y144" s="34">
        <f>U144</f>
        <v>1368.1637202921254</v>
      </c>
      <c r="Z144" s="34">
        <f>'B.P. Soins de santé'!H6/('Paramètres Indexation'!F26/100)</f>
        <v>1322.5636667417496</v>
      </c>
      <c r="AA144" s="34">
        <f>Z144</f>
        <v>1322.5636667417496</v>
      </c>
      <c r="AB144" s="34">
        <f>Z144</f>
        <v>1322.5636667417496</v>
      </c>
      <c r="AC144" s="34">
        <f>Z144</f>
        <v>1322.5636667417496</v>
      </c>
      <c r="AD144" s="34">
        <f>Z144</f>
        <v>1322.5636667417496</v>
      </c>
      <c r="AE144" s="34">
        <f>'B.P. Soins de santé'!H7/('Paramètres Indexation'!F26/100)</f>
        <v>1668.2711735361063</v>
      </c>
      <c r="AF144" s="34">
        <f>'B.P. Soins de santé'!H7/('Paramètres Indexation'!F26/100)</f>
        <v>1668.2711735361063</v>
      </c>
      <c r="AG144" s="34">
        <f>'B.P. Soins de santé'!H7/('Paramètres Indexation'!F26/100)</f>
        <v>1668.2711735361063</v>
      </c>
      <c r="AH144" s="34"/>
      <c r="AI144" s="423"/>
      <c r="AJ144" s="423"/>
      <c r="AK144" s="423"/>
      <c r="AL144" s="423"/>
      <c r="AM144" s="423"/>
      <c r="AN144" s="423"/>
      <c r="AO144" s="423"/>
      <c r="AP144" s="423"/>
      <c r="AQ144" s="423"/>
      <c r="AR144" s="423"/>
      <c r="AS144" s="423"/>
      <c r="AT144" s="423"/>
      <c r="AU144" s="423"/>
      <c r="AV144" s="423"/>
      <c r="AW144" s="423"/>
      <c r="AX144" s="423"/>
      <c r="AY144" s="423"/>
      <c r="AZ144" s="423"/>
      <c r="BA144" s="423"/>
      <c r="BB144" s="423"/>
      <c r="BC144" s="423"/>
      <c r="BD144" s="423"/>
      <c r="BE144" s="423"/>
      <c r="BF144" s="423"/>
      <c r="BG144" s="423"/>
      <c r="BH144" s="423"/>
      <c r="BI144" s="423"/>
      <c r="BJ144" s="423"/>
      <c r="BK144" s="423"/>
      <c r="BL144" s="423"/>
      <c r="BM144" s="423"/>
      <c r="BN144" s="423"/>
      <c r="BO144" s="423"/>
      <c r="BP144" s="423"/>
      <c r="BQ144" s="423"/>
      <c r="BR144" s="423"/>
      <c r="BS144" s="423"/>
      <c r="BT144" s="423"/>
    </row>
    <row r="145" spans="1:72" x14ac:dyDescent="0.25">
      <c r="A145" s="423"/>
      <c r="B145" s="423" t="s">
        <v>91</v>
      </c>
      <c r="C145" s="423"/>
      <c r="D145" s="423"/>
      <c r="E145" s="423"/>
      <c r="F145" s="423"/>
      <c r="G145" s="423"/>
      <c r="H145" s="423"/>
      <c r="I145" s="423"/>
      <c r="J145" s="423"/>
      <c r="K145" s="423"/>
      <c r="L145" s="423"/>
      <c r="M145" s="423"/>
      <c r="N145" s="423"/>
      <c r="O145" s="423"/>
      <c r="P145" s="34"/>
      <c r="Q145" s="34"/>
      <c r="R145" s="34"/>
      <c r="S145" s="34"/>
      <c r="T145" s="34"/>
      <c r="U145" s="34"/>
      <c r="V145" s="34"/>
      <c r="W145" s="34"/>
      <c r="X145" s="34"/>
      <c r="Y145" s="34"/>
      <c r="Z145" s="34"/>
      <c r="AA145" s="34"/>
      <c r="AB145" s="34"/>
      <c r="AC145" s="34"/>
      <c r="AD145" s="34"/>
      <c r="AE145" s="34"/>
      <c r="AF145" s="34"/>
      <c r="AG145" s="34"/>
      <c r="AH145" s="34"/>
      <c r="AI145" s="423"/>
      <c r="AJ145" s="423"/>
      <c r="AK145" s="423"/>
      <c r="AL145" s="423"/>
      <c r="AM145" s="423"/>
      <c r="AN145" s="423"/>
      <c r="AO145" s="423"/>
      <c r="AP145" s="423"/>
      <c r="AQ145" s="423"/>
      <c r="AR145" s="423"/>
      <c r="AS145" s="268">
        <f t="shared" ref="AS145" si="269">AS63+AS79+AS93</f>
        <v>60802.418966658624</v>
      </c>
      <c r="AT145" s="268">
        <f t="shared" ref="AT145:AX145" si="270">AT63+AT79+AT93</f>
        <v>69307.540176742652</v>
      </c>
      <c r="AU145" s="268">
        <f t="shared" si="270"/>
        <v>76428.85017674265</v>
      </c>
      <c r="AV145" s="268">
        <f t="shared" si="270"/>
        <v>76428.85017674265</v>
      </c>
      <c r="AW145" s="268">
        <f t="shared" si="270"/>
        <v>76428.85017674265</v>
      </c>
      <c r="AX145" s="268">
        <f t="shared" si="270"/>
        <v>70574.225176742664</v>
      </c>
      <c r="AY145" s="268">
        <f t="shared" ref="AY145:BB145" si="271">AY63+AY79+AY93</f>
        <v>70574.225176742664</v>
      </c>
      <c r="AZ145" s="268">
        <f t="shared" si="271"/>
        <v>70574.225176742664</v>
      </c>
      <c r="BA145" s="268">
        <f t="shared" si="271"/>
        <v>70574.225176742664</v>
      </c>
      <c r="BB145" s="268">
        <f t="shared" si="271"/>
        <v>70574.225176742664</v>
      </c>
      <c r="BC145" s="268">
        <f>BC63+BC79+BC93</f>
        <v>70574.225176742664</v>
      </c>
      <c r="BD145" s="268">
        <f t="shared" ref="BD145:BT145" si="272">BD63+BD79+BD93</f>
        <v>70574.225176742664</v>
      </c>
      <c r="BE145" s="268">
        <f t="shared" si="272"/>
        <v>70574.225176742664</v>
      </c>
      <c r="BF145" s="268">
        <f t="shared" si="272"/>
        <v>70574.225176742664</v>
      </c>
      <c r="BG145" s="268">
        <f t="shared" si="272"/>
        <v>70574.225176742664</v>
      </c>
      <c r="BH145" s="268">
        <f t="shared" si="272"/>
        <v>70574.225176742664</v>
      </c>
      <c r="BI145" s="268">
        <f t="shared" si="272"/>
        <v>70574.225176742664</v>
      </c>
      <c r="BJ145" s="268">
        <f t="shared" si="272"/>
        <v>70574.225176742664</v>
      </c>
      <c r="BK145" s="268">
        <f t="shared" si="272"/>
        <v>70574.225176742664</v>
      </c>
      <c r="BL145" s="268">
        <f t="shared" si="272"/>
        <v>70574.225176742664</v>
      </c>
      <c r="BM145" s="268">
        <f t="shared" si="272"/>
        <v>70574.225176742664</v>
      </c>
      <c r="BN145" s="268">
        <f t="shared" si="272"/>
        <v>70547.525176742667</v>
      </c>
      <c r="BO145" s="268">
        <f t="shared" si="272"/>
        <v>47980.240822581014</v>
      </c>
      <c r="BP145" s="268">
        <f t="shared" si="272"/>
        <v>47980.240822581014</v>
      </c>
      <c r="BQ145" s="268">
        <f t="shared" si="272"/>
        <v>47980.240822581014</v>
      </c>
      <c r="BR145" s="268">
        <f t="shared" si="272"/>
        <v>47980.240822581014</v>
      </c>
      <c r="BS145" s="268">
        <f t="shared" si="272"/>
        <v>47980.240822581014</v>
      </c>
      <c r="BT145" s="268">
        <f t="shared" si="272"/>
        <v>47980.240822581014</v>
      </c>
    </row>
    <row r="146" spans="1:72" x14ac:dyDescent="0.25">
      <c r="AF146" s="78"/>
    </row>
    <row r="147" spans="1:72" ht="18.75" x14ac:dyDescent="0.3">
      <c r="A147" s="125" t="s">
        <v>92</v>
      </c>
      <c r="B147" s="125" t="s">
        <v>93</v>
      </c>
      <c r="C147" s="423"/>
      <c r="D147" s="423"/>
      <c r="E147" s="423"/>
      <c r="F147" s="423"/>
      <c r="G147" s="423"/>
      <c r="H147" s="423"/>
      <c r="I147" s="423"/>
      <c r="J147" s="423"/>
      <c r="K147" s="423"/>
      <c r="L147" s="423"/>
      <c r="M147" s="423"/>
      <c r="N147" s="423"/>
      <c r="O147" s="423"/>
      <c r="P147" s="423"/>
      <c r="Q147" s="423"/>
      <c r="R147" s="423"/>
      <c r="S147" s="423"/>
      <c r="T147" s="423"/>
      <c r="U147" s="423"/>
      <c r="V147" s="423"/>
      <c r="W147" s="423"/>
      <c r="X147" s="423"/>
      <c r="Y147" s="423"/>
      <c r="Z147" s="423"/>
      <c r="AA147" s="423"/>
      <c r="AB147" s="423"/>
      <c r="AC147" s="423"/>
      <c r="AD147" s="423"/>
      <c r="AE147" s="423"/>
      <c r="AF147" s="423"/>
      <c r="AG147" s="423"/>
      <c r="AH147" s="423"/>
      <c r="AI147" s="423"/>
      <c r="AJ147" s="423"/>
      <c r="AK147" s="423"/>
      <c r="AL147" s="423"/>
      <c r="AM147" s="423"/>
      <c r="AN147" s="423"/>
      <c r="AO147" s="423"/>
      <c r="AP147" s="423"/>
      <c r="AQ147" s="423"/>
      <c r="AR147" s="423"/>
      <c r="AS147" s="423"/>
      <c r="AT147" s="423"/>
      <c r="AU147" s="423"/>
      <c r="AV147" s="423"/>
      <c r="AW147" s="423"/>
      <c r="AX147" s="423"/>
      <c r="AY147" s="423"/>
      <c r="AZ147" s="423"/>
      <c r="BA147" s="423"/>
      <c r="BB147" s="423"/>
      <c r="BC147" s="423"/>
      <c r="BD147" s="423"/>
      <c r="BE147" s="423"/>
      <c r="BF147" s="423"/>
      <c r="BG147" s="423"/>
      <c r="BH147" s="423"/>
      <c r="BI147" s="423"/>
      <c r="BJ147" s="423"/>
      <c r="BK147" s="423"/>
      <c r="BL147" s="423"/>
      <c r="BM147" s="423"/>
      <c r="BN147" s="423"/>
      <c r="BO147" s="423"/>
      <c r="BP147" s="423"/>
      <c r="BQ147" s="423"/>
      <c r="BR147" s="423"/>
      <c r="BS147" s="423"/>
      <c r="BT147" s="423"/>
    </row>
    <row r="148" spans="1:72" ht="18.75" x14ac:dyDescent="0.3">
      <c r="A148" s="125"/>
      <c r="B148" s="126" t="s">
        <v>55</v>
      </c>
      <c r="C148" s="109">
        <f t="shared" ref="C148:X148" si="273">C63</f>
        <v>7529.356580593425</v>
      </c>
      <c r="D148" s="109">
        <f t="shared" si="273"/>
        <v>7529.356580593425</v>
      </c>
      <c r="E148" s="109">
        <f t="shared" si="273"/>
        <v>7529.356580593425</v>
      </c>
      <c r="F148" s="109">
        <f t="shared" si="273"/>
        <v>35302</v>
      </c>
      <c r="G148" s="109">
        <f t="shared" si="273"/>
        <v>36471</v>
      </c>
      <c r="H148" s="109">
        <f t="shared" si="273"/>
        <v>37987</v>
      </c>
      <c r="I148" s="109">
        <f t="shared" si="273"/>
        <v>39302</v>
      </c>
      <c r="J148" s="109">
        <f t="shared" si="273"/>
        <v>40854</v>
      </c>
      <c r="K148" s="109">
        <f t="shared" si="273"/>
        <v>42279</v>
      </c>
      <c r="L148" s="281">
        <f t="shared" si="273"/>
        <v>93442.99000000002</v>
      </c>
      <c r="M148" s="127">
        <f t="shared" si="273"/>
        <v>96066.64800000003</v>
      </c>
      <c r="N148" s="127">
        <f t="shared" si="273"/>
        <v>48147.687884615414</v>
      </c>
      <c r="O148" s="127">
        <f t="shared" si="273"/>
        <v>101551.96400000004</v>
      </c>
      <c r="P148" s="146">
        <f>(P4+P9+(O122+C133)+P128)</f>
        <v>104413.62200000003</v>
      </c>
      <c r="Q148" s="146">
        <f t="shared" si="273"/>
        <v>107385.28000000003</v>
      </c>
      <c r="R148" s="146">
        <f t="shared" si="273"/>
        <v>108383.93800000002</v>
      </c>
      <c r="S148" s="146">
        <f t="shared" si="273"/>
        <v>109382.59600000003</v>
      </c>
      <c r="T148" s="146">
        <f t="shared" si="273"/>
        <v>110381.254</v>
      </c>
      <c r="U148" s="146">
        <f t="shared" si="273"/>
        <v>111379.91200000001</v>
      </c>
      <c r="V148" s="146">
        <f t="shared" si="273"/>
        <v>112378.57</v>
      </c>
      <c r="W148" s="146">
        <f t="shared" si="273"/>
        <v>113377.228</v>
      </c>
      <c r="X148" s="146">
        <f t="shared" si="273"/>
        <v>114375.88600000001</v>
      </c>
      <c r="Y148" s="147">
        <f t="shared" ref="Y148:AE148" si="274">Y4+Y9</f>
        <v>52963</v>
      </c>
      <c r="Z148" s="146">
        <f t="shared" si="274"/>
        <v>52963</v>
      </c>
      <c r="AA148" s="146">
        <f t="shared" si="274"/>
        <v>52963</v>
      </c>
      <c r="AB148" s="146">
        <f t="shared" si="274"/>
        <v>52963</v>
      </c>
      <c r="AC148" s="146">
        <f t="shared" si="274"/>
        <v>52963</v>
      </c>
      <c r="AD148" s="146">
        <f t="shared" si="274"/>
        <v>52963</v>
      </c>
      <c r="AE148" s="146">
        <f t="shared" si="274"/>
        <v>52963</v>
      </c>
      <c r="AF148" s="146">
        <f t="shared" ref="AF148:AH148" si="275">AF4+AF9</f>
        <v>52963</v>
      </c>
      <c r="AG148" s="146">
        <f t="shared" si="275"/>
        <v>52963</v>
      </c>
      <c r="AH148" s="146">
        <f t="shared" si="275"/>
        <v>52963</v>
      </c>
      <c r="AI148" s="109">
        <f t="shared" ref="AI148:BT148" si="276">AI4+AI9</f>
        <v>52963</v>
      </c>
      <c r="AJ148" s="109">
        <f t="shared" si="276"/>
        <v>52963</v>
      </c>
      <c r="AK148" s="109">
        <f t="shared" si="276"/>
        <v>52963</v>
      </c>
      <c r="AL148" s="109">
        <f t="shared" si="276"/>
        <v>52963</v>
      </c>
      <c r="AM148" s="109">
        <f t="shared" si="276"/>
        <v>52963</v>
      </c>
      <c r="AN148" s="109">
        <f t="shared" si="276"/>
        <v>52963</v>
      </c>
      <c r="AO148" s="109">
        <f t="shared" si="276"/>
        <v>52963</v>
      </c>
      <c r="AP148" s="109">
        <f t="shared" si="276"/>
        <v>52963</v>
      </c>
      <c r="AQ148" s="109">
        <f t="shared" si="276"/>
        <v>52963</v>
      </c>
      <c r="AR148" s="109">
        <f t="shared" si="276"/>
        <v>52963</v>
      </c>
      <c r="AS148" s="109">
        <f t="shared" si="276"/>
        <v>41311.14</v>
      </c>
      <c r="AT148" s="109">
        <f t="shared" si="276"/>
        <v>41311.14</v>
      </c>
      <c r="AU148" s="109">
        <f t="shared" si="276"/>
        <v>41311.14</v>
      </c>
      <c r="AV148" s="109">
        <f t="shared" si="276"/>
        <v>41311.14</v>
      </c>
      <c r="AW148" s="109">
        <f t="shared" si="276"/>
        <v>41311.14</v>
      </c>
      <c r="AX148" s="109">
        <f t="shared" si="276"/>
        <v>28335.205000000002</v>
      </c>
      <c r="AY148" s="109">
        <f t="shared" si="276"/>
        <v>28335.205000000002</v>
      </c>
      <c r="AZ148" s="109">
        <f t="shared" si="276"/>
        <v>28335.205000000002</v>
      </c>
      <c r="BA148" s="109">
        <f t="shared" si="276"/>
        <v>28335.205000000002</v>
      </c>
      <c r="BB148" s="109">
        <f t="shared" si="276"/>
        <v>28335.205000000002</v>
      </c>
      <c r="BC148" s="109">
        <f t="shared" si="276"/>
        <v>28335.205000000002</v>
      </c>
      <c r="BD148" s="109">
        <f t="shared" si="276"/>
        <v>28335.205000000002</v>
      </c>
      <c r="BE148" s="109">
        <f t="shared" si="276"/>
        <v>28335.205000000002</v>
      </c>
      <c r="BF148" s="109">
        <f t="shared" si="276"/>
        <v>28335.205000000002</v>
      </c>
      <c r="BG148" s="109">
        <f t="shared" si="276"/>
        <v>28335.205000000002</v>
      </c>
      <c r="BH148" s="109">
        <f t="shared" si="276"/>
        <v>28335.205000000002</v>
      </c>
      <c r="BI148" s="109">
        <f t="shared" si="276"/>
        <v>28335.205000000002</v>
      </c>
      <c r="BJ148" s="109">
        <f t="shared" si="276"/>
        <v>28335.205000000002</v>
      </c>
      <c r="BK148" s="109">
        <f t="shared" si="276"/>
        <v>28335.205000000002</v>
      </c>
      <c r="BL148" s="109">
        <f t="shared" si="276"/>
        <v>28335.205000000002</v>
      </c>
      <c r="BM148" s="109">
        <f t="shared" si="276"/>
        <v>28335.205000000002</v>
      </c>
      <c r="BN148" s="109">
        <f t="shared" si="276"/>
        <v>28335.205000000002</v>
      </c>
      <c r="BO148" s="109">
        <f t="shared" si="276"/>
        <v>28335.205000000002</v>
      </c>
      <c r="BP148" s="109">
        <f t="shared" si="276"/>
        <v>28335.205000000002</v>
      </c>
      <c r="BQ148" s="109">
        <f t="shared" si="276"/>
        <v>28335.205000000002</v>
      </c>
      <c r="BR148" s="109">
        <f t="shared" si="276"/>
        <v>28335.205000000002</v>
      </c>
      <c r="BS148" s="109">
        <f t="shared" si="276"/>
        <v>28335.205000000002</v>
      </c>
      <c r="BT148" s="109">
        <f t="shared" si="276"/>
        <v>28335.205000000002</v>
      </c>
    </row>
    <row r="149" spans="1:72" ht="15" customHeight="1" x14ac:dyDescent="0.25">
      <c r="A149" s="447" t="s">
        <v>10</v>
      </c>
      <c r="B149" s="121" t="s">
        <v>11</v>
      </c>
      <c r="C149" s="109">
        <f t="shared" ref="C149:X149" si="277">C150+C151</f>
        <v>0</v>
      </c>
      <c r="D149" s="109">
        <f t="shared" si="277"/>
        <v>0</v>
      </c>
      <c r="E149" s="109">
        <f t="shared" si="277"/>
        <v>0</v>
      </c>
      <c r="F149" s="109">
        <f t="shared" si="277"/>
        <v>4465.72335776</v>
      </c>
      <c r="G149" s="109">
        <f t="shared" si="277"/>
        <v>4732.4675854799998</v>
      </c>
      <c r="H149" s="109">
        <f t="shared" si="277"/>
        <v>5091.9541055600002</v>
      </c>
      <c r="I149" s="109">
        <f t="shared" si="277"/>
        <v>5424.1483777600006</v>
      </c>
      <c r="J149" s="109">
        <f t="shared" si="277"/>
        <v>5816.0032855199997</v>
      </c>
      <c r="K149" s="109">
        <f t="shared" si="277"/>
        <v>6175.9294645199998</v>
      </c>
      <c r="L149" s="281">
        <f t="shared" si="277"/>
        <v>16228.435560000002</v>
      </c>
      <c r="M149" s="127">
        <f t="shared" si="277"/>
        <v>15598.996972500001</v>
      </c>
      <c r="N149" s="127">
        <f t="shared" si="277"/>
        <v>13274.417615000002</v>
      </c>
      <c r="O149" s="127">
        <f t="shared" si="277"/>
        <v>16834.3591825</v>
      </c>
      <c r="P149" s="146">
        <f t="shared" si="277"/>
        <v>17691.694470000002</v>
      </c>
      <c r="Q149" s="146">
        <f t="shared" si="277"/>
        <v>18580.412210000002</v>
      </c>
      <c r="R149" s="146">
        <f t="shared" si="277"/>
        <v>18939.260505000002</v>
      </c>
      <c r="S149" s="146">
        <f t="shared" si="277"/>
        <v>19475.255720000001</v>
      </c>
      <c r="T149" s="146">
        <f t="shared" si="277"/>
        <v>19845.003252499999</v>
      </c>
      <c r="U149" s="146">
        <f t="shared" si="277"/>
        <v>20215.1165325</v>
      </c>
      <c r="V149" s="146">
        <f t="shared" si="277"/>
        <v>20585.239415000004</v>
      </c>
      <c r="W149" s="146">
        <f t="shared" si="277"/>
        <v>20706.126197500002</v>
      </c>
      <c r="X149" s="146">
        <f t="shared" si="277"/>
        <v>21076.249080000001</v>
      </c>
      <c r="Y149" s="147">
        <f>Y150+Y151</f>
        <v>7566.7078344999991</v>
      </c>
      <c r="Z149" s="146">
        <f t="shared" ref="Z149:BT149" si="278">Z150+Z151</f>
        <v>7566.7078344999991</v>
      </c>
      <c r="AA149" s="146">
        <f t="shared" si="278"/>
        <v>7566.7078344999991</v>
      </c>
      <c r="AB149" s="146">
        <f t="shared" si="278"/>
        <v>7566.7078344999991</v>
      </c>
      <c r="AC149" s="146">
        <f t="shared" si="278"/>
        <v>7566.7078344999991</v>
      </c>
      <c r="AD149" s="146">
        <f t="shared" si="278"/>
        <v>7566.7078344999991</v>
      </c>
      <c r="AE149" s="146">
        <f t="shared" si="278"/>
        <v>6625.5653345000001</v>
      </c>
      <c r="AF149" s="146">
        <f t="shared" ref="AF149:AH149" si="279">AF150+AF151</f>
        <v>8576.8695845000002</v>
      </c>
      <c r="AG149" s="146">
        <f t="shared" si="279"/>
        <v>8576.8695845000002</v>
      </c>
      <c r="AH149" s="146">
        <f t="shared" si="279"/>
        <v>8576.8695845000002</v>
      </c>
      <c r="AI149" s="109">
        <f t="shared" si="278"/>
        <v>9045.7850844999994</v>
      </c>
      <c r="AJ149" s="109">
        <f t="shared" si="278"/>
        <v>9045.7850844999994</v>
      </c>
      <c r="AK149" s="109">
        <f t="shared" si="278"/>
        <v>9045.7850844999994</v>
      </c>
      <c r="AL149" s="109">
        <f t="shared" si="278"/>
        <v>9045.7850844999994</v>
      </c>
      <c r="AM149" s="109">
        <f t="shared" si="278"/>
        <v>9045.7850844999994</v>
      </c>
      <c r="AN149" s="109">
        <f t="shared" si="278"/>
        <v>9045.7850844999994</v>
      </c>
      <c r="AO149" s="109">
        <f t="shared" si="278"/>
        <v>9045.7850844999994</v>
      </c>
      <c r="AP149" s="109">
        <f t="shared" si="278"/>
        <v>9045.7850844999994</v>
      </c>
      <c r="AQ149" s="109">
        <f t="shared" si="278"/>
        <v>9045.7850844999994</v>
      </c>
      <c r="AR149" s="109">
        <f t="shared" si="278"/>
        <v>9045.7850844999994</v>
      </c>
      <c r="AS149" s="109">
        <f t="shared" si="278"/>
        <v>6915.3539999999985</v>
      </c>
      <c r="AT149" s="109">
        <f t="shared" si="278"/>
        <v>9981.3846000000012</v>
      </c>
      <c r="AU149" s="109">
        <f t="shared" si="278"/>
        <v>9981.3846000000012</v>
      </c>
      <c r="AV149" s="109">
        <f t="shared" si="278"/>
        <v>9981.3846000000012</v>
      </c>
      <c r="AW149" s="109">
        <f t="shared" si="278"/>
        <v>9981.3846000000012</v>
      </c>
      <c r="AX149" s="109">
        <f t="shared" si="278"/>
        <v>6503.9155499999997</v>
      </c>
      <c r="AY149" s="109">
        <f t="shared" si="278"/>
        <v>6503.9155499999997</v>
      </c>
      <c r="AZ149" s="109">
        <f t="shared" si="278"/>
        <v>6503.9155499999997</v>
      </c>
      <c r="BA149" s="109">
        <f t="shared" si="278"/>
        <v>6503.9155499999997</v>
      </c>
      <c r="BB149" s="109">
        <f t="shared" si="278"/>
        <v>6503.9155499999997</v>
      </c>
      <c r="BC149" s="109">
        <f t="shared" si="278"/>
        <v>6503.9155499999997</v>
      </c>
      <c r="BD149" s="109">
        <f t="shared" si="278"/>
        <v>6503.9155499999997</v>
      </c>
      <c r="BE149" s="109">
        <f t="shared" si="278"/>
        <v>6503.9155499999997</v>
      </c>
      <c r="BF149" s="109">
        <f t="shared" si="278"/>
        <v>6503.9155499999997</v>
      </c>
      <c r="BG149" s="109">
        <f t="shared" si="278"/>
        <v>6503.9155499999997</v>
      </c>
      <c r="BH149" s="109">
        <f t="shared" si="278"/>
        <v>6503.9155499999997</v>
      </c>
      <c r="BI149" s="109">
        <f t="shared" si="278"/>
        <v>6503.9155499999997</v>
      </c>
      <c r="BJ149" s="109">
        <f t="shared" si="278"/>
        <v>6503.9155499999997</v>
      </c>
      <c r="BK149" s="109">
        <f t="shared" si="278"/>
        <v>6503.9155499999997</v>
      </c>
      <c r="BL149" s="109">
        <f t="shared" si="278"/>
        <v>6503.9155499999997</v>
      </c>
      <c r="BM149" s="109">
        <f t="shared" si="278"/>
        <v>6503.9155499999997</v>
      </c>
      <c r="BN149" s="109">
        <f t="shared" si="278"/>
        <v>6503.9155499999997</v>
      </c>
      <c r="BO149" s="109">
        <f t="shared" si="278"/>
        <v>6503.9155499999997</v>
      </c>
      <c r="BP149" s="109">
        <f t="shared" si="278"/>
        <v>6503.9155499999997</v>
      </c>
      <c r="BQ149" s="109">
        <f t="shared" si="278"/>
        <v>6503.9155499999997</v>
      </c>
      <c r="BR149" s="109">
        <f t="shared" si="278"/>
        <v>6503.9155499999997</v>
      </c>
      <c r="BS149" s="109">
        <f t="shared" si="278"/>
        <v>6503.9155499999997</v>
      </c>
      <c r="BT149" s="109">
        <f t="shared" si="278"/>
        <v>6503.9155499999997</v>
      </c>
    </row>
    <row r="150" spans="1:72" x14ac:dyDescent="0.25">
      <c r="A150" s="447"/>
      <c r="B150" s="423" t="s">
        <v>12</v>
      </c>
      <c r="C150" s="109">
        <f>C65</f>
        <v>0</v>
      </c>
      <c r="D150" s="109">
        <f t="shared" ref="D150:O150" si="280">D65</f>
        <v>0</v>
      </c>
      <c r="E150" s="109">
        <f t="shared" si="280"/>
        <v>0</v>
      </c>
      <c r="F150" s="109">
        <f t="shared" si="280"/>
        <v>2272.8073999999992</v>
      </c>
      <c r="G150" s="109">
        <f t="shared" si="280"/>
        <v>2424.2876999999994</v>
      </c>
      <c r="H150" s="109">
        <f t="shared" si="280"/>
        <v>2634.5864000000001</v>
      </c>
      <c r="I150" s="109">
        <f t="shared" si="280"/>
        <v>2837.1859000000004</v>
      </c>
      <c r="J150" s="109">
        <f t="shared" si="280"/>
        <v>3076.1718000000001</v>
      </c>
      <c r="K150" s="109">
        <f t="shared" si="280"/>
        <v>3295.7282999999998</v>
      </c>
      <c r="L150" s="281">
        <f>L65</f>
        <v>8910.2818000000007</v>
      </c>
      <c r="M150" s="127">
        <f t="shared" si="280"/>
        <v>8586.7893000000004</v>
      </c>
      <c r="N150" s="127">
        <f t="shared" si="280"/>
        <v>7128.392600000001</v>
      </c>
      <c r="O150" s="127">
        <f t="shared" si="280"/>
        <v>9497.3649000000005</v>
      </c>
      <c r="P150" s="308">
        <f>'Détail impôt'!P155</f>
        <v>10019.813</v>
      </c>
      <c r="Q150" s="308">
        <f>'Détail impôt'!Q155</f>
        <v>10560.8</v>
      </c>
      <c r="R150" s="308">
        <f>'Détail impôt'!R155</f>
        <v>10760.600000000002</v>
      </c>
      <c r="S150" s="308">
        <f>'Détail impôt'!S155</f>
        <v>10960.400000000001</v>
      </c>
      <c r="T150" s="308">
        <f>'Détail impôt'!T155</f>
        <v>11160</v>
      </c>
      <c r="U150" s="308">
        <f>'Détail impôt'!U155</f>
        <v>11359.8</v>
      </c>
      <c r="V150" s="308">
        <f>'Détail impôt'!V155</f>
        <v>11559.600000000002</v>
      </c>
      <c r="W150" s="308">
        <f>'Détail impôt'!W155</f>
        <v>11625.11</v>
      </c>
      <c r="X150" s="308">
        <f>'Détail impôt'!X155</f>
        <v>11824.91</v>
      </c>
      <c r="Y150" s="147">
        <f>'Détail impôt'!Y120</f>
        <v>5044.5980999999992</v>
      </c>
      <c r="Z150" s="146">
        <f>'Détail impôt'!Z120</f>
        <v>5044.5980999999992</v>
      </c>
      <c r="AA150" s="146">
        <f>'Détail impôt'!AA120</f>
        <v>5044.5980999999992</v>
      </c>
      <c r="AB150" s="146">
        <f>'Détail impôt'!AB120</f>
        <v>5044.5980999999992</v>
      </c>
      <c r="AC150" s="146">
        <f>'Détail impôt'!AC120</f>
        <v>5044.5980999999992</v>
      </c>
      <c r="AD150" s="146">
        <f>'Détail impôt'!AD120</f>
        <v>5044.5980999999992</v>
      </c>
      <c r="AE150" s="308">
        <f>'Détail impôt'!AE120</f>
        <v>4149.7981</v>
      </c>
      <c r="AF150" s="146">
        <f>'Détail impôt'!AF120</f>
        <v>4622.0250999999998</v>
      </c>
      <c r="AG150" s="146">
        <f>AF150</f>
        <v>4622.0250999999998</v>
      </c>
      <c r="AH150" s="146">
        <f>AG150</f>
        <v>4622.0250999999998</v>
      </c>
      <c r="AI150" s="109">
        <f t="shared" ref="AI150:AS150" si="281">AI14</f>
        <v>5044.5980999999992</v>
      </c>
      <c r="AJ150" s="109">
        <f t="shared" si="281"/>
        <v>5044.5980999999992</v>
      </c>
      <c r="AK150" s="109">
        <f t="shared" si="281"/>
        <v>5044.5980999999992</v>
      </c>
      <c r="AL150" s="109">
        <f t="shared" si="281"/>
        <v>5044.5980999999992</v>
      </c>
      <c r="AM150" s="109">
        <f t="shared" si="281"/>
        <v>5044.5980999999992</v>
      </c>
      <c r="AN150" s="109">
        <f t="shared" si="281"/>
        <v>5044.5980999999992</v>
      </c>
      <c r="AO150" s="109">
        <f t="shared" si="281"/>
        <v>5044.5980999999992</v>
      </c>
      <c r="AP150" s="109">
        <f t="shared" si="281"/>
        <v>5044.5980999999992</v>
      </c>
      <c r="AQ150" s="109">
        <f t="shared" si="281"/>
        <v>5044.5980999999992</v>
      </c>
      <c r="AR150" s="109">
        <f t="shared" si="281"/>
        <v>5044.5980999999992</v>
      </c>
      <c r="AS150" s="109">
        <f t="shared" si="281"/>
        <v>3470.7284999999993</v>
      </c>
      <c r="AT150" s="109">
        <f t="shared" ref="AT150:BT150" si="282">AT14</f>
        <v>5323.7880000000005</v>
      </c>
      <c r="AU150" s="109">
        <f t="shared" si="282"/>
        <v>5323.7880000000005</v>
      </c>
      <c r="AV150" s="109">
        <f t="shared" si="282"/>
        <v>5323.7880000000005</v>
      </c>
      <c r="AW150" s="109">
        <f t="shared" si="282"/>
        <v>5323.7880000000005</v>
      </c>
      <c r="AX150" s="109">
        <f t="shared" si="282"/>
        <v>3514.5069999999996</v>
      </c>
      <c r="AY150" s="109">
        <f t="shared" si="282"/>
        <v>3514.5069999999996</v>
      </c>
      <c r="AZ150" s="109">
        <f t="shared" si="282"/>
        <v>3514.5069999999996</v>
      </c>
      <c r="BA150" s="109">
        <f t="shared" si="282"/>
        <v>3514.5069999999996</v>
      </c>
      <c r="BB150" s="109">
        <f t="shared" si="282"/>
        <v>3514.5069999999996</v>
      </c>
      <c r="BC150" s="109">
        <f t="shared" si="282"/>
        <v>3514.5069999999996</v>
      </c>
      <c r="BD150" s="109">
        <f t="shared" si="282"/>
        <v>3514.5069999999996</v>
      </c>
      <c r="BE150" s="109">
        <f t="shared" si="282"/>
        <v>3514.5069999999996</v>
      </c>
      <c r="BF150" s="109">
        <f t="shared" si="282"/>
        <v>3514.5069999999996</v>
      </c>
      <c r="BG150" s="109">
        <f t="shared" si="282"/>
        <v>3514.5069999999996</v>
      </c>
      <c r="BH150" s="109">
        <f t="shared" si="282"/>
        <v>3514.5069999999996</v>
      </c>
      <c r="BI150" s="109">
        <f t="shared" si="282"/>
        <v>3514.5069999999996</v>
      </c>
      <c r="BJ150" s="109">
        <f t="shared" si="282"/>
        <v>3514.5069999999996</v>
      </c>
      <c r="BK150" s="109">
        <f t="shared" si="282"/>
        <v>3514.5069999999996</v>
      </c>
      <c r="BL150" s="109">
        <f t="shared" si="282"/>
        <v>3514.5069999999996</v>
      </c>
      <c r="BM150" s="109">
        <f t="shared" si="282"/>
        <v>3514.5069999999996</v>
      </c>
      <c r="BN150" s="109">
        <f t="shared" si="282"/>
        <v>3514.5069999999996</v>
      </c>
      <c r="BO150" s="109">
        <f t="shared" si="282"/>
        <v>3514.5069999999996</v>
      </c>
      <c r="BP150" s="109">
        <f t="shared" si="282"/>
        <v>3514.5069999999996</v>
      </c>
      <c r="BQ150" s="109">
        <f t="shared" si="282"/>
        <v>3514.5069999999996</v>
      </c>
      <c r="BR150" s="109">
        <f t="shared" si="282"/>
        <v>3514.5069999999996</v>
      </c>
      <c r="BS150" s="109">
        <f t="shared" si="282"/>
        <v>3514.5069999999996</v>
      </c>
      <c r="BT150" s="109">
        <f t="shared" si="282"/>
        <v>3514.5069999999996</v>
      </c>
    </row>
    <row r="151" spans="1:72" x14ac:dyDescent="0.25">
      <c r="A151" s="447"/>
      <c r="B151" s="423" t="s">
        <v>13</v>
      </c>
      <c r="C151" s="109">
        <f>C66</f>
        <v>0</v>
      </c>
      <c r="D151" s="109">
        <f t="shared" ref="D151:O151" si="283">D66</f>
        <v>0</v>
      </c>
      <c r="E151" s="109">
        <f t="shared" si="283"/>
        <v>0</v>
      </c>
      <c r="F151" s="109">
        <f t="shared" si="283"/>
        <v>2192.9159577600003</v>
      </c>
      <c r="G151" s="109">
        <f t="shared" si="283"/>
        <v>2308.1798854800004</v>
      </c>
      <c r="H151" s="109">
        <f t="shared" si="283"/>
        <v>2457.3677055600001</v>
      </c>
      <c r="I151" s="109">
        <f t="shared" si="283"/>
        <v>2586.9624777600002</v>
      </c>
      <c r="J151" s="109">
        <f t="shared" si="283"/>
        <v>2739.8314855199997</v>
      </c>
      <c r="K151" s="109">
        <f t="shared" si="283"/>
        <v>2880.20116452</v>
      </c>
      <c r="L151" s="281">
        <f t="shared" si="283"/>
        <v>7318.1537600000001</v>
      </c>
      <c r="M151" s="127">
        <f t="shared" si="283"/>
        <v>7012.2076724999997</v>
      </c>
      <c r="N151" s="127">
        <f t="shared" si="283"/>
        <v>6146.0250150000002</v>
      </c>
      <c r="O151" s="127">
        <f t="shared" si="283"/>
        <v>7336.9942825000007</v>
      </c>
      <c r="P151" s="308">
        <f>'Détail impôt'!P156</f>
        <v>7671.8814700000003</v>
      </c>
      <c r="Q151" s="308">
        <f>'Détail impôt'!Q156</f>
        <v>8019.6122100000011</v>
      </c>
      <c r="R151" s="308">
        <f>'Détail impôt'!R156</f>
        <v>8178.6605050000007</v>
      </c>
      <c r="S151" s="308">
        <f>'Détail impôt'!S156</f>
        <v>8514.8557199999996</v>
      </c>
      <c r="T151" s="308">
        <f>'Détail impôt'!T156</f>
        <v>8685.0032524999988</v>
      </c>
      <c r="U151" s="308">
        <f>'Détail impôt'!U156</f>
        <v>8855.3165325000009</v>
      </c>
      <c r="V151" s="308">
        <f>'Détail impôt'!V156</f>
        <v>9025.6394149999996</v>
      </c>
      <c r="W151" s="308">
        <f>'Détail impôt'!W156</f>
        <v>9081.0161974999992</v>
      </c>
      <c r="X151" s="308">
        <f>'Détail impôt'!X156</f>
        <v>9251.3390800000016</v>
      </c>
      <c r="Y151" s="307">
        <f>'Détail impôt'!Y134</f>
        <v>2522.1097345000003</v>
      </c>
      <c r="Z151" s="308">
        <f>'Détail impôt'!Z134</f>
        <v>2522.1097345000003</v>
      </c>
      <c r="AA151" s="308">
        <f>'Détail impôt'!AA134</f>
        <v>2522.1097345000003</v>
      </c>
      <c r="AB151" s="308">
        <f>'Détail impôt'!AB134</f>
        <v>2522.1097345000003</v>
      </c>
      <c r="AC151" s="308">
        <f>'Détail impôt'!AC134</f>
        <v>2522.1097345000003</v>
      </c>
      <c r="AD151" s="308">
        <f>'Détail impôt'!AD134</f>
        <v>2522.1097345000003</v>
      </c>
      <c r="AE151" s="308">
        <f>'Détail impôt'!AE134</f>
        <v>2475.7672345000001</v>
      </c>
      <c r="AF151" s="308">
        <f>'Détail impôt'!AF134</f>
        <v>3954.8444845000004</v>
      </c>
      <c r="AG151" s="308">
        <f>AF151</f>
        <v>3954.8444845000004</v>
      </c>
      <c r="AH151" s="308">
        <f>AG151</f>
        <v>3954.8444845000004</v>
      </c>
      <c r="AI151" s="109">
        <f t="shared" ref="AI151:AS151" si="284">AI15</f>
        <v>4001.1869845000006</v>
      </c>
      <c r="AJ151" s="109">
        <f t="shared" si="284"/>
        <v>4001.1869845000006</v>
      </c>
      <c r="AK151" s="109">
        <f t="shared" si="284"/>
        <v>4001.1869845000006</v>
      </c>
      <c r="AL151" s="109">
        <f t="shared" si="284"/>
        <v>4001.1869845000006</v>
      </c>
      <c r="AM151" s="109">
        <f t="shared" si="284"/>
        <v>4001.1869845000006</v>
      </c>
      <c r="AN151" s="109">
        <f t="shared" si="284"/>
        <v>4001.1869845000006</v>
      </c>
      <c r="AO151" s="109">
        <f t="shared" si="284"/>
        <v>4001.1869845000006</v>
      </c>
      <c r="AP151" s="109">
        <f t="shared" si="284"/>
        <v>4001.1869845000006</v>
      </c>
      <c r="AQ151" s="109">
        <f t="shared" si="284"/>
        <v>4001.1869845000006</v>
      </c>
      <c r="AR151" s="109">
        <f t="shared" si="284"/>
        <v>4001.1869845000006</v>
      </c>
      <c r="AS151" s="109">
        <f t="shared" si="284"/>
        <v>3444.6254999999992</v>
      </c>
      <c r="AT151" s="109">
        <f t="shared" ref="AT151:BT151" si="285">AT15</f>
        <v>4657.5966000000008</v>
      </c>
      <c r="AU151" s="109">
        <f t="shared" si="285"/>
        <v>4657.5966000000008</v>
      </c>
      <c r="AV151" s="109">
        <f t="shared" si="285"/>
        <v>4657.5966000000008</v>
      </c>
      <c r="AW151" s="109">
        <f t="shared" si="285"/>
        <v>4657.5966000000008</v>
      </c>
      <c r="AX151" s="109">
        <f t="shared" si="285"/>
        <v>2989.4085500000001</v>
      </c>
      <c r="AY151" s="109">
        <f t="shared" si="285"/>
        <v>2989.4085500000001</v>
      </c>
      <c r="AZ151" s="109">
        <f t="shared" si="285"/>
        <v>2989.4085500000001</v>
      </c>
      <c r="BA151" s="109">
        <f t="shared" si="285"/>
        <v>2989.4085500000001</v>
      </c>
      <c r="BB151" s="109">
        <f t="shared" si="285"/>
        <v>2989.4085500000001</v>
      </c>
      <c r="BC151" s="109">
        <f t="shared" si="285"/>
        <v>2989.4085500000001</v>
      </c>
      <c r="BD151" s="109">
        <f t="shared" si="285"/>
        <v>2989.4085500000001</v>
      </c>
      <c r="BE151" s="109">
        <f t="shared" si="285"/>
        <v>2989.4085500000001</v>
      </c>
      <c r="BF151" s="109">
        <f t="shared" si="285"/>
        <v>2989.4085500000001</v>
      </c>
      <c r="BG151" s="109">
        <f t="shared" si="285"/>
        <v>2989.4085500000001</v>
      </c>
      <c r="BH151" s="109">
        <f t="shared" si="285"/>
        <v>2989.4085500000001</v>
      </c>
      <c r="BI151" s="109">
        <f t="shared" si="285"/>
        <v>2989.4085500000001</v>
      </c>
      <c r="BJ151" s="109">
        <f t="shared" si="285"/>
        <v>2989.4085500000001</v>
      </c>
      <c r="BK151" s="109">
        <f t="shared" si="285"/>
        <v>2989.4085500000001</v>
      </c>
      <c r="BL151" s="109">
        <f t="shared" si="285"/>
        <v>2989.4085500000001</v>
      </c>
      <c r="BM151" s="109">
        <f t="shared" si="285"/>
        <v>2989.4085500000001</v>
      </c>
      <c r="BN151" s="109">
        <f t="shared" si="285"/>
        <v>2989.4085500000001</v>
      </c>
      <c r="BO151" s="109">
        <f t="shared" si="285"/>
        <v>2989.4085500000001</v>
      </c>
      <c r="BP151" s="109">
        <f t="shared" si="285"/>
        <v>2989.4085500000001</v>
      </c>
      <c r="BQ151" s="109">
        <f t="shared" si="285"/>
        <v>2989.4085500000001</v>
      </c>
      <c r="BR151" s="109">
        <f t="shared" si="285"/>
        <v>2989.4085500000001</v>
      </c>
      <c r="BS151" s="109">
        <f t="shared" si="285"/>
        <v>2989.4085500000001</v>
      </c>
      <c r="BT151" s="109">
        <f t="shared" si="285"/>
        <v>2989.4085500000001</v>
      </c>
    </row>
    <row r="152" spans="1:72" x14ac:dyDescent="0.25">
      <c r="A152" s="447"/>
      <c r="B152" s="423" t="s">
        <v>56</v>
      </c>
      <c r="C152" s="109"/>
      <c r="D152" s="109"/>
      <c r="E152" s="109"/>
      <c r="F152" s="109"/>
      <c r="G152" s="109"/>
      <c r="H152" s="109"/>
      <c r="I152" s="109"/>
      <c r="J152" s="109"/>
      <c r="K152" s="109"/>
      <c r="L152" s="281"/>
      <c r="M152" s="127"/>
      <c r="N152" s="127"/>
      <c r="O152" s="127">
        <f>'B.P. Coût place garderie'!C74</f>
        <v>650.40000000000009</v>
      </c>
      <c r="P152" s="146">
        <f>'B.P. Coût place garderie'!D74</f>
        <v>748.8</v>
      </c>
      <c r="Q152" s="146">
        <f>'B.P. Coût place garderie'!E74</f>
        <v>844.80000000000007</v>
      </c>
      <c r="R152" s="146">
        <f>'B.P. Coût place garderie'!F74</f>
        <v>880.80000000000007</v>
      </c>
      <c r="S152" s="146"/>
      <c r="T152" s="146"/>
      <c r="U152" s="146"/>
      <c r="V152" s="146"/>
      <c r="W152" s="146"/>
      <c r="X152" s="146"/>
      <c r="Y152" s="147"/>
      <c r="Z152" s="146"/>
      <c r="AA152" s="146"/>
      <c r="AB152" s="146"/>
      <c r="AC152" s="146"/>
      <c r="AD152" s="146"/>
      <c r="AE152" s="146"/>
      <c r="AF152" s="146"/>
      <c r="AG152" s="146"/>
      <c r="AH152" s="146"/>
      <c r="AI152" s="109"/>
      <c r="AJ152" s="109"/>
      <c r="AK152" s="109"/>
      <c r="AL152" s="109"/>
      <c r="AM152" s="109"/>
      <c r="AN152" s="109"/>
      <c r="AO152" s="109"/>
      <c r="AP152" s="109"/>
      <c r="AQ152" s="109"/>
      <c r="AR152" s="109"/>
      <c r="AS152" s="109"/>
      <c r="AT152" s="109"/>
      <c r="AU152" s="109"/>
      <c r="AV152" s="109"/>
      <c r="AW152" s="109"/>
      <c r="AX152" s="109"/>
      <c r="AY152" s="109"/>
      <c r="AZ152" s="109"/>
      <c r="BA152" s="109"/>
      <c r="BB152" s="109"/>
      <c r="BC152" s="109"/>
      <c r="BD152" s="109"/>
      <c r="BE152" s="109"/>
      <c r="BF152" s="109"/>
      <c r="BG152" s="109"/>
      <c r="BH152" s="109"/>
      <c r="BI152" s="109"/>
      <c r="BJ152" s="109"/>
      <c r="BK152" s="109"/>
      <c r="BL152" s="109"/>
      <c r="BM152" s="109"/>
      <c r="BN152" s="109"/>
      <c r="BO152" s="109"/>
      <c r="BP152" s="109"/>
      <c r="BQ152" s="109"/>
      <c r="BR152" s="109"/>
      <c r="BS152" s="109"/>
      <c r="BT152" s="109"/>
    </row>
    <row r="153" spans="1:72" x14ac:dyDescent="0.25">
      <c r="A153" s="447"/>
      <c r="B153" s="423" t="s">
        <v>14</v>
      </c>
      <c r="C153" s="109">
        <f>C68</f>
        <v>217.57</v>
      </c>
      <c r="D153" s="109">
        <f t="shared" ref="D153:N153" si="286">D68</f>
        <v>217.57</v>
      </c>
      <c r="E153" s="109">
        <f t="shared" si="286"/>
        <v>217.57</v>
      </c>
      <c r="F153" s="109">
        <f t="shared" si="286"/>
        <v>1717.308</v>
      </c>
      <c r="G153" s="109">
        <f t="shared" si="286"/>
        <v>1780.434</v>
      </c>
      <c r="H153" s="109">
        <f t="shared" si="286"/>
        <v>1862.298</v>
      </c>
      <c r="I153" s="109">
        <f t="shared" si="286"/>
        <v>1933.308</v>
      </c>
      <c r="J153" s="109">
        <f t="shared" si="286"/>
        <v>2017.116</v>
      </c>
      <c r="K153" s="109">
        <f t="shared" si="286"/>
        <v>2094.0659999999998</v>
      </c>
      <c r="L153" s="281">
        <f t="shared" si="286"/>
        <v>4667.7559999999994</v>
      </c>
      <c r="M153" s="127">
        <f t="shared" si="286"/>
        <v>4809.5059999999994</v>
      </c>
      <c r="N153" s="127">
        <f t="shared" si="286"/>
        <v>2222</v>
      </c>
      <c r="O153" s="127">
        <f>O68</f>
        <v>5105.8580000000002</v>
      </c>
      <c r="P153" s="146">
        <f>2564.46+2695.9</f>
        <v>5260.3600000000006</v>
      </c>
      <c r="Q153" s="146">
        <f>2671+2749.79</f>
        <v>5420.79</v>
      </c>
      <c r="R153" s="146">
        <f>2671+2803.73</f>
        <v>5474.73</v>
      </c>
      <c r="S153" s="146">
        <f>2671+2829.6</f>
        <v>5500.6</v>
      </c>
      <c r="T153" s="146">
        <f>2671+2829.6</f>
        <v>5500.6</v>
      </c>
      <c r="U153" s="146">
        <f t="shared" ref="U153:X153" si="287">2671+2829.6</f>
        <v>5500.6</v>
      </c>
      <c r="V153" s="146">
        <f t="shared" si="287"/>
        <v>5500.6</v>
      </c>
      <c r="W153" s="146">
        <f t="shared" si="287"/>
        <v>5500.6</v>
      </c>
      <c r="X153" s="146">
        <f t="shared" si="287"/>
        <v>5500.6</v>
      </c>
      <c r="Y153" s="147">
        <f>Y16</f>
        <v>2671.002</v>
      </c>
      <c r="Z153" s="146">
        <f t="shared" ref="Z153:AE155" si="288">Y153</f>
        <v>2671.002</v>
      </c>
      <c r="AA153" s="146">
        <f t="shared" si="288"/>
        <v>2671.002</v>
      </c>
      <c r="AB153" s="146">
        <f t="shared" si="288"/>
        <v>2671.002</v>
      </c>
      <c r="AC153" s="146">
        <f t="shared" si="288"/>
        <v>2671.002</v>
      </c>
      <c r="AD153" s="146">
        <f t="shared" si="288"/>
        <v>2671.002</v>
      </c>
      <c r="AE153" s="146">
        <f t="shared" si="288"/>
        <v>2671.002</v>
      </c>
      <c r="AF153" s="146">
        <f>AF16</f>
        <v>2671.002</v>
      </c>
      <c r="AG153" s="146">
        <f t="shared" ref="AG153:AH155" si="289">AF153</f>
        <v>2671.002</v>
      </c>
      <c r="AH153" s="146">
        <f t="shared" si="289"/>
        <v>2671.002</v>
      </c>
      <c r="AI153" s="109">
        <f t="shared" ref="AI153:AR153" si="290">AH153</f>
        <v>2671.002</v>
      </c>
      <c r="AJ153" s="109">
        <f t="shared" si="290"/>
        <v>2671.002</v>
      </c>
      <c r="AK153" s="109">
        <f t="shared" si="290"/>
        <v>2671.002</v>
      </c>
      <c r="AL153" s="109">
        <f t="shared" si="290"/>
        <v>2671.002</v>
      </c>
      <c r="AM153" s="109">
        <f t="shared" si="290"/>
        <v>2671.002</v>
      </c>
      <c r="AN153" s="109">
        <f t="shared" si="290"/>
        <v>2671.002</v>
      </c>
      <c r="AO153" s="109">
        <f t="shared" si="290"/>
        <v>2671.002</v>
      </c>
      <c r="AP153" s="109">
        <f t="shared" si="290"/>
        <v>2671.002</v>
      </c>
      <c r="AQ153" s="109">
        <f t="shared" si="290"/>
        <v>2671.002</v>
      </c>
      <c r="AR153" s="109">
        <f t="shared" si="290"/>
        <v>2671.002</v>
      </c>
      <c r="AS153" s="109"/>
      <c r="AT153" s="109"/>
      <c r="AU153" s="109"/>
      <c r="AV153" s="109"/>
      <c r="AW153" s="109"/>
      <c r="AX153" s="109"/>
      <c r="AY153" s="109"/>
      <c r="AZ153" s="109"/>
      <c r="BA153" s="109"/>
      <c r="BB153" s="109"/>
      <c r="BC153" s="109"/>
      <c r="BD153" s="109"/>
      <c r="BE153" s="109"/>
      <c r="BF153" s="109"/>
      <c r="BG153" s="109"/>
      <c r="BH153" s="109"/>
      <c r="BI153" s="109"/>
      <c r="BJ153" s="109"/>
      <c r="BK153" s="109"/>
      <c r="BL153" s="109"/>
      <c r="BM153" s="109"/>
      <c r="BN153" s="109"/>
      <c r="BO153" s="109"/>
      <c r="BP153" s="109"/>
      <c r="BQ153" s="109"/>
      <c r="BR153" s="109"/>
      <c r="BS153" s="109"/>
      <c r="BT153" s="109"/>
    </row>
    <row r="154" spans="1:72" x14ac:dyDescent="0.25">
      <c r="A154" s="447"/>
      <c r="B154" s="423" t="s">
        <v>15</v>
      </c>
      <c r="C154" s="109">
        <f t="shared" ref="C154:N154" si="291">C69</f>
        <v>41.26</v>
      </c>
      <c r="D154" s="109">
        <f t="shared" si="291"/>
        <v>41.26</v>
      </c>
      <c r="E154" s="109">
        <f t="shared" si="291"/>
        <v>41.26</v>
      </c>
      <c r="F154" s="109">
        <f t="shared" si="291"/>
        <v>193.45496</v>
      </c>
      <c r="G154" s="109">
        <f t="shared" si="291"/>
        <v>199.86107999999999</v>
      </c>
      <c r="H154" s="109">
        <f t="shared" si="291"/>
        <v>208.16875999999999</v>
      </c>
      <c r="I154" s="109">
        <f t="shared" si="291"/>
        <v>215.37495999999999</v>
      </c>
      <c r="J154" s="109">
        <f t="shared" si="291"/>
        <v>223.87992</v>
      </c>
      <c r="K154" s="109">
        <f t="shared" si="291"/>
        <v>231.68892</v>
      </c>
      <c r="L154" s="281">
        <f t="shared" si="291"/>
        <v>512.19671999999991</v>
      </c>
      <c r="M154" s="127">
        <f t="shared" si="291"/>
        <v>526.10172</v>
      </c>
      <c r="N154" s="127">
        <f t="shared" si="291"/>
        <v>264</v>
      </c>
      <c r="O154" s="127">
        <f>O69</f>
        <v>556.21596</v>
      </c>
      <c r="P154" s="146">
        <f>279.43+292.76</f>
        <v>572.19000000000005</v>
      </c>
      <c r="Q154" s="146">
        <f>290.24+298.23</f>
        <v>588.47</v>
      </c>
      <c r="R154" s="146">
        <f>290.24+303.71</f>
        <v>593.95000000000005</v>
      </c>
      <c r="S154" s="146">
        <f>290.24+309.18</f>
        <v>599.42000000000007</v>
      </c>
      <c r="T154" s="146">
        <f>290.24+314.65</f>
        <v>604.89</v>
      </c>
      <c r="U154" s="146">
        <f>290.24+320.13</f>
        <v>610.37</v>
      </c>
      <c r="V154" s="146">
        <f>290.24+325.6</f>
        <v>615.84</v>
      </c>
      <c r="W154" s="146">
        <f>290.24+331.07</f>
        <v>621.30999999999995</v>
      </c>
      <c r="X154" s="146">
        <f>290.24+336.54</f>
        <v>626.78</v>
      </c>
      <c r="Y154" s="147">
        <f>Y17</f>
        <v>290.16000000000003</v>
      </c>
      <c r="Z154" s="146">
        <f t="shared" si="288"/>
        <v>290.16000000000003</v>
      </c>
      <c r="AA154" s="146">
        <f t="shared" si="288"/>
        <v>290.16000000000003</v>
      </c>
      <c r="AB154" s="146">
        <f t="shared" si="288"/>
        <v>290.16000000000003</v>
      </c>
      <c r="AC154" s="146">
        <f t="shared" si="288"/>
        <v>290.16000000000003</v>
      </c>
      <c r="AD154" s="146">
        <f t="shared" si="288"/>
        <v>290.16000000000003</v>
      </c>
      <c r="AE154" s="146">
        <f t="shared" si="288"/>
        <v>290.16000000000003</v>
      </c>
      <c r="AF154" s="146">
        <f>AF17</f>
        <v>290.16000000000003</v>
      </c>
      <c r="AG154" s="146">
        <f t="shared" si="289"/>
        <v>290.16000000000003</v>
      </c>
      <c r="AH154" s="146">
        <f t="shared" si="289"/>
        <v>290.16000000000003</v>
      </c>
      <c r="AI154" s="109">
        <f t="shared" ref="AI154:AR154" si="292">AH154</f>
        <v>290.16000000000003</v>
      </c>
      <c r="AJ154" s="109">
        <f t="shared" si="292"/>
        <v>290.16000000000003</v>
      </c>
      <c r="AK154" s="109">
        <f t="shared" si="292"/>
        <v>290.16000000000003</v>
      </c>
      <c r="AL154" s="109">
        <f t="shared" si="292"/>
        <v>290.16000000000003</v>
      </c>
      <c r="AM154" s="109">
        <f t="shared" si="292"/>
        <v>290.16000000000003</v>
      </c>
      <c r="AN154" s="109">
        <f t="shared" si="292"/>
        <v>290.16000000000003</v>
      </c>
      <c r="AO154" s="109">
        <f t="shared" si="292"/>
        <v>290.16000000000003</v>
      </c>
      <c r="AP154" s="109">
        <f t="shared" si="292"/>
        <v>290.16000000000003</v>
      </c>
      <c r="AQ154" s="109">
        <f t="shared" si="292"/>
        <v>290.16000000000003</v>
      </c>
      <c r="AR154" s="109">
        <f t="shared" si="292"/>
        <v>290.16000000000003</v>
      </c>
      <c r="AS154" s="109"/>
      <c r="AT154" s="109"/>
      <c r="AU154" s="109"/>
      <c r="AV154" s="109"/>
      <c r="AW154" s="109"/>
      <c r="AX154" s="109"/>
      <c r="AY154" s="109"/>
      <c r="AZ154" s="109"/>
      <c r="BA154" s="109"/>
      <c r="BB154" s="109"/>
      <c r="BC154" s="109"/>
      <c r="BD154" s="109"/>
      <c r="BE154" s="109"/>
      <c r="BF154" s="109"/>
      <c r="BG154" s="109"/>
      <c r="BH154" s="109"/>
      <c r="BI154" s="109"/>
      <c r="BJ154" s="109"/>
      <c r="BK154" s="109"/>
      <c r="BL154" s="109"/>
      <c r="BM154" s="109"/>
      <c r="BN154" s="109"/>
      <c r="BO154" s="109"/>
      <c r="BP154" s="109"/>
      <c r="BQ154" s="109"/>
      <c r="BR154" s="109"/>
      <c r="BS154" s="109"/>
      <c r="BT154" s="109"/>
    </row>
    <row r="155" spans="1:72" x14ac:dyDescent="0.25">
      <c r="A155" s="447"/>
      <c r="B155" s="423" t="s">
        <v>16</v>
      </c>
      <c r="C155" s="109">
        <f>C70</f>
        <v>97.88</v>
      </c>
      <c r="D155" s="109">
        <f t="shared" ref="D155:N155" si="293">D70</f>
        <v>97.88</v>
      </c>
      <c r="E155" s="109">
        <f t="shared" si="293"/>
        <v>97.88</v>
      </c>
      <c r="F155" s="109">
        <f t="shared" si="293"/>
        <v>458.92599999999999</v>
      </c>
      <c r="G155" s="109">
        <f t="shared" si="293"/>
        <v>474.12299999999999</v>
      </c>
      <c r="H155" s="109">
        <f t="shared" si="293"/>
        <v>493.83099999999996</v>
      </c>
      <c r="I155" s="109">
        <f t="shared" si="293"/>
        <v>510.92599999999999</v>
      </c>
      <c r="J155" s="109">
        <f t="shared" si="293"/>
        <v>531.10199999999998</v>
      </c>
      <c r="K155" s="109">
        <f t="shared" si="293"/>
        <v>549.62699999999995</v>
      </c>
      <c r="L155" s="281">
        <f t="shared" si="293"/>
        <v>1215.182</v>
      </c>
      <c r="M155" s="127">
        <f t="shared" si="293"/>
        <v>1249.307</v>
      </c>
      <c r="N155" s="127">
        <f t="shared" si="293"/>
        <v>626</v>
      </c>
      <c r="O155" s="127">
        <f>O70</f>
        <v>1310.6509999999998</v>
      </c>
      <c r="P155" s="146">
        <f>662.87+672.1</f>
        <v>1334.97</v>
      </c>
      <c r="Q155" s="146">
        <f>672.1+672.1</f>
        <v>1344.2</v>
      </c>
      <c r="R155" s="146">
        <f t="shared" ref="R155:X155" si="294">672.1+672.1</f>
        <v>1344.2</v>
      </c>
      <c r="S155" s="146">
        <f t="shared" si="294"/>
        <v>1344.2</v>
      </c>
      <c r="T155" s="146">
        <f t="shared" si="294"/>
        <v>1344.2</v>
      </c>
      <c r="U155" s="146">
        <f t="shared" si="294"/>
        <v>1344.2</v>
      </c>
      <c r="V155" s="146">
        <f t="shared" si="294"/>
        <v>1344.2</v>
      </c>
      <c r="W155" s="146">
        <f t="shared" si="294"/>
        <v>1344.2</v>
      </c>
      <c r="X155" s="146">
        <f t="shared" si="294"/>
        <v>1344.2</v>
      </c>
      <c r="Y155" s="147">
        <f>Y18</f>
        <v>672.1</v>
      </c>
      <c r="Z155" s="146">
        <f t="shared" si="288"/>
        <v>672.1</v>
      </c>
      <c r="AA155" s="146">
        <f t="shared" si="288"/>
        <v>672.1</v>
      </c>
      <c r="AB155" s="146">
        <f t="shared" si="288"/>
        <v>672.1</v>
      </c>
      <c r="AC155" s="146">
        <f t="shared" si="288"/>
        <v>672.1</v>
      </c>
      <c r="AD155" s="146">
        <f t="shared" si="288"/>
        <v>672.1</v>
      </c>
      <c r="AE155" s="146">
        <f t="shared" si="288"/>
        <v>672.1</v>
      </c>
      <c r="AF155" s="146">
        <f>AF18</f>
        <v>672.1</v>
      </c>
      <c r="AG155" s="146">
        <f t="shared" si="289"/>
        <v>672.1</v>
      </c>
      <c r="AH155" s="146">
        <f t="shared" si="289"/>
        <v>672.1</v>
      </c>
      <c r="AI155" s="109">
        <f t="shared" ref="AI155:AR155" si="295">AH155</f>
        <v>672.1</v>
      </c>
      <c r="AJ155" s="109">
        <f t="shared" si="295"/>
        <v>672.1</v>
      </c>
      <c r="AK155" s="109">
        <f t="shared" si="295"/>
        <v>672.1</v>
      </c>
      <c r="AL155" s="109">
        <f t="shared" si="295"/>
        <v>672.1</v>
      </c>
      <c r="AM155" s="109">
        <f t="shared" si="295"/>
        <v>672.1</v>
      </c>
      <c r="AN155" s="109">
        <f t="shared" si="295"/>
        <v>672.1</v>
      </c>
      <c r="AO155" s="109">
        <f t="shared" si="295"/>
        <v>672.1</v>
      </c>
      <c r="AP155" s="109">
        <f t="shared" si="295"/>
        <v>672.1</v>
      </c>
      <c r="AQ155" s="109">
        <f t="shared" si="295"/>
        <v>672.1</v>
      </c>
      <c r="AR155" s="109">
        <f t="shared" si="295"/>
        <v>672.1</v>
      </c>
      <c r="AS155" s="109"/>
      <c r="AT155" s="109"/>
      <c r="AU155" s="109"/>
      <c r="AV155" s="109"/>
      <c r="AW155" s="109"/>
      <c r="AX155" s="109"/>
      <c r="AY155" s="109"/>
      <c r="AZ155" s="109"/>
      <c r="BA155" s="109"/>
      <c r="BB155" s="109"/>
      <c r="BC155" s="109"/>
      <c r="BD155" s="109"/>
      <c r="BE155" s="109"/>
      <c r="BF155" s="109"/>
      <c r="BG155" s="109"/>
      <c r="BH155" s="109"/>
      <c r="BI155" s="109"/>
      <c r="BJ155" s="109"/>
      <c r="BK155" s="109"/>
      <c r="BL155" s="109"/>
      <c r="BM155" s="109"/>
      <c r="BN155" s="109"/>
      <c r="BO155" s="109"/>
      <c r="BP155" s="109"/>
      <c r="BQ155" s="109"/>
      <c r="BR155" s="109"/>
      <c r="BS155" s="109"/>
      <c r="BT155" s="109"/>
    </row>
    <row r="156" spans="1:72" x14ac:dyDescent="0.25">
      <c r="A156" s="447"/>
      <c r="B156" s="423" t="s">
        <v>17</v>
      </c>
      <c r="C156" s="109">
        <f>'Taxes consommation- sommaire'!C102+'Taxes consommation- sommaire'!C103</f>
        <v>1188.1963167500001</v>
      </c>
      <c r="D156" s="109">
        <f>'Taxes consommation- sommaire'!D102+'Taxes consommation- sommaire'!D103</f>
        <v>1188.1963167500001</v>
      </c>
      <c r="E156" s="109">
        <f>'Taxes consommation- sommaire'!E102+'Taxes consommation- sommaire'!E103</f>
        <v>1188.1963167500001</v>
      </c>
      <c r="F156" s="109">
        <f>'Taxes consommation- sommaire'!F102+'Taxes consommation- sommaire'!F103</f>
        <v>1758.9812785388131</v>
      </c>
      <c r="G156" s="109">
        <f>'Taxes consommation- sommaire'!G102+'Taxes consommation- sommaire'!G103</f>
        <v>1758.9812785388131</v>
      </c>
      <c r="H156" s="109">
        <f>'Taxes consommation- sommaire'!H102+'Taxes consommation- sommaire'!H103</f>
        <v>1758.9812785388131</v>
      </c>
      <c r="I156" s="109">
        <f>'Taxes consommation- sommaire'!I102+'Taxes consommation- sommaire'!I103</f>
        <v>1758.9812785388131</v>
      </c>
      <c r="J156" s="109">
        <f>'Taxes consommation- sommaire'!J102+'Taxes consommation- sommaire'!J103</f>
        <v>2239.4151924881248</v>
      </c>
      <c r="K156" s="109">
        <f>'Taxes consommation- sommaire'!K102+'Taxes consommation- sommaire'!K103</f>
        <v>2239.4151924881248</v>
      </c>
      <c r="L156" s="281">
        <f>'Taxes consommation- sommaire'!L102+'Taxes consommation- sommaire'!L103</f>
        <v>4182.9489388997608</v>
      </c>
      <c r="M156" s="127">
        <f>'Taxes consommation- sommaire'!M102+'Taxes consommation- sommaire'!M103</f>
        <v>4182.9489388997608</v>
      </c>
      <c r="N156" s="127">
        <f>'Taxes consommation- sommaire'!N102+'Taxes consommation- sommaire'!N103</f>
        <v>3964.9228375733851</v>
      </c>
      <c r="O156" s="127">
        <f>'Taxes consommation- sommaire'!O102+'Taxes consommation- sommaire'!O103</f>
        <v>4705.4204696673187</v>
      </c>
      <c r="P156" s="146">
        <f>'Taxes consommation- sommaire'!P102+'Taxes consommation- sommaire'!P103</f>
        <v>4705.4204696673187</v>
      </c>
      <c r="Q156" s="146">
        <f>'Taxes consommation- sommaire'!Q102+'Taxes consommation- sommaire'!Q103</f>
        <v>4800.3213981300287</v>
      </c>
      <c r="R156" s="146">
        <f>'Taxes consommation- sommaire'!R102+'Taxes consommation- sommaire'!R103</f>
        <v>4800.3213981300287</v>
      </c>
      <c r="S156" s="146">
        <f>'Taxes consommation- sommaire'!S102+'Taxes consommation- sommaire'!S103</f>
        <v>4800.3213981300287</v>
      </c>
      <c r="T156" s="146">
        <f>'Taxes consommation- sommaire'!T102+'Taxes consommation- sommaire'!T103</f>
        <v>4997.5785192433132</v>
      </c>
      <c r="U156" s="146">
        <f>'Taxes consommation- sommaire'!U102+'Taxes consommation- sommaire'!U103</f>
        <v>4997.5785192433132</v>
      </c>
      <c r="V156" s="146">
        <f>'Taxes consommation- sommaire'!V102+'Taxes consommation- sommaire'!V103</f>
        <v>4997.5785192433132</v>
      </c>
      <c r="W156" s="146">
        <f>'Taxes consommation- sommaire'!W102+'Taxes consommation- sommaire'!W103</f>
        <v>4997.5785192433132</v>
      </c>
      <c r="X156" s="146">
        <f>'Taxes consommation- sommaire'!X102+'Taxes consommation- sommaire'!X103</f>
        <v>4997.5785192433132</v>
      </c>
      <c r="Y156" s="417">
        <f>'Taxes consommation- sommaire'!Y102+'Taxes consommation- sommaire'!Y103</f>
        <v>3856.1364144379213</v>
      </c>
      <c r="Z156" s="146">
        <f>'Taxes consommation- sommaire'!Z102+'Taxes consommation- sommaire'!Z103</f>
        <v>3856.1364144379213</v>
      </c>
      <c r="AA156" s="146">
        <f>'Taxes consommation- sommaire'!AA102+'Taxes consommation- sommaire'!AA103</f>
        <v>3856.1364144379213</v>
      </c>
      <c r="AB156" s="146">
        <f>'Taxes consommation- sommaire'!AB102+'Taxes consommation- sommaire'!AB103</f>
        <v>3856.1364144379213</v>
      </c>
      <c r="AC156" s="146">
        <f>'Taxes consommation- sommaire'!AC102+'Taxes consommation- sommaire'!AC103</f>
        <v>3856.1364144379213</v>
      </c>
      <c r="AD156" s="146">
        <f>'Taxes consommation- sommaire'!AD102+'Taxes consommation- sommaire'!AD103</f>
        <v>4009.8641182865836</v>
      </c>
      <c r="AE156" s="146">
        <f>'Taxes consommation- sommaire'!AE102+'Taxes consommation- sommaire'!AE103</f>
        <v>4009.8641182865836</v>
      </c>
      <c r="AF156" s="146">
        <f>'Taxes consommation- sommaire'!AF102+'Taxes consommation- sommaire'!AF103</f>
        <v>3124.6101065449011</v>
      </c>
      <c r="AG156" s="146">
        <f>'Taxes consommation- sommaire'!AG102+'Taxes consommation- sommaire'!AG103</f>
        <v>3124.6101065449011</v>
      </c>
      <c r="AH156" s="146">
        <f>'Taxes consommation- sommaire'!AH102+'Taxes consommation- sommaire'!AH103</f>
        <v>3124.6101065449011</v>
      </c>
      <c r="AI156" s="109">
        <f>'Taxes consommation- sommaire'!AI102+'Taxes consommation- sommaire'!AI103</f>
        <v>2333.656590563166</v>
      </c>
      <c r="AJ156" s="109">
        <f>'Taxes consommation- sommaire'!AJ102+'Taxes consommation- sommaire'!AJ103</f>
        <v>2333.656590563166</v>
      </c>
      <c r="AK156" s="109">
        <f>'Taxes consommation- sommaire'!AK102+'Taxes consommation- sommaire'!AK103</f>
        <v>2333.656590563166</v>
      </c>
      <c r="AL156" s="109">
        <f>'Taxes consommation- sommaire'!AL102+'Taxes consommation- sommaire'!AL103</f>
        <v>2333.656590563166</v>
      </c>
      <c r="AM156" s="109">
        <f>'Taxes consommation- sommaire'!AM102+'Taxes consommation- sommaire'!AM103</f>
        <v>2333.656590563166</v>
      </c>
      <c r="AN156" s="109">
        <f>'Taxes consommation- sommaire'!AN102+'Taxes consommation- sommaire'!AN103</f>
        <v>2306.5876255707763</v>
      </c>
      <c r="AO156" s="109">
        <f>'Taxes consommation- sommaire'!AO102+'Taxes consommation- sommaire'!AO103</f>
        <v>2306.5876255707763</v>
      </c>
      <c r="AP156" s="109">
        <f>'Taxes consommation- sommaire'!AP102+'Taxes consommation- sommaire'!AP103</f>
        <v>2306.5876255707763</v>
      </c>
      <c r="AQ156" s="109">
        <f>'Taxes consommation- sommaire'!AQ102+'Taxes consommation- sommaire'!AQ103</f>
        <v>2306.5876255707763</v>
      </c>
      <c r="AR156" s="109">
        <f>'Taxes consommation- sommaire'!AR102+'Taxes consommation- sommaire'!AR103</f>
        <v>2306.5876255707763</v>
      </c>
      <c r="AS156" s="109">
        <f>'Taxes consommation- sommaire'!AS102+'Taxes consommation- sommaire'!AS103</f>
        <v>2267.6376473146338</v>
      </c>
      <c r="AT156" s="109">
        <f>'Taxes consommation- sommaire'!AT102+'Taxes consommation- sommaire'!AT103</f>
        <v>2267.6376473146338</v>
      </c>
      <c r="AU156" s="109">
        <f>'Taxes consommation- sommaire'!AU102+'Taxes consommation- sommaire'!AU103</f>
        <v>2267.6376473146338</v>
      </c>
      <c r="AV156" s="109">
        <f>'Taxes consommation- sommaire'!AV102+'Taxes consommation- sommaire'!AV103</f>
        <v>2267.6376473146338</v>
      </c>
      <c r="AW156" s="109">
        <f>'Taxes consommation- sommaire'!AW102+'Taxes consommation- sommaire'!AW103</f>
        <v>2267.6376473146338</v>
      </c>
      <c r="AX156" s="109">
        <f>'Taxes consommation- sommaire'!AX102+'Taxes consommation- sommaire'!AX103</f>
        <v>2216.8066557947377</v>
      </c>
      <c r="AY156" s="109">
        <f>'Taxes consommation- sommaire'!AY102+'Taxes consommation- sommaire'!AY103</f>
        <v>2216.8066557947377</v>
      </c>
      <c r="AZ156" s="109">
        <f>'Taxes consommation- sommaire'!AZ102+'Taxes consommation- sommaire'!AZ103</f>
        <v>2216.8066557947377</v>
      </c>
      <c r="BA156" s="109">
        <f>'Taxes consommation- sommaire'!BA102+'Taxes consommation- sommaire'!BA103</f>
        <v>2216.8066557947377</v>
      </c>
      <c r="BB156" s="109">
        <f>'Taxes consommation- sommaire'!BB102+'Taxes consommation- sommaire'!BB103</f>
        <v>2216.8066557947377</v>
      </c>
      <c r="BC156" s="109">
        <f>'Taxes consommation- sommaire'!BC102+'Taxes consommation- sommaire'!BC103</f>
        <v>2154.0946510110898</v>
      </c>
      <c r="BD156" s="109">
        <f>'Taxes consommation- sommaire'!BD102+'Taxes consommation- sommaire'!BD103</f>
        <v>2154.0946510110898</v>
      </c>
      <c r="BE156" s="109">
        <f>'Taxes consommation- sommaire'!BE102+'Taxes consommation- sommaire'!BE103</f>
        <v>2154.0946510110898</v>
      </c>
      <c r="BF156" s="109">
        <f>'Taxes consommation- sommaire'!BF102+'Taxes consommation- sommaire'!BF103</f>
        <v>2154.0946510110898</v>
      </c>
      <c r="BG156" s="109">
        <f>'Taxes consommation- sommaire'!BG102+'Taxes consommation- sommaire'!BG103</f>
        <v>2154.0946510110898</v>
      </c>
      <c r="BH156" s="109">
        <f>'Taxes consommation- sommaire'!BH102+'Taxes consommation- sommaire'!BH103</f>
        <v>2079.5016329636878</v>
      </c>
      <c r="BI156" s="109">
        <f>'Taxes consommation- sommaire'!BI102+'Taxes consommation- sommaire'!BI103</f>
        <v>2079.5016329636878</v>
      </c>
      <c r="BJ156" s="109">
        <f>'Taxes consommation- sommaire'!BJ102+'Taxes consommation- sommaire'!BJ103</f>
        <v>2079.5016329636878</v>
      </c>
      <c r="BK156" s="109">
        <f>'Taxes consommation- sommaire'!BK102+'Taxes consommation- sommaire'!BK103</f>
        <v>2079.5016329636878</v>
      </c>
      <c r="BL156" s="109">
        <f>'Taxes consommation- sommaire'!BL102+'Taxes consommation- sommaire'!BL103</f>
        <v>2079.5016329636878</v>
      </c>
      <c r="BM156" s="109">
        <f>'Taxes consommation- sommaire'!BM102+'Taxes consommation- sommaire'!BM103</f>
        <v>1993.0276016525331</v>
      </c>
      <c r="BN156" s="109">
        <f>'Taxes consommation- sommaire'!BN102+'Taxes consommation- sommaire'!BN103</f>
        <v>1993.0276016525331</v>
      </c>
      <c r="BO156" s="109">
        <f>'Taxes consommation- sommaire'!BO102+'Taxes consommation- sommaire'!BO103</f>
        <v>1993.0276016525331</v>
      </c>
      <c r="BP156" s="109">
        <f>'Taxes consommation- sommaire'!BP102+'Taxes consommation- sommaire'!BP103</f>
        <v>1993.0276016525331</v>
      </c>
      <c r="BQ156" s="109">
        <f>'Taxes consommation- sommaire'!BQ102+'Taxes consommation- sommaire'!BQ103</f>
        <v>1993.0276016525331</v>
      </c>
      <c r="BR156" s="109">
        <f>'Taxes consommation- sommaire'!BR102+'Taxes consommation- sommaire'!BR103</f>
        <v>1894.6725570776257</v>
      </c>
      <c r="BS156" s="109">
        <f>'Taxes consommation- sommaire'!BS102+'Taxes consommation- sommaire'!BS103</f>
        <v>1894.6725570776257</v>
      </c>
      <c r="BT156" s="109">
        <f>'Taxes consommation- sommaire'!BT102+'Taxes consommation- sommaire'!BT103</f>
        <v>1894.6725570776257</v>
      </c>
    </row>
    <row r="157" spans="1:72" x14ac:dyDescent="0.25">
      <c r="A157" s="447"/>
      <c r="B157" s="423" t="s">
        <v>18</v>
      </c>
      <c r="C157" s="109"/>
      <c r="D157" s="109"/>
      <c r="E157" s="109"/>
      <c r="F157" s="109"/>
      <c r="G157" s="109"/>
      <c r="H157" s="109"/>
      <c r="I157" s="109"/>
      <c r="J157" s="109"/>
      <c r="K157" s="109"/>
      <c r="L157" s="281"/>
      <c r="M157" s="127"/>
      <c r="N157" s="127">
        <f>N72</f>
        <v>115</v>
      </c>
      <c r="O157" s="127"/>
      <c r="P157" s="146"/>
      <c r="Q157" s="146"/>
      <c r="R157" s="146"/>
      <c r="S157" s="146"/>
      <c r="T157" s="146"/>
      <c r="U157" s="146"/>
      <c r="V157" s="146"/>
      <c r="W157" s="146"/>
      <c r="X157" s="146"/>
      <c r="Y157" s="147"/>
      <c r="Z157" s="146"/>
      <c r="AA157" s="146"/>
      <c r="AB157" s="146"/>
      <c r="AC157" s="146"/>
      <c r="AD157" s="146"/>
      <c r="AE157" s="146"/>
      <c r="AF157" s="146"/>
      <c r="AG157" s="146"/>
      <c r="AH157" s="146"/>
      <c r="AI157" s="109"/>
      <c r="AJ157" s="109"/>
      <c r="AK157" s="109"/>
      <c r="AL157" s="109"/>
      <c r="AM157" s="109"/>
      <c r="AN157" s="109"/>
      <c r="AO157" s="109"/>
      <c r="AP157" s="109"/>
      <c r="AQ157" s="109"/>
      <c r="AR157" s="109"/>
      <c r="AS157" s="109">
        <f t="shared" ref="AS157:BT157" si="296">AS20</f>
        <v>150</v>
      </c>
      <c r="AT157" s="109">
        <f t="shared" si="296"/>
        <v>150</v>
      </c>
      <c r="AU157" s="109">
        <f t="shared" si="296"/>
        <v>150</v>
      </c>
      <c r="AV157" s="109">
        <f t="shared" si="296"/>
        <v>150</v>
      </c>
      <c r="AW157" s="109">
        <f t="shared" si="296"/>
        <v>150</v>
      </c>
      <c r="AX157" s="109">
        <f t="shared" si="296"/>
        <v>150</v>
      </c>
      <c r="AY157" s="109">
        <f t="shared" si="296"/>
        <v>150</v>
      </c>
      <c r="AZ157" s="109">
        <f t="shared" si="296"/>
        <v>150</v>
      </c>
      <c r="BA157" s="109">
        <f t="shared" si="296"/>
        <v>150</v>
      </c>
      <c r="BB157" s="109">
        <f t="shared" si="296"/>
        <v>150</v>
      </c>
      <c r="BC157" s="109">
        <f t="shared" si="296"/>
        <v>150</v>
      </c>
      <c r="BD157" s="109">
        <f t="shared" si="296"/>
        <v>150</v>
      </c>
      <c r="BE157" s="109">
        <f t="shared" si="296"/>
        <v>150</v>
      </c>
      <c r="BF157" s="109">
        <f t="shared" si="296"/>
        <v>150</v>
      </c>
      <c r="BG157" s="109">
        <f t="shared" si="296"/>
        <v>150</v>
      </c>
      <c r="BH157" s="109">
        <f t="shared" si="296"/>
        <v>150</v>
      </c>
      <c r="BI157" s="109">
        <f t="shared" si="296"/>
        <v>150</v>
      </c>
      <c r="BJ157" s="109">
        <f t="shared" si="296"/>
        <v>150</v>
      </c>
      <c r="BK157" s="109">
        <f t="shared" si="296"/>
        <v>150</v>
      </c>
      <c r="BL157" s="109">
        <f t="shared" si="296"/>
        <v>150</v>
      </c>
      <c r="BM157" s="109">
        <f t="shared" si="296"/>
        <v>150</v>
      </c>
      <c r="BN157" s="109">
        <f t="shared" si="296"/>
        <v>150</v>
      </c>
      <c r="BO157" s="109">
        <f t="shared" si="296"/>
        <v>150</v>
      </c>
      <c r="BP157" s="109">
        <f t="shared" si="296"/>
        <v>150</v>
      </c>
      <c r="BQ157" s="109">
        <f t="shared" si="296"/>
        <v>150</v>
      </c>
      <c r="BR157" s="109">
        <f t="shared" si="296"/>
        <v>150</v>
      </c>
      <c r="BS157" s="109">
        <f t="shared" si="296"/>
        <v>150</v>
      </c>
      <c r="BT157" s="109">
        <f t="shared" si="296"/>
        <v>150</v>
      </c>
    </row>
    <row r="158" spans="1:72" x14ac:dyDescent="0.25">
      <c r="A158" s="447"/>
      <c r="B158" s="423" t="s">
        <v>19</v>
      </c>
      <c r="C158" s="109"/>
      <c r="D158" s="109"/>
      <c r="E158" s="109"/>
      <c r="F158" s="109"/>
      <c r="G158" s="109"/>
      <c r="H158" s="109"/>
      <c r="I158" s="109"/>
      <c r="J158" s="109"/>
      <c r="K158" s="109"/>
      <c r="L158" s="281"/>
      <c r="M158" s="127"/>
      <c r="N158" s="127"/>
      <c r="O158" s="127"/>
      <c r="P158" s="146"/>
      <c r="Q158" s="146"/>
      <c r="R158" s="146"/>
      <c r="S158" s="146"/>
      <c r="T158" s="146"/>
      <c r="U158" s="146"/>
      <c r="V158" s="146"/>
      <c r="W158" s="146"/>
      <c r="X158" s="146"/>
      <c r="Y158" s="147"/>
      <c r="Z158" s="146"/>
      <c r="AA158" s="146"/>
      <c r="AB158" s="146"/>
      <c r="AC158" s="146"/>
      <c r="AD158" s="146"/>
      <c r="AE158" s="146"/>
      <c r="AF158" s="146"/>
      <c r="AG158" s="146"/>
      <c r="AH158" s="146"/>
      <c r="AI158" s="109"/>
      <c r="AJ158" s="109"/>
      <c r="AK158" s="109"/>
      <c r="AL158" s="109"/>
      <c r="AM158" s="109"/>
      <c r="AN158" s="109"/>
      <c r="AO158" s="109"/>
      <c r="AP158" s="109"/>
      <c r="AQ158" s="109"/>
      <c r="AR158" s="109"/>
      <c r="AS158" s="109">
        <f t="shared" ref="AS158:BT158" si="297">AS21</f>
        <v>642</v>
      </c>
      <c r="AT158" s="109">
        <f t="shared" si="297"/>
        <v>642</v>
      </c>
      <c r="AU158" s="109">
        <f t="shared" si="297"/>
        <v>642</v>
      </c>
      <c r="AV158" s="109">
        <f t="shared" si="297"/>
        <v>642</v>
      </c>
      <c r="AW158" s="109">
        <f t="shared" si="297"/>
        <v>642</v>
      </c>
      <c r="AX158" s="109">
        <f t="shared" si="297"/>
        <v>642</v>
      </c>
      <c r="AY158" s="109">
        <f t="shared" si="297"/>
        <v>642</v>
      </c>
      <c r="AZ158" s="109">
        <f t="shared" si="297"/>
        <v>642</v>
      </c>
      <c r="BA158" s="109">
        <f t="shared" si="297"/>
        <v>642</v>
      </c>
      <c r="BB158" s="109">
        <f t="shared" si="297"/>
        <v>642</v>
      </c>
      <c r="BC158" s="109">
        <f t="shared" si="297"/>
        <v>642</v>
      </c>
      <c r="BD158" s="109">
        <f t="shared" si="297"/>
        <v>642</v>
      </c>
      <c r="BE158" s="109">
        <f t="shared" si="297"/>
        <v>642</v>
      </c>
      <c r="BF158" s="109">
        <f t="shared" si="297"/>
        <v>642</v>
      </c>
      <c r="BG158" s="109">
        <f t="shared" si="297"/>
        <v>642</v>
      </c>
      <c r="BH158" s="109">
        <f t="shared" si="297"/>
        <v>642</v>
      </c>
      <c r="BI158" s="109">
        <f t="shared" si="297"/>
        <v>642</v>
      </c>
      <c r="BJ158" s="109">
        <f t="shared" si="297"/>
        <v>642</v>
      </c>
      <c r="BK158" s="109">
        <f t="shared" si="297"/>
        <v>642</v>
      </c>
      <c r="BL158" s="109">
        <f t="shared" si="297"/>
        <v>642</v>
      </c>
      <c r="BM158" s="109">
        <f t="shared" si="297"/>
        <v>642</v>
      </c>
      <c r="BN158" s="109">
        <f t="shared" si="297"/>
        <v>642</v>
      </c>
      <c r="BO158" s="109">
        <f t="shared" si="297"/>
        <v>642</v>
      </c>
      <c r="BP158" s="109">
        <f t="shared" si="297"/>
        <v>642</v>
      </c>
      <c r="BQ158" s="109">
        <f t="shared" si="297"/>
        <v>642</v>
      </c>
      <c r="BR158" s="109">
        <f t="shared" si="297"/>
        <v>642</v>
      </c>
      <c r="BS158" s="109">
        <f t="shared" si="297"/>
        <v>642</v>
      </c>
      <c r="BT158" s="109">
        <f t="shared" si="297"/>
        <v>642</v>
      </c>
    </row>
    <row r="159" spans="1:72" s="13" customFormat="1" x14ac:dyDescent="0.25">
      <c r="A159" s="448"/>
      <c r="B159" s="425" t="s">
        <v>20</v>
      </c>
      <c r="C159" s="235">
        <f t="shared" ref="C159:Y159" si="298">SUM(C150:C156)</f>
        <v>1544.9063167500001</v>
      </c>
      <c r="D159" s="235">
        <f t="shared" si="298"/>
        <v>1544.9063167500001</v>
      </c>
      <c r="E159" s="235">
        <f t="shared" si="298"/>
        <v>1544.9063167500001</v>
      </c>
      <c r="F159" s="235">
        <f>SUM(F150:F156)</f>
        <v>8594.3935962988144</v>
      </c>
      <c r="G159" s="235">
        <f t="shared" si="298"/>
        <v>8945.8669440188132</v>
      </c>
      <c r="H159" s="235">
        <f t="shared" si="298"/>
        <v>9415.2331440988128</v>
      </c>
      <c r="I159" s="235">
        <f t="shared" si="298"/>
        <v>9842.738616298815</v>
      </c>
      <c r="J159" s="235">
        <f t="shared" si="298"/>
        <v>10827.516398008125</v>
      </c>
      <c r="K159" s="235">
        <f t="shared" si="298"/>
        <v>11290.726577008125</v>
      </c>
      <c r="L159" s="282">
        <f t="shared" si="298"/>
        <v>26806.519218899761</v>
      </c>
      <c r="M159" s="231">
        <f t="shared" si="298"/>
        <v>26366.860631399759</v>
      </c>
      <c r="N159" s="231">
        <f>SUM(N150:N158)</f>
        <v>20466.340452573386</v>
      </c>
      <c r="O159" s="231">
        <f t="shared" si="298"/>
        <v>29162.904612167324</v>
      </c>
      <c r="P159" s="241">
        <f t="shared" si="298"/>
        <v>30313.434939667321</v>
      </c>
      <c r="Q159" s="241">
        <f t="shared" si="298"/>
        <v>31578.993608130033</v>
      </c>
      <c r="R159" s="241">
        <f t="shared" si="298"/>
        <v>32033.261903130031</v>
      </c>
      <c r="S159" s="241">
        <f t="shared" si="298"/>
        <v>31719.797118130027</v>
      </c>
      <c r="T159" s="241">
        <f t="shared" si="298"/>
        <v>32292.271771743312</v>
      </c>
      <c r="U159" s="241">
        <f t="shared" si="298"/>
        <v>32667.865051743316</v>
      </c>
      <c r="V159" s="241">
        <f t="shared" si="298"/>
        <v>33043.457934243314</v>
      </c>
      <c r="W159" s="241">
        <f t="shared" si="298"/>
        <v>33169.814716743313</v>
      </c>
      <c r="X159" s="241">
        <f t="shared" si="298"/>
        <v>33545.407599243314</v>
      </c>
      <c r="Y159" s="265">
        <f t="shared" si="298"/>
        <v>15056.106248937922</v>
      </c>
      <c r="Z159" s="241">
        <f t="shared" ref="Z159:AH159" si="299">SUM(Z150:Z156)</f>
        <v>15056.106248937922</v>
      </c>
      <c r="AA159" s="241">
        <f t="shared" si="299"/>
        <v>15056.106248937922</v>
      </c>
      <c r="AB159" s="241">
        <f t="shared" si="299"/>
        <v>15056.106248937922</v>
      </c>
      <c r="AC159" s="241">
        <f t="shared" si="299"/>
        <v>15056.106248937922</v>
      </c>
      <c r="AD159" s="241">
        <f t="shared" si="299"/>
        <v>15209.833952786583</v>
      </c>
      <c r="AE159" s="241">
        <f t="shared" si="299"/>
        <v>14268.691452786583</v>
      </c>
      <c r="AF159" s="241">
        <f t="shared" si="299"/>
        <v>15334.741691044903</v>
      </c>
      <c r="AG159" s="241">
        <f t="shared" si="299"/>
        <v>15334.741691044903</v>
      </c>
      <c r="AH159" s="241">
        <f t="shared" si="299"/>
        <v>15334.741691044903</v>
      </c>
      <c r="AI159" s="235">
        <f>SUM(AI150:AI158)</f>
        <v>15012.703675063167</v>
      </c>
      <c r="AJ159" s="235">
        <f t="shared" ref="AJ159:AR159" si="300">SUM(AJ150:AJ158)</f>
        <v>15012.703675063167</v>
      </c>
      <c r="AK159" s="235">
        <f t="shared" si="300"/>
        <v>15012.703675063167</v>
      </c>
      <c r="AL159" s="235">
        <f t="shared" si="300"/>
        <v>15012.703675063167</v>
      </c>
      <c r="AM159" s="235">
        <f t="shared" si="300"/>
        <v>15012.703675063167</v>
      </c>
      <c r="AN159" s="235">
        <f t="shared" si="300"/>
        <v>14985.634710070775</v>
      </c>
      <c r="AO159" s="235">
        <f t="shared" si="300"/>
        <v>14985.634710070775</v>
      </c>
      <c r="AP159" s="235">
        <f t="shared" si="300"/>
        <v>14985.634710070775</v>
      </c>
      <c r="AQ159" s="235">
        <f t="shared" si="300"/>
        <v>14985.634710070775</v>
      </c>
      <c r="AR159" s="235">
        <f t="shared" si="300"/>
        <v>14985.634710070775</v>
      </c>
      <c r="AS159" s="235">
        <f>SUM(AS150:AS158)</f>
        <v>9974.9916473146332</v>
      </c>
      <c r="AT159" s="235">
        <f t="shared" ref="AT159:BT159" si="301">SUM(AT150:AT158)</f>
        <v>13041.022247314635</v>
      </c>
      <c r="AU159" s="235">
        <f t="shared" si="301"/>
        <v>13041.022247314635</v>
      </c>
      <c r="AV159" s="235">
        <f t="shared" si="301"/>
        <v>13041.022247314635</v>
      </c>
      <c r="AW159" s="235">
        <f t="shared" si="301"/>
        <v>13041.022247314635</v>
      </c>
      <c r="AX159" s="235">
        <f t="shared" si="301"/>
        <v>9512.7222057947365</v>
      </c>
      <c r="AY159" s="235">
        <f t="shared" si="301"/>
        <v>9512.7222057947365</v>
      </c>
      <c r="AZ159" s="235">
        <f t="shared" si="301"/>
        <v>9512.7222057947365</v>
      </c>
      <c r="BA159" s="235">
        <f t="shared" si="301"/>
        <v>9512.7222057947365</v>
      </c>
      <c r="BB159" s="235">
        <f t="shared" si="301"/>
        <v>9512.7222057947365</v>
      </c>
      <c r="BC159" s="235">
        <f t="shared" si="301"/>
        <v>9450.0102010110895</v>
      </c>
      <c r="BD159" s="235">
        <f t="shared" si="301"/>
        <v>9450.0102010110895</v>
      </c>
      <c r="BE159" s="235">
        <f t="shared" si="301"/>
        <v>9450.0102010110895</v>
      </c>
      <c r="BF159" s="235">
        <f t="shared" si="301"/>
        <v>9450.0102010110895</v>
      </c>
      <c r="BG159" s="235">
        <f t="shared" si="301"/>
        <v>9450.0102010110895</v>
      </c>
      <c r="BH159" s="235">
        <f t="shared" si="301"/>
        <v>9375.4171829636871</v>
      </c>
      <c r="BI159" s="235">
        <f t="shared" si="301"/>
        <v>9375.4171829636871</v>
      </c>
      <c r="BJ159" s="235">
        <f t="shared" si="301"/>
        <v>9375.4171829636871</v>
      </c>
      <c r="BK159" s="235">
        <f t="shared" si="301"/>
        <v>9375.4171829636871</v>
      </c>
      <c r="BL159" s="235">
        <f t="shared" si="301"/>
        <v>9375.4171829636871</v>
      </c>
      <c r="BM159" s="235">
        <f t="shared" si="301"/>
        <v>9288.9431516525328</v>
      </c>
      <c r="BN159" s="235">
        <f t="shared" si="301"/>
        <v>9288.9431516525328</v>
      </c>
      <c r="BO159" s="235">
        <f t="shared" si="301"/>
        <v>9288.9431516525328</v>
      </c>
      <c r="BP159" s="235">
        <f t="shared" si="301"/>
        <v>9288.9431516525328</v>
      </c>
      <c r="BQ159" s="235">
        <f t="shared" si="301"/>
        <v>9288.9431516525328</v>
      </c>
      <c r="BR159" s="235">
        <f t="shared" si="301"/>
        <v>9190.588107077625</v>
      </c>
      <c r="BS159" s="235">
        <f t="shared" si="301"/>
        <v>9190.588107077625</v>
      </c>
      <c r="BT159" s="235">
        <f t="shared" si="301"/>
        <v>9190.588107077625</v>
      </c>
    </row>
    <row r="160" spans="1:72" s="121" customFormat="1" ht="15" customHeight="1" x14ac:dyDescent="0.25">
      <c r="A160" s="449" t="s">
        <v>21</v>
      </c>
      <c r="B160" s="121" t="s">
        <v>22</v>
      </c>
      <c r="C160" s="129">
        <f>SUM(C161:C168)</f>
        <v>571</v>
      </c>
      <c r="D160" s="129">
        <f t="shared" ref="D160:BO160" si="302">SUM(D161:D168)</f>
        <v>571</v>
      </c>
      <c r="E160" s="129">
        <f t="shared" si="302"/>
        <v>571</v>
      </c>
      <c r="F160" s="129">
        <f t="shared" si="302"/>
        <v>1414</v>
      </c>
      <c r="G160" s="129">
        <f t="shared" si="302"/>
        <v>1414</v>
      </c>
      <c r="H160" s="129">
        <f t="shared" si="302"/>
        <v>1394.9510320000002</v>
      </c>
      <c r="I160" s="129">
        <f t="shared" si="302"/>
        <v>1326.1581219999998</v>
      </c>
      <c r="J160" s="129">
        <f t="shared" si="302"/>
        <v>1211.2067940000002</v>
      </c>
      <c r="K160" s="129">
        <f t="shared" si="302"/>
        <v>1075.4593439999999</v>
      </c>
      <c r="L160" s="283">
        <f t="shared" si="302"/>
        <v>0</v>
      </c>
      <c r="M160" s="130">
        <f t="shared" si="302"/>
        <v>0</v>
      </c>
      <c r="N160" s="130">
        <f t="shared" si="302"/>
        <v>4973.6100000000006</v>
      </c>
      <c r="O160" s="130">
        <f t="shared" si="302"/>
        <v>3901.63</v>
      </c>
      <c r="P160" s="243">
        <f t="shared" si="302"/>
        <v>3817.7400000000002</v>
      </c>
      <c r="Q160" s="243">
        <f t="shared" si="302"/>
        <v>3734.66</v>
      </c>
      <c r="R160" s="243">
        <f t="shared" si="302"/>
        <v>3803.84</v>
      </c>
      <c r="S160" s="243">
        <f t="shared" si="302"/>
        <v>3728.67</v>
      </c>
      <c r="T160" s="243">
        <f t="shared" si="302"/>
        <v>2681.73</v>
      </c>
      <c r="U160" s="243">
        <f t="shared" si="302"/>
        <v>2649.76</v>
      </c>
      <c r="V160" s="243">
        <f t="shared" si="302"/>
        <v>2617.8000000000002</v>
      </c>
      <c r="W160" s="243">
        <f t="shared" si="302"/>
        <v>2607.3199999999997</v>
      </c>
      <c r="X160" s="243">
        <f t="shared" si="302"/>
        <v>2575.3500000000004</v>
      </c>
      <c r="Y160" s="242">
        <f t="shared" si="302"/>
        <v>7591.87</v>
      </c>
      <c r="Z160" s="243">
        <f t="shared" si="302"/>
        <v>7591.87</v>
      </c>
      <c r="AA160" s="243">
        <f t="shared" si="302"/>
        <v>7591.87</v>
      </c>
      <c r="AB160" s="243">
        <f t="shared" si="302"/>
        <v>7591.87</v>
      </c>
      <c r="AC160" s="243">
        <f t="shared" si="302"/>
        <v>7591.87</v>
      </c>
      <c r="AD160" s="243">
        <f t="shared" si="302"/>
        <v>7591.87</v>
      </c>
      <c r="AE160" s="243">
        <f t="shared" si="302"/>
        <v>7491.87</v>
      </c>
      <c r="AF160" s="243">
        <f t="shared" si="302"/>
        <v>0</v>
      </c>
      <c r="AG160" s="243">
        <f t="shared" si="302"/>
        <v>0</v>
      </c>
      <c r="AH160" s="243">
        <f t="shared" si="302"/>
        <v>0</v>
      </c>
      <c r="AI160" s="129">
        <f t="shared" si="302"/>
        <v>178.5</v>
      </c>
      <c r="AJ160" s="129">
        <f t="shared" si="302"/>
        <v>178.5</v>
      </c>
      <c r="AK160" s="129">
        <f t="shared" si="302"/>
        <v>178.5</v>
      </c>
      <c r="AL160" s="129">
        <f t="shared" si="302"/>
        <v>178.5</v>
      </c>
      <c r="AM160" s="129">
        <f t="shared" si="302"/>
        <v>178.5</v>
      </c>
      <c r="AN160" s="129">
        <f t="shared" si="302"/>
        <v>178.5</v>
      </c>
      <c r="AO160" s="129">
        <f t="shared" si="302"/>
        <v>178.5</v>
      </c>
      <c r="AP160" s="129">
        <f t="shared" si="302"/>
        <v>178.5</v>
      </c>
      <c r="AQ160" s="129">
        <f t="shared" si="302"/>
        <v>178.5</v>
      </c>
      <c r="AR160" s="129">
        <f t="shared" si="302"/>
        <v>178.5</v>
      </c>
      <c r="AS160" s="129">
        <f t="shared" si="302"/>
        <v>771.24</v>
      </c>
      <c r="AT160" s="129">
        <f t="shared" si="302"/>
        <v>44.92</v>
      </c>
      <c r="AU160" s="129">
        <f t="shared" si="302"/>
        <v>44.92</v>
      </c>
      <c r="AV160" s="129">
        <f t="shared" si="302"/>
        <v>44.92</v>
      </c>
      <c r="AW160" s="129">
        <f t="shared" si="302"/>
        <v>44.92</v>
      </c>
      <c r="AX160" s="129">
        <f t="shared" si="302"/>
        <v>7601.2300000000005</v>
      </c>
      <c r="AY160" s="129">
        <f t="shared" si="302"/>
        <v>7601.2300000000005</v>
      </c>
      <c r="AZ160" s="129">
        <f t="shared" si="302"/>
        <v>7601.2300000000005</v>
      </c>
      <c r="BA160" s="129">
        <f t="shared" si="302"/>
        <v>7601.2300000000005</v>
      </c>
      <c r="BB160" s="129">
        <f t="shared" si="302"/>
        <v>7601.2300000000005</v>
      </c>
      <c r="BC160" s="129">
        <f t="shared" si="302"/>
        <v>7601.2300000000005</v>
      </c>
      <c r="BD160" s="129">
        <f t="shared" si="302"/>
        <v>7601.2300000000005</v>
      </c>
      <c r="BE160" s="129">
        <f t="shared" si="302"/>
        <v>7601.2300000000005</v>
      </c>
      <c r="BF160" s="129">
        <f t="shared" si="302"/>
        <v>7601.2300000000005</v>
      </c>
      <c r="BG160" s="129">
        <f t="shared" si="302"/>
        <v>7601.2300000000005</v>
      </c>
      <c r="BH160" s="129">
        <f t="shared" si="302"/>
        <v>8206.23</v>
      </c>
      <c r="BI160" s="129">
        <f t="shared" si="302"/>
        <v>8206.23</v>
      </c>
      <c r="BJ160" s="129">
        <f t="shared" si="302"/>
        <v>8206.23</v>
      </c>
      <c r="BK160" s="129">
        <f t="shared" si="302"/>
        <v>8206.23</v>
      </c>
      <c r="BL160" s="129">
        <f t="shared" si="302"/>
        <v>8206.23</v>
      </c>
      <c r="BM160" s="129">
        <f t="shared" si="302"/>
        <v>8206.23</v>
      </c>
      <c r="BN160" s="129">
        <f t="shared" si="302"/>
        <v>8206.23</v>
      </c>
      <c r="BO160" s="129">
        <f t="shared" si="302"/>
        <v>8206.23</v>
      </c>
      <c r="BP160" s="129">
        <f t="shared" ref="BP160:BT160" si="303">SUM(BP161:BP168)</f>
        <v>8206.23</v>
      </c>
      <c r="BQ160" s="129">
        <f t="shared" si="303"/>
        <v>8206.23</v>
      </c>
      <c r="BR160" s="129">
        <f t="shared" si="303"/>
        <v>8206.23</v>
      </c>
      <c r="BS160" s="129">
        <f t="shared" si="303"/>
        <v>8206.23</v>
      </c>
      <c r="BT160" s="129">
        <f t="shared" si="303"/>
        <v>8206.23</v>
      </c>
    </row>
    <row r="161" spans="1:72" x14ac:dyDescent="0.25">
      <c r="A161" s="447"/>
      <c r="B161" s="423" t="s">
        <v>23</v>
      </c>
      <c r="C161" s="109">
        <f t="shared" ref="C161:O161" si="304">C76</f>
        <v>284</v>
      </c>
      <c r="D161" s="109">
        <f t="shared" si="304"/>
        <v>284</v>
      </c>
      <c r="E161" s="109">
        <f t="shared" si="304"/>
        <v>284</v>
      </c>
      <c r="F161" s="109">
        <f t="shared" si="304"/>
        <v>433</v>
      </c>
      <c r="G161" s="109">
        <f t="shared" si="304"/>
        <v>433</v>
      </c>
      <c r="H161" s="109">
        <f t="shared" si="304"/>
        <v>433</v>
      </c>
      <c r="I161" s="109">
        <f t="shared" si="304"/>
        <v>433</v>
      </c>
      <c r="J161" s="109">
        <f t="shared" si="304"/>
        <v>399.24</v>
      </c>
      <c r="K161" s="109">
        <f t="shared" si="304"/>
        <v>338.04</v>
      </c>
      <c r="L161" s="281">
        <f t="shared" si="304"/>
        <v>0</v>
      </c>
      <c r="M161" s="127">
        <f t="shared" si="304"/>
        <v>0</v>
      </c>
      <c r="N161" s="127">
        <f t="shared" si="304"/>
        <v>0</v>
      </c>
      <c r="O161" s="127">
        <f t="shared" si="304"/>
        <v>0</v>
      </c>
      <c r="P161" s="146"/>
      <c r="Q161" s="146"/>
      <c r="R161" s="146"/>
      <c r="S161" s="146"/>
      <c r="T161" s="146"/>
      <c r="U161" s="146"/>
      <c r="V161" s="146"/>
      <c r="W161" s="146"/>
      <c r="X161" s="146"/>
      <c r="Y161" s="307">
        <v>163.24</v>
      </c>
      <c r="Z161" s="308">
        <f t="shared" ref="Z161:AE162" si="305">Y161</f>
        <v>163.24</v>
      </c>
      <c r="AA161" s="308">
        <f t="shared" si="305"/>
        <v>163.24</v>
      </c>
      <c r="AB161" s="308">
        <f t="shared" si="305"/>
        <v>163.24</v>
      </c>
      <c r="AC161" s="308">
        <f t="shared" si="305"/>
        <v>163.24</v>
      </c>
      <c r="AD161" s="308">
        <f t="shared" si="305"/>
        <v>163.24</v>
      </c>
      <c r="AE161" s="308">
        <f>AD161</f>
        <v>163.24</v>
      </c>
      <c r="AF161" s="308">
        <v>0</v>
      </c>
      <c r="AG161" s="146">
        <f>AF161</f>
        <v>0</v>
      </c>
      <c r="AH161" s="146">
        <f>AG161</f>
        <v>0</v>
      </c>
      <c r="AI161" s="109">
        <f>AI24</f>
        <v>0</v>
      </c>
      <c r="AJ161" s="109">
        <f t="shared" ref="AJ161:AR161" si="306">AJ24</f>
        <v>0</v>
      </c>
      <c r="AK161" s="109">
        <f t="shared" si="306"/>
        <v>0</v>
      </c>
      <c r="AL161" s="109">
        <f t="shared" si="306"/>
        <v>0</v>
      </c>
      <c r="AM161" s="109">
        <f t="shared" si="306"/>
        <v>0</v>
      </c>
      <c r="AN161" s="109">
        <f t="shared" si="306"/>
        <v>0</v>
      </c>
      <c r="AO161" s="109">
        <f t="shared" si="306"/>
        <v>0</v>
      </c>
      <c r="AP161" s="109">
        <f t="shared" si="306"/>
        <v>0</v>
      </c>
      <c r="AQ161" s="109">
        <f t="shared" si="306"/>
        <v>0</v>
      </c>
      <c r="AR161" s="109">
        <f t="shared" si="306"/>
        <v>0</v>
      </c>
      <c r="AS161" s="109">
        <f>AS24</f>
        <v>216</v>
      </c>
      <c r="AT161" s="109">
        <f t="shared" ref="AT161:BT161" si="307">AT24</f>
        <v>0</v>
      </c>
      <c r="AU161" s="109">
        <f t="shared" si="307"/>
        <v>0</v>
      </c>
      <c r="AV161" s="109">
        <f t="shared" si="307"/>
        <v>0</v>
      </c>
      <c r="AW161" s="109">
        <f t="shared" si="307"/>
        <v>0</v>
      </c>
      <c r="AX161" s="109">
        <f t="shared" si="307"/>
        <v>83.72</v>
      </c>
      <c r="AY161" s="109">
        <f t="shared" si="307"/>
        <v>83.72</v>
      </c>
      <c r="AZ161" s="109">
        <f t="shared" si="307"/>
        <v>83.72</v>
      </c>
      <c r="BA161" s="109">
        <f t="shared" si="307"/>
        <v>83.72</v>
      </c>
      <c r="BB161" s="109">
        <f t="shared" si="307"/>
        <v>83.72</v>
      </c>
      <c r="BC161" s="109">
        <f t="shared" si="307"/>
        <v>83.72</v>
      </c>
      <c r="BD161" s="109">
        <f t="shared" si="307"/>
        <v>83.72</v>
      </c>
      <c r="BE161" s="109">
        <f t="shared" si="307"/>
        <v>83.72</v>
      </c>
      <c r="BF161" s="109">
        <f t="shared" si="307"/>
        <v>83.72</v>
      </c>
      <c r="BG161" s="109">
        <f t="shared" si="307"/>
        <v>83.72</v>
      </c>
      <c r="BH161" s="109">
        <f t="shared" si="307"/>
        <v>83.72</v>
      </c>
      <c r="BI161" s="109">
        <f t="shared" si="307"/>
        <v>83.72</v>
      </c>
      <c r="BJ161" s="109">
        <f t="shared" si="307"/>
        <v>83.72</v>
      </c>
      <c r="BK161" s="109">
        <f t="shared" si="307"/>
        <v>83.72</v>
      </c>
      <c r="BL161" s="109">
        <f t="shared" si="307"/>
        <v>83.72</v>
      </c>
      <c r="BM161" s="109">
        <f t="shared" si="307"/>
        <v>83.72</v>
      </c>
      <c r="BN161" s="109">
        <f t="shared" si="307"/>
        <v>83.72</v>
      </c>
      <c r="BO161" s="109">
        <f t="shared" si="307"/>
        <v>83.72</v>
      </c>
      <c r="BP161" s="109">
        <f t="shared" si="307"/>
        <v>83.72</v>
      </c>
      <c r="BQ161" s="109">
        <f t="shared" si="307"/>
        <v>83.72</v>
      </c>
      <c r="BR161" s="109">
        <f t="shared" si="307"/>
        <v>83.72</v>
      </c>
      <c r="BS161" s="109">
        <f t="shared" si="307"/>
        <v>83.72</v>
      </c>
      <c r="BT161" s="109">
        <f t="shared" si="307"/>
        <v>83.72</v>
      </c>
    </row>
    <row r="162" spans="1:72" x14ac:dyDescent="0.25">
      <c r="A162" s="447"/>
      <c r="B162" s="423" t="s">
        <v>24</v>
      </c>
      <c r="C162" s="109">
        <f t="shared" ref="C162:O162" si="308">C77</f>
        <v>287</v>
      </c>
      <c r="D162" s="109">
        <f t="shared" si="308"/>
        <v>287</v>
      </c>
      <c r="E162" s="109">
        <f t="shared" si="308"/>
        <v>287</v>
      </c>
      <c r="F162" s="109">
        <f t="shared" si="308"/>
        <v>981</v>
      </c>
      <c r="G162" s="109">
        <f t="shared" si="308"/>
        <v>981</v>
      </c>
      <c r="H162" s="109">
        <f t="shared" si="308"/>
        <v>961.95103200000017</v>
      </c>
      <c r="I162" s="109">
        <f t="shared" si="308"/>
        <v>893.15812199999982</v>
      </c>
      <c r="J162" s="109">
        <f t="shared" si="308"/>
        <v>811.96679400000005</v>
      </c>
      <c r="K162" s="109">
        <f t="shared" si="308"/>
        <v>737.41934399999991</v>
      </c>
      <c r="L162" s="281">
        <f t="shared" si="308"/>
        <v>0</v>
      </c>
      <c r="M162" s="127">
        <f t="shared" si="308"/>
        <v>0</v>
      </c>
      <c r="N162" s="127">
        <f t="shared" si="308"/>
        <v>0</v>
      </c>
      <c r="O162" s="127">
        <f t="shared" si="308"/>
        <v>0</v>
      </c>
      <c r="P162" s="146"/>
      <c r="Q162" s="146"/>
      <c r="R162" s="146"/>
      <c r="S162" s="146"/>
      <c r="T162" s="146"/>
      <c r="U162" s="146"/>
      <c r="V162" s="146"/>
      <c r="W162" s="146"/>
      <c r="X162" s="146"/>
      <c r="Y162" s="147">
        <v>297.5</v>
      </c>
      <c r="Z162" s="146">
        <f t="shared" si="305"/>
        <v>297.5</v>
      </c>
      <c r="AA162" s="146">
        <f t="shared" si="305"/>
        <v>297.5</v>
      </c>
      <c r="AB162" s="146">
        <f t="shared" si="305"/>
        <v>297.5</v>
      </c>
      <c r="AC162" s="146">
        <f t="shared" si="305"/>
        <v>297.5</v>
      </c>
      <c r="AD162" s="146">
        <f t="shared" si="305"/>
        <v>297.5</v>
      </c>
      <c r="AE162" s="146">
        <f t="shared" si="305"/>
        <v>297.5</v>
      </c>
      <c r="AF162" s="308">
        <v>0</v>
      </c>
      <c r="AG162" s="308">
        <v>0</v>
      </c>
      <c r="AH162" s="308">
        <v>0</v>
      </c>
      <c r="AI162" s="109">
        <f>AI25</f>
        <v>178.5</v>
      </c>
      <c r="AJ162" s="109">
        <f t="shared" ref="AJ162:AR162" si="309">AJ25</f>
        <v>178.5</v>
      </c>
      <c r="AK162" s="109">
        <f t="shared" si="309"/>
        <v>178.5</v>
      </c>
      <c r="AL162" s="109">
        <f t="shared" si="309"/>
        <v>178.5</v>
      </c>
      <c r="AM162" s="109">
        <f t="shared" si="309"/>
        <v>178.5</v>
      </c>
      <c r="AN162" s="109">
        <f t="shared" si="309"/>
        <v>178.5</v>
      </c>
      <c r="AO162" s="109">
        <f t="shared" si="309"/>
        <v>178.5</v>
      </c>
      <c r="AP162" s="109">
        <f t="shared" si="309"/>
        <v>178.5</v>
      </c>
      <c r="AQ162" s="109">
        <f t="shared" si="309"/>
        <v>178.5</v>
      </c>
      <c r="AR162" s="109">
        <f t="shared" si="309"/>
        <v>178.5</v>
      </c>
      <c r="AS162" s="109">
        <f>AS25</f>
        <v>555.24</v>
      </c>
      <c r="AT162" s="109">
        <f t="shared" ref="AT162:BT162" si="310">AT25</f>
        <v>44.92</v>
      </c>
      <c r="AU162" s="109">
        <f t="shared" si="310"/>
        <v>44.92</v>
      </c>
      <c r="AV162" s="109">
        <f t="shared" si="310"/>
        <v>44.92</v>
      </c>
      <c r="AW162" s="109">
        <f t="shared" si="310"/>
        <v>44.92</v>
      </c>
      <c r="AX162" s="109">
        <f t="shared" si="310"/>
        <v>396.2</v>
      </c>
      <c r="AY162" s="109">
        <f t="shared" si="310"/>
        <v>396.2</v>
      </c>
      <c r="AZ162" s="109">
        <f t="shared" si="310"/>
        <v>396.2</v>
      </c>
      <c r="BA162" s="109">
        <f t="shared" si="310"/>
        <v>396.2</v>
      </c>
      <c r="BB162" s="109">
        <f t="shared" si="310"/>
        <v>396.2</v>
      </c>
      <c r="BC162" s="109">
        <f t="shared" si="310"/>
        <v>396.2</v>
      </c>
      <c r="BD162" s="109">
        <f t="shared" si="310"/>
        <v>396.2</v>
      </c>
      <c r="BE162" s="109">
        <f t="shared" si="310"/>
        <v>396.2</v>
      </c>
      <c r="BF162" s="109">
        <f t="shared" si="310"/>
        <v>396.2</v>
      </c>
      <c r="BG162" s="109">
        <f t="shared" si="310"/>
        <v>396.2</v>
      </c>
      <c r="BH162" s="109">
        <f t="shared" si="310"/>
        <v>396.2</v>
      </c>
      <c r="BI162" s="109">
        <f t="shared" si="310"/>
        <v>396.2</v>
      </c>
      <c r="BJ162" s="109">
        <f t="shared" si="310"/>
        <v>396.2</v>
      </c>
      <c r="BK162" s="109">
        <f t="shared" si="310"/>
        <v>396.2</v>
      </c>
      <c r="BL162" s="109">
        <f t="shared" si="310"/>
        <v>396.2</v>
      </c>
      <c r="BM162" s="109">
        <f t="shared" si="310"/>
        <v>396.2</v>
      </c>
      <c r="BN162" s="109">
        <f t="shared" si="310"/>
        <v>396.2</v>
      </c>
      <c r="BO162" s="109">
        <f t="shared" si="310"/>
        <v>396.2</v>
      </c>
      <c r="BP162" s="109">
        <f t="shared" si="310"/>
        <v>396.2</v>
      </c>
      <c r="BQ162" s="109">
        <f t="shared" si="310"/>
        <v>396.2</v>
      </c>
      <c r="BR162" s="109">
        <f t="shared" si="310"/>
        <v>396.2</v>
      </c>
      <c r="BS162" s="109">
        <f t="shared" si="310"/>
        <v>396.2</v>
      </c>
      <c r="BT162" s="109">
        <f t="shared" si="310"/>
        <v>396.2</v>
      </c>
    </row>
    <row r="163" spans="1:72" ht="19.5" customHeight="1" x14ac:dyDescent="0.25">
      <c r="A163" s="447"/>
      <c r="B163" s="423" t="s">
        <v>25</v>
      </c>
      <c r="C163" s="109">
        <f t="shared" ref="C163:O163" si="311">C78</f>
        <v>0</v>
      </c>
      <c r="D163" s="109">
        <f t="shared" si="311"/>
        <v>0</v>
      </c>
      <c r="E163" s="109">
        <f t="shared" si="311"/>
        <v>0</v>
      </c>
      <c r="F163" s="109">
        <f t="shared" si="311"/>
        <v>0</v>
      </c>
      <c r="G163" s="109">
        <f t="shared" si="311"/>
        <v>0</v>
      </c>
      <c r="H163" s="109">
        <f t="shared" si="311"/>
        <v>0</v>
      </c>
      <c r="I163" s="109">
        <f t="shared" si="311"/>
        <v>0</v>
      </c>
      <c r="J163" s="109">
        <f t="shared" si="311"/>
        <v>0</v>
      </c>
      <c r="K163" s="109">
        <f t="shared" si="311"/>
        <v>0</v>
      </c>
      <c r="L163" s="281">
        <f t="shared" si="311"/>
        <v>0</v>
      </c>
      <c r="M163" s="127">
        <f t="shared" si="311"/>
        <v>0</v>
      </c>
      <c r="N163" s="127">
        <f t="shared" si="311"/>
        <v>0</v>
      </c>
      <c r="O163" s="127">
        <f t="shared" si="311"/>
        <v>0</v>
      </c>
      <c r="P163" s="146"/>
      <c r="Q163" s="146"/>
      <c r="R163" s="146"/>
      <c r="S163" s="146"/>
      <c r="T163" s="146"/>
      <c r="U163" s="146"/>
      <c r="V163" s="146"/>
      <c r="W163" s="146"/>
      <c r="X163" s="146"/>
      <c r="Y163" s="147"/>
      <c r="Z163" s="146"/>
      <c r="AA163" s="146"/>
      <c r="AB163" s="146"/>
      <c r="AC163" s="146"/>
      <c r="AD163" s="146"/>
      <c r="AE163" s="146"/>
      <c r="AF163" s="146"/>
      <c r="AG163" s="146"/>
      <c r="AH163" s="146"/>
      <c r="AI163" s="109"/>
      <c r="AJ163" s="109"/>
      <c r="AK163" s="109"/>
      <c r="AL163" s="109"/>
      <c r="AM163" s="109"/>
      <c r="AN163" s="109"/>
      <c r="AO163" s="109"/>
      <c r="AP163" s="109"/>
      <c r="AQ163" s="109"/>
      <c r="AR163" s="109"/>
      <c r="AS163" s="109"/>
      <c r="AT163" s="109"/>
      <c r="AU163" s="109"/>
      <c r="AV163" s="109"/>
      <c r="AW163" s="109"/>
      <c r="AX163" s="109"/>
      <c r="AY163" s="109"/>
      <c r="AZ163" s="109"/>
      <c r="BA163" s="109"/>
      <c r="BB163" s="109"/>
      <c r="BC163" s="109"/>
      <c r="BD163" s="109"/>
      <c r="BE163" s="109"/>
      <c r="BF163" s="109"/>
      <c r="BG163" s="109"/>
      <c r="BH163" s="109"/>
      <c r="BI163" s="109"/>
      <c r="BJ163" s="109"/>
      <c r="BK163" s="109"/>
      <c r="BL163" s="109"/>
      <c r="BM163" s="109"/>
      <c r="BN163" s="109"/>
      <c r="BO163" s="109"/>
      <c r="BP163" s="109"/>
      <c r="BQ163" s="109"/>
      <c r="BR163" s="109"/>
      <c r="BS163" s="109"/>
      <c r="BT163" s="109"/>
    </row>
    <row r="164" spans="1:72" ht="19.5" customHeight="1" x14ac:dyDescent="0.25">
      <c r="A164" s="447"/>
      <c r="B164" s="423" t="s">
        <v>26</v>
      </c>
      <c r="C164" s="109">
        <f t="shared" ref="C164:O164" si="312">C79</f>
        <v>0</v>
      </c>
      <c r="D164" s="109">
        <f t="shared" si="312"/>
        <v>0</v>
      </c>
      <c r="E164" s="109">
        <f t="shared" si="312"/>
        <v>0</v>
      </c>
      <c r="F164" s="109">
        <f t="shared" si="312"/>
        <v>0</v>
      </c>
      <c r="G164" s="109">
        <f t="shared" si="312"/>
        <v>0</v>
      </c>
      <c r="H164" s="109">
        <f t="shared" si="312"/>
        <v>0</v>
      </c>
      <c r="I164" s="109">
        <f t="shared" si="312"/>
        <v>0</v>
      </c>
      <c r="J164" s="109">
        <f t="shared" si="312"/>
        <v>0</v>
      </c>
      <c r="K164" s="109">
        <f t="shared" si="312"/>
        <v>0</v>
      </c>
      <c r="L164" s="281">
        <f t="shared" si="312"/>
        <v>0</v>
      </c>
      <c r="M164" s="127">
        <f t="shared" si="312"/>
        <v>0</v>
      </c>
      <c r="N164" s="127">
        <f t="shared" si="312"/>
        <v>0</v>
      </c>
      <c r="O164" s="127">
        <f t="shared" si="312"/>
        <v>0</v>
      </c>
      <c r="P164" s="146"/>
      <c r="Q164" s="146"/>
      <c r="R164" s="146"/>
      <c r="S164" s="146"/>
      <c r="T164" s="146"/>
      <c r="U164" s="146"/>
      <c r="V164" s="146"/>
      <c r="W164" s="146"/>
      <c r="X164" s="146"/>
      <c r="Y164" s="292"/>
      <c r="Z164" s="293"/>
      <c r="AA164" s="293"/>
      <c r="AB164" s="293"/>
      <c r="AC164" s="293"/>
      <c r="AD164" s="293"/>
      <c r="AE164" s="293"/>
      <c r="AF164" s="146"/>
      <c r="AG164" s="146"/>
      <c r="AH164" s="146"/>
      <c r="AI164" s="109">
        <f t="shared" ref="AI164:BT164" si="313">AI27</f>
        <v>0</v>
      </c>
      <c r="AJ164" s="109">
        <f t="shared" si="313"/>
        <v>0</v>
      </c>
      <c r="AK164" s="109">
        <f t="shared" si="313"/>
        <v>0</v>
      </c>
      <c r="AL164" s="109">
        <f t="shared" si="313"/>
        <v>0</v>
      </c>
      <c r="AM164" s="109">
        <f t="shared" si="313"/>
        <v>0</v>
      </c>
      <c r="AN164" s="109">
        <f t="shared" si="313"/>
        <v>0</v>
      </c>
      <c r="AO164" s="109">
        <f t="shared" si="313"/>
        <v>0</v>
      </c>
      <c r="AP164" s="109">
        <f t="shared" si="313"/>
        <v>0</v>
      </c>
      <c r="AQ164" s="109">
        <f t="shared" si="313"/>
        <v>0</v>
      </c>
      <c r="AR164" s="109">
        <f t="shared" si="313"/>
        <v>0</v>
      </c>
      <c r="AS164" s="109">
        <f t="shared" si="313"/>
        <v>0</v>
      </c>
      <c r="AT164" s="109">
        <f t="shared" si="313"/>
        <v>0</v>
      </c>
      <c r="AU164" s="109">
        <f t="shared" si="313"/>
        <v>0</v>
      </c>
      <c r="AV164" s="109">
        <f t="shared" si="313"/>
        <v>0</v>
      </c>
      <c r="AW164" s="109">
        <f t="shared" si="313"/>
        <v>0</v>
      </c>
      <c r="AX164" s="109">
        <f t="shared" si="313"/>
        <v>7121.31</v>
      </c>
      <c r="AY164" s="109">
        <f t="shared" si="313"/>
        <v>7121.31</v>
      </c>
      <c r="AZ164" s="109">
        <f t="shared" si="313"/>
        <v>7121.31</v>
      </c>
      <c r="BA164" s="109">
        <f t="shared" si="313"/>
        <v>7121.31</v>
      </c>
      <c r="BB164" s="109">
        <f t="shared" si="313"/>
        <v>7121.31</v>
      </c>
      <c r="BC164" s="109">
        <f t="shared" si="313"/>
        <v>7121.31</v>
      </c>
      <c r="BD164" s="109">
        <f t="shared" si="313"/>
        <v>7121.31</v>
      </c>
      <c r="BE164" s="109">
        <f t="shared" si="313"/>
        <v>7121.31</v>
      </c>
      <c r="BF164" s="109">
        <f t="shared" si="313"/>
        <v>7121.31</v>
      </c>
      <c r="BG164" s="109">
        <f t="shared" si="313"/>
        <v>7121.31</v>
      </c>
      <c r="BH164" s="109">
        <f t="shared" si="313"/>
        <v>7121.31</v>
      </c>
      <c r="BI164" s="109">
        <f t="shared" si="313"/>
        <v>7121.31</v>
      </c>
      <c r="BJ164" s="109">
        <f t="shared" si="313"/>
        <v>7121.31</v>
      </c>
      <c r="BK164" s="109">
        <f t="shared" si="313"/>
        <v>7121.31</v>
      </c>
      <c r="BL164" s="109">
        <f t="shared" si="313"/>
        <v>7121.31</v>
      </c>
      <c r="BM164" s="109">
        <f t="shared" si="313"/>
        <v>7121.31</v>
      </c>
      <c r="BN164" s="109">
        <f t="shared" si="313"/>
        <v>7121.31</v>
      </c>
      <c r="BO164" s="109">
        <f t="shared" si="313"/>
        <v>7121.31</v>
      </c>
      <c r="BP164" s="109">
        <f t="shared" si="313"/>
        <v>7121.31</v>
      </c>
      <c r="BQ164" s="109">
        <f t="shared" si="313"/>
        <v>7121.31</v>
      </c>
      <c r="BR164" s="109">
        <f t="shared" si="313"/>
        <v>7121.31</v>
      </c>
      <c r="BS164" s="109">
        <f t="shared" si="313"/>
        <v>7121.31</v>
      </c>
      <c r="BT164" s="109">
        <f t="shared" si="313"/>
        <v>7121.31</v>
      </c>
    </row>
    <row r="165" spans="1:72" ht="19.5" customHeight="1" x14ac:dyDescent="0.25">
      <c r="A165" s="447"/>
      <c r="B165" s="423" t="s">
        <v>58</v>
      </c>
      <c r="C165" s="109">
        <f t="shared" ref="C165:O165" si="314">C80</f>
        <v>0</v>
      </c>
      <c r="D165" s="109">
        <f t="shared" si="314"/>
        <v>0</v>
      </c>
      <c r="E165" s="109">
        <f t="shared" si="314"/>
        <v>0</v>
      </c>
      <c r="F165" s="109">
        <f t="shared" si="314"/>
        <v>0</v>
      </c>
      <c r="G165" s="109">
        <f t="shared" si="314"/>
        <v>0</v>
      </c>
      <c r="H165" s="109">
        <f t="shared" si="314"/>
        <v>0</v>
      </c>
      <c r="I165" s="109">
        <f t="shared" si="314"/>
        <v>0</v>
      </c>
      <c r="J165" s="109">
        <f t="shared" si="314"/>
        <v>0</v>
      </c>
      <c r="K165" s="109">
        <f t="shared" si="314"/>
        <v>0</v>
      </c>
      <c r="L165" s="281">
        <f t="shared" si="314"/>
        <v>0</v>
      </c>
      <c r="M165" s="127">
        <f t="shared" si="314"/>
        <v>0</v>
      </c>
      <c r="N165" s="190">
        <f t="shared" si="314"/>
        <v>3649.53</v>
      </c>
      <c r="O165" s="190">
        <f t="shared" si="314"/>
        <v>3215.83</v>
      </c>
      <c r="P165" s="146">
        <v>3135.78</v>
      </c>
      <c r="Q165" s="146">
        <v>3052.7</v>
      </c>
      <c r="R165" s="146">
        <v>3021.88</v>
      </c>
      <c r="S165" s="146">
        <v>2946.71</v>
      </c>
      <c r="T165" s="146">
        <v>1899.77</v>
      </c>
      <c r="U165" s="146">
        <v>1867.8</v>
      </c>
      <c r="V165" s="146">
        <v>1835.84</v>
      </c>
      <c r="W165" s="146">
        <v>1825.36</v>
      </c>
      <c r="X165" s="146">
        <v>1793.39</v>
      </c>
      <c r="Y165" s="307">
        <v>4248.93</v>
      </c>
      <c r="Z165" s="308">
        <f t="shared" ref="Z165:AD166" si="315">Y165</f>
        <v>4248.93</v>
      </c>
      <c r="AA165" s="308">
        <f t="shared" si="315"/>
        <v>4248.93</v>
      </c>
      <c r="AB165" s="308">
        <f t="shared" si="315"/>
        <v>4248.93</v>
      </c>
      <c r="AC165" s="308">
        <f t="shared" si="315"/>
        <v>4248.93</v>
      </c>
      <c r="AD165" s="308">
        <f t="shared" si="315"/>
        <v>4248.93</v>
      </c>
      <c r="AE165" s="308">
        <f>AD165</f>
        <v>4248.93</v>
      </c>
      <c r="AF165" s="146"/>
      <c r="AG165" s="146"/>
      <c r="AH165" s="146"/>
      <c r="AI165" s="109"/>
      <c r="AJ165" s="109"/>
      <c r="AK165" s="109"/>
      <c r="AL165" s="109"/>
      <c r="AM165" s="109"/>
      <c r="AN165" s="109"/>
      <c r="AO165" s="109"/>
      <c r="AP165" s="109"/>
      <c r="AQ165" s="109"/>
      <c r="AR165" s="109"/>
      <c r="AS165" s="109"/>
      <c r="AT165" s="109"/>
      <c r="AU165" s="109"/>
      <c r="AV165" s="109"/>
      <c r="AW165" s="109"/>
      <c r="AX165" s="109"/>
      <c r="AY165" s="109"/>
      <c r="AZ165" s="109"/>
      <c r="BA165" s="109"/>
      <c r="BB165" s="109"/>
      <c r="BC165" s="109"/>
      <c r="BD165" s="109"/>
      <c r="BE165" s="109"/>
      <c r="BF165" s="109"/>
      <c r="BG165" s="109"/>
      <c r="BH165" s="109"/>
      <c r="BI165" s="109"/>
      <c r="BJ165" s="109"/>
      <c r="BK165" s="109"/>
      <c r="BL165" s="109"/>
      <c r="BM165" s="109"/>
      <c r="BN165" s="109"/>
      <c r="BO165" s="109"/>
      <c r="BP165" s="109"/>
      <c r="BQ165" s="109"/>
      <c r="BR165" s="109"/>
      <c r="BS165" s="109"/>
      <c r="BT165" s="109"/>
    </row>
    <row r="166" spans="1:72" ht="19.5" customHeight="1" x14ac:dyDescent="0.25">
      <c r="A166" s="447"/>
      <c r="B166" s="423" t="s">
        <v>59</v>
      </c>
      <c r="C166" s="109">
        <f t="shared" ref="C166:O166" si="316">C81</f>
        <v>0</v>
      </c>
      <c r="D166" s="109">
        <f t="shared" si="316"/>
        <v>0</v>
      </c>
      <c r="E166" s="109">
        <f t="shared" si="316"/>
        <v>0</v>
      </c>
      <c r="F166" s="109">
        <f t="shared" si="316"/>
        <v>0</v>
      </c>
      <c r="G166" s="109">
        <f t="shared" si="316"/>
        <v>0</v>
      </c>
      <c r="H166" s="109">
        <f t="shared" si="316"/>
        <v>0</v>
      </c>
      <c r="I166" s="109">
        <f t="shared" si="316"/>
        <v>0</v>
      </c>
      <c r="J166" s="109">
        <f t="shared" si="316"/>
        <v>0</v>
      </c>
      <c r="K166" s="109">
        <f t="shared" si="316"/>
        <v>0</v>
      </c>
      <c r="L166" s="281">
        <f t="shared" si="316"/>
        <v>0</v>
      </c>
      <c r="M166" s="127">
        <f t="shared" si="316"/>
        <v>0</v>
      </c>
      <c r="N166" s="190">
        <f t="shared" si="316"/>
        <v>1324.08</v>
      </c>
      <c r="O166" s="190">
        <f t="shared" si="316"/>
        <v>685.8</v>
      </c>
      <c r="P166" s="308">
        <v>681.96</v>
      </c>
      <c r="Q166" s="308">
        <v>681.96</v>
      </c>
      <c r="R166" s="308">
        <v>681.96</v>
      </c>
      <c r="S166" s="308">
        <v>681.96</v>
      </c>
      <c r="T166" s="308">
        <v>681.96</v>
      </c>
      <c r="U166" s="308">
        <v>681.96</v>
      </c>
      <c r="V166" s="308">
        <v>681.96</v>
      </c>
      <c r="W166" s="308">
        <v>681.96</v>
      </c>
      <c r="X166" s="308">
        <v>681.96</v>
      </c>
      <c r="Y166" s="147">
        <v>2782.2</v>
      </c>
      <c r="Z166" s="146">
        <f t="shared" si="315"/>
        <v>2782.2</v>
      </c>
      <c r="AA166" s="146">
        <f t="shared" si="315"/>
        <v>2782.2</v>
      </c>
      <c r="AB166" s="146">
        <f t="shared" si="315"/>
        <v>2782.2</v>
      </c>
      <c r="AC166" s="146">
        <f t="shared" si="315"/>
        <v>2782.2</v>
      </c>
      <c r="AD166" s="146">
        <f t="shared" si="315"/>
        <v>2782.2</v>
      </c>
      <c r="AE166" s="146">
        <f>Y166</f>
        <v>2782.2</v>
      </c>
      <c r="AF166" s="146"/>
      <c r="AG166" s="146"/>
      <c r="AH166" s="146"/>
      <c r="AI166" s="109"/>
      <c r="AJ166" s="109"/>
      <c r="AK166" s="109"/>
      <c r="AL166" s="109"/>
      <c r="AM166" s="109"/>
      <c r="AN166" s="109"/>
      <c r="AO166" s="109"/>
      <c r="AP166" s="109"/>
      <c r="AQ166" s="109"/>
      <c r="AR166" s="109"/>
      <c r="AS166" s="109"/>
      <c r="AT166" s="109"/>
      <c r="AU166" s="109"/>
      <c r="AV166" s="109"/>
      <c r="AW166" s="109"/>
      <c r="AX166" s="109"/>
      <c r="AY166" s="109"/>
      <c r="AZ166" s="109"/>
      <c r="BA166" s="109"/>
      <c r="BB166" s="109"/>
      <c r="BC166" s="109"/>
      <c r="BD166" s="109"/>
      <c r="BE166" s="109"/>
      <c r="BF166" s="109"/>
      <c r="BG166" s="109"/>
      <c r="BH166" s="109"/>
      <c r="BI166" s="109"/>
      <c r="BJ166" s="109"/>
      <c r="BK166" s="109"/>
      <c r="BL166" s="109"/>
      <c r="BM166" s="109"/>
      <c r="BN166" s="109"/>
      <c r="BO166" s="109"/>
      <c r="BP166" s="109"/>
      <c r="BQ166" s="109"/>
      <c r="BR166" s="109"/>
      <c r="BS166" s="109"/>
      <c r="BT166" s="109"/>
    </row>
    <row r="167" spans="1:72" ht="19.5" customHeight="1" x14ac:dyDescent="0.25">
      <c r="A167" s="447"/>
      <c r="B167" s="423" t="s">
        <v>94</v>
      </c>
      <c r="C167" s="109">
        <f t="shared" ref="C167:O167" si="317">C82</f>
        <v>0</v>
      </c>
      <c r="D167" s="109">
        <f t="shared" si="317"/>
        <v>0</v>
      </c>
      <c r="E167" s="109">
        <f t="shared" si="317"/>
        <v>0</v>
      </c>
      <c r="F167" s="109">
        <f t="shared" si="317"/>
        <v>0</v>
      </c>
      <c r="G167" s="109">
        <f t="shared" si="317"/>
        <v>0</v>
      </c>
      <c r="H167" s="109">
        <f t="shared" si="317"/>
        <v>0</v>
      </c>
      <c r="I167" s="109">
        <f t="shared" si="317"/>
        <v>0</v>
      </c>
      <c r="J167" s="109">
        <f t="shared" si="317"/>
        <v>0</v>
      </c>
      <c r="K167" s="109">
        <f t="shared" si="317"/>
        <v>0</v>
      </c>
      <c r="L167" s="281">
        <f t="shared" si="317"/>
        <v>0</v>
      </c>
      <c r="M167" s="127">
        <f t="shared" si="317"/>
        <v>0</v>
      </c>
      <c r="N167" s="127">
        <f t="shared" si="317"/>
        <v>0</v>
      </c>
      <c r="O167" s="127">
        <f t="shared" si="317"/>
        <v>0</v>
      </c>
      <c r="P167" s="146"/>
      <c r="Q167" s="146"/>
      <c r="R167" s="146">
        <v>100</v>
      </c>
      <c r="S167" s="146">
        <v>100</v>
      </c>
      <c r="T167" s="146">
        <v>100</v>
      </c>
      <c r="U167" s="146">
        <v>100</v>
      </c>
      <c r="V167" s="146">
        <v>100</v>
      </c>
      <c r="W167" s="146">
        <v>100</v>
      </c>
      <c r="X167" s="146">
        <v>100</v>
      </c>
      <c r="Y167" s="147">
        <v>100</v>
      </c>
      <c r="Z167" s="146">
        <v>100</v>
      </c>
      <c r="AA167" s="146">
        <v>100</v>
      </c>
      <c r="AB167" s="146">
        <v>100</v>
      </c>
      <c r="AC167" s="146">
        <v>100</v>
      </c>
      <c r="AD167" s="146">
        <v>100</v>
      </c>
      <c r="AE167" s="146"/>
      <c r="AF167" s="146"/>
      <c r="AG167" s="146"/>
      <c r="AH167" s="146"/>
      <c r="AI167" s="109"/>
      <c r="AJ167" s="109"/>
      <c r="AK167" s="109"/>
      <c r="AL167" s="109"/>
      <c r="AM167" s="109"/>
      <c r="AN167" s="109"/>
      <c r="AO167" s="109"/>
      <c r="AP167" s="109"/>
      <c r="AQ167" s="109"/>
      <c r="AR167" s="109"/>
      <c r="AS167" s="109"/>
      <c r="AT167" s="109"/>
      <c r="AU167" s="109"/>
      <c r="AV167" s="109"/>
      <c r="AW167" s="109"/>
      <c r="AX167" s="109"/>
      <c r="AY167" s="109"/>
      <c r="AZ167" s="109"/>
      <c r="BA167" s="109"/>
      <c r="BB167" s="109"/>
      <c r="BC167" s="109"/>
      <c r="BD167" s="109"/>
      <c r="BE167" s="109"/>
      <c r="BF167" s="109"/>
      <c r="BG167" s="109"/>
      <c r="BH167" s="109"/>
      <c r="BI167" s="109"/>
      <c r="BJ167" s="109"/>
      <c r="BK167" s="109"/>
      <c r="BL167" s="109"/>
      <c r="BM167" s="109"/>
      <c r="BN167" s="109"/>
      <c r="BO167" s="109"/>
      <c r="BP167" s="109"/>
      <c r="BQ167" s="109"/>
      <c r="BR167" s="109"/>
      <c r="BS167" s="109"/>
      <c r="BT167" s="109"/>
    </row>
    <row r="168" spans="1:72" ht="19.5" customHeight="1" x14ac:dyDescent="0.25">
      <c r="A168" s="447"/>
      <c r="B168" s="423" t="s">
        <v>27</v>
      </c>
      <c r="C168" s="109"/>
      <c r="D168" s="109"/>
      <c r="E168" s="109"/>
      <c r="F168" s="109"/>
      <c r="G168" s="109"/>
      <c r="H168" s="109"/>
      <c r="I168" s="109"/>
      <c r="J168" s="109"/>
      <c r="K168" s="109"/>
      <c r="L168" s="281"/>
      <c r="M168" s="127"/>
      <c r="N168" s="127"/>
      <c r="O168" s="127"/>
      <c r="P168" s="146"/>
      <c r="Q168" s="146"/>
      <c r="R168" s="146"/>
      <c r="S168" s="146"/>
      <c r="T168" s="146"/>
      <c r="U168" s="146"/>
      <c r="V168" s="146"/>
      <c r="W168" s="146"/>
      <c r="X168" s="146"/>
      <c r="Y168" s="147"/>
      <c r="Z168" s="146"/>
      <c r="AA168" s="146"/>
      <c r="AB168" s="146"/>
      <c r="AC168" s="146"/>
      <c r="AD168" s="146"/>
      <c r="AE168" s="146"/>
      <c r="AF168" s="146"/>
      <c r="AG168" s="146"/>
      <c r="AH168" s="146"/>
      <c r="AI168" s="109"/>
      <c r="AJ168" s="109"/>
      <c r="AK168" s="109"/>
      <c r="AL168" s="109"/>
      <c r="AM168" s="109"/>
      <c r="AN168" s="109"/>
      <c r="AO168" s="109"/>
      <c r="AP168" s="109"/>
      <c r="AQ168" s="109"/>
      <c r="AR168" s="109"/>
      <c r="AS168" s="109"/>
      <c r="AT168" s="109"/>
      <c r="AU168" s="109"/>
      <c r="AV168" s="109"/>
      <c r="AW168" s="109"/>
      <c r="AX168" s="109"/>
      <c r="AY168" s="109"/>
      <c r="AZ168" s="109"/>
      <c r="BA168" s="109"/>
      <c r="BB168" s="109"/>
      <c r="BC168" s="109"/>
      <c r="BD168" s="109"/>
      <c r="BE168" s="109"/>
      <c r="BF168" s="109"/>
      <c r="BG168" s="109"/>
      <c r="BH168" s="191">
        <f t="shared" ref="BH168:BT168" si="318">BH28</f>
        <v>605</v>
      </c>
      <c r="BI168" s="191">
        <f t="shared" si="318"/>
        <v>605</v>
      </c>
      <c r="BJ168" s="191">
        <f t="shared" si="318"/>
        <v>605</v>
      </c>
      <c r="BK168" s="191">
        <f t="shared" si="318"/>
        <v>605</v>
      </c>
      <c r="BL168" s="191">
        <f t="shared" si="318"/>
        <v>605</v>
      </c>
      <c r="BM168" s="191">
        <f t="shared" si="318"/>
        <v>605</v>
      </c>
      <c r="BN168" s="191">
        <f t="shared" si="318"/>
        <v>605</v>
      </c>
      <c r="BO168" s="191">
        <f t="shared" si="318"/>
        <v>605</v>
      </c>
      <c r="BP168" s="191">
        <f t="shared" si="318"/>
        <v>605</v>
      </c>
      <c r="BQ168" s="191">
        <f t="shared" si="318"/>
        <v>605</v>
      </c>
      <c r="BR168" s="191">
        <f t="shared" si="318"/>
        <v>605</v>
      </c>
      <c r="BS168" s="191">
        <f t="shared" si="318"/>
        <v>605</v>
      </c>
      <c r="BT168" s="191">
        <f t="shared" si="318"/>
        <v>605</v>
      </c>
    </row>
    <row r="169" spans="1:72" x14ac:dyDescent="0.25">
      <c r="A169" s="447"/>
      <c r="B169" s="121" t="s">
        <v>28</v>
      </c>
      <c r="C169" s="129">
        <f>SUM(C170:C174)</f>
        <v>13906.271173536106</v>
      </c>
      <c r="D169" s="129">
        <f t="shared" ref="D169:BO169" si="319">SUM(D170:D174)</f>
        <v>13906.271173536106</v>
      </c>
      <c r="E169" s="129">
        <f t="shared" si="319"/>
        <v>14182.555242799746</v>
      </c>
      <c r="F169" s="129">
        <f t="shared" si="319"/>
        <v>1944.5552427997472</v>
      </c>
      <c r="G169" s="129">
        <f t="shared" si="319"/>
        <v>1944.5552427997472</v>
      </c>
      <c r="H169" s="129">
        <f t="shared" si="319"/>
        <v>1944.5552427997472</v>
      </c>
      <c r="I169" s="129">
        <f t="shared" si="319"/>
        <v>1944.5552427997472</v>
      </c>
      <c r="J169" s="129">
        <f t="shared" si="319"/>
        <v>2705.7574510131226</v>
      </c>
      <c r="K169" s="129">
        <f t="shared" si="319"/>
        <v>2705.7574510131226</v>
      </c>
      <c r="L169" s="283">
        <f t="shared" si="319"/>
        <v>4282.3415556269465</v>
      </c>
      <c r="M169" s="130">
        <f t="shared" si="319"/>
        <v>4282.3415556269465</v>
      </c>
      <c r="N169" s="130">
        <f t="shared" si="319"/>
        <v>14001.323546704994</v>
      </c>
      <c r="O169" s="130">
        <f t="shared" si="319"/>
        <v>16520.101761861853</v>
      </c>
      <c r="P169" s="243">
        <f t="shared" si="319"/>
        <v>16520.101761861853</v>
      </c>
      <c r="Q169" s="243">
        <f t="shared" si="319"/>
        <v>16618.407745617518</v>
      </c>
      <c r="R169" s="243">
        <f t="shared" si="319"/>
        <v>16618.407745617518</v>
      </c>
      <c r="S169" s="243">
        <f t="shared" si="319"/>
        <v>12647.647392244551</v>
      </c>
      <c r="T169" s="243">
        <f t="shared" si="319"/>
        <v>12303.129706203381</v>
      </c>
      <c r="U169" s="243">
        <f t="shared" si="319"/>
        <v>12303.129706203381</v>
      </c>
      <c r="V169" s="243">
        <f t="shared" si="319"/>
        <v>12528.963723665951</v>
      </c>
      <c r="W169" s="243">
        <f t="shared" si="319"/>
        <v>12528.963723665951</v>
      </c>
      <c r="X169" s="243">
        <f t="shared" si="319"/>
        <v>12365.526045045004</v>
      </c>
      <c r="Y169" s="242">
        <f t="shared" si="319"/>
        <v>9463.4829304614759</v>
      </c>
      <c r="Z169" s="243">
        <f t="shared" si="319"/>
        <v>10023.036628167618</v>
      </c>
      <c r="AA169" s="243">
        <f t="shared" si="319"/>
        <v>10023.036628167618</v>
      </c>
      <c r="AB169" s="243">
        <f t="shared" si="319"/>
        <v>10023.036628167618</v>
      </c>
      <c r="AC169" s="243">
        <f t="shared" si="319"/>
        <v>10165.113931783391</v>
      </c>
      <c r="AD169" s="243">
        <f t="shared" si="319"/>
        <v>10399.324097164943</v>
      </c>
      <c r="AE169" s="243">
        <f t="shared" si="319"/>
        <v>16229.570086469756</v>
      </c>
      <c r="AF169" s="243">
        <f t="shared" si="319"/>
        <v>2530.8253647157212</v>
      </c>
      <c r="AG169" s="243">
        <f t="shared" si="319"/>
        <v>2530.8253647157212</v>
      </c>
      <c r="AH169" s="243">
        <f t="shared" si="319"/>
        <v>2530.8253647157212</v>
      </c>
      <c r="AI169" s="129">
        <f t="shared" si="319"/>
        <v>2910.436745492068</v>
      </c>
      <c r="AJ169" s="129">
        <f t="shared" si="319"/>
        <v>2910.436745492068</v>
      </c>
      <c r="AK169" s="129">
        <f t="shared" si="319"/>
        <v>2910.436745492068</v>
      </c>
      <c r="AL169" s="129">
        <f t="shared" si="319"/>
        <v>2910.436745492068</v>
      </c>
      <c r="AM169" s="129">
        <f t="shared" si="319"/>
        <v>2910.436745492068</v>
      </c>
      <c r="AN169" s="129">
        <f t="shared" si="319"/>
        <v>3451.5682468086925</v>
      </c>
      <c r="AO169" s="129">
        <f t="shared" si="319"/>
        <v>3451.5682468086925</v>
      </c>
      <c r="AP169" s="129">
        <f t="shared" si="319"/>
        <v>3451.5682468086925</v>
      </c>
      <c r="AQ169" s="129">
        <f t="shared" si="319"/>
        <v>3451.5682468086925</v>
      </c>
      <c r="AR169" s="129">
        <f t="shared" si="319"/>
        <v>3451.5682468086925</v>
      </c>
      <c r="AS169" s="129">
        <f t="shared" si="319"/>
        <v>4333.4521744350832</v>
      </c>
      <c r="AT169" s="129">
        <f t="shared" si="319"/>
        <v>4333.4521744350832</v>
      </c>
      <c r="AU169" s="129">
        <f t="shared" si="319"/>
        <v>4333.4521744350832</v>
      </c>
      <c r="AV169" s="129">
        <f t="shared" si="319"/>
        <v>4333.4521744350832</v>
      </c>
      <c r="AW169" s="129">
        <f t="shared" si="319"/>
        <v>4333.4521744350832</v>
      </c>
      <c r="AX169" s="129">
        <f t="shared" si="319"/>
        <v>5975.278413058465</v>
      </c>
      <c r="AY169" s="129">
        <f t="shared" si="319"/>
        <v>5975.278413058465</v>
      </c>
      <c r="AZ169" s="129">
        <f t="shared" si="319"/>
        <v>5975.278413058465</v>
      </c>
      <c r="BA169" s="129">
        <f t="shared" si="319"/>
        <v>5975.278413058465</v>
      </c>
      <c r="BB169" s="129">
        <f t="shared" si="319"/>
        <v>5975.278413058465</v>
      </c>
      <c r="BC169" s="129">
        <f t="shared" si="319"/>
        <v>7704.0420282062896</v>
      </c>
      <c r="BD169" s="129">
        <f t="shared" si="319"/>
        <v>7704.0420282062896</v>
      </c>
      <c r="BE169" s="129">
        <f t="shared" si="319"/>
        <v>7704.0420282062896</v>
      </c>
      <c r="BF169" s="129">
        <f t="shared" si="319"/>
        <v>7704.0420282062896</v>
      </c>
      <c r="BG169" s="129">
        <f t="shared" si="319"/>
        <v>7704.0420282062896</v>
      </c>
      <c r="BH169" s="129">
        <f t="shared" si="319"/>
        <v>11128.799767397251</v>
      </c>
      <c r="BI169" s="129">
        <f t="shared" si="319"/>
        <v>11128.799767397251</v>
      </c>
      <c r="BJ169" s="129">
        <f t="shared" si="319"/>
        <v>11128.799767397251</v>
      </c>
      <c r="BK169" s="129">
        <f t="shared" si="319"/>
        <v>11128.799767397251</v>
      </c>
      <c r="BL169" s="129">
        <f t="shared" si="319"/>
        <v>11128.799767397251</v>
      </c>
      <c r="BM169" s="129">
        <f t="shared" si="319"/>
        <v>16782.229671402936</v>
      </c>
      <c r="BN169" s="129">
        <f t="shared" si="319"/>
        <v>16782.229671402936</v>
      </c>
      <c r="BO169" s="129">
        <f t="shared" si="319"/>
        <v>16782.229671402936</v>
      </c>
      <c r="BP169" s="129">
        <f t="shared" ref="BP169:BT169" si="320">SUM(BP170:BP174)</f>
        <v>16782.229671402936</v>
      </c>
      <c r="BQ169" s="129">
        <f t="shared" si="320"/>
        <v>16782.229671402936</v>
      </c>
      <c r="BR169" s="129">
        <f t="shared" si="320"/>
        <v>28143.248858429186</v>
      </c>
      <c r="BS169" s="129">
        <f t="shared" si="320"/>
        <v>28143.248858429186</v>
      </c>
      <c r="BT169" s="129">
        <f t="shared" si="320"/>
        <v>28143.248858429186</v>
      </c>
    </row>
    <row r="170" spans="1:72" ht="15" customHeight="1" x14ac:dyDescent="0.25">
      <c r="A170" s="447"/>
      <c r="B170" s="423" t="s">
        <v>29</v>
      </c>
      <c r="C170" s="109">
        <f t="shared" ref="C170:O170" si="321">C85</f>
        <v>1668.2711735361063</v>
      </c>
      <c r="D170" s="109">
        <f t="shared" si="321"/>
        <v>1668.2711735361063</v>
      </c>
      <c r="E170" s="109">
        <f t="shared" si="321"/>
        <v>1944.5552427997472</v>
      </c>
      <c r="F170" s="109">
        <f t="shared" si="321"/>
        <v>1944.5552427997472</v>
      </c>
      <c r="G170" s="109">
        <f t="shared" si="321"/>
        <v>1944.5552427997472</v>
      </c>
      <c r="H170" s="109">
        <f t="shared" si="321"/>
        <v>1944.5552427997472</v>
      </c>
      <c r="I170" s="109">
        <f t="shared" si="321"/>
        <v>1944.5552427997472</v>
      </c>
      <c r="J170" s="109">
        <f t="shared" si="321"/>
        <v>2705.7574510131226</v>
      </c>
      <c r="K170" s="109">
        <f t="shared" si="321"/>
        <v>2705.7574510131226</v>
      </c>
      <c r="L170" s="281">
        <f t="shared" si="321"/>
        <v>4282.3415556269465</v>
      </c>
      <c r="M170" s="127">
        <f t="shared" si="321"/>
        <v>4282.3415556269465</v>
      </c>
      <c r="N170" s="127">
        <f t="shared" si="321"/>
        <v>14001.323546704994</v>
      </c>
      <c r="O170" s="127">
        <f t="shared" si="321"/>
        <v>6254.5527562315738</v>
      </c>
      <c r="P170" s="146">
        <f>P30+'Calculs source'!$X$71+P139</f>
        <v>6254.5527562315738</v>
      </c>
      <c r="Q170" s="146">
        <f t="shared" ref="Q170:X170" si="322">Q85-Q144</f>
        <v>6352.8587399872367</v>
      </c>
      <c r="R170" s="146">
        <f t="shared" si="322"/>
        <v>6352.8587399872367</v>
      </c>
      <c r="S170" s="146">
        <f t="shared" si="322"/>
        <v>6041.4470792555057</v>
      </c>
      <c r="T170" s="146">
        <f t="shared" si="322"/>
        <v>5696.9293932143355</v>
      </c>
      <c r="U170" s="146">
        <f t="shared" si="322"/>
        <v>5696.9293932143355</v>
      </c>
      <c r="V170" s="146">
        <f t="shared" si="322"/>
        <v>5922.7634106769046</v>
      </c>
      <c r="W170" s="146">
        <f t="shared" si="322"/>
        <v>5922.7634106769046</v>
      </c>
      <c r="X170" s="146">
        <f t="shared" si="322"/>
        <v>5759.3257320559578</v>
      </c>
      <c r="Y170" s="147">
        <f>Y30+Y139</f>
        <v>3615.2826174724314</v>
      </c>
      <c r="Z170" s="146">
        <f t="shared" ref="Z170:BT170" si="323">Z30+Z139</f>
        <v>3615.2826174724314</v>
      </c>
      <c r="AA170" s="146">
        <f t="shared" si="323"/>
        <v>3615.2826174724314</v>
      </c>
      <c r="AB170" s="146">
        <f t="shared" si="323"/>
        <v>3615.2826174724314</v>
      </c>
      <c r="AC170" s="146">
        <f t="shared" si="323"/>
        <v>3757.3599210882044</v>
      </c>
      <c r="AD170" s="146">
        <f t="shared" si="323"/>
        <v>3991.570086469756</v>
      </c>
      <c r="AE170" s="146">
        <f t="shared" si="323"/>
        <v>3991.570086469756</v>
      </c>
      <c r="AF170" s="146">
        <f t="shared" si="323"/>
        <v>2530.8253647157212</v>
      </c>
      <c r="AG170" s="146">
        <f t="shared" si="323"/>
        <v>2530.8253647157212</v>
      </c>
      <c r="AH170" s="146">
        <f t="shared" si="323"/>
        <v>2530.8253647157212</v>
      </c>
      <c r="AI170" s="109">
        <f t="shared" si="323"/>
        <v>2910.436745492068</v>
      </c>
      <c r="AJ170" s="109">
        <f t="shared" si="323"/>
        <v>2910.436745492068</v>
      </c>
      <c r="AK170" s="109">
        <f t="shared" si="323"/>
        <v>2910.436745492068</v>
      </c>
      <c r="AL170" s="109">
        <f t="shared" si="323"/>
        <v>2910.436745492068</v>
      </c>
      <c r="AM170" s="109">
        <f t="shared" si="323"/>
        <v>2910.436745492068</v>
      </c>
      <c r="AN170" s="109">
        <f t="shared" si="323"/>
        <v>3451.5682468086925</v>
      </c>
      <c r="AO170" s="109">
        <f t="shared" si="323"/>
        <v>3451.5682468086925</v>
      </c>
      <c r="AP170" s="109">
        <f t="shared" si="323"/>
        <v>3451.5682468086925</v>
      </c>
      <c r="AQ170" s="109">
        <f t="shared" si="323"/>
        <v>3451.5682468086925</v>
      </c>
      <c r="AR170" s="109">
        <f t="shared" si="323"/>
        <v>3451.5682468086925</v>
      </c>
      <c r="AS170" s="109">
        <f t="shared" si="323"/>
        <v>4333.4521744350832</v>
      </c>
      <c r="AT170" s="109">
        <f t="shared" si="323"/>
        <v>4333.4521744350832</v>
      </c>
      <c r="AU170" s="109">
        <f t="shared" si="323"/>
        <v>4333.4521744350832</v>
      </c>
      <c r="AV170" s="109">
        <f t="shared" si="323"/>
        <v>4333.4521744350832</v>
      </c>
      <c r="AW170" s="109">
        <f t="shared" si="323"/>
        <v>4333.4521744350832</v>
      </c>
      <c r="AX170" s="109">
        <f t="shared" si="323"/>
        <v>5975.278413058465</v>
      </c>
      <c r="AY170" s="109">
        <f t="shared" si="323"/>
        <v>5975.278413058465</v>
      </c>
      <c r="AZ170" s="109">
        <f t="shared" si="323"/>
        <v>5975.278413058465</v>
      </c>
      <c r="BA170" s="109">
        <f t="shared" si="323"/>
        <v>5975.278413058465</v>
      </c>
      <c r="BB170" s="109">
        <f t="shared" si="323"/>
        <v>5975.278413058465</v>
      </c>
      <c r="BC170" s="109">
        <f t="shared" si="323"/>
        <v>7704.0420282062896</v>
      </c>
      <c r="BD170" s="109">
        <f t="shared" si="323"/>
        <v>7704.0420282062896</v>
      </c>
      <c r="BE170" s="109">
        <f t="shared" si="323"/>
        <v>7704.0420282062896</v>
      </c>
      <c r="BF170" s="109">
        <f t="shared" si="323"/>
        <v>7704.0420282062896</v>
      </c>
      <c r="BG170" s="109">
        <f t="shared" si="323"/>
        <v>7704.0420282062896</v>
      </c>
      <c r="BH170" s="109">
        <f t="shared" si="323"/>
        <v>11128.799767397251</v>
      </c>
      <c r="BI170" s="109">
        <f t="shared" si="323"/>
        <v>11128.799767397251</v>
      </c>
      <c r="BJ170" s="109">
        <f t="shared" si="323"/>
        <v>11128.799767397251</v>
      </c>
      <c r="BK170" s="109">
        <f t="shared" si="323"/>
        <v>11128.799767397251</v>
      </c>
      <c r="BL170" s="109">
        <f t="shared" si="323"/>
        <v>11128.799767397251</v>
      </c>
      <c r="BM170" s="109">
        <f t="shared" si="323"/>
        <v>16782.229671402936</v>
      </c>
      <c r="BN170" s="109">
        <f t="shared" si="323"/>
        <v>16782.229671402936</v>
      </c>
      <c r="BO170" s="109">
        <f t="shared" si="323"/>
        <v>16782.229671402936</v>
      </c>
      <c r="BP170" s="109">
        <f t="shared" si="323"/>
        <v>16782.229671402936</v>
      </c>
      <c r="BQ170" s="109">
        <f t="shared" si="323"/>
        <v>16782.229671402936</v>
      </c>
      <c r="BR170" s="109">
        <f t="shared" si="323"/>
        <v>28143.248858429186</v>
      </c>
      <c r="BS170" s="109">
        <f t="shared" si="323"/>
        <v>28143.248858429186</v>
      </c>
      <c r="BT170" s="109">
        <f t="shared" si="323"/>
        <v>28143.248858429186</v>
      </c>
    </row>
    <row r="171" spans="1:72" x14ac:dyDescent="0.25">
      <c r="A171" s="447"/>
      <c r="B171" s="423" t="s">
        <v>30</v>
      </c>
      <c r="C171" s="109">
        <f t="shared" ref="C171:H171" si="324">C86</f>
        <v>12238</v>
      </c>
      <c r="D171" s="109">
        <f t="shared" si="324"/>
        <v>12238</v>
      </c>
      <c r="E171" s="109">
        <f t="shared" si="324"/>
        <v>12238</v>
      </c>
      <c r="F171" s="109">
        <f t="shared" si="324"/>
        <v>0</v>
      </c>
      <c r="G171" s="109">
        <f t="shared" si="324"/>
        <v>0</v>
      </c>
      <c r="H171" s="109">
        <f t="shared" si="324"/>
        <v>0</v>
      </c>
      <c r="I171" s="109"/>
      <c r="J171" s="109"/>
      <c r="K171" s="109"/>
      <c r="L171" s="281"/>
      <c r="M171" s="127"/>
      <c r="N171" s="127"/>
      <c r="O171" s="127"/>
      <c r="P171" s="146"/>
      <c r="Q171" s="146"/>
      <c r="R171" s="146"/>
      <c r="S171" s="146"/>
      <c r="T171" s="146"/>
      <c r="U171" s="146"/>
      <c r="V171" s="146"/>
      <c r="W171" s="146"/>
      <c r="X171" s="146"/>
      <c r="Y171" s="147"/>
      <c r="Z171" s="146"/>
      <c r="AA171" s="146"/>
      <c r="AB171" s="146"/>
      <c r="AC171" s="146"/>
      <c r="AD171" s="146"/>
      <c r="AE171" s="301">
        <f>AE86</f>
        <v>12238</v>
      </c>
      <c r="AF171" s="146"/>
      <c r="AG171" s="146"/>
      <c r="AH171" s="146"/>
      <c r="AI171" s="109"/>
      <c r="AJ171" s="109"/>
      <c r="AK171" s="109"/>
      <c r="AL171" s="109"/>
      <c r="AM171" s="109"/>
      <c r="AN171" s="109"/>
      <c r="AO171" s="109"/>
      <c r="AP171" s="109"/>
      <c r="AQ171" s="109"/>
      <c r="AR171" s="109"/>
      <c r="AS171" s="109"/>
      <c r="AT171" s="109"/>
      <c r="AU171" s="109"/>
      <c r="AV171" s="109"/>
      <c r="AW171" s="109"/>
      <c r="AX171" s="109"/>
      <c r="AY171" s="109"/>
      <c r="AZ171" s="109"/>
      <c r="BA171" s="109"/>
      <c r="BB171" s="109"/>
      <c r="BC171" s="109"/>
      <c r="BD171" s="109"/>
      <c r="BE171" s="109"/>
      <c r="BF171" s="109"/>
      <c r="BG171" s="109"/>
      <c r="BH171" s="109"/>
      <c r="BI171" s="109"/>
      <c r="BJ171" s="109"/>
      <c r="BK171" s="109"/>
      <c r="BL171" s="109"/>
      <c r="BM171" s="109"/>
      <c r="BN171" s="109"/>
      <c r="BO171" s="109"/>
      <c r="BP171" s="109"/>
      <c r="BQ171" s="109"/>
      <c r="BR171" s="109"/>
      <c r="BS171" s="109"/>
      <c r="BT171" s="109"/>
    </row>
    <row r="172" spans="1:72" x14ac:dyDescent="0.25">
      <c r="A172" s="447"/>
      <c r="B172" s="423" t="s">
        <v>61</v>
      </c>
      <c r="C172" s="109"/>
      <c r="D172" s="109"/>
      <c r="E172" s="109"/>
      <c r="F172" s="109"/>
      <c r="G172" s="109"/>
      <c r="H172" s="109"/>
      <c r="I172" s="109"/>
      <c r="J172" s="109"/>
      <c r="K172" s="109"/>
      <c r="L172" s="281"/>
      <c r="M172" s="127"/>
      <c r="N172" s="127"/>
      <c r="O172" s="127">
        <f>O87</f>
        <v>10265.549005630281</v>
      </c>
      <c r="P172" s="146">
        <f>P87</f>
        <v>10265.549005630281</v>
      </c>
      <c r="Q172" s="146">
        <f>P172</f>
        <v>10265.549005630281</v>
      </c>
      <c r="R172" s="146">
        <f>Q172</f>
        <v>10265.549005630281</v>
      </c>
      <c r="S172" s="146"/>
      <c r="T172" s="146"/>
      <c r="U172" s="146"/>
      <c r="V172" s="146"/>
      <c r="W172" s="146"/>
      <c r="X172" s="146"/>
      <c r="Y172" s="147"/>
      <c r="Z172" s="146"/>
      <c r="AA172" s="146"/>
      <c r="AB172" s="146"/>
      <c r="AC172" s="146"/>
      <c r="AD172" s="146"/>
      <c r="AE172" s="146"/>
      <c r="AF172" s="146"/>
      <c r="AG172" s="146"/>
      <c r="AH172" s="146"/>
      <c r="AI172" s="109"/>
      <c r="AJ172" s="109"/>
      <c r="AK172" s="109"/>
      <c r="AL172" s="109"/>
      <c r="AM172" s="109"/>
      <c r="AN172" s="109"/>
      <c r="AO172" s="109"/>
      <c r="AP172" s="109"/>
      <c r="AQ172" s="109"/>
      <c r="AR172" s="109"/>
      <c r="AS172" s="109"/>
      <c r="AT172" s="109"/>
      <c r="AU172" s="109"/>
      <c r="AV172" s="109"/>
      <c r="AW172" s="109"/>
      <c r="AX172" s="109"/>
      <c r="AY172" s="109"/>
      <c r="AZ172" s="109"/>
      <c r="BA172" s="109"/>
      <c r="BB172" s="109"/>
      <c r="BC172" s="109"/>
      <c r="BD172" s="109"/>
      <c r="BE172" s="109"/>
      <c r="BF172" s="109"/>
      <c r="BG172" s="109"/>
      <c r="BH172" s="109"/>
      <c r="BI172" s="109"/>
      <c r="BJ172" s="109"/>
      <c r="BK172" s="109"/>
      <c r="BL172" s="109"/>
      <c r="BM172" s="109"/>
      <c r="BN172" s="109"/>
      <c r="BO172" s="109"/>
      <c r="BP172" s="109"/>
      <c r="BQ172" s="109"/>
      <c r="BR172" s="109"/>
      <c r="BS172" s="109"/>
      <c r="BT172" s="109"/>
    </row>
    <row r="173" spans="1:72" x14ac:dyDescent="0.25">
      <c r="A173" s="447"/>
      <c r="B173" s="423" t="s">
        <v>62</v>
      </c>
      <c r="C173" s="109"/>
      <c r="D173" s="109"/>
      <c r="E173" s="109"/>
      <c r="F173" s="109"/>
      <c r="G173" s="109"/>
      <c r="H173" s="109"/>
      <c r="I173" s="109"/>
      <c r="J173" s="109"/>
      <c r="K173" s="109"/>
      <c r="L173" s="281"/>
      <c r="M173" s="127"/>
      <c r="N173" s="127"/>
      <c r="O173" s="127"/>
      <c r="P173" s="146"/>
      <c r="Q173" s="146"/>
      <c r="R173" s="146"/>
      <c r="S173" s="146">
        <v>758</v>
      </c>
      <c r="T173" s="146">
        <f t="shared" ref="T173:X173" si="325">S173</f>
        <v>758</v>
      </c>
      <c r="U173" s="146">
        <f t="shared" si="325"/>
        <v>758</v>
      </c>
      <c r="V173" s="146">
        <f t="shared" si="325"/>
        <v>758</v>
      </c>
      <c r="W173" s="146">
        <f t="shared" si="325"/>
        <v>758</v>
      </c>
      <c r="X173" s="146">
        <f t="shared" si="325"/>
        <v>758</v>
      </c>
      <c r="Y173" s="147"/>
      <c r="Z173" s="146"/>
      <c r="AA173" s="146"/>
      <c r="AB173" s="146"/>
      <c r="AC173" s="146"/>
      <c r="AD173" s="146"/>
      <c r="AE173" s="146"/>
      <c r="AF173" s="146"/>
      <c r="AG173" s="146"/>
      <c r="AH173" s="146"/>
      <c r="AI173" s="109"/>
      <c r="AJ173" s="109"/>
      <c r="AK173" s="109"/>
      <c r="AL173" s="109"/>
      <c r="AM173" s="109"/>
      <c r="AN173" s="109"/>
      <c r="AO173" s="109"/>
      <c r="AP173" s="109"/>
      <c r="AQ173" s="109"/>
      <c r="AR173" s="109"/>
      <c r="AS173" s="109"/>
      <c r="AT173" s="109"/>
      <c r="AU173" s="109"/>
      <c r="AV173" s="109"/>
      <c r="AW173" s="109"/>
      <c r="AX173" s="109"/>
      <c r="AY173" s="109"/>
      <c r="AZ173" s="109"/>
      <c r="BA173" s="109"/>
      <c r="BB173" s="109"/>
      <c r="BC173" s="109"/>
      <c r="BD173" s="109"/>
      <c r="BE173" s="109"/>
      <c r="BF173" s="109"/>
      <c r="BG173" s="109"/>
      <c r="BH173" s="109"/>
      <c r="BI173" s="109"/>
      <c r="BJ173" s="109"/>
      <c r="BK173" s="109"/>
      <c r="BL173" s="109"/>
      <c r="BM173" s="109"/>
      <c r="BN173" s="109"/>
      <c r="BO173" s="109"/>
      <c r="BP173" s="109"/>
      <c r="BQ173" s="109"/>
      <c r="BR173" s="109"/>
      <c r="BS173" s="109"/>
      <c r="BT173" s="109"/>
    </row>
    <row r="174" spans="1:72" x14ac:dyDescent="0.25">
      <c r="A174" s="447"/>
      <c r="B174" s="423" t="s">
        <v>95</v>
      </c>
      <c r="C174" s="109"/>
      <c r="D174" s="109"/>
      <c r="E174" s="109"/>
      <c r="F174" s="109"/>
      <c r="G174" s="109"/>
      <c r="H174" s="109"/>
      <c r="I174" s="109"/>
      <c r="J174" s="109"/>
      <c r="K174" s="109"/>
      <c r="L174" s="281"/>
      <c r="M174" s="127"/>
      <c r="N174" s="127"/>
      <c r="O174" s="127"/>
      <c r="P174" s="146"/>
      <c r="Q174" s="146"/>
      <c r="R174" s="146"/>
      <c r="S174" s="146">
        <f>'B.P. Cout ecole'!E5</f>
        <v>5848.2003129890454</v>
      </c>
      <c r="T174" s="146">
        <f t="shared" ref="T174:Y174" si="326">S174</f>
        <v>5848.2003129890454</v>
      </c>
      <c r="U174" s="146">
        <f t="shared" si="326"/>
        <v>5848.2003129890454</v>
      </c>
      <c r="V174" s="146">
        <f t="shared" si="326"/>
        <v>5848.2003129890454</v>
      </c>
      <c r="W174" s="146">
        <f t="shared" si="326"/>
        <v>5848.2003129890454</v>
      </c>
      <c r="X174" s="146">
        <f t="shared" si="326"/>
        <v>5848.2003129890454</v>
      </c>
      <c r="Y174" s="147">
        <f t="shared" si="326"/>
        <v>5848.2003129890454</v>
      </c>
      <c r="Z174" s="146">
        <f>'B.P. Cout ecole'!E11</f>
        <v>6407.7540106951874</v>
      </c>
      <c r="AA174" s="146">
        <f>Z174</f>
        <v>6407.7540106951874</v>
      </c>
      <c r="AB174" s="146">
        <f>'B.P. Cout ecole'!E11</f>
        <v>6407.7540106951874</v>
      </c>
      <c r="AC174" s="146">
        <f>AB174</f>
        <v>6407.7540106951874</v>
      </c>
      <c r="AD174" s="146">
        <f>AC174</f>
        <v>6407.7540106951874</v>
      </c>
      <c r="AE174" s="146"/>
      <c r="AF174" s="146"/>
      <c r="AG174" s="146"/>
      <c r="AH174" s="146"/>
      <c r="AI174" s="109"/>
      <c r="AJ174" s="109"/>
      <c r="AK174" s="109"/>
      <c r="AL174" s="109"/>
      <c r="AM174" s="109"/>
      <c r="AN174" s="109"/>
      <c r="AO174" s="109"/>
      <c r="AP174" s="109"/>
      <c r="AQ174" s="109"/>
      <c r="AR174" s="109"/>
      <c r="AS174" s="109"/>
      <c r="AT174" s="109"/>
      <c r="AU174" s="109"/>
      <c r="AV174" s="109"/>
      <c r="AW174" s="109"/>
      <c r="AX174" s="109"/>
      <c r="AY174" s="109"/>
      <c r="AZ174" s="109"/>
      <c r="BA174" s="109"/>
      <c r="BB174" s="109"/>
      <c r="BC174" s="109"/>
      <c r="BD174" s="109"/>
      <c r="BE174" s="109"/>
      <c r="BF174" s="109"/>
      <c r="BG174" s="109"/>
      <c r="BH174" s="109"/>
      <c r="BI174" s="109"/>
      <c r="BJ174" s="109"/>
      <c r="BK174" s="109"/>
      <c r="BL174" s="109"/>
      <c r="BM174" s="109"/>
      <c r="BN174" s="109"/>
      <c r="BO174" s="109"/>
      <c r="BP174" s="109"/>
      <c r="BQ174" s="109"/>
      <c r="BR174" s="109"/>
      <c r="BS174" s="109"/>
      <c r="BT174" s="109"/>
    </row>
    <row r="175" spans="1:72" ht="15.75" customHeight="1" x14ac:dyDescent="0.25">
      <c r="A175" s="447"/>
      <c r="B175" s="121" t="s">
        <v>31</v>
      </c>
      <c r="C175" s="129">
        <f>SUM(C176:C178)</f>
        <v>0</v>
      </c>
      <c r="D175" s="129">
        <f t="shared" ref="D175:BO175" si="327">SUM(D176:D178)</f>
        <v>0</v>
      </c>
      <c r="E175" s="129">
        <f t="shared" si="327"/>
        <v>0</v>
      </c>
      <c r="F175" s="129">
        <f t="shared" si="327"/>
        <v>0</v>
      </c>
      <c r="G175" s="129">
        <f t="shared" si="327"/>
        <v>0</v>
      </c>
      <c r="H175" s="129">
        <f t="shared" si="327"/>
        <v>0</v>
      </c>
      <c r="I175" s="129">
        <f t="shared" si="327"/>
        <v>0</v>
      </c>
      <c r="J175" s="129">
        <f t="shared" si="327"/>
        <v>0</v>
      </c>
      <c r="K175" s="129">
        <f t="shared" si="327"/>
        <v>0</v>
      </c>
      <c r="L175" s="283">
        <f t="shared" si="327"/>
        <v>0</v>
      </c>
      <c r="M175" s="130">
        <f t="shared" si="327"/>
        <v>0</v>
      </c>
      <c r="N175" s="130">
        <f t="shared" si="327"/>
        <v>30949.84</v>
      </c>
      <c r="O175" s="130">
        <f t="shared" si="327"/>
        <v>0</v>
      </c>
      <c r="P175" s="243">
        <f t="shared" si="327"/>
        <v>0</v>
      </c>
      <c r="Q175" s="243">
        <f t="shared" si="327"/>
        <v>0</v>
      </c>
      <c r="R175" s="243">
        <f t="shared" si="327"/>
        <v>0</v>
      </c>
      <c r="S175" s="243">
        <f t="shared" si="327"/>
        <v>0</v>
      </c>
      <c r="T175" s="243">
        <f t="shared" si="327"/>
        <v>0</v>
      </c>
      <c r="U175" s="243">
        <f t="shared" si="327"/>
        <v>0</v>
      </c>
      <c r="V175" s="243">
        <f t="shared" si="327"/>
        <v>0</v>
      </c>
      <c r="W175" s="243">
        <f t="shared" si="327"/>
        <v>0</v>
      </c>
      <c r="X175" s="243">
        <f t="shared" si="327"/>
        <v>0</v>
      </c>
      <c r="Y175" s="242">
        <f t="shared" si="327"/>
        <v>0</v>
      </c>
      <c r="Z175" s="243">
        <f t="shared" si="327"/>
        <v>0</v>
      </c>
      <c r="AA175" s="243">
        <f t="shared" si="327"/>
        <v>0</v>
      </c>
      <c r="AB175" s="243">
        <f t="shared" si="327"/>
        <v>0</v>
      </c>
      <c r="AC175" s="243">
        <f t="shared" si="327"/>
        <v>0</v>
      </c>
      <c r="AD175" s="243">
        <f t="shared" si="327"/>
        <v>0</v>
      </c>
      <c r="AE175" s="243">
        <f t="shared" si="327"/>
        <v>0</v>
      </c>
      <c r="AF175" s="243">
        <f t="shared" si="327"/>
        <v>0</v>
      </c>
      <c r="AG175" s="243">
        <f t="shared" si="327"/>
        <v>0</v>
      </c>
      <c r="AH175" s="243">
        <f t="shared" si="327"/>
        <v>0</v>
      </c>
      <c r="AI175" s="129">
        <f t="shared" si="327"/>
        <v>0</v>
      </c>
      <c r="AJ175" s="129">
        <f t="shared" si="327"/>
        <v>0</v>
      </c>
      <c r="AK175" s="129">
        <f t="shared" si="327"/>
        <v>0</v>
      </c>
      <c r="AL175" s="129">
        <f t="shared" si="327"/>
        <v>0</v>
      </c>
      <c r="AM175" s="129">
        <f t="shared" si="327"/>
        <v>0</v>
      </c>
      <c r="AN175" s="129">
        <f t="shared" si="327"/>
        <v>0</v>
      </c>
      <c r="AO175" s="129">
        <f t="shared" si="327"/>
        <v>0</v>
      </c>
      <c r="AP175" s="129">
        <f t="shared" si="327"/>
        <v>0</v>
      </c>
      <c r="AQ175" s="129">
        <f t="shared" si="327"/>
        <v>0</v>
      </c>
      <c r="AR175" s="129">
        <f t="shared" si="327"/>
        <v>0</v>
      </c>
      <c r="AS175" s="129">
        <f t="shared" si="327"/>
        <v>505.01885057796011</v>
      </c>
      <c r="AT175" s="129">
        <f t="shared" si="327"/>
        <v>9010.1400606619918</v>
      </c>
      <c r="AU175" s="129">
        <f t="shared" si="327"/>
        <v>9010.1400606619918</v>
      </c>
      <c r="AV175" s="129">
        <f t="shared" si="327"/>
        <v>9010.1400606619918</v>
      </c>
      <c r="AW175" s="129">
        <f t="shared" si="327"/>
        <v>9010.1400606619918</v>
      </c>
      <c r="AX175" s="129">
        <f t="shared" si="327"/>
        <v>9877.2247965157385</v>
      </c>
      <c r="AY175" s="129">
        <f t="shared" si="327"/>
        <v>9877.2247965157385</v>
      </c>
      <c r="AZ175" s="129">
        <f t="shared" si="327"/>
        <v>9877.2247965157385</v>
      </c>
      <c r="BA175" s="129">
        <f t="shared" si="327"/>
        <v>9877.2247965157385</v>
      </c>
      <c r="BB175" s="129">
        <f t="shared" si="327"/>
        <v>9877.2247965157385</v>
      </c>
      <c r="BC175" s="129">
        <f t="shared" si="327"/>
        <v>9877.2247965157385</v>
      </c>
      <c r="BD175" s="129">
        <f t="shared" si="327"/>
        <v>9877.2247965157385</v>
      </c>
      <c r="BE175" s="129">
        <f t="shared" si="327"/>
        <v>9877.2247965157385</v>
      </c>
      <c r="BF175" s="129">
        <f t="shared" si="327"/>
        <v>9877.2247965157385</v>
      </c>
      <c r="BG175" s="129">
        <f t="shared" si="327"/>
        <v>9877.2247965157385</v>
      </c>
      <c r="BH175" s="129">
        <f t="shared" si="327"/>
        <v>9877.2247965157385</v>
      </c>
      <c r="BI175" s="129">
        <f t="shared" si="327"/>
        <v>9877.2247965157385</v>
      </c>
      <c r="BJ175" s="129">
        <f t="shared" si="327"/>
        <v>9877.2247965157385</v>
      </c>
      <c r="BK175" s="129">
        <f t="shared" si="327"/>
        <v>9877.2247965157385</v>
      </c>
      <c r="BL175" s="129">
        <f t="shared" si="327"/>
        <v>9877.2247965157385</v>
      </c>
      <c r="BM175" s="129">
        <f t="shared" si="327"/>
        <v>9877.2247965157385</v>
      </c>
      <c r="BN175" s="129">
        <f t="shared" si="327"/>
        <v>9877.2247965157385</v>
      </c>
      <c r="BO175" s="129">
        <f t="shared" si="327"/>
        <v>9877.2247965157385</v>
      </c>
      <c r="BP175" s="129">
        <f t="shared" ref="BP175:BT175" si="328">SUM(BP176:BP178)</f>
        <v>9877.2247965157385</v>
      </c>
      <c r="BQ175" s="129">
        <f t="shared" si="328"/>
        <v>9877.2247965157385</v>
      </c>
      <c r="BR175" s="129">
        <f t="shared" si="328"/>
        <v>9877.2247965157385</v>
      </c>
      <c r="BS175" s="129">
        <f t="shared" si="328"/>
        <v>9877.2247965157385</v>
      </c>
      <c r="BT175" s="129">
        <f t="shared" si="328"/>
        <v>9877.2247965157385</v>
      </c>
    </row>
    <row r="176" spans="1:72" ht="15.75" customHeight="1" x14ac:dyDescent="0.25">
      <c r="A176" s="447"/>
      <c r="B176" s="423" t="s">
        <v>64</v>
      </c>
      <c r="C176" s="109"/>
      <c r="D176" s="109"/>
      <c r="E176" s="109"/>
      <c r="F176" s="109"/>
      <c r="G176" s="109"/>
      <c r="H176" s="109"/>
      <c r="I176" s="109"/>
      <c r="J176" s="109"/>
      <c r="K176" s="109"/>
      <c r="L176" s="281"/>
      <c r="M176" s="127"/>
      <c r="N176" s="127">
        <f>N91</f>
        <v>30949.84</v>
      </c>
      <c r="O176" s="127"/>
      <c r="P176" s="146"/>
      <c r="Q176" s="146"/>
      <c r="R176" s="146"/>
      <c r="S176" s="146"/>
      <c r="T176" s="146"/>
      <c r="U176" s="146"/>
      <c r="V176" s="146"/>
      <c r="W176" s="146"/>
      <c r="X176" s="146"/>
      <c r="Y176" s="147"/>
      <c r="Z176" s="146"/>
      <c r="AA176" s="146"/>
      <c r="AB176" s="146"/>
      <c r="AC176" s="146"/>
      <c r="AD176" s="146"/>
      <c r="AE176" s="146"/>
      <c r="AF176" s="146"/>
      <c r="AG176" s="146"/>
      <c r="AH176" s="146"/>
      <c r="AI176" s="109"/>
      <c r="AJ176" s="109"/>
      <c r="AK176" s="109"/>
      <c r="AL176" s="109"/>
      <c r="AM176" s="109"/>
      <c r="AN176" s="109"/>
      <c r="AO176" s="109"/>
      <c r="AP176" s="109"/>
      <c r="AQ176" s="109"/>
      <c r="AR176" s="109"/>
      <c r="AS176" s="109"/>
      <c r="AT176" s="109"/>
      <c r="AU176" s="109"/>
      <c r="AV176" s="109"/>
      <c r="AW176" s="109"/>
      <c r="AX176" s="109"/>
      <c r="AY176" s="109"/>
      <c r="AZ176" s="109"/>
      <c r="BA176" s="109"/>
      <c r="BB176" s="109"/>
      <c r="BC176" s="109"/>
      <c r="BD176" s="109"/>
      <c r="BE176" s="109"/>
      <c r="BF176" s="109"/>
      <c r="BG176" s="109"/>
      <c r="BH176" s="109"/>
      <c r="BI176" s="109"/>
      <c r="BJ176" s="109"/>
      <c r="BK176" s="109"/>
      <c r="BL176" s="109"/>
      <c r="BM176" s="109"/>
      <c r="BN176" s="109"/>
      <c r="BO176" s="109"/>
      <c r="BP176" s="109"/>
      <c r="BQ176" s="109"/>
      <c r="BR176" s="109"/>
      <c r="BS176" s="109"/>
      <c r="BT176" s="109"/>
    </row>
    <row r="177" spans="1:72" ht="15.75" customHeight="1" x14ac:dyDescent="0.25">
      <c r="A177" s="447"/>
      <c r="B177" s="423" t="s">
        <v>33</v>
      </c>
      <c r="C177" s="109">
        <f t="shared" ref="C177:K177" si="329">C92</f>
        <v>0</v>
      </c>
      <c r="D177" s="109">
        <f t="shared" si="329"/>
        <v>0</v>
      </c>
      <c r="E177" s="109">
        <f t="shared" si="329"/>
        <v>0</v>
      </c>
      <c r="F177" s="109">
        <f t="shared" si="329"/>
        <v>0</v>
      </c>
      <c r="G177" s="109">
        <f t="shared" si="329"/>
        <v>0</v>
      </c>
      <c r="H177" s="109">
        <f t="shared" si="329"/>
        <v>0</v>
      </c>
      <c r="I177" s="109">
        <f t="shared" si="329"/>
        <v>0</v>
      </c>
      <c r="J177" s="109">
        <f t="shared" si="329"/>
        <v>0</v>
      </c>
      <c r="K177" s="109">
        <f t="shared" si="329"/>
        <v>0</v>
      </c>
      <c r="L177" s="281"/>
      <c r="M177" s="127"/>
      <c r="N177" s="127"/>
      <c r="O177" s="127"/>
      <c r="P177" s="146"/>
      <c r="Q177" s="146"/>
      <c r="R177" s="146"/>
      <c r="S177" s="146"/>
      <c r="T177" s="146"/>
      <c r="U177" s="146"/>
      <c r="V177" s="146"/>
      <c r="W177" s="146"/>
      <c r="X177" s="146"/>
      <c r="Y177" s="147"/>
      <c r="Z177" s="146"/>
      <c r="AA177" s="146"/>
      <c r="AB177" s="146"/>
      <c r="AC177" s="146"/>
      <c r="AD177" s="146"/>
      <c r="AE177" s="146"/>
      <c r="AF177" s="146"/>
      <c r="AG177" s="146"/>
      <c r="AH177" s="146"/>
      <c r="AI177" s="109">
        <f t="shared" ref="AI177:BT177" si="330">AI34</f>
        <v>0</v>
      </c>
      <c r="AJ177" s="109">
        <f t="shared" si="330"/>
        <v>0</v>
      </c>
      <c r="AK177" s="109">
        <f t="shared" si="330"/>
        <v>0</v>
      </c>
      <c r="AL177" s="109">
        <f t="shared" si="330"/>
        <v>0</v>
      </c>
      <c r="AM177" s="109">
        <f t="shared" si="330"/>
        <v>0</v>
      </c>
      <c r="AN177" s="109">
        <f t="shared" si="330"/>
        <v>0</v>
      </c>
      <c r="AO177" s="109">
        <f t="shared" si="330"/>
        <v>0</v>
      </c>
      <c r="AP177" s="109">
        <f t="shared" si="330"/>
        <v>0</v>
      </c>
      <c r="AQ177" s="109">
        <f t="shared" si="330"/>
        <v>0</v>
      </c>
      <c r="AR177" s="109">
        <f t="shared" si="330"/>
        <v>0</v>
      </c>
      <c r="AS177" s="109">
        <f t="shared" si="330"/>
        <v>505.01885057796011</v>
      </c>
      <c r="AT177" s="109">
        <f t="shared" si="330"/>
        <v>505.01885057796011</v>
      </c>
      <c r="AU177" s="109">
        <f t="shared" si="330"/>
        <v>505.01885057796011</v>
      </c>
      <c r="AV177" s="109">
        <f t="shared" si="330"/>
        <v>505.01885057796011</v>
      </c>
      <c r="AW177" s="109">
        <f t="shared" si="330"/>
        <v>505.01885057796011</v>
      </c>
      <c r="AX177" s="109">
        <f t="shared" si="330"/>
        <v>1372.1035864317068</v>
      </c>
      <c r="AY177" s="109">
        <f t="shared" si="330"/>
        <v>1372.1035864317068</v>
      </c>
      <c r="AZ177" s="109">
        <f t="shared" si="330"/>
        <v>1372.1035864317068</v>
      </c>
      <c r="BA177" s="109">
        <f t="shared" si="330"/>
        <v>1372.1035864317068</v>
      </c>
      <c r="BB177" s="109">
        <f t="shared" si="330"/>
        <v>1372.1035864317068</v>
      </c>
      <c r="BC177" s="109">
        <f t="shared" si="330"/>
        <v>1372.1035864317068</v>
      </c>
      <c r="BD177" s="109">
        <f t="shared" si="330"/>
        <v>1372.1035864317068</v>
      </c>
      <c r="BE177" s="109">
        <f t="shared" si="330"/>
        <v>1372.1035864317068</v>
      </c>
      <c r="BF177" s="109">
        <f t="shared" si="330"/>
        <v>1372.1035864317068</v>
      </c>
      <c r="BG177" s="109">
        <f t="shared" si="330"/>
        <v>1372.1035864317068</v>
      </c>
      <c r="BH177" s="109">
        <f t="shared" si="330"/>
        <v>1372.1035864317068</v>
      </c>
      <c r="BI177" s="109">
        <f t="shared" si="330"/>
        <v>1372.1035864317068</v>
      </c>
      <c r="BJ177" s="109">
        <f t="shared" si="330"/>
        <v>1372.1035864317068</v>
      </c>
      <c r="BK177" s="109">
        <f t="shared" si="330"/>
        <v>1372.1035864317068</v>
      </c>
      <c r="BL177" s="109">
        <f t="shared" si="330"/>
        <v>1372.1035864317068</v>
      </c>
      <c r="BM177" s="109">
        <f t="shared" si="330"/>
        <v>1372.1035864317068</v>
      </c>
      <c r="BN177" s="109">
        <f t="shared" si="330"/>
        <v>1372.1035864317068</v>
      </c>
      <c r="BO177" s="109">
        <f t="shared" si="330"/>
        <v>1372.1035864317068</v>
      </c>
      <c r="BP177" s="109">
        <f t="shared" si="330"/>
        <v>1372.1035864317068</v>
      </c>
      <c r="BQ177" s="109">
        <f t="shared" si="330"/>
        <v>1372.1035864317068</v>
      </c>
      <c r="BR177" s="109">
        <f t="shared" si="330"/>
        <v>1372.1035864317068</v>
      </c>
      <c r="BS177" s="109">
        <f t="shared" si="330"/>
        <v>1372.1035864317068</v>
      </c>
      <c r="BT177" s="109">
        <f t="shared" si="330"/>
        <v>1372.1035864317068</v>
      </c>
    </row>
    <row r="178" spans="1:72" ht="18.75" customHeight="1" x14ac:dyDescent="0.25">
      <c r="A178" s="447"/>
      <c r="B178" s="423" t="s">
        <v>32</v>
      </c>
      <c r="C178" s="109"/>
      <c r="D178" s="109"/>
      <c r="E178" s="109"/>
      <c r="F178" s="109"/>
      <c r="G178" s="109"/>
      <c r="H178" s="109"/>
      <c r="I178" s="109"/>
      <c r="J178" s="109"/>
      <c r="K178" s="109"/>
      <c r="L178" s="281"/>
      <c r="M178" s="127"/>
      <c r="N178" s="127"/>
      <c r="O178" s="127"/>
      <c r="P178" s="146"/>
      <c r="Q178" s="146"/>
      <c r="R178" s="146"/>
      <c r="S178" s="146"/>
      <c r="T178" s="146"/>
      <c r="U178" s="146"/>
      <c r="V178" s="146"/>
      <c r="W178" s="146"/>
      <c r="X178" s="146"/>
      <c r="Y178" s="281"/>
      <c r="Z178" s="146"/>
      <c r="AA178" s="146"/>
      <c r="AB178" s="146"/>
      <c r="AC178" s="146"/>
      <c r="AD178" s="146"/>
      <c r="AE178" s="146"/>
      <c r="AF178" s="146"/>
      <c r="AG178" s="146"/>
      <c r="AH178" s="146"/>
      <c r="AI178" s="109">
        <f t="shared" ref="AI178:AS178" si="331">AI33</f>
        <v>0</v>
      </c>
      <c r="AJ178" s="109">
        <f t="shared" si="331"/>
        <v>0</v>
      </c>
      <c r="AK178" s="109">
        <f t="shared" si="331"/>
        <v>0</v>
      </c>
      <c r="AL178" s="109">
        <f t="shared" si="331"/>
        <v>0</v>
      </c>
      <c r="AM178" s="109">
        <f t="shared" si="331"/>
        <v>0</v>
      </c>
      <c r="AN178" s="109">
        <f t="shared" si="331"/>
        <v>0</v>
      </c>
      <c r="AO178" s="109">
        <f t="shared" si="331"/>
        <v>0</v>
      </c>
      <c r="AP178" s="109">
        <f t="shared" si="331"/>
        <v>0</v>
      </c>
      <c r="AQ178" s="109">
        <f t="shared" si="331"/>
        <v>0</v>
      </c>
      <c r="AR178" s="109">
        <f t="shared" si="331"/>
        <v>0</v>
      </c>
      <c r="AS178" s="109">
        <f t="shared" si="331"/>
        <v>0</v>
      </c>
      <c r="AT178" s="109">
        <f>'Calculs source'!$G$126</f>
        <v>8505.1212100840312</v>
      </c>
      <c r="AU178" s="109">
        <f>'Calculs source'!$G$126</f>
        <v>8505.1212100840312</v>
      </c>
      <c r="AV178" s="109">
        <f>'Calculs source'!$G$126</f>
        <v>8505.1212100840312</v>
      </c>
      <c r="AW178" s="109">
        <f>'Calculs source'!$G$126</f>
        <v>8505.1212100840312</v>
      </c>
      <c r="AX178" s="109">
        <f>'Calculs source'!$G$126</f>
        <v>8505.1212100840312</v>
      </c>
      <c r="AY178" s="109">
        <f>'Calculs source'!$G$126</f>
        <v>8505.1212100840312</v>
      </c>
      <c r="AZ178" s="109">
        <f>'Calculs source'!$G$126</f>
        <v>8505.1212100840312</v>
      </c>
      <c r="BA178" s="109">
        <f>'Calculs source'!$G$126</f>
        <v>8505.1212100840312</v>
      </c>
      <c r="BB178" s="109">
        <f>'Calculs source'!$G$126</f>
        <v>8505.1212100840312</v>
      </c>
      <c r="BC178" s="109">
        <f>'Calculs source'!$G$126</f>
        <v>8505.1212100840312</v>
      </c>
      <c r="BD178" s="109">
        <f>'Calculs source'!$G$126</f>
        <v>8505.1212100840312</v>
      </c>
      <c r="BE178" s="109">
        <f>'Calculs source'!$G$126</f>
        <v>8505.1212100840312</v>
      </c>
      <c r="BF178" s="109">
        <f>'Calculs source'!$G$126</f>
        <v>8505.1212100840312</v>
      </c>
      <c r="BG178" s="109">
        <f>'Calculs source'!$G$126</f>
        <v>8505.1212100840312</v>
      </c>
      <c r="BH178" s="109">
        <f>'Calculs source'!$G$126</f>
        <v>8505.1212100840312</v>
      </c>
      <c r="BI178" s="109">
        <f>'Calculs source'!$G$126</f>
        <v>8505.1212100840312</v>
      </c>
      <c r="BJ178" s="109">
        <f>'Calculs source'!$G$126</f>
        <v>8505.1212100840312</v>
      </c>
      <c r="BK178" s="109">
        <f>'Calculs source'!$G$126</f>
        <v>8505.1212100840312</v>
      </c>
      <c r="BL178" s="109">
        <f>'Calculs source'!$G$126</f>
        <v>8505.1212100840312</v>
      </c>
      <c r="BM178" s="109">
        <f>'Calculs source'!$G$126</f>
        <v>8505.1212100840312</v>
      </c>
      <c r="BN178" s="109">
        <f>'Calculs source'!$G$126</f>
        <v>8505.1212100840312</v>
      </c>
      <c r="BO178" s="109">
        <f>'Calculs source'!$G$126</f>
        <v>8505.1212100840312</v>
      </c>
      <c r="BP178" s="109">
        <f>'Calculs source'!$G$126</f>
        <v>8505.1212100840312</v>
      </c>
      <c r="BQ178" s="109">
        <f>'Calculs source'!$G$126</f>
        <v>8505.1212100840312</v>
      </c>
      <c r="BR178" s="109">
        <f>'Calculs source'!$G$126</f>
        <v>8505.1212100840312</v>
      </c>
      <c r="BS178" s="109">
        <f>'Calculs source'!$G$126</f>
        <v>8505.1212100840312</v>
      </c>
      <c r="BT178" s="109">
        <f>'Calculs source'!$G$126</f>
        <v>8505.1212100840312</v>
      </c>
    </row>
    <row r="179" spans="1:72" ht="18" customHeight="1" x14ac:dyDescent="0.25">
      <c r="A179" s="448"/>
      <c r="B179" s="425" t="s">
        <v>34</v>
      </c>
      <c r="C179" s="109">
        <f>C175+C169+C160</f>
        <v>14477.271173536106</v>
      </c>
      <c r="D179" s="109">
        <f t="shared" ref="D179:AE179" si="332">D175+D169+D160</f>
        <v>14477.271173536106</v>
      </c>
      <c r="E179" s="109">
        <f t="shared" si="332"/>
        <v>14753.555242799746</v>
      </c>
      <c r="F179" s="109">
        <f t="shared" si="332"/>
        <v>3358.5552427997472</v>
      </c>
      <c r="G179" s="109">
        <f t="shared" si="332"/>
        <v>3358.5552427997472</v>
      </c>
      <c r="H179" s="109">
        <f t="shared" si="332"/>
        <v>3339.5062747997472</v>
      </c>
      <c r="I179" s="109">
        <f t="shared" si="332"/>
        <v>3270.7133647997471</v>
      </c>
      <c r="J179" s="109">
        <f t="shared" si="332"/>
        <v>3916.9642450131228</v>
      </c>
      <c r="K179" s="109">
        <f t="shared" si="332"/>
        <v>3781.2167950131225</v>
      </c>
      <c r="L179" s="281">
        <f t="shared" si="332"/>
        <v>4282.3415556269465</v>
      </c>
      <c r="M179" s="127">
        <f t="shared" si="332"/>
        <v>4282.3415556269465</v>
      </c>
      <c r="N179" s="127">
        <f t="shared" si="332"/>
        <v>49924.773546704993</v>
      </c>
      <c r="O179" s="127">
        <f t="shared" si="332"/>
        <v>20421.731761861854</v>
      </c>
      <c r="P179" s="146">
        <f t="shared" si="332"/>
        <v>20337.841761861855</v>
      </c>
      <c r="Q179" s="146">
        <f t="shared" si="332"/>
        <v>20353.067745617518</v>
      </c>
      <c r="R179" s="146">
        <f t="shared" si="332"/>
        <v>20422.247745617518</v>
      </c>
      <c r="S179" s="146">
        <f t="shared" si="332"/>
        <v>16376.317392244551</v>
      </c>
      <c r="T179" s="146">
        <f t="shared" si="332"/>
        <v>14984.85970620338</v>
      </c>
      <c r="U179" s="146">
        <f t="shared" si="332"/>
        <v>14952.889706203381</v>
      </c>
      <c r="V179" s="146">
        <f t="shared" si="332"/>
        <v>15146.76372366595</v>
      </c>
      <c r="W179" s="146">
        <f t="shared" si="332"/>
        <v>15136.283723665951</v>
      </c>
      <c r="X179" s="146">
        <f t="shared" si="332"/>
        <v>14940.876045045005</v>
      </c>
      <c r="Y179" s="265">
        <f t="shared" si="332"/>
        <v>17055.352930461475</v>
      </c>
      <c r="Z179" s="146">
        <f t="shared" si="332"/>
        <v>17614.906628167617</v>
      </c>
      <c r="AA179" s="146">
        <f t="shared" si="332"/>
        <v>17614.906628167617</v>
      </c>
      <c r="AB179" s="146">
        <f t="shared" si="332"/>
        <v>17614.906628167617</v>
      </c>
      <c r="AC179" s="146">
        <f t="shared" si="332"/>
        <v>17756.98393178339</v>
      </c>
      <c r="AD179" s="146">
        <f t="shared" si="332"/>
        <v>17991.194097164942</v>
      </c>
      <c r="AE179" s="146">
        <f t="shared" si="332"/>
        <v>23721.440086469756</v>
      </c>
      <c r="AF179" s="146">
        <f t="shared" ref="AF179:AH179" si="333">AF175+AF169+AF160</f>
        <v>2530.8253647157212</v>
      </c>
      <c r="AG179" s="146">
        <f t="shared" si="333"/>
        <v>2530.8253647157212</v>
      </c>
      <c r="AH179" s="146">
        <f t="shared" si="333"/>
        <v>2530.8253647157212</v>
      </c>
      <c r="AI179" s="109">
        <f t="shared" ref="AI179:BT179" si="334">AI175+AI169+AI160</f>
        <v>3088.936745492068</v>
      </c>
      <c r="AJ179" s="109">
        <f t="shared" si="334"/>
        <v>3088.936745492068</v>
      </c>
      <c r="AK179" s="109">
        <f t="shared" si="334"/>
        <v>3088.936745492068</v>
      </c>
      <c r="AL179" s="109">
        <f t="shared" si="334"/>
        <v>3088.936745492068</v>
      </c>
      <c r="AM179" s="109">
        <f t="shared" si="334"/>
        <v>3088.936745492068</v>
      </c>
      <c r="AN179" s="109">
        <f t="shared" si="334"/>
        <v>3630.0682468086925</v>
      </c>
      <c r="AO179" s="109">
        <f t="shared" si="334"/>
        <v>3630.0682468086925</v>
      </c>
      <c r="AP179" s="109">
        <f t="shared" si="334"/>
        <v>3630.0682468086925</v>
      </c>
      <c r="AQ179" s="109">
        <f t="shared" si="334"/>
        <v>3630.0682468086925</v>
      </c>
      <c r="AR179" s="109">
        <f t="shared" si="334"/>
        <v>3630.0682468086925</v>
      </c>
      <c r="AS179" s="109">
        <f t="shared" si="334"/>
        <v>5609.7110250130427</v>
      </c>
      <c r="AT179" s="109">
        <f t="shared" si="334"/>
        <v>13388.512235097076</v>
      </c>
      <c r="AU179" s="109">
        <f t="shared" si="334"/>
        <v>13388.512235097076</v>
      </c>
      <c r="AV179" s="109">
        <f t="shared" si="334"/>
        <v>13388.512235097076</v>
      </c>
      <c r="AW179" s="109">
        <f t="shared" si="334"/>
        <v>13388.512235097076</v>
      </c>
      <c r="AX179" s="109">
        <f t="shared" si="334"/>
        <v>23453.733209574202</v>
      </c>
      <c r="AY179" s="109">
        <f t="shared" si="334"/>
        <v>23453.733209574202</v>
      </c>
      <c r="AZ179" s="109">
        <f t="shared" si="334"/>
        <v>23453.733209574202</v>
      </c>
      <c r="BA179" s="109">
        <f t="shared" si="334"/>
        <v>23453.733209574202</v>
      </c>
      <c r="BB179" s="109">
        <f t="shared" si="334"/>
        <v>23453.733209574202</v>
      </c>
      <c r="BC179" s="109">
        <f t="shared" si="334"/>
        <v>25182.496824722028</v>
      </c>
      <c r="BD179" s="109">
        <f t="shared" si="334"/>
        <v>25182.496824722028</v>
      </c>
      <c r="BE179" s="109">
        <f t="shared" si="334"/>
        <v>25182.496824722028</v>
      </c>
      <c r="BF179" s="109">
        <f t="shared" si="334"/>
        <v>25182.496824722028</v>
      </c>
      <c r="BG179" s="109">
        <f t="shared" si="334"/>
        <v>25182.496824722028</v>
      </c>
      <c r="BH179" s="109">
        <f t="shared" si="334"/>
        <v>29212.254563912989</v>
      </c>
      <c r="BI179" s="109">
        <f t="shared" si="334"/>
        <v>29212.254563912989</v>
      </c>
      <c r="BJ179" s="109">
        <f t="shared" si="334"/>
        <v>29212.254563912989</v>
      </c>
      <c r="BK179" s="109">
        <f t="shared" si="334"/>
        <v>29212.254563912989</v>
      </c>
      <c r="BL179" s="109">
        <f t="shared" si="334"/>
        <v>29212.254563912989</v>
      </c>
      <c r="BM179" s="109">
        <f t="shared" si="334"/>
        <v>34865.684467918676</v>
      </c>
      <c r="BN179" s="109">
        <f t="shared" si="334"/>
        <v>34865.684467918676</v>
      </c>
      <c r="BO179" s="109">
        <f t="shared" si="334"/>
        <v>34865.684467918676</v>
      </c>
      <c r="BP179" s="109">
        <f t="shared" si="334"/>
        <v>34865.684467918676</v>
      </c>
      <c r="BQ179" s="109">
        <f t="shared" si="334"/>
        <v>34865.684467918676</v>
      </c>
      <c r="BR179" s="109">
        <f t="shared" si="334"/>
        <v>46226.703654944926</v>
      </c>
      <c r="BS179" s="109">
        <f t="shared" si="334"/>
        <v>46226.703654944926</v>
      </c>
      <c r="BT179" s="109">
        <f t="shared" si="334"/>
        <v>46226.703654944926</v>
      </c>
    </row>
    <row r="180" spans="1:72" ht="18" customHeight="1" x14ac:dyDescent="0.25">
      <c r="A180" s="123"/>
      <c r="B180" s="438" t="s">
        <v>1107</v>
      </c>
      <c r="C180" s="109">
        <f>C179-C159</f>
        <v>12932.364856786106</v>
      </c>
      <c r="D180" s="109">
        <f t="shared" ref="D180:BO180" si="335">D179-D159</f>
        <v>12932.364856786106</v>
      </c>
      <c r="E180" s="109">
        <f t="shared" si="335"/>
        <v>13208.648926049746</v>
      </c>
      <c r="F180" s="109">
        <f t="shared" si="335"/>
        <v>-5235.8383534990671</v>
      </c>
      <c r="G180" s="109">
        <f t="shared" si="335"/>
        <v>-5587.311701219066</v>
      </c>
      <c r="H180" s="109">
        <f t="shared" si="335"/>
        <v>-6075.7268692990656</v>
      </c>
      <c r="I180" s="109">
        <f t="shared" si="335"/>
        <v>-6572.025251499068</v>
      </c>
      <c r="J180" s="109">
        <f t="shared" si="335"/>
        <v>-6910.552152995002</v>
      </c>
      <c r="K180" s="109">
        <f t="shared" si="335"/>
        <v>-7509.5097819950024</v>
      </c>
      <c r="L180" s="109">
        <f t="shared" si="335"/>
        <v>-22524.177663272814</v>
      </c>
      <c r="M180" s="109">
        <f t="shared" si="335"/>
        <v>-22084.519075772812</v>
      </c>
      <c r="N180" s="109">
        <f t="shared" si="335"/>
        <v>29458.433094131608</v>
      </c>
      <c r="O180" s="109">
        <f t="shared" si="335"/>
        <v>-8741.1728503054692</v>
      </c>
      <c r="P180" s="109">
        <f t="shared" si="335"/>
        <v>-9975.5931778054655</v>
      </c>
      <c r="Q180" s="109">
        <f t="shared" si="335"/>
        <v>-11225.925862512515</v>
      </c>
      <c r="R180" s="109">
        <f t="shared" si="335"/>
        <v>-11611.014157512513</v>
      </c>
      <c r="S180" s="109">
        <f t="shared" si="335"/>
        <v>-15343.479725885476</v>
      </c>
      <c r="T180" s="109">
        <f t="shared" si="335"/>
        <v>-17307.412065539931</v>
      </c>
      <c r="U180" s="109">
        <f t="shared" si="335"/>
        <v>-17714.975345539933</v>
      </c>
      <c r="V180" s="109">
        <f t="shared" si="335"/>
        <v>-17896.694210577363</v>
      </c>
      <c r="W180" s="109">
        <f t="shared" si="335"/>
        <v>-18033.530993077362</v>
      </c>
      <c r="X180" s="109">
        <f t="shared" si="335"/>
        <v>-18604.531554198307</v>
      </c>
      <c r="Y180" s="109">
        <f t="shared" si="335"/>
        <v>1999.246681523553</v>
      </c>
      <c r="Z180" s="109">
        <f t="shared" si="335"/>
        <v>2558.800379229695</v>
      </c>
      <c r="AA180" s="109">
        <f t="shared" si="335"/>
        <v>2558.800379229695</v>
      </c>
      <c r="AB180" s="109">
        <f t="shared" si="335"/>
        <v>2558.800379229695</v>
      </c>
      <c r="AC180" s="109">
        <f t="shared" si="335"/>
        <v>2700.8776828454684</v>
      </c>
      <c r="AD180" s="109">
        <f t="shared" si="335"/>
        <v>2781.3601443783591</v>
      </c>
      <c r="AE180" s="109">
        <f t="shared" si="335"/>
        <v>9452.7486336831735</v>
      </c>
      <c r="AF180" s="109">
        <f t="shared" si="335"/>
        <v>-12803.916326329181</v>
      </c>
      <c r="AG180" s="109">
        <f t="shared" si="335"/>
        <v>-12803.916326329181</v>
      </c>
      <c r="AH180" s="109">
        <f t="shared" si="335"/>
        <v>-12803.916326329181</v>
      </c>
      <c r="AI180" s="109">
        <f t="shared" si="335"/>
        <v>-11923.766929571098</v>
      </c>
      <c r="AJ180" s="109">
        <f t="shared" si="335"/>
        <v>-11923.766929571098</v>
      </c>
      <c r="AK180" s="109">
        <f t="shared" si="335"/>
        <v>-11923.766929571098</v>
      </c>
      <c r="AL180" s="109">
        <f t="shared" si="335"/>
        <v>-11923.766929571098</v>
      </c>
      <c r="AM180" s="109">
        <f t="shared" si="335"/>
        <v>-11923.766929571098</v>
      </c>
      <c r="AN180" s="109">
        <f t="shared" si="335"/>
        <v>-11355.566463262083</v>
      </c>
      <c r="AO180" s="109">
        <f t="shared" si="335"/>
        <v>-11355.566463262083</v>
      </c>
      <c r="AP180" s="109">
        <f t="shared" si="335"/>
        <v>-11355.566463262083</v>
      </c>
      <c r="AQ180" s="109">
        <f t="shared" si="335"/>
        <v>-11355.566463262083</v>
      </c>
      <c r="AR180" s="109">
        <f t="shared" si="335"/>
        <v>-11355.566463262083</v>
      </c>
      <c r="AS180" s="109">
        <f t="shared" si="335"/>
        <v>-4365.2806223015905</v>
      </c>
      <c r="AT180" s="109">
        <f t="shared" si="335"/>
        <v>347.48998778244095</v>
      </c>
      <c r="AU180" s="109">
        <f t="shared" si="335"/>
        <v>347.48998778244095</v>
      </c>
      <c r="AV180" s="109">
        <f t="shared" si="335"/>
        <v>347.48998778244095</v>
      </c>
      <c r="AW180" s="109">
        <f t="shared" si="335"/>
        <v>347.48998778244095</v>
      </c>
      <c r="AX180" s="109">
        <f t="shared" si="335"/>
        <v>13941.011003779466</v>
      </c>
      <c r="AY180" s="109">
        <f t="shared" si="335"/>
        <v>13941.011003779466</v>
      </c>
      <c r="AZ180" s="109">
        <f t="shared" si="335"/>
        <v>13941.011003779466</v>
      </c>
      <c r="BA180" s="109">
        <f t="shared" si="335"/>
        <v>13941.011003779466</v>
      </c>
      <c r="BB180" s="109">
        <f t="shared" si="335"/>
        <v>13941.011003779466</v>
      </c>
      <c r="BC180" s="109">
        <f t="shared" si="335"/>
        <v>15732.486623710938</v>
      </c>
      <c r="BD180" s="109">
        <f t="shared" si="335"/>
        <v>15732.486623710938</v>
      </c>
      <c r="BE180" s="109">
        <f t="shared" si="335"/>
        <v>15732.486623710938</v>
      </c>
      <c r="BF180" s="109">
        <f t="shared" si="335"/>
        <v>15732.486623710938</v>
      </c>
      <c r="BG180" s="109">
        <f t="shared" si="335"/>
        <v>15732.486623710938</v>
      </c>
      <c r="BH180" s="109">
        <f t="shared" si="335"/>
        <v>19836.837380949302</v>
      </c>
      <c r="BI180" s="109">
        <f t="shared" si="335"/>
        <v>19836.837380949302</v>
      </c>
      <c r="BJ180" s="109">
        <f t="shared" si="335"/>
        <v>19836.837380949302</v>
      </c>
      <c r="BK180" s="109">
        <f t="shared" si="335"/>
        <v>19836.837380949302</v>
      </c>
      <c r="BL180" s="109">
        <f t="shared" si="335"/>
        <v>19836.837380949302</v>
      </c>
      <c r="BM180" s="109">
        <f t="shared" si="335"/>
        <v>25576.741316266143</v>
      </c>
      <c r="BN180" s="109">
        <f t="shared" si="335"/>
        <v>25576.741316266143</v>
      </c>
      <c r="BO180" s="109">
        <f t="shared" si="335"/>
        <v>25576.741316266143</v>
      </c>
      <c r="BP180" s="109">
        <f t="shared" ref="BP180:BT180" si="336">BP179-BP159</f>
        <v>25576.741316266143</v>
      </c>
      <c r="BQ180" s="109">
        <f t="shared" si="336"/>
        <v>25576.741316266143</v>
      </c>
      <c r="BR180" s="109">
        <f t="shared" si="336"/>
        <v>37036.115547867303</v>
      </c>
      <c r="BS180" s="109">
        <f t="shared" si="336"/>
        <v>37036.115547867303</v>
      </c>
      <c r="BT180" s="109">
        <f t="shared" si="336"/>
        <v>37036.115547867303</v>
      </c>
    </row>
    <row r="181" spans="1:72" ht="18" customHeight="1" x14ac:dyDescent="0.25">
      <c r="A181" s="123"/>
      <c r="B181" s="425"/>
      <c r="C181" s="109"/>
      <c r="D181" s="109"/>
      <c r="E181" s="109"/>
      <c r="F181" s="109"/>
      <c r="G181" s="109"/>
      <c r="H181" s="109"/>
      <c r="I181" s="109"/>
      <c r="J181" s="109"/>
      <c r="K181" s="109"/>
      <c r="L181" s="281"/>
      <c r="M181" s="127"/>
      <c r="N181" s="127"/>
      <c r="O181" s="127"/>
      <c r="P181" s="146"/>
      <c r="Q181" s="146"/>
      <c r="R181" s="146"/>
      <c r="S181" s="146"/>
      <c r="T181" s="146"/>
      <c r="U181" s="146"/>
      <c r="V181" s="146"/>
      <c r="W181" s="146"/>
      <c r="X181" s="146"/>
      <c r="Y181" s="147"/>
      <c r="Z181" s="146"/>
      <c r="AA181" s="146"/>
      <c r="AB181" s="146"/>
      <c r="AC181" s="146"/>
      <c r="AD181" s="146"/>
      <c r="AE181" s="146"/>
      <c r="AF181" s="146"/>
      <c r="AG181" s="146"/>
      <c r="AH181" s="146"/>
      <c r="AI181" s="109"/>
      <c r="AJ181" s="109"/>
      <c r="AK181" s="109"/>
      <c r="AL181" s="109"/>
      <c r="AM181" s="109"/>
      <c r="AN181" s="109"/>
      <c r="AO181" s="109"/>
      <c r="AP181" s="109"/>
      <c r="AQ181" s="109"/>
      <c r="AR181" s="109"/>
      <c r="AS181" s="109"/>
      <c r="AT181" s="109"/>
      <c r="AU181" s="109"/>
      <c r="AV181" s="109"/>
      <c r="AW181" s="109"/>
      <c r="AX181" s="109"/>
      <c r="AY181" s="109"/>
      <c r="AZ181" s="109"/>
      <c r="BA181" s="109"/>
      <c r="BB181" s="109"/>
      <c r="BC181" s="109"/>
      <c r="BD181" s="109"/>
      <c r="BE181" s="109"/>
      <c r="BF181" s="109"/>
      <c r="BG181" s="109"/>
      <c r="BH181" s="109"/>
      <c r="BI181" s="109"/>
      <c r="BJ181" s="109"/>
      <c r="BK181" s="109"/>
      <c r="BL181" s="109"/>
      <c r="BM181" s="109"/>
      <c r="BN181" s="109"/>
      <c r="BO181" s="109"/>
      <c r="BP181" s="109"/>
      <c r="BQ181" s="109"/>
      <c r="BR181" s="109"/>
      <c r="BS181" s="109"/>
      <c r="BT181" s="109"/>
    </row>
    <row r="182" spans="1:72" ht="18" customHeight="1" x14ac:dyDescent="0.25">
      <c r="A182" s="123"/>
      <c r="B182" s="124" t="s">
        <v>35</v>
      </c>
      <c r="C182" s="109">
        <f t="shared" ref="C182:O182" si="337">C96</f>
        <v>7743.6465805934249</v>
      </c>
      <c r="D182" s="109">
        <f t="shared" si="337"/>
        <v>7743.6465805934249</v>
      </c>
      <c r="E182" s="109">
        <f t="shared" si="337"/>
        <v>7743.6465805934249</v>
      </c>
      <c r="F182" s="109">
        <f t="shared" si="337"/>
        <v>27461.092982239996</v>
      </c>
      <c r="G182" s="109">
        <f t="shared" si="337"/>
        <v>28113.673734519998</v>
      </c>
      <c r="H182" s="109">
        <f t="shared" si="337"/>
        <v>28927.350966440001</v>
      </c>
      <c r="I182" s="109">
        <f t="shared" si="337"/>
        <v>29560.506084240002</v>
      </c>
      <c r="J182" s="109">
        <f t="shared" si="337"/>
        <v>30274.22368848</v>
      </c>
      <c r="K182" s="109">
        <f t="shared" si="337"/>
        <v>30899.198559480003</v>
      </c>
      <c r="L182" s="281">
        <f t="shared" si="337"/>
        <v>67170.661820000023</v>
      </c>
      <c r="M182" s="127">
        <f t="shared" si="337"/>
        <v>66336.389651830366</v>
      </c>
      <c r="N182" s="127">
        <f t="shared" si="337"/>
        <v>65688.346269615417</v>
      </c>
      <c r="O182" s="127">
        <f t="shared" si="337"/>
        <v>70214.206401830379</v>
      </c>
      <c r="P182" s="146">
        <f>(P148-P126-P5-P6)+P128+P9-P159+P156+P160+P178-'B.P. Coût place garderie'!D77</f>
        <v>71480.476030000049</v>
      </c>
      <c r="Q182" s="146">
        <f>(Q148-Q126-Q5-Q6)+Q128+Q9-Q159+Q156+Q160+Q178-'B.P. Coût place garderie'!E77</f>
        <v>72823.704734330371</v>
      </c>
      <c r="R182" s="146">
        <f>(R148-R126-R5-R6)+R128+R9-R159+R156+R160+R178-'B.P. Coût place garderie'!F77</f>
        <v>73401.274439330373</v>
      </c>
      <c r="S182" s="146">
        <f>(S148-S126-S5-S6)+S128+S9-S159+S156+S160+S178-'B.P. Coût place garderie'!G77</f>
        <v>75988.427224330386</v>
      </c>
      <c r="T182" s="146">
        <f>(T148-T126-T5-T6)+T128+T9-T159+T156+T160+T178-'B.P. Coût place garderie'!H77</f>
        <v>75564.927691830337</v>
      </c>
      <c r="U182" s="146">
        <f>(U148-U126-U5-U6)+U128+U9-U159+U156+U160+U178-'B.P. Coût place garderie'!I77</f>
        <v>76156.022411830345</v>
      </c>
      <c r="V182" s="146">
        <f>(V148-V126-V5-V6)+V128+V9-V159+V156+V160+V178-'B.P. Coût place garderie'!J77</f>
        <v>76747.127529330348</v>
      </c>
      <c r="W182" s="146">
        <f>(W148-W126-W5-W6)+W128+W9-W159+W156+W160+W178-'B.P. Coût place garderie'!K77</f>
        <v>76938.786585783208</v>
      </c>
      <c r="X182" s="146">
        <f t="shared" ref="X182" si="338">(X148-X126-X5-X6)+X128+X9-X159+X156+X160+X178</f>
        <v>79153.481703283207</v>
      </c>
      <c r="Y182" s="147">
        <f t="shared" ref="Y182:AH182" si="339">(Y7+Y9)-Y159+Y156+Y160+Y178+Y211</f>
        <v>50284.39836549999</v>
      </c>
      <c r="Z182" s="146">
        <f t="shared" si="339"/>
        <v>50284.39836549999</v>
      </c>
      <c r="AA182" s="146">
        <f t="shared" si="339"/>
        <v>50284.39836549999</v>
      </c>
      <c r="AB182" s="146">
        <f t="shared" si="339"/>
        <v>50284.39836549999</v>
      </c>
      <c r="AC182" s="146">
        <f t="shared" si="339"/>
        <v>50284.39836549999</v>
      </c>
      <c r="AD182" s="146">
        <f t="shared" si="339"/>
        <v>50284.398365499997</v>
      </c>
      <c r="AE182" s="146">
        <f t="shared" si="339"/>
        <v>51125.540865499999</v>
      </c>
      <c r="AF182" s="146">
        <f>(AF7+AF9)-AF159+AF156+AF160+AF178+AF211</f>
        <v>40935.406615499996</v>
      </c>
      <c r="AG182" s="146">
        <f t="shared" si="339"/>
        <v>40935.406615499996</v>
      </c>
      <c r="AH182" s="146">
        <f t="shared" si="339"/>
        <v>40935.406615499996</v>
      </c>
      <c r="AI182" s="109">
        <f t="shared" ref="AI182:BT182" si="340">AI38</f>
        <v>35550.991115499994</v>
      </c>
      <c r="AJ182" s="109">
        <f t="shared" si="340"/>
        <v>35550.991115499994</v>
      </c>
      <c r="AK182" s="109">
        <f t="shared" si="340"/>
        <v>35550.991115499994</v>
      </c>
      <c r="AL182" s="109">
        <f t="shared" si="340"/>
        <v>35550.991115499994</v>
      </c>
      <c r="AM182" s="109">
        <f t="shared" si="340"/>
        <v>35550.991115499994</v>
      </c>
      <c r="AN182" s="109">
        <f t="shared" si="340"/>
        <v>35550.991115499994</v>
      </c>
      <c r="AO182" s="109">
        <f t="shared" si="340"/>
        <v>35550.991115499994</v>
      </c>
      <c r="AP182" s="109">
        <f t="shared" si="340"/>
        <v>35550.991115499994</v>
      </c>
      <c r="AQ182" s="109">
        <f t="shared" si="340"/>
        <v>35550.991115499994</v>
      </c>
      <c r="AR182" s="109">
        <f t="shared" si="340"/>
        <v>35550.991115499994</v>
      </c>
      <c r="AS182" s="109">
        <f t="shared" si="340"/>
        <v>34375.025999999998</v>
      </c>
      <c r="AT182" s="109">
        <f t="shared" si="340"/>
        <v>39087.796610084028</v>
      </c>
      <c r="AU182" s="109">
        <f t="shared" si="340"/>
        <v>39087.796610084028</v>
      </c>
      <c r="AV182" s="109">
        <f t="shared" si="340"/>
        <v>39087.796610084028</v>
      </c>
      <c r="AW182" s="109">
        <f t="shared" si="340"/>
        <v>39087.796610084028</v>
      </c>
      <c r="AX182" s="109">
        <f t="shared" si="340"/>
        <v>37145.640660084035</v>
      </c>
      <c r="AY182" s="109">
        <f t="shared" si="340"/>
        <v>37145.640660084035</v>
      </c>
      <c r="AZ182" s="109">
        <f t="shared" si="340"/>
        <v>37145.640660084035</v>
      </c>
      <c r="BA182" s="109">
        <f t="shared" si="340"/>
        <v>37145.640660084035</v>
      </c>
      <c r="BB182" s="109">
        <f t="shared" si="340"/>
        <v>37145.640660084035</v>
      </c>
      <c r="BC182" s="109">
        <f t="shared" si="340"/>
        <v>37145.640660084035</v>
      </c>
      <c r="BD182" s="109">
        <f t="shared" si="340"/>
        <v>37145.640660084035</v>
      </c>
      <c r="BE182" s="109">
        <f t="shared" si="340"/>
        <v>37145.640660084035</v>
      </c>
      <c r="BF182" s="109">
        <f t="shared" si="340"/>
        <v>37145.640660084035</v>
      </c>
      <c r="BG182" s="109">
        <f t="shared" si="340"/>
        <v>37145.640660084035</v>
      </c>
      <c r="BH182" s="109">
        <f t="shared" si="340"/>
        <v>36022.991134813201</v>
      </c>
      <c r="BI182" s="109">
        <f t="shared" si="340"/>
        <v>36022.991134813201</v>
      </c>
      <c r="BJ182" s="109">
        <f t="shared" si="340"/>
        <v>36022.991134813201</v>
      </c>
      <c r="BK182" s="109">
        <f t="shared" si="340"/>
        <v>36022.991134813201</v>
      </c>
      <c r="BL182" s="109">
        <f t="shared" si="340"/>
        <v>36022.991134813201</v>
      </c>
      <c r="BM182" s="109">
        <f t="shared" si="340"/>
        <v>36022.991134813201</v>
      </c>
      <c r="BN182" s="109">
        <f t="shared" si="340"/>
        <v>36022.991134813201</v>
      </c>
      <c r="BO182" s="109">
        <f t="shared" si="340"/>
        <v>36022.991134813201</v>
      </c>
      <c r="BP182" s="109">
        <f t="shared" si="340"/>
        <v>36022.991134813201</v>
      </c>
      <c r="BQ182" s="109">
        <f t="shared" si="340"/>
        <v>36022.991134813201</v>
      </c>
      <c r="BR182" s="109">
        <f t="shared" si="340"/>
        <v>36022.991134813201</v>
      </c>
      <c r="BS182" s="109">
        <f t="shared" si="340"/>
        <v>36022.991134813201</v>
      </c>
      <c r="BT182" s="109">
        <f t="shared" si="340"/>
        <v>36022.991134813201</v>
      </c>
    </row>
    <row r="183" spans="1:72" ht="18" customHeight="1" x14ac:dyDescent="0.25">
      <c r="A183" s="447" t="s">
        <v>36</v>
      </c>
      <c r="B183" s="425" t="s">
        <v>66</v>
      </c>
      <c r="C183" s="109">
        <f>'Taxes consommation- sommaire'!C93</f>
        <v>9492.7293167499993</v>
      </c>
      <c r="D183" s="109">
        <f>'Taxes consommation- sommaire'!D93</f>
        <v>9492.7293167499993</v>
      </c>
      <c r="E183" s="109">
        <f>'Taxes consommation- sommaire'!E93</f>
        <v>9492.7293167499993</v>
      </c>
      <c r="F183" s="109">
        <f>'Taxes consommation- sommaire'!F93</f>
        <v>25937.03</v>
      </c>
      <c r="G183" s="109">
        <f>'Taxes consommation- sommaire'!G93</f>
        <v>25937.03</v>
      </c>
      <c r="H183" s="109">
        <f>'Taxes consommation- sommaire'!H93</f>
        <v>25937.03</v>
      </c>
      <c r="I183" s="109">
        <f>'Taxes consommation- sommaire'!I93</f>
        <v>25937.03</v>
      </c>
      <c r="J183" s="109">
        <f>'Taxes consommation- sommaire'!J93</f>
        <v>33215.623739988121</v>
      </c>
      <c r="K183" s="109">
        <f>'Taxes consommation- sommaire'!K93</f>
        <v>33215.623739988121</v>
      </c>
      <c r="L183" s="281">
        <f>'Taxes consommation- sommaire'!L93</f>
        <v>54627.665046003676</v>
      </c>
      <c r="M183" s="127">
        <f>'Taxes consommation- sommaire'!M93</f>
        <v>54413.874163997214</v>
      </c>
      <c r="N183" s="127">
        <f>'Taxes consommation- sommaire'!N93</f>
        <v>66486.065324821451</v>
      </c>
      <c r="O183" s="127">
        <f>'Taxes consommation- sommaire'!O93</f>
        <v>66969.742076374183</v>
      </c>
      <c r="P183" s="146">
        <f>'Taxes consommation- sommaire'!P93</f>
        <v>67267.180570039578</v>
      </c>
      <c r="Q183" s="146">
        <f>'Taxes consommation- sommaire'!Q93</f>
        <v>68916.124025441139</v>
      </c>
      <c r="R183" s="146">
        <f>'Taxes consommation- sommaire'!R93</f>
        <v>69027.591188991166</v>
      </c>
      <c r="S183" s="146">
        <f>'Taxes consommation- sommaire'!S93</f>
        <v>68581.007109323924</v>
      </c>
      <c r="T183" s="146">
        <f>'Taxes consommation- sommaire'!T93</f>
        <v>68666.941330580827</v>
      </c>
      <c r="U183" s="146">
        <f>'Taxes consommation- sommaire'!U93</f>
        <v>69313.408417519735</v>
      </c>
      <c r="V183" s="146">
        <f>'Taxes consommation- sommaire'!V93</f>
        <v>69720.731847101852</v>
      </c>
      <c r="W183" s="146">
        <f>'Taxes consommation- sommaire'!W93</f>
        <v>69762.452130029866</v>
      </c>
      <c r="X183" s="146">
        <f>'Taxes consommation- sommaire'!X93</f>
        <v>69891.079929031781</v>
      </c>
      <c r="Y183" s="147">
        <f>'Taxes consommation- sommaire'!Y93</f>
        <v>52831.63</v>
      </c>
      <c r="Z183" s="146">
        <f>'Taxes consommation- sommaire'!Z93</f>
        <v>52831.63</v>
      </c>
      <c r="AA183" s="146">
        <f>'Taxes consommation- sommaire'!AA93</f>
        <v>52831.63</v>
      </c>
      <c r="AB183" s="146">
        <f>'Taxes consommation- sommaire'!AB93</f>
        <v>52831.63</v>
      </c>
      <c r="AC183" s="146">
        <f>'Taxes consommation- sommaire'!AC93</f>
        <v>52831.63</v>
      </c>
      <c r="AD183" s="146">
        <f>'Taxes consommation- sommaire'!AD93</f>
        <v>54708.92</v>
      </c>
      <c r="AE183" s="146">
        <f>'Taxes consommation- sommaire'!AE93</f>
        <v>55078.92</v>
      </c>
      <c r="AF183" s="146">
        <f>'Taxes consommation- sommaire'!AF93</f>
        <v>48282.12</v>
      </c>
      <c r="AG183" s="146">
        <f>'Taxes consommation- sommaire'!AG93</f>
        <v>48282.12</v>
      </c>
      <c r="AH183" s="146">
        <f>'Taxes consommation- sommaire'!AH93</f>
        <v>48282.12</v>
      </c>
      <c r="AI183" s="109">
        <f>'Taxes consommation- sommaire'!AI93</f>
        <v>34504.49</v>
      </c>
      <c r="AJ183" s="109">
        <f>'Taxes consommation- sommaire'!AJ93</f>
        <v>34504.49</v>
      </c>
      <c r="AK183" s="109">
        <f>'Taxes consommation- sommaire'!AK93</f>
        <v>34504.49</v>
      </c>
      <c r="AL183" s="109">
        <f>'Taxes consommation- sommaire'!AL93</f>
        <v>34504.49</v>
      </c>
      <c r="AM183" s="109">
        <f>'Taxes consommation- sommaire'!AM93</f>
        <v>34504.49</v>
      </c>
      <c r="AN183" s="109">
        <f>'Taxes consommation- sommaire'!AN93</f>
        <v>34534.699999999997</v>
      </c>
      <c r="AO183" s="109">
        <f>'Taxes consommation- sommaire'!AO93</f>
        <v>34534.699999999997</v>
      </c>
      <c r="AP183" s="109">
        <f>'Taxes consommation- sommaire'!AP93</f>
        <v>34534.699999999997</v>
      </c>
      <c r="AQ183" s="109">
        <f>'Taxes consommation- sommaire'!AQ93</f>
        <v>34534.699999999997</v>
      </c>
      <c r="AR183" s="109">
        <f>'Taxes consommation- sommaire'!AR93</f>
        <v>34534.699999999997</v>
      </c>
      <c r="AS183" s="109">
        <f>'Taxes consommation- sommaire'!AS93</f>
        <v>34515.35</v>
      </c>
      <c r="AT183" s="109">
        <f>'Taxes consommation- sommaire'!AT93</f>
        <v>34515.35</v>
      </c>
      <c r="AU183" s="109">
        <f>'Taxes consommation- sommaire'!AU93</f>
        <v>34515.35</v>
      </c>
      <c r="AV183" s="109">
        <f>'Taxes consommation- sommaire'!AV93</f>
        <v>34515.35</v>
      </c>
      <c r="AW183" s="109">
        <f>'Taxes consommation- sommaire'!AW93</f>
        <v>34515.35</v>
      </c>
      <c r="AX183" s="109">
        <f>'Taxes consommation- sommaire'!AX93</f>
        <v>34446.44</v>
      </c>
      <c r="AY183" s="109">
        <f>'Taxes consommation- sommaire'!AY93</f>
        <v>34446.44</v>
      </c>
      <c r="AZ183" s="109">
        <f>'Taxes consommation- sommaire'!AZ93</f>
        <v>34446.44</v>
      </c>
      <c r="BA183" s="109">
        <f>'Taxes consommation- sommaire'!BA93</f>
        <v>34446.44</v>
      </c>
      <c r="BB183" s="109">
        <f>'Taxes consommation- sommaire'!BB93</f>
        <v>34446.44</v>
      </c>
      <c r="BC183" s="109">
        <f>'Taxes consommation- sommaire'!BC93</f>
        <v>34327.97</v>
      </c>
      <c r="BD183" s="109">
        <f>'Taxes consommation- sommaire'!BD93</f>
        <v>34327.97</v>
      </c>
      <c r="BE183" s="109">
        <f>'Taxes consommation- sommaire'!BE93</f>
        <v>34327.97</v>
      </c>
      <c r="BF183" s="109">
        <f>'Taxes consommation- sommaire'!BF93</f>
        <v>34327.97</v>
      </c>
      <c r="BG183" s="109">
        <f>'Taxes consommation- sommaire'!BG93</f>
        <v>34327.97</v>
      </c>
      <c r="BH183" s="109">
        <f>'Taxes consommation- sommaire'!BH93</f>
        <v>34159.94</v>
      </c>
      <c r="BI183" s="109">
        <f>'Taxes consommation- sommaire'!BI93</f>
        <v>34159.94</v>
      </c>
      <c r="BJ183" s="109">
        <f>'Taxes consommation- sommaire'!BJ93</f>
        <v>34159.94</v>
      </c>
      <c r="BK183" s="109">
        <f>'Taxes consommation- sommaire'!BK93</f>
        <v>34159.94</v>
      </c>
      <c r="BL183" s="109">
        <f>'Taxes consommation- sommaire'!BL93</f>
        <v>34159.94</v>
      </c>
      <c r="BM183" s="109">
        <f>'Taxes consommation- sommaire'!BM93</f>
        <v>33942.35</v>
      </c>
      <c r="BN183" s="109">
        <f>'Taxes consommation- sommaire'!BN93</f>
        <v>33942.35</v>
      </c>
      <c r="BO183" s="109">
        <f>'Taxes consommation- sommaire'!BO93</f>
        <v>33942.35</v>
      </c>
      <c r="BP183" s="109">
        <f>'Taxes consommation- sommaire'!BP93</f>
        <v>33942.35</v>
      </c>
      <c r="BQ183" s="109">
        <f>'Taxes consommation- sommaire'!BQ93</f>
        <v>33942.35</v>
      </c>
      <c r="BR183" s="109">
        <f>'Taxes consommation- sommaire'!BR93</f>
        <v>33675.199999999997</v>
      </c>
      <c r="BS183" s="109">
        <f>'Taxes consommation- sommaire'!BS93</f>
        <v>33675.199999999997</v>
      </c>
      <c r="BT183" s="109">
        <f>'Taxes consommation- sommaire'!BT93</f>
        <v>33675.199999999997</v>
      </c>
    </row>
    <row r="184" spans="1:72" ht="18" customHeight="1" x14ac:dyDescent="0.25">
      <c r="A184" s="447"/>
      <c r="B184" s="425" t="s">
        <v>96</v>
      </c>
      <c r="C184" s="109">
        <f t="shared" ref="C184:H184" si="341">C98</f>
        <v>1749.0827361565744</v>
      </c>
      <c r="D184" s="109">
        <f t="shared" si="341"/>
        <v>1749.0827361565744</v>
      </c>
      <c r="E184" s="109">
        <f t="shared" si="341"/>
        <v>1749.0827361565744</v>
      </c>
      <c r="F184" s="109">
        <f t="shared" si="341"/>
        <v>0</v>
      </c>
      <c r="G184" s="109">
        <f t="shared" si="341"/>
        <v>0</v>
      </c>
      <c r="H184" s="109">
        <f t="shared" si="341"/>
        <v>0</v>
      </c>
      <c r="I184" s="109"/>
      <c r="J184" s="109"/>
      <c r="K184" s="109"/>
      <c r="L184" s="281"/>
      <c r="M184" s="127"/>
      <c r="N184" s="127"/>
      <c r="O184" s="127"/>
      <c r="P184" s="146"/>
      <c r="Q184" s="146"/>
      <c r="R184" s="146"/>
      <c r="S184" s="146"/>
      <c r="T184" s="146"/>
      <c r="U184" s="146"/>
      <c r="V184" s="146"/>
      <c r="W184" s="146"/>
      <c r="X184" s="146"/>
      <c r="Y184" s="147"/>
      <c r="Z184" s="146"/>
      <c r="AA184" s="146"/>
      <c r="AB184" s="146"/>
      <c r="AC184" s="146"/>
      <c r="AD184" s="146"/>
      <c r="AE184" s="146"/>
      <c r="AF184" s="244">
        <f>-C40</f>
        <v>-1749.0827361565744</v>
      </c>
      <c r="AG184" s="244">
        <f>AF184</f>
        <v>-1749.0827361565744</v>
      </c>
      <c r="AH184" s="244">
        <f>AG184</f>
        <v>-1749.0827361565744</v>
      </c>
      <c r="AI184" s="109"/>
      <c r="AJ184" s="109"/>
      <c r="AK184" s="109"/>
      <c r="AL184" s="109"/>
      <c r="AM184" s="109"/>
      <c r="AN184" s="109"/>
      <c r="AO184" s="109"/>
      <c r="AP184" s="109"/>
      <c r="AQ184" s="109"/>
      <c r="AR184" s="109"/>
      <c r="AS184" s="109"/>
      <c r="AT184" s="109"/>
      <c r="AU184" s="109"/>
      <c r="AV184" s="109"/>
      <c r="AW184" s="109"/>
      <c r="AX184" s="109"/>
      <c r="AY184" s="109"/>
      <c r="AZ184" s="109"/>
      <c r="BA184" s="109"/>
      <c r="BB184" s="109"/>
      <c r="BC184" s="109"/>
      <c r="BD184" s="109"/>
      <c r="BE184" s="109"/>
      <c r="BF184" s="109"/>
      <c r="BG184" s="109"/>
      <c r="BH184" s="109"/>
      <c r="BI184" s="109"/>
      <c r="BJ184" s="109"/>
      <c r="BK184" s="109"/>
      <c r="BL184" s="109"/>
      <c r="BM184" s="109"/>
      <c r="BN184" s="109"/>
      <c r="BO184" s="109"/>
      <c r="BP184" s="109"/>
      <c r="BQ184" s="109"/>
      <c r="BR184" s="109"/>
      <c r="BS184" s="109"/>
      <c r="BT184" s="109"/>
    </row>
    <row r="185" spans="1:72" ht="18" customHeight="1" x14ac:dyDescent="0.25">
      <c r="A185" s="447"/>
      <c r="B185" s="423" t="s">
        <v>39</v>
      </c>
      <c r="C185" s="109">
        <f>C182+C184-C183</f>
        <v>0</v>
      </c>
      <c r="D185" s="109">
        <f t="shared" ref="D185:BO185" si="342">D182+D184-D183</f>
        <v>0</v>
      </c>
      <c r="E185" s="109">
        <f t="shared" si="342"/>
        <v>0</v>
      </c>
      <c r="F185" s="109">
        <f t="shared" si="342"/>
        <v>1524.0629822399969</v>
      </c>
      <c r="G185" s="109">
        <f t="shared" si="342"/>
        <v>2176.6437345199993</v>
      </c>
      <c r="H185" s="109">
        <f t="shared" si="342"/>
        <v>2990.3209664400019</v>
      </c>
      <c r="I185" s="109">
        <f t="shared" si="342"/>
        <v>3623.4760842400028</v>
      </c>
      <c r="J185" s="109">
        <f t="shared" si="342"/>
        <v>-2941.4000515081207</v>
      </c>
      <c r="K185" s="109">
        <f t="shared" si="342"/>
        <v>-2316.4251805081185</v>
      </c>
      <c r="L185" s="281">
        <f t="shared" si="342"/>
        <v>12542.996773996347</v>
      </c>
      <c r="M185" s="127">
        <f t="shared" si="342"/>
        <v>11922.515487833152</v>
      </c>
      <c r="N185" s="127">
        <f t="shared" si="342"/>
        <v>-797.71905520603468</v>
      </c>
      <c r="O185" s="127">
        <f t="shared" si="342"/>
        <v>3244.4643254561961</v>
      </c>
      <c r="P185" s="146">
        <f t="shared" si="342"/>
        <v>4213.2954599604709</v>
      </c>
      <c r="Q185" s="146">
        <f t="shared" si="342"/>
        <v>3907.5807088892325</v>
      </c>
      <c r="R185" s="146">
        <f t="shared" si="342"/>
        <v>4373.683250339207</v>
      </c>
      <c r="S185" s="146">
        <f t="shared" si="342"/>
        <v>7407.4201150064619</v>
      </c>
      <c r="T185" s="146">
        <f t="shared" si="342"/>
        <v>6897.9863612495101</v>
      </c>
      <c r="U185" s="146">
        <f t="shared" si="342"/>
        <v>6842.61399431061</v>
      </c>
      <c r="V185" s="146">
        <f t="shared" si="342"/>
        <v>7026.3956822284963</v>
      </c>
      <c r="W185" s="146">
        <f t="shared" si="342"/>
        <v>7176.3344557533419</v>
      </c>
      <c r="X185" s="146">
        <f t="shared" si="342"/>
        <v>9262.4017742514261</v>
      </c>
      <c r="Y185" s="147">
        <f t="shared" ref="Y185:AD185" si="343">Y182-Y183</f>
        <v>-2547.2316345000072</v>
      </c>
      <c r="Z185" s="146">
        <f t="shared" si="343"/>
        <v>-2547.2316345000072</v>
      </c>
      <c r="AA185" s="146">
        <f t="shared" si="343"/>
        <v>-2547.2316345000072</v>
      </c>
      <c r="AB185" s="146">
        <f t="shared" si="343"/>
        <v>-2547.2316345000072</v>
      </c>
      <c r="AC185" s="146">
        <f t="shared" si="343"/>
        <v>-2547.2316345000072</v>
      </c>
      <c r="AD185" s="146">
        <f t="shared" si="343"/>
        <v>-4424.5216345000008</v>
      </c>
      <c r="AE185" s="146">
        <f>AE182-AE183</f>
        <v>-3953.3791344999991</v>
      </c>
      <c r="AF185" s="301">
        <f>AF182-AF183</f>
        <v>-7346.7133845000062</v>
      </c>
      <c r="AG185" s="301">
        <f>AG182-AG183</f>
        <v>-7346.7133845000062</v>
      </c>
      <c r="AH185" s="301">
        <f>AH182-AH183</f>
        <v>-7346.7133845000062</v>
      </c>
      <c r="AI185" s="109">
        <f t="shared" si="342"/>
        <v>1046.5011154999956</v>
      </c>
      <c r="AJ185" s="109">
        <f t="shared" si="342"/>
        <v>1046.5011154999956</v>
      </c>
      <c r="AK185" s="109">
        <f t="shared" si="342"/>
        <v>1046.5011154999956</v>
      </c>
      <c r="AL185" s="109">
        <f t="shared" si="342"/>
        <v>1046.5011154999956</v>
      </c>
      <c r="AM185" s="109">
        <f t="shared" si="342"/>
        <v>1046.5011154999956</v>
      </c>
      <c r="AN185" s="109">
        <f t="shared" si="342"/>
        <v>1016.2911154999965</v>
      </c>
      <c r="AO185" s="109">
        <f t="shared" si="342"/>
        <v>1016.2911154999965</v>
      </c>
      <c r="AP185" s="109">
        <f t="shared" si="342"/>
        <v>1016.2911154999965</v>
      </c>
      <c r="AQ185" s="109">
        <f t="shared" si="342"/>
        <v>1016.2911154999965</v>
      </c>
      <c r="AR185" s="109">
        <f t="shared" si="342"/>
        <v>1016.2911154999965</v>
      </c>
      <c r="AS185" s="109">
        <f t="shared" si="342"/>
        <v>-140.32400000000052</v>
      </c>
      <c r="AT185" s="109">
        <f t="shared" si="342"/>
        <v>4572.4466100840291</v>
      </c>
      <c r="AU185" s="109">
        <f t="shared" si="342"/>
        <v>4572.4466100840291</v>
      </c>
      <c r="AV185" s="109">
        <f t="shared" si="342"/>
        <v>4572.4466100840291</v>
      </c>
      <c r="AW185" s="109">
        <f t="shared" si="342"/>
        <v>4572.4466100840291</v>
      </c>
      <c r="AX185" s="109">
        <f t="shared" si="342"/>
        <v>2699.2006600840323</v>
      </c>
      <c r="AY185" s="109">
        <f t="shared" si="342"/>
        <v>2699.2006600840323</v>
      </c>
      <c r="AZ185" s="109">
        <f t="shared" si="342"/>
        <v>2699.2006600840323</v>
      </c>
      <c r="BA185" s="109">
        <f t="shared" si="342"/>
        <v>2699.2006600840323</v>
      </c>
      <c r="BB185" s="109">
        <f t="shared" si="342"/>
        <v>2699.2006600840323</v>
      </c>
      <c r="BC185" s="109">
        <f t="shared" si="342"/>
        <v>2817.6706600840334</v>
      </c>
      <c r="BD185" s="109">
        <f t="shared" si="342"/>
        <v>2817.6706600840334</v>
      </c>
      <c r="BE185" s="109">
        <f t="shared" si="342"/>
        <v>2817.6706600840334</v>
      </c>
      <c r="BF185" s="109">
        <f t="shared" si="342"/>
        <v>2817.6706600840334</v>
      </c>
      <c r="BG185" s="109">
        <f t="shared" si="342"/>
        <v>2817.6706600840334</v>
      </c>
      <c r="BH185" s="109">
        <f t="shared" si="342"/>
        <v>1863.0511348131986</v>
      </c>
      <c r="BI185" s="109">
        <f t="shared" si="342"/>
        <v>1863.0511348131986</v>
      </c>
      <c r="BJ185" s="109">
        <f t="shared" si="342"/>
        <v>1863.0511348131986</v>
      </c>
      <c r="BK185" s="109">
        <f t="shared" si="342"/>
        <v>1863.0511348131986</v>
      </c>
      <c r="BL185" s="109">
        <f t="shared" si="342"/>
        <v>1863.0511348131986</v>
      </c>
      <c r="BM185" s="109">
        <f t="shared" si="342"/>
        <v>2080.6411348132024</v>
      </c>
      <c r="BN185" s="109">
        <f t="shared" si="342"/>
        <v>2080.6411348132024</v>
      </c>
      <c r="BO185" s="109">
        <f t="shared" si="342"/>
        <v>2080.6411348132024</v>
      </c>
      <c r="BP185" s="109">
        <f t="shared" ref="BP185:BT185" si="344">BP182+BP184-BP183</f>
        <v>2080.6411348132024</v>
      </c>
      <c r="BQ185" s="109">
        <f t="shared" si="344"/>
        <v>2080.6411348132024</v>
      </c>
      <c r="BR185" s="109">
        <f t="shared" si="344"/>
        <v>2347.7911348132038</v>
      </c>
      <c r="BS185" s="109">
        <f t="shared" si="344"/>
        <v>2347.7911348132038</v>
      </c>
      <c r="BT185" s="109">
        <f t="shared" si="344"/>
        <v>2347.7911348132038</v>
      </c>
    </row>
    <row r="186" spans="1:72" ht="18" customHeight="1" x14ac:dyDescent="0.25">
      <c r="A186" s="448"/>
      <c r="B186" s="423" t="s">
        <v>97</v>
      </c>
      <c r="C186" s="191">
        <f>C185</f>
        <v>0</v>
      </c>
      <c r="D186" s="191">
        <f>C186+D185</f>
        <v>0</v>
      </c>
      <c r="E186" s="191">
        <f t="shared" ref="E186:BP186" si="345">D186+E185</f>
        <v>0</v>
      </c>
      <c r="F186" s="191">
        <f t="shared" si="345"/>
        <v>1524.0629822399969</v>
      </c>
      <c r="G186" s="191">
        <f t="shared" si="345"/>
        <v>3700.7067167599962</v>
      </c>
      <c r="H186" s="191">
        <f t="shared" si="345"/>
        <v>6691.0276831999981</v>
      </c>
      <c r="I186" s="109">
        <f t="shared" si="345"/>
        <v>10314.503767440001</v>
      </c>
      <c r="J186" s="109">
        <f t="shared" si="345"/>
        <v>7373.1037159318803</v>
      </c>
      <c r="K186" s="109">
        <f t="shared" si="345"/>
        <v>5056.6785354237618</v>
      </c>
      <c r="L186" s="309">
        <f t="shared" si="345"/>
        <v>17599.675309420109</v>
      </c>
      <c r="M186" s="127">
        <f t="shared" si="345"/>
        <v>29522.190797253261</v>
      </c>
      <c r="N186" s="127">
        <f t="shared" si="345"/>
        <v>28724.471742047226</v>
      </c>
      <c r="O186" s="127">
        <f t="shared" si="345"/>
        <v>31968.936067503422</v>
      </c>
      <c r="P186" s="146">
        <f t="shared" si="345"/>
        <v>36182.231527463897</v>
      </c>
      <c r="Q186" s="146">
        <f t="shared" si="345"/>
        <v>40089.812236353129</v>
      </c>
      <c r="R186" s="146">
        <f t="shared" si="345"/>
        <v>44463.495486692336</v>
      </c>
      <c r="S186" s="146">
        <f t="shared" si="345"/>
        <v>51870.915601698798</v>
      </c>
      <c r="T186" s="146">
        <f t="shared" si="345"/>
        <v>58768.901962948308</v>
      </c>
      <c r="U186" s="146">
        <f t="shared" si="345"/>
        <v>65611.515957258918</v>
      </c>
      <c r="V186" s="146">
        <f t="shared" si="345"/>
        <v>72637.911639487415</v>
      </c>
      <c r="W186" s="146">
        <f t="shared" si="345"/>
        <v>79814.246095240756</v>
      </c>
      <c r="X186" s="146">
        <f t="shared" si="345"/>
        <v>89076.647869492183</v>
      </c>
      <c r="Y186" s="147">
        <f>X186/2+Y185</f>
        <v>41991.092300246084</v>
      </c>
      <c r="Z186" s="146">
        <f t="shared" si="345"/>
        <v>39443.860665746077</v>
      </c>
      <c r="AA186" s="146">
        <f t="shared" si="345"/>
        <v>36896.62903124607</v>
      </c>
      <c r="AB186" s="146">
        <f t="shared" si="345"/>
        <v>34349.397396746062</v>
      </c>
      <c r="AC186" s="146">
        <f t="shared" si="345"/>
        <v>31802.165762246055</v>
      </c>
      <c r="AD186" s="146">
        <f t="shared" si="345"/>
        <v>27377.644127746054</v>
      </c>
      <c r="AE186" s="146">
        <f t="shared" si="345"/>
        <v>23424.264993246055</v>
      </c>
      <c r="AF186" s="146">
        <f t="shared" ref="AF186" si="346">AE186+AF185</f>
        <v>16077.551608746049</v>
      </c>
      <c r="AG186" s="146">
        <f t="shared" ref="AG186" si="347">AF186+AG185</f>
        <v>8730.838224246043</v>
      </c>
      <c r="AH186" s="146">
        <f t="shared" ref="AH186" si="348">AG186+AH185</f>
        <v>1384.1248397460367</v>
      </c>
      <c r="AI186" s="109">
        <f t="shared" si="345"/>
        <v>2430.6259552460324</v>
      </c>
      <c r="AJ186" s="109">
        <f t="shared" si="345"/>
        <v>3477.127070746028</v>
      </c>
      <c r="AK186" s="109">
        <f t="shared" si="345"/>
        <v>4523.6281862460237</v>
      </c>
      <c r="AL186" s="109">
        <f t="shared" si="345"/>
        <v>5570.1293017460193</v>
      </c>
      <c r="AM186" s="109">
        <f t="shared" si="345"/>
        <v>6616.630417246015</v>
      </c>
      <c r="AN186" s="109">
        <f t="shared" si="345"/>
        <v>7632.9215327460115</v>
      </c>
      <c r="AO186" s="109">
        <f t="shared" si="345"/>
        <v>8649.212648246008</v>
      </c>
      <c r="AP186" s="109">
        <f t="shared" si="345"/>
        <v>9665.5037637460046</v>
      </c>
      <c r="AQ186" s="109">
        <f t="shared" si="345"/>
        <v>10681.794879246001</v>
      </c>
      <c r="AR186" s="109">
        <f t="shared" si="345"/>
        <v>11698.085994745998</v>
      </c>
      <c r="AS186" s="109">
        <f t="shared" si="345"/>
        <v>11557.761994745997</v>
      </c>
      <c r="AT186" s="109">
        <f t="shared" si="345"/>
        <v>16130.208604830026</v>
      </c>
      <c r="AU186" s="109">
        <f t="shared" si="345"/>
        <v>20702.655214914055</v>
      </c>
      <c r="AV186" s="109">
        <f t="shared" si="345"/>
        <v>25275.101824998084</v>
      </c>
      <c r="AW186" s="109">
        <f t="shared" si="345"/>
        <v>29847.548435082113</v>
      </c>
      <c r="AX186" s="109">
        <f t="shared" si="345"/>
        <v>32546.749095166146</v>
      </c>
      <c r="AY186" s="109">
        <f t="shared" si="345"/>
        <v>35245.949755250178</v>
      </c>
      <c r="AZ186" s="109">
        <f t="shared" si="345"/>
        <v>37945.15041533421</v>
      </c>
      <c r="BA186" s="109">
        <f t="shared" si="345"/>
        <v>40644.351075418243</v>
      </c>
      <c r="BB186" s="109">
        <f t="shared" si="345"/>
        <v>43343.551735502275</v>
      </c>
      <c r="BC186" s="109">
        <f t="shared" si="345"/>
        <v>46161.222395586308</v>
      </c>
      <c r="BD186" s="109">
        <f t="shared" si="345"/>
        <v>48978.893055670342</v>
      </c>
      <c r="BE186" s="109">
        <f t="shared" si="345"/>
        <v>51796.563715754375</v>
      </c>
      <c r="BF186" s="109">
        <f t="shared" si="345"/>
        <v>54614.234375838409</v>
      </c>
      <c r="BG186" s="109">
        <f t="shared" si="345"/>
        <v>57431.905035922442</v>
      </c>
      <c r="BH186" s="109">
        <f t="shared" si="345"/>
        <v>59294.956170735641</v>
      </c>
      <c r="BI186" s="109">
        <f t="shared" si="345"/>
        <v>61158.007305548839</v>
      </c>
      <c r="BJ186" s="109">
        <f t="shared" si="345"/>
        <v>63021.058440362038</v>
      </c>
      <c r="BK186" s="109">
        <f t="shared" si="345"/>
        <v>64884.109575175236</v>
      </c>
      <c r="BL186" s="109">
        <f t="shared" si="345"/>
        <v>66747.160709988442</v>
      </c>
      <c r="BM186" s="109">
        <f t="shared" si="345"/>
        <v>68827.801844801637</v>
      </c>
      <c r="BN186" s="109">
        <f t="shared" si="345"/>
        <v>70908.442979614832</v>
      </c>
      <c r="BO186" s="109">
        <f t="shared" si="345"/>
        <v>72989.084114428028</v>
      </c>
      <c r="BP186" s="109">
        <f t="shared" si="345"/>
        <v>75069.725249241223</v>
      </c>
      <c r="BQ186" s="109">
        <f t="shared" ref="BQ186:BT186" si="349">BP186+BQ185</f>
        <v>77150.366384054418</v>
      </c>
      <c r="BR186" s="109">
        <f t="shared" si="349"/>
        <v>79498.157518867622</v>
      </c>
      <c r="BS186" s="109">
        <f t="shared" si="349"/>
        <v>81845.948653680825</v>
      </c>
      <c r="BT186" s="271">
        <f t="shared" si="349"/>
        <v>84193.739788494029</v>
      </c>
    </row>
    <row r="187" spans="1:72" x14ac:dyDescent="0.25">
      <c r="B187" s="423" t="s">
        <v>41</v>
      </c>
      <c r="C187" s="109" t="s">
        <v>42</v>
      </c>
      <c r="D187" s="109" t="s">
        <v>42</v>
      </c>
      <c r="E187" s="109" t="s">
        <v>42</v>
      </c>
      <c r="F187" s="109" t="s">
        <v>43</v>
      </c>
      <c r="G187" s="109" t="s">
        <v>44</v>
      </c>
      <c r="H187" s="109" t="s">
        <v>44</v>
      </c>
      <c r="I187" s="109" t="s">
        <v>44</v>
      </c>
      <c r="J187" s="109" t="s">
        <v>44</v>
      </c>
      <c r="K187" s="109" t="s">
        <v>44</v>
      </c>
      <c r="L187" s="281" t="s">
        <v>69</v>
      </c>
      <c r="M187" s="127" t="s">
        <v>44</v>
      </c>
      <c r="N187" s="127" t="s">
        <v>70</v>
      </c>
      <c r="O187" s="127" t="s">
        <v>44</v>
      </c>
      <c r="P187" s="146" t="s">
        <v>44</v>
      </c>
      <c r="Q187" s="146" t="s">
        <v>44</v>
      </c>
      <c r="R187" s="146" t="s">
        <v>44</v>
      </c>
      <c r="S187" s="146" t="s">
        <v>44</v>
      </c>
      <c r="T187" s="146" t="s">
        <v>44</v>
      </c>
      <c r="U187" s="146" t="s">
        <v>44</v>
      </c>
      <c r="V187" s="146" t="s">
        <v>44</v>
      </c>
      <c r="W187" s="146" t="s">
        <v>44</v>
      </c>
      <c r="X187" s="146" t="s">
        <v>44</v>
      </c>
      <c r="Y187" s="266" t="s">
        <v>98</v>
      </c>
      <c r="Z187" s="146" t="s">
        <v>44</v>
      </c>
      <c r="AA187" s="146" t="s">
        <v>44</v>
      </c>
      <c r="AB187" s="146" t="s">
        <v>44</v>
      </c>
      <c r="AC187" s="146" t="s">
        <v>44</v>
      </c>
      <c r="AD187" s="146" t="s">
        <v>44</v>
      </c>
      <c r="AE187" s="146" t="s">
        <v>44</v>
      </c>
      <c r="AF187" s="146" t="s">
        <v>44</v>
      </c>
      <c r="AG187" s="146" t="s">
        <v>44</v>
      </c>
      <c r="AH187" s="146" t="s">
        <v>44</v>
      </c>
      <c r="AI187" s="109" t="s">
        <v>44</v>
      </c>
      <c r="AJ187" s="109" t="s">
        <v>44</v>
      </c>
      <c r="AK187" s="109" t="s">
        <v>44</v>
      </c>
      <c r="AL187" s="109" t="s">
        <v>44</v>
      </c>
      <c r="AM187" s="109" t="s">
        <v>44</v>
      </c>
      <c r="AN187" s="109" t="s">
        <v>44</v>
      </c>
      <c r="AO187" s="109" t="s">
        <v>44</v>
      </c>
      <c r="AP187" s="109" t="s">
        <v>44</v>
      </c>
      <c r="AQ187" s="109" t="s">
        <v>44</v>
      </c>
      <c r="AR187" s="109" t="s">
        <v>44</v>
      </c>
      <c r="AS187" s="109" t="s">
        <v>45</v>
      </c>
      <c r="AT187" s="109" t="s">
        <v>45</v>
      </c>
      <c r="AU187" s="109" t="s">
        <v>45</v>
      </c>
      <c r="AV187" s="109" t="s">
        <v>45</v>
      </c>
      <c r="AW187" s="109" t="s">
        <v>45</v>
      </c>
      <c r="AX187" s="109" t="s">
        <v>45</v>
      </c>
      <c r="AY187" s="109" t="s">
        <v>45</v>
      </c>
      <c r="AZ187" s="109" t="s">
        <v>45</v>
      </c>
      <c r="BA187" s="109" t="s">
        <v>45</v>
      </c>
      <c r="BB187" s="109" t="s">
        <v>45</v>
      </c>
      <c r="BC187" s="109" t="s">
        <v>45</v>
      </c>
      <c r="BD187" s="109" t="s">
        <v>45</v>
      </c>
      <c r="BE187" s="109" t="s">
        <v>45</v>
      </c>
      <c r="BF187" s="109" t="s">
        <v>45</v>
      </c>
      <c r="BG187" s="109" t="s">
        <v>45</v>
      </c>
      <c r="BH187" s="109" t="s">
        <v>45</v>
      </c>
      <c r="BI187" s="109" t="s">
        <v>45</v>
      </c>
      <c r="BJ187" s="109" t="s">
        <v>45</v>
      </c>
      <c r="BK187" s="109" t="s">
        <v>45</v>
      </c>
      <c r="BL187" s="109" t="s">
        <v>45</v>
      </c>
      <c r="BM187" s="109" t="s">
        <v>45</v>
      </c>
      <c r="BN187" s="109" t="s">
        <v>45</v>
      </c>
      <c r="BO187" s="109" t="s">
        <v>45</v>
      </c>
      <c r="BP187" s="109" t="s">
        <v>45</v>
      </c>
      <c r="BQ187" s="109" t="s">
        <v>45</v>
      </c>
      <c r="BR187" s="109" t="s">
        <v>45</v>
      </c>
      <c r="BS187" s="109" t="s">
        <v>45</v>
      </c>
      <c r="BT187" s="109" t="s">
        <v>46</v>
      </c>
    </row>
    <row r="188" spans="1:72" s="430" customFormat="1" x14ac:dyDescent="0.25">
      <c r="B188" s="430" t="s">
        <v>1102</v>
      </c>
      <c r="C188" s="431">
        <f>C148</f>
        <v>7529.356580593425</v>
      </c>
      <c r="D188" s="431">
        <f t="shared" ref="D188:E188" si="350">D148</f>
        <v>7529.356580593425</v>
      </c>
      <c r="E188" s="431">
        <f t="shared" si="350"/>
        <v>7529.356580593425</v>
      </c>
    </row>
    <row r="189" spans="1:72" s="430" customFormat="1" x14ac:dyDescent="0.25">
      <c r="B189" s="430" t="s">
        <v>1101</v>
      </c>
      <c r="C189" s="431"/>
      <c r="D189" s="431"/>
      <c r="E189" s="431"/>
      <c r="F189" s="431">
        <f t="shared" ref="F189:K189" si="351">F148</f>
        <v>35302</v>
      </c>
      <c r="G189" s="431">
        <f t="shared" si="351"/>
        <v>36471</v>
      </c>
      <c r="H189" s="431">
        <f t="shared" si="351"/>
        <v>37987</v>
      </c>
      <c r="I189" s="431">
        <f t="shared" si="351"/>
        <v>39302</v>
      </c>
      <c r="J189" s="431">
        <f t="shared" si="351"/>
        <v>40854</v>
      </c>
      <c r="K189" s="431">
        <f t="shared" si="351"/>
        <v>42279</v>
      </c>
      <c r="L189" s="431"/>
      <c r="M189" s="431"/>
      <c r="N189" s="431"/>
      <c r="O189" s="431"/>
      <c r="P189" s="431"/>
      <c r="Q189" s="431"/>
      <c r="R189" s="431"/>
      <c r="S189" s="431"/>
      <c r="T189" s="431"/>
      <c r="U189" s="431"/>
      <c r="V189" s="431"/>
      <c r="W189" s="431"/>
      <c r="X189" s="431"/>
      <c r="Y189" s="435"/>
      <c r="Z189" s="431"/>
      <c r="AA189" s="431"/>
      <c r="AB189" s="431"/>
      <c r="AC189" s="431"/>
      <c r="AD189" s="431"/>
      <c r="AE189" s="431"/>
      <c r="AF189" s="431">
        <f t="shared" ref="AF189:AR189" si="352">AF148</f>
        <v>52963</v>
      </c>
      <c r="AG189" s="431">
        <f t="shared" si="352"/>
        <v>52963</v>
      </c>
      <c r="AH189" s="431">
        <f t="shared" si="352"/>
        <v>52963</v>
      </c>
      <c r="AI189" s="431">
        <f t="shared" si="352"/>
        <v>52963</v>
      </c>
      <c r="AJ189" s="431">
        <f t="shared" si="352"/>
        <v>52963</v>
      </c>
      <c r="AK189" s="431">
        <f t="shared" si="352"/>
        <v>52963</v>
      </c>
      <c r="AL189" s="431">
        <f t="shared" si="352"/>
        <v>52963</v>
      </c>
      <c r="AM189" s="431">
        <f t="shared" si="352"/>
        <v>52963</v>
      </c>
      <c r="AN189" s="431">
        <f t="shared" si="352"/>
        <v>52963</v>
      </c>
      <c r="AO189" s="431">
        <f t="shared" si="352"/>
        <v>52963</v>
      </c>
      <c r="AP189" s="431">
        <f t="shared" si="352"/>
        <v>52963</v>
      </c>
      <c r="AQ189" s="431">
        <f t="shared" si="352"/>
        <v>52963</v>
      </c>
      <c r="AR189" s="431">
        <f t="shared" si="352"/>
        <v>52963</v>
      </c>
      <c r="AS189" s="431"/>
      <c r="AT189" s="431"/>
      <c r="AU189" s="431"/>
      <c r="AV189" s="431"/>
      <c r="AW189" s="431"/>
      <c r="AX189" s="431"/>
      <c r="AY189" s="431"/>
      <c r="AZ189" s="431"/>
      <c r="BA189" s="431"/>
      <c r="BB189" s="431"/>
      <c r="BC189" s="431"/>
      <c r="BD189" s="431"/>
      <c r="BE189" s="431"/>
      <c r="BF189" s="431"/>
      <c r="BG189" s="431"/>
      <c r="BH189" s="431"/>
      <c r="BI189" s="431"/>
      <c r="BJ189" s="431"/>
      <c r="BK189" s="431"/>
      <c r="BL189" s="431"/>
      <c r="BM189" s="431"/>
      <c r="BN189" s="431"/>
      <c r="BO189" s="431"/>
      <c r="BP189" s="431"/>
      <c r="BQ189" s="431"/>
      <c r="BR189" s="431"/>
      <c r="BS189" s="431"/>
      <c r="BT189" s="431"/>
    </row>
    <row r="190" spans="1:72" s="430" customFormat="1" x14ac:dyDescent="0.25">
      <c r="B190" s="430" t="s">
        <v>1100</v>
      </c>
      <c r="C190" s="431"/>
      <c r="D190" s="431"/>
      <c r="E190" s="431"/>
      <c r="F190" s="431"/>
      <c r="G190" s="431"/>
      <c r="H190" s="431"/>
      <c r="I190" s="431"/>
      <c r="J190" s="431"/>
      <c r="K190" s="431"/>
      <c r="L190" s="431">
        <f>L148</f>
        <v>93442.99000000002</v>
      </c>
      <c r="M190" s="431">
        <f>M148</f>
        <v>96066.64800000003</v>
      </c>
      <c r="N190" s="431"/>
      <c r="O190" s="431"/>
      <c r="P190" s="431"/>
      <c r="Q190" s="431"/>
      <c r="R190" s="431"/>
      <c r="S190" s="431"/>
      <c r="T190" s="431"/>
      <c r="U190" s="431"/>
      <c r="V190" s="431"/>
      <c r="W190" s="431"/>
      <c r="X190" s="431"/>
      <c r="Y190" s="435"/>
      <c r="Z190" s="431"/>
      <c r="AA190" s="431"/>
      <c r="AB190" s="431"/>
      <c r="AC190" s="431"/>
      <c r="AD190" s="431"/>
      <c r="AE190" s="431"/>
      <c r="AF190" s="431"/>
      <c r="AG190" s="431"/>
      <c r="AH190" s="431"/>
      <c r="AI190" s="431"/>
      <c r="AJ190" s="431"/>
      <c r="AK190" s="431"/>
      <c r="AL190" s="431"/>
      <c r="AM190" s="431"/>
      <c r="AN190" s="431"/>
      <c r="AO190" s="431"/>
      <c r="AP190" s="431"/>
      <c r="AQ190" s="431"/>
      <c r="AR190" s="431"/>
      <c r="AS190" s="431"/>
      <c r="AT190" s="431"/>
      <c r="AU190" s="431"/>
      <c r="AV190" s="431"/>
      <c r="AW190" s="431"/>
      <c r="AX190" s="431"/>
      <c r="AY190" s="431"/>
      <c r="AZ190" s="431"/>
      <c r="BA190" s="431"/>
      <c r="BB190" s="431"/>
      <c r="BC190" s="431"/>
      <c r="BD190" s="431"/>
      <c r="BE190" s="431"/>
      <c r="BF190" s="431"/>
      <c r="BG190" s="431"/>
      <c r="BH190" s="431"/>
      <c r="BI190" s="431"/>
      <c r="BJ190" s="431"/>
      <c r="BK190" s="431"/>
      <c r="BL190" s="431"/>
      <c r="BM190" s="431"/>
      <c r="BN190" s="431"/>
      <c r="BO190" s="431"/>
      <c r="BP190" s="431"/>
      <c r="BQ190" s="431"/>
      <c r="BR190" s="431"/>
      <c r="BS190" s="431"/>
      <c r="BT190" s="431"/>
    </row>
    <row r="191" spans="1:72" s="430" customFormat="1" x14ac:dyDescent="0.25">
      <c r="B191" s="430" t="s">
        <v>1099</v>
      </c>
      <c r="C191" s="431"/>
      <c r="D191" s="431"/>
      <c r="E191" s="431"/>
      <c r="F191" s="431"/>
      <c r="G191" s="431"/>
      <c r="H191" s="431"/>
      <c r="I191" s="431"/>
      <c r="J191" s="431"/>
      <c r="K191" s="431"/>
      <c r="L191" s="431"/>
      <c r="M191" s="431"/>
      <c r="N191" s="431">
        <f t="shared" ref="N191:X191" si="353">N148</f>
        <v>48147.687884615414</v>
      </c>
      <c r="O191" s="431">
        <f t="shared" si="353"/>
        <v>101551.96400000004</v>
      </c>
      <c r="P191" s="431">
        <f t="shared" si="353"/>
        <v>104413.62200000003</v>
      </c>
      <c r="Q191" s="431">
        <f t="shared" si="353"/>
        <v>107385.28000000003</v>
      </c>
      <c r="R191" s="431">
        <f t="shared" si="353"/>
        <v>108383.93800000002</v>
      </c>
      <c r="S191" s="431">
        <f t="shared" si="353"/>
        <v>109382.59600000003</v>
      </c>
      <c r="T191" s="431">
        <f t="shared" si="353"/>
        <v>110381.254</v>
      </c>
      <c r="U191" s="431">
        <f t="shared" si="353"/>
        <v>111379.91200000001</v>
      </c>
      <c r="V191" s="431">
        <f t="shared" si="353"/>
        <v>112378.57</v>
      </c>
      <c r="W191" s="431">
        <f t="shared" si="353"/>
        <v>113377.228</v>
      </c>
      <c r="X191" s="431">
        <f t="shared" si="353"/>
        <v>114375.88600000001</v>
      </c>
      <c r="Y191" s="435"/>
      <c r="Z191" s="431"/>
      <c r="AA191" s="431"/>
      <c r="AB191" s="431"/>
      <c r="AC191" s="431"/>
      <c r="AD191" s="431"/>
      <c r="AE191" s="431"/>
      <c r="AF191" s="431"/>
      <c r="AG191" s="431"/>
      <c r="AH191" s="431"/>
      <c r="AI191" s="431"/>
      <c r="AJ191" s="431"/>
      <c r="AK191" s="431"/>
      <c r="AL191" s="431"/>
      <c r="AM191" s="431"/>
      <c r="AN191" s="431"/>
      <c r="AO191" s="431"/>
      <c r="AP191" s="431"/>
      <c r="AQ191" s="431"/>
      <c r="AR191" s="431"/>
      <c r="AS191" s="431"/>
      <c r="AT191" s="431"/>
      <c r="AU191" s="431"/>
      <c r="AV191" s="431"/>
      <c r="AW191" s="431"/>
      <c r="AX191" s="431"/>
      <c r="AY191" s="431"/>
      <c r="AZ191" s="431"/>
      <c r="BA191" s="431"/>
      <c r="BB191" s="431"/>
      <c r="BC191" s="431"/>
      <c r="BD191" s="431"/>
      <c r="BE191" s="431"/>
      <c r="BF191" s="431"/>
      <c r="BG191" s="431"/>
      <c r="BH191" s="431"/>
      <c r="BI191" s="431"/>
      <c r="BJ191" s="431"/>
      <c r="BK191" s="431"/>
      <c r="BL191" s="431"/>
      <c r="BM191" s="431"/>
      <c r="BN191" s="431"/>
      <c r="BO191" s="431"/>
      <c r="BP191" s="431"/>
      <c r="BQ191" s="431"/>
      <c r="BR191" s="431"/>
      <c r="BS191" s="431"/>
      <c r="BT191" s="431"/>
    </row>
    <row r="192" spans="1:72" s="430" customFormat="1" x14ac:dyDescent="0.25">
      <c r="B192" s="430" t="s">
        <v>1098</v>
      </c>
      <c r="C192" s="431"/>
      <c r="D192" s="431"/>
      <c r="E192" s="431"/>
      <c r="F192" s="431"/>
      <c r="G192" s="431"/>
      <c r="H192" s="431"/>
      <c r="I192" s="431"/>
      <c r="J192" s="431"/>
      <c r="K192" s="431"/>
      <c r="L192" s="431"/>
      <c r="M192" s="431"/>
      <c r="N192" s="431"/>
      <c r="O192" s="431"/>
      <c r="P192" s="431"/>
      <c r="Q192" s="431"/>
      <c r="R192" s="431"/>
      <c r="S192" s="431"/>
      <c r="T192" s="431"/>
      <c r="U192" s="431"/>
      <c r="V192" s="431"/>
      <c r="W192" s="431"/>
      <c r="X192" s="431"/>
      <c r="Y192" s="431">
        <f t="shared" ref="Y192:AE192" si="354">Y148</f>
        <v>52963</v>
      </c>
      <c r="Z192" s="431">
        <f t="shared" si="354"/>
        <v>52963</v>
      </c>
      <c r="AA192" s="431">
        <f t="shared" si="354"/>
        <v>52963</v>
      </c>
      <c r="AB192" s="431">
        <f t="shared" si="354"/>
        <v>52963</v>
      </c>
      <c r="AC192" s="431">
        <f t="shared" si="354"/>
        <v>52963</v>
      </c>
      <c r="AD192" s="431">
        <f t="shared" si="354"/>
        <v>52963</v>
      </c>
      <c r="AE192" s="431">
        <f t="shared" si="354"/>
        <v>52963</v>
      </c>
      <c r="AF192" s="431"/>
      <c r="AG192" s="431"/>
      <c r="AH192" s="431"/>
      <c r="AI192" s="431"/>
      <c r="AJ192" s="431"/>
      <c r="AK192" s="431"/>
      <c r="AL192" s="431"/>
      <c r="AM192" s="431"/>
      <c r="AN192" s="431"/>
      <c r="AO192" s="431"/>
      <c r="AP192" s="431"/>
      <c r="AQ192" s="431"/>
      <c r="AR192" s="431"/>
      <c r="AS192" s="431"/>
      <c r="AT192" s="431"/>
      <c r="AU192" s="431"/>
      <c r="AV192" s="431"/>
      <c r="AW192" s="431"/>
      <c r="AX192" s="431"/>
      <c r="AY192" s="431"/>
      <c r="AZ192" s="431"/>
      <c r="BA192" s="431"/>
      <c r="BB192" s="431"/>
      <c r="BC192" s="431"/>
      <c r="BD192" s="431"/>
      <c r="BE192" s="431"/>
      <c r="BF192" s="431"/>
      <c r="BG192" s="431"/>
      <c r="BH192" s="431"/>
      <c r="BI192" s="431"/>
      <c r="BJ192" s="431"/>
      <c r="BK192" s="431"/>
      <c r="BL192" s="431"/>
      <c r="BM192" s="431"/>
      <c r="BN192" s="431"/>
      <c r="BO192" s="431"/>
      <c r="BP192" s="431"/>
      <c r="BQ192" s="431"/>
      <c r="BR192" s="431"/>
      <c r="BS192" s="431"/>
      <c r="BT192" s="431"/>
    </row>
    <row r="193" spans="2:72" s="430" customFormat="1" x14ac:dyDescent="0.25">
      <c r="B193" s="430" t="s">
        <v>1095</v>
      </c>
      <c r="C193" s="431"/>
      <c r="D193" s="431"/>
      <c r="E193" s="431"/>
      <c r="F193" s="431"/>
      <c r="G193" s="431"/>
      <c r="H193" s="431"/>
      <c r="I193" s="431"/>
      <c r="J193" s="431"/>
      <c r="K193" s="431"/>
      <c r="L193" s="431"/>
      <c r="M193" s="431"/>
      <c r="N193" s="431"/>
      <c r="O193" s="431"/>
      <c r="P193" s="431"/>
      <c r="Q193" s="431"/>
      <c r="R193" s="431"/>
      <c r="S193" s="431"/>
      <c r="T193" s="431"/>
      <c r="U193" s="431"/>
      <c r="V193" s="431"/>
      <c r="W193" s="431"/>
      <c r="X193" s="431"/>
      <c r="Y193" s="435"/>
      <c r="Z193" s="431"/>
      <c r="AA193" s="431"/>
      <c r="AB193" s="431"/>
      <c r="AC193" s="431"/>
      <c r="AD193" s="431"/>
      <c r="AE193" s="431"/>
      <c r="AF193" s="431"/>
      <c r="AG193" s="431"/>
      <c r="AH193" s="431"/>
      <c r="AI193" s="431"/>
      <c r="AJ193" s="431"/>
      <c r="AK193" s="431"/>
      <c r="AL193" s="431"/>
      <c r="AM193" s="431"/>
      <c r="AN193" s="431"/>
      <c r="AO193" s="431"/>
      <c r="AP193" s="431"/>
      <c r="AQ193" s="431"/>
      <c r="AR193" s="431"/>
      <c r="AS193" s="431"/>
      <c r="AT193" s="431"/>
      <c r="AU193" s="431"/>
      <c r="AV193" s="431"/>
      <c r="AW193" s="431"/>
      <c r="AX193" s="431"/>
      <c r="AY193" s="431"/>
      <c r="AZ193" s="431"/>
      <c r="BA193" s="431"/>
      <c r="BB193" s="431"/>
      <c r="BC193" s="431"/>
      <c r="BD193" s="431"/>
      <c r="BE193" s="431"/>
      <c r="BF193" s="431"/>
      <c r="BG193" s="431"/>
      <c r="BH193" s="431"/>
      <c r="BI193" s="431"/>
      <c r="BJ193" s="431"/>
      <c r="BK193" s="431"/>
      <c r="BL193" s="431"/>
      <c r="BM193" s="431"/>
      <c r="BN193" s="431"/>
      <c r="BO193" s="431"/>
      <c r="BP193" s="431"/>
      <c r="BQ193" s="431"/>
      <c r="BR193" s="431"/>
      <c r="BS193" s="431"/>
      <c r="BT193" s="431"/>
    </row>
    <row r="194" spans="2:72" s="430" customFormat="1" x14ac:dyDescent="0.25">
      <c r="B194" s="430" t="s">
        <v>1097</v>
      </c>
      <c r="C194" s="431"/>
      <c r="D194" s="431"/>
      <c r="E194" s="431"/>
      <c r="F194" s="431"/>
      <c r="G194" s="431"/>
      <c r="H194" s="431"/>
      <c r="I194" s="431"/>
      <c r="J194" s="431"/>
      <c r="K194" s="431"/>
      <c r="L194" s="431"/>
      <c r="M194" s="431"/>
      <c r="N194" s="431"/>
      <c r="O194" s="431"/>
      <c r="P194" s="431"/>
      <c r="Q194" s="431"/>
      <c r="R194" s="431"/>
      <c r="S194" s="431"/>
      <c r="T194" s="431"/>
      <c r="U194" s="431"/>
      <c r="V194" s="431"/>
      <c r="W194" s="431"/>
      <c r="X194" s="431"/>
      <c r="Y194" s="435"/>
      <c r="Z194" s="431"/>
      <c r="AA194" s="431"/>
      <c r="AB194" s="431"/>
      <c r="AC194" s="431"/>
      <c r="AD194" s="431"/>
      <c r="AE194" s="431"/>
      <c r="AF194" s="431"/>
      <c r="AG194" s="431"/>
      <c r="AH194" s="431"/>
      <c r="AI194" s="431"/>
      <c r="AJ194" s="431"/>
      <c r="AK194" s="431"/>
      <c r="AL194" s="431"/>
      <c r="AM194" s="431"/>
      <c r="AN194" s="431"/>
      <c r="AO194" s="431"/>
      <c r="AP194" s="431"/>
      <c r="AQ194" s="431"/>
      <c r="AR194" s="431"/>
      <c r="AS194" s="431">
        <f t="shared" ref="AS194:BT194" si="355">AS148</f>
        <v>41311.14</v>
      </c>
      <c r="AT194" s="431">
        <f t="shared" si="355"/>
        <v>41311.14</v>
      </c>
      <c r="AU194" s="431">
        <f t="shared" si="355"/>
        <v>41311.14</v>
      </c>
      <c r="AV194" s="431">
        <f t="shared" si="355"/>
        <v>41311.14</v>
      </c>
      <c r="AW194" s="431">
        <f t="shared" si="355"/>
        <v>41311.14</v>
      </c>
      <c r="AX194" s="431">
        <f t="shared" si="355"/>
        <v>28335.205000000002</v>
      </c>
      <c r="AY194" s="431">
        <f t="shared" si="355"/>
        <v>28335.205000000002</v>
      </c>
      <c r="AZ194" s="431">
        <f t="shared" si="355"/>
        <v>28335.205000000002</v>
      </c>
      <c r="BA194" s="431">
        <f t="shared" si="355"/>
        <v>28335.205000000002</v>
      </c>
      <c r="BB194" s="431">
        <f t="shared" si="355"/>
        <v>28335.205000000002</v>
      </c>
      <c r="BC194" s="431">
        <f t="shared" si="355"/>
        <v>28335.205000000002</v>
      </c>
      <c r="BD194" s="431">
        <f t="shared" si="355"/>
        <v>28335.205000000002</v>
      </c>
      <c r="BE194" s="431">
        <f t="shared" si="355"/>
        <v>28335.205000000002</v>
      </c>
      <c r="BF194" s="431">
        <f t="shared" si="355"/>
        <v>28335.205000000002</v>
      </c>
      <c r="BG194" s="431">
        <f t="shared" si="355"/>
        <v>28335.205000000002</v>
      </c>
      <c r="BH194" s="431">
        <f t="shared" si="355"/>
        <v>28335.205000000002</v>
      </c>
      <c r="BI194" s="431">
        <f t="shared" si="355"/>
        <v>28335.205000000002</v>
      </c>
      <c r="BJ194" s="431">
        <f t="shared" si="355"/>
        <v>28335.205000000002</v>
      </c>
      <c r="BK194" s="431">
        <f t="shared" si="355"/>
        <v>28335.205000000002</v>
      </c>
      <c r="BL194" s="431">
        <f t="shared" si="355"/>
        <v>28335.205000000002</v>
      </c>
      <c r="BM194" s="431">
        <f t="shared" si="355"/>
        <v>28335.205000000002</v>
      </c>
      <c r="BN194" s="431">
        <f t="shared" si="355"/>
        <v>28335.205000000002</v>
      </c>
      <c r="BO194" s="431">
        <f t="shared" si="355"/>
        <v>28335.205000000002</v>
      </c>
      <c r="BP194" s="431">
        <f t="shared" si="355"/>
        <v>28335.205000000002</v>
      </c>
      <c r="BQ194" s="431">
        <f t="shared" si="355"/>
        <v>28335.205000000002</v>
      </c>
      <c r="BR194" s="431">
        <f t="shared" si="355"/>
        <v>28335.205000000002</v>
      </c>
      <c r="BS194" s="431">
        <f t="shared" si="355"/>
        <v>28335.205000000002</v>
      </c>
      <c r="BT194" s="431">
        <f t="shared" si="355"/>
        <v>28335.205000000002</v>
      </c>
    </row>
    <row r="195" spans="2:72" s="430" customFormat="1" x14ac:dyDescent="0.25">
      <c r="B195" s="429" t="s">
        <v>1104</v>
      </c>
      <c r="C195" s="437">
        <f>C182/C148</f>
        <v>1.0284605992167144</v>
      </c>
      <c r="D195" s="437">
        <f t="shared" ref="D195:BO195" si="356">D182/D148</f>
        <v>1.0284605992167144</v>
      </c>
      <c r="E195" s="437">
        <f t="shared" si="356"/>
        <v>1.0284605992167144</v>
      </c>
      <c r="F195" s="437">
        <f t="shared" si="356"/>
        <v>0.77789057226899316</v>
      </c>
      <c r="G195" s="437">
        <f t="shared" si="356"/>
        <v>0.77085009280030703</v>
      </c>
      <c r="H195" s="437">
        <f t="shared" si="356"/>
        <v>0.76150659347776872</v>
      </c>
      <c r="I195" s="437">
        <f t="shared" si="356"/>
        <v>0.75213745061930692</v>
      </c>
      <c r="J195" s="437">
        <f t="shared" si="356"/>
        <v>0.74103450551916583</v>
      </c>
      <c r="K195" s="437">
        <f t="shared" si="356"/>
        <v>0.73084033585184138</v>
      </c>
      <c r="L195" s="437">
        <f t="shared" si="356"/>
        <v>0.7188411010820609</v>
      </c>
      <c r="M195" s="437">
        <f t="shared" si="356"/>
        <v>0.69052466212655139</v>
      </c>
      <c r="N195" s="437">
        <f t="shared" si="356"/>
        <v>1.3643094643928841</v>
      </c>
      <c r="O195" s="437">
        <f t="shared" si="356"/>
        <v>0.69141160481967989</v>
      </c>
      <c r="P195" s="437">
        <f t="shared" si="356"/>
        <v>0.68458956466427368</v>
      </c>
      <c r="Q195" s="437">
        <f t="shared" si="356"/>
        <v>0.67815351167618465</v>
      </c>
      <c r="R195" s="437">
        <f t="shared" si="356"/>
        <v>0.67723387610561225</v>
      </c>
      <c r="S195" s="437">
        <f t="shared" si="356"/>
        <v>0.69470308808844106</v>
      </c>
      <c r="T195" s="437">
        <f t="shared" si="356"/>
        <v>0.68458116712309081</v>
      </c>
      <c r="U195" s="437">
        <f t="shared" si="356"/>
        <v>0.68375006807179317</v>
      </c>
      <c r="V195" s="437">
        <f t="shared" si="356"/>
        <v>0.68293383275236852</v>
      </c>
      <c r="W195" s="437">
        <f t="shared" si="356"/>
        <v>0.6786088171584439</v>
      </c>
      <c r="X195" s="437">
        <f t="shared" si="356"/>
        <v>0.69204693813941864</v>
      </c>
      <c r="Y195" s="437">
        <f t="shared" si="356"/>
        <v>0.94942503947095125</v>
      </c>
      <c r="Z195" s="437">
        <f t="shared" si="356"/>
        <v>0.94942503947095125</v>
      </c>
      <c r="AA195" s="437">
        <f t="shared" si="356"/>
        <v>0.94942503947095125</v>
      </c>
      <c r="AB195" s="437">
        <f t="shared" si="356"/>
        <v>0.94942503947095125</v>
      </c>
      <c r="AC195" s="437">
        <f t="shared" si="356"/>
        <v>0.94942503947095125</v>
      </c>
      <c r="AD195" s="437">
        <f t="shared" si="356"/>
        <v>0.94942503947095136</v>
      </c>
      <c r="AE195" s="437">
        <f t="shared" si="356"/>
        <v>0.96530673990332871</v>
      </c>
      <c r="AF195" s="437">
        <f t="shared" si="356"/>
        <v>0.77290573826067244</v>
      </c>
      <c r="AG195" s="437">
        <f t="shared" si="356"/>
        <v>0.77290573826067244</v>
      </c>
      <c r="AH195" s="437">
        <f t="shared" si="356"/>
        <v>0.77290573826067244</v>
      </c>
      <c r="AI195" s="437">
        <f t="shared" si="356"/>
        <v>0.67124202019334245</v>
      </c>
      <c r="AJ195" s="437">
        <f t="shared" si="356"/>
        <v>0.67124202019334245</v>
      </c>
      <c r="AK195" s="437">
        <f t="shared" si="356"/>
        <v>0.67124202019334245</v>
      </c>
      <c r="AL195" s="437">
        <f t="shared" si="356"/>
        <v>0.67124202019334245</v>
      </c>
      <c r="AM195" s="437">
        <f t="shared" si="356"/>
        <v>0.67124202019334245</v>
      </c>
      <c r="AN195" s="437">
        <f t="shared" si="356"/>
        <v>0.67124202019334245</v>
      </c>
      <c r="AO195" s="437">
        <f t="shared" si="356"/>
        <v>0.67124202019334245</v>
      </c>
      <c r="AP195" s="437">
        <f t="shared" si="356"/>
        <v>0.67124202019334245</v>
      </c>
      <c r="AQ195" s="437">
        <f t="shared" si="356"/>
        <v>0.67124202019334245</v>
      </c>
      <c r="AR195" s="437">
        <f t="shared" si="356"/>
        <v>0.67124202019334245</v>
      </c>
      <c r="AS195" s="437">
        <f t="shared" si="356"/>
        <v>0.83210063919804678</v>
      </c>
      <c r="AT195" s="437">
        <f t="shared" si="356"/>
        <v>0.94618053653527912</v>
      </c>
      <c r="AU195" s="437">
        <f t="shared" si="356"/>
        <v>0.94618053653527912</v>
      </c>
      <c r="AV195" s="437">
        <f t="shared" si="356"/>
        <v>0.94618053653527912</v>
      </c>
      <c r="AW195" s="437">
        <f t="shared" si="356"/>
        <v>0.94618053653527912</v>
      </c>
      <c r="AX195" s="437">
        <f t="shared" si="356"/>
        <v>1.3109360126416603</v>
      </c>
      <c r="AY195" s="437">
        <f t="shared" si="356"/>
        <v>1.3109360126416603</v>
      </c>
      <c r="AZ195" s="437">
        <f t="shared" si="356"/>
        <v>1.3109360126416603</v>
      </c>
      <c r="BA195" s="437">
        <f t="shared" si="356"/>
        <v>1.3109360126416603</v>
      </c>
      <c r="BB195" s="437">
        <f t="shared" si="356"/>
        <v>1.3109360126416603</v>
      </c>
      <c r="BC195" s="437">
        <f t="shared" si="356"/>
        <v>1.3109360126416603</v>
      </c>
      <c r="BD195" s="437">
        <f t="shared" si="356"/>
        <v>1.3109360126416603</v>
      </c>
      <c r="BE195" s="437">
        <f t="shared" si="356"/>
        <v>1.3109360126416603</v>
      </c>
      <c r="BF195" s="437">
        <f t="shared" si="356"/>
        <v>1.3109360126416603</v>
      </c>
      <c r="BG195" s="437">
        <f t="shared" si="356"/>
        <v>1.3109360126416603</v>
      </c>
      <c r="BH195" s="437">
        <f t="shared" si="356"/>
        <v>1.2713157054912148</v>
      </c>
      <c r="BI195" s="437">
        <f t="shared" si="356"/>
        <v>1.2713157054912148</v>
      </c>
      <c r="BJ195" s="437">
        <f t="shared" si="356"/>
        <v>1.2713157054912148</v>
      </c>
      <c r="BK195" s="437">
        <f t="shared" si="356"/>
        <v>1.2713157054912148</v>
      </c>
      <c r="BL195" s="437">
        <f t="shared" si="356"/>
        <v>1.2713157054912148</v>
      </c>
      <c r="BM195" s="437">
        <f t="shared" si="356"/>
        <v>1.2713157054912148</v>
      </c>
      <c r="BN195" s="437">
        <f t="shared" si="356"/>
        <v>1.2713157054912148</v>
      </c>
      <c r="BO195" s="437">
        <f t="shared" si="356"/>
        <v>1.2713157054912148</v>
      </c>
      <c r="BP195" s="437">
        <f t="shared" ref="BP195:BT195" si="357">BP182/BP148</f>
        <v>1.2713157054912148</v>
      </c>
      <c r="BQ195" s="437">
        <f t="shared" si="357"/>
        <v>1.2713157054912148</v>
      </c>
      <c r="BR195" s="437">
        <f t="shared" si="357"/>
        <v>1.2713157054912148</v>
      </c>
      <c r="BS195" s="437">
        <f t="shared" si="357"/>
        <v>1.2713157054912148</v>
      </c>
      <c r="BT195" s="437">
        <f t="shared" si="357"/>
        <v>1.2713157054912148</v>
      </c>
    </row>
    <row r="196" spans="2:72" s="25" customFormat="1" x14ac:dyDescent="0.25">
      <c r="B196" s="25" t="s">
        <v>1090</v>
      </c>
      <c r="C196" s="117">
        <f>C180</f>
        <v>12932.364856786106</v>
      </c>
      <c r="D196" s="117">
        <f>C196+D180</f>
        <v>25864.729713572211</v>
      </c>
      <c r="E196" s="117">
        <f t="shared" ref="E196:BP196" si="358">D196+E180</f>
        <v>39073.378639621958</v>
      </c>
      <c r="F196" s="117">
        <f t="shared" si="358"/>
        <v>33837.540286122894</v>
      </c>
      <c r="G196" s="117">
        <f t="shared" si="358"/>
        <v>28250.228584903827</v>
      </c>
      <c r="H196" s="117">
        <f t="shared" si="358"/>
        <v>22174.501715604762</v>
      </c>
      <c r="I196" s="117">
        <f t="shared" si="358"/>
        <v>15602.476464105694</v>
      </c>
      <c r="J196" s="117">
        <f t="shared" si="358"/>
        <v>8691.9243111106916</v>
      </c>
      <c r="K196" s="117">
        <f t="shared" si="358"/>
        <v>1182.4145291156892</v>
      </c>
      <c r="L196" s="117">
        <f t="shared" si="358"/>
        <v>-21341.763134157125</v>
      </c>
      <c r="M196" s="117">
        <f t="shared" si="358"/>
        <v>-43426.282209929937</v>
      </c>
      <c r="N196" s="117">
        <f t="shared" si="358"/>
        <v>-13967.84911579833</v>
      </c>
      <c r="O196" s="117">
        <f t="shared" si="358"/>
        <v>-22709.021966103799</v>
      </c>
      <c r="P196" s="117">
        <f t="shared" si="358"/>
        <v>-32684.615143909265</v>
      </c>
      <c r="Q196" s="117">
        <f t="shared" si="358"/>
        <v>-43910.541006421779</v>
      </c>
      <c r="R196" s="117">
        <f t="shared" si="358"/>
        <v>-55521.555163934288</v>
      </c>
      <c r="S196" s="117">
        <f t="shared" si="358"/>
        <v>-70865.03488981977</v>
      </c>
      <c r="T196" s="117">
        <f t="shared" si="358"/>
        <v>-88172.446955359701</v>
      </c>
      <c r="U196" s="117">
        <f t="shared" si="358"/>
        <v>-105887.42230089963</v>
      </c>
      <c r="V196" s="117">
        <f t="shared" si="358"/>
        <v>-123784.116511477</v>
      </c>
      <c r="W196" s="117">
        <f t="shared" si="358"/>
        <v>-141817.64750455436</v>
      </c>
      <c r="X196" s="117">
        <f t="shared" si="358"/>
        <v>-160422.17905875266</v>
      </c>
      <c r="Y196" s="117">
        <f t="shared" si="358"/>
        <v>-158422.9323772291</v>
      </c>
      <c r="Z196" s="117">
        <f t="shared" si="358"/>
        <v>-155864.13199799939</v>
      </c>
      <c r="AA196" s="117">
        <f t="shared" si="358"/>
        <v>-153305.33161876968</v>
      </c>
      <c r="AB196" s="117">
        <f t="shared" si="358"/>
        <v>-150746.53123953997</v>
      </c>
      <c r="AC196" s="117">
        <f t="shared" si="358"/>
        <v>-148045.65355669451</v>
      </c>
      <c r="AD196" s="117">
        <f t="shared" si="358"/>
        <v>-145264.29341231615</v>
      </c>
      <c r="AE196" s="117">
        <f t="shared" si="358"/>
        <v>-135811.54477863299</v>
      </c>
      <c r="AF196" s="117">
        <f t="shared" si="358"/>
        <v>-148615.46110496216</v>
      </c>
      <c r="AG196" s="117">
        <f t="shared" si="358"/>
        <v>-161419.37743129133</v>
      </c>
      <c r="AH196" s="117">
        <f t="shared" si="358"/>
        <v>-174223.2937576205</v>
      </c>
      <c r="AI196" s="117">
        <f t="shared" si="358"/>
        <v>-186147.06068719161</v>
      </c>
      <c r="AJ196" s="117">
        <f t="shared" si="358"/>
        <v>-198070.82761676272</v>
      </c>
      <c r="AK196" s="117">
        <f t="shared" si="358"/>
        <v>-209994.59454633383</v>
      </c>
      <c r="AL196" s="117">
        <f t="shared" si="358"/>
        <v>-221918.36147590494</v>
      </c>
      <c r="AM196" s="117">
        <f t="shared" si="358"/>
        <v>-233842.12840547605</v>
      </c>
      <c r="AN196" s="117">
        <f t="shared" si="358"/>
        <v>-245197.69486873812</v>
      </c>
      <c r="AO196" s="117">
        <f t="shared" si="358"/>
        <v>-256553.2613320002</v>
      </c>
      <c r="AP196" s="117">
        <f t="shared" si="358"/>
        <v>-267908.82779526227</v>
      </c>
      <c r="AQ196" s="117">
        <f t="shared" si="358"/>
        <v>-279264.39425852435</v>
      </c>
      <c r="AR196" s="117">
        <f t="shared" si="358"/>
        <v>-290619.96072178642</v>
      </c>
      <c r="AS196" s="117">
        <f t="shared" si="358"/>
        <v>-294985.24134408799</v>
      </c>
      <c r="AT196" s="117">
        <f t="shared" si="358"/>
        <v>-294637.75135630555</v>
      </c>
      <c r="AU196" s="117">
        <f t="shared" si="358"/>
        <v>-294290.26136852312</v>
      </c>
      <c r="AV196" s="117">
        <f t="shared" si="358"/>
        <v>-293942.77138074068</v>
      </c>
      <c r="AW196" s="117">
        <f t="shared" si="358"/>
        <v>-293595.28139295825</v>
      </c>
      <c r="AX196" s="117">
        <f t="shared" si="358"/>
        <v>-279654.27038917877</v>
      </c>
      <c r="AY196" s="117">
        <f t="shared" si="358"/>
        <v>-265713.25938539929</v>
      </c>
      <c r="AZ196" s="117">
        <f t="shared" si="358"/>
        <v>-251772.24838161981</v>
      </c>
      <c r="BA196" s="117">
        <f t="shared" si="358"/>
        <v>-237831.23737784033</v>
      </c>
      <c r="BB196" s="117">
        <f t="shared" si="358"/>
        <v>-223890.22637406085</v>
      </c>
      <c r="BC196" s="117">
        <f t="shared" si="358"/>
        <v>-208157.73975034989</v>
      </c>
      <c r="BD196" s="117">
        <f t="shared" si="358"/>
        <v>-192425.25312663894</v>
      </c>
      <c r="BE196" s="117">
        <f t="shared" si="358"/>
        <v>-176692.76650292799</v>
      </c>
      <c r="BF196" s="117">
        <f t="shared" si="358"/>
        <v>-160960.27987921704</v>
      </c>
      <c r="BG196" s="117">
        <f t="shared" si="358"/>
        <v>-145227.79325550608</v>
      </c>
      <c r="BH196" s="117">
        <f t="shared" si="358"/>
        <v>-125390.95587455678</v>
      </c>
      <c r="BI196" s="117">
        <f t="shared" si="358"/>
        <v>-105554.11849360747</v>
      </c>
      <c r="BJ196" s="117">
        <f t="shared" si="358"/>
        <v>-85717.281112658166</v>
      </c>
      <c r="BK196" s="117">
        <f t="shared" si="358"/>
        <v>-65880.44373170886</v>
      </c>
      <c r="BL196" s="117">
        <f t="shared" si="358"/>
        <v>-46043.606350759554</v>
      </c>
      <c r="BM196" s="117">
        <f t="shared" si="358"/>
        <v>-20466.86503449341</v>
      </c>
      <c r="BN196" s="117">
        <f t="shared" si="358"/>
        <v>5109.8762817727329</v>
      </c>
      <c r="BO196" s="117">
        <f t="shared" si="358"/>
        <v>30686.617598038876</v>
      </c>
      <c r="BP196" s="117">
        <f t="shared" si="358"/>
        <v>56263.358914305019</v>
      </c>
      <c r="BQ196" s="117">
        <f t="shared" ref="BQ196:BT196" si="359">BP196+BQ180</f>
        <v>81840.100230571159</v>
      </c>
      <c r="BR196" s="117">
        <f t="shared" si="359"/>
        <v>118876.21577843846</v>
      </c>
      <c r="BS196" s="117">
        <f t="shared" si="359"/>
        <v>155912.33132630575</v>
      </c>
      <c r="BT196" s="117">
        <f t="shared" si="359"/>
        <v>192948.44687417307</v>
      </c>
    </row>
    <row r="197" spans="2:72" s="25" customFormat="1" x14ac:dyDescent="0.25">
      <c r="B197" s="25" t="s">
        <v>1093</v>
      </c>
      <c r="C197" s="117">
        <f>((C159-C156-C160-C176-C178)/C148)*100</f>
        <v>-2.8460599216714311</v>
      </c>
      <c r="D197" s="117">
        <f t="shared" ref="D197:BO197" si="360">((D159-D156-D160-D176-D178)/D148)*100</f>
        <v>-2.8460599216714311</v>
      </c>
      <c r="E197" s="117">
        <f t="shared" si="360"/>
        <v>-2.8460599216714311</v>
      </c>
      <c r="F197" s="117">
        <f t="shared" si="360"/>
        <v>15.357238450399416</v>
      </c>
      <c r="G197" s="117">
        <f t="shared" si="360"/>
        <v>15.828701339365525</v>
      </c>
      <c r="H197" s="117">
        <f t="shared" si="360"/>
        <v>16.482746290994289</v>
      </c>
      <c r="I197" s="117">
        <f t="shared" si="360"/>
        <v>17.194033931504762</v>
      </c>
      <c r="J197" s="117">
        <f t="shared" si="360"/>
        <v>18.056724951094143</v>
      </c>
      <c r="K197" s="117">
        <f t="shared" si="360"/>
        <v>18.864807683530831</v>
      </c>
      <c r="L197" s="117">
        <f t="shared" si="360"/>
        <v>24.211094144140716</v>
      </c>
      <c r="M197" s="117">
        <f t="shared" si="360"/>
        <v>23.092209579853346</v>
      </c>
      <c r="N197" s="117">
        <f t="shared" si="360"/>
        <v>-40.338452869314004</v>
      </c>
      <c r="O197" s="117">
        <f t="shared" si="360"/>
        <v>20.241710088935353</v>
      </c>
      <c r="P197" s="117">
        <f t="shared" si="360"/>
        <v>20.869187422690878</v>
      </c>
      <c r="Q197" s="117">
        <f t="shared" si="360"/>
        <v>21.459190877930382</v>
      </c>
      <c r="R197" s="117">
        <f t="shared" si="360"/>
        <v>21.616764381637431</v>
      </c>
      <c r="S197" s="117">
        <f t="shared" si="360"/>
        <v>21.201549943100627</v>
      </c>
      <c r="T197" s="117">
        <f t="shared" si="360"/>
        <v>22.298137012014738</v>
      </c>
      <c r="U197" s="117">
        <f t="shared" si="360"/>
        <v>22.464128479918351</v>
      </c>
      <c r="V197" s="117">
        <f t="shared" si="360"/>
        <v>22.627160512008647</v>
      </c>
      <c r="W197" s="117">
        <f t="shared" si="360"/>
        <v>22.548545813362093</v>
      </c>
      <c r="X197" s="117">
        <f t="shared" si="360"/>
        <v>22.708002524238367</v>
      </c>
      <c r="Y197" s="117">
        <f t="shared" si="360"/>
        <v>6.812491427033966</v>
      </c>
      <c r="Z197" s="117">
        <f t="shared" si="360"/>
        <v>6.812491427033966</v>
      </c>
      <c r="AA197" s="117">
        <f t="shared" si="360"/>
        <v>6.812491427033966</v>
      </c>
      <c r="AB197" s="117">
        <f t="shared" si="360"/>
        <v>6.812491427033966</v>
      </c>
      <c r="AC197" s="117">
        <f t="shared" si="360"/>
        <v>6.812491427033966</v>
      </c>
      <c r="AD197" s="117">
        <f t="shared" si="360"/>
        <v>6.812491427033966</v>
      </c>
      <c r="AE197" s="117">
        <f t="shared" si="360"/>
        <v>5.2243213837962346</v>
      </c>
      <c r="AF197" s="117">
        <f t="shared" si="360"/>
        <v>23.054078478371697</v>
      </c>
      <c r="AG197" s="117">
        <f t="shared" si="360"/>
        <v>23.054078478371697</v>
      </c>
      <c r="AH197" s="117">
        <f t="shared" si="360"/>
        <v>23.054078478371697</v>
      </c>
      <c r="AI197" s="117">
        <f t="shared" si="360"/>
        <v>23.602415052961508</v>
      </c>
      <c r="AJ197" s="117">
        <f t="shared" si="360"/>
        <v>23.602415052961508</v>
      </c>
      <c r="AK197" s="117">
        <f t="shared" si="360"/>
        <v>23.602415052961508</v>
      </c>
      <c r="AL197" s="117">
        <f t="shared" si="360"/>
        <v>23.602415052961508</v>
      </c>
      <c r="AM197" s="117">
        <f t="shared" si="360"/>
        <v>23.602415052961508</v>
      </c>
      <c r="AN197" s="117">
        <f t="shared" si="360"/>
        <v>23.602415052961497</v>
      </c>
      <c r="AO197" s="117">
        <f t="shared" si="360"/>
        <v>23.602415052961497</v>
      </c>
      <c r="AP197" s="117">
        <f t="shared" si="360"/>
        <v>23.602415052961497</v>
      </c>
      <c r="AQ197" s="117">
        <f t="shared" si="360"/>
        <v>23.602415052961497</v>
      </c>
      <c r="AR197" s="117">
        <f t="shared" si="360"/>
        <v>23.602415052961497</v>
      </c>
      <c r="AS197" s="117">
        <f t="shared" si="360"/>
        <v>16.789936080195318</v>
      </c>
      <c r="AT197" s="117">
        <f t="shared" si="360"/>
        <v>5.3819463464720902</v>
      </c>
      <c r="AU197" s="117">
        <f t="shared" si="360"/>
        <v>5.3819463464720902</v>
      </c>
      <c r="AV197" s="117">
        <f t="shared" si="360"/>
        <v>5.3819463464720902</v>
      </c>
      <c r="AW197" s="117">
        <f t="shared" si="360"/>
        <v>5.3819463464720902</v>
      </c>
      <c r="AX197" s="117">
        <f t="shared" si="360"/>
        <v>-31.093601264166015</v>
      </c>
      <c r="AY197" s="117">
        <f t="shared" si="360"/>
        <v>-31.093601264166015</v>
      </c>
      <c r="AZ197" s="117">
        <f t="shared" si="360"/>
        <v>-31.093601264166015</v>
      </c>
      <c r="BA197" s="117">
        <f t="shared" si="360"/>
        <v>-31.093601264166015</v>
      </c>
      <c r="BB197" s="117">
        <f t="shared" si="360"/>
        <v>-31.093601264166015</v>
      </c>
      <c r="BC197" s="117">
        <f t="shared" si="360"/>
        <v>-31.093601264166015</v>
      </c>
      <c r="BD197" s="117">
        <f t="shared" si="360"/>
        <v>-31.093601264166015</v>
      </c>
      <c r="BE197" s="117">
        <f t="shared" si="360"/>
        <v>-31.093601264166015</v>
      </c>
      <c r="BF197" s="117">
        <f t="shared" si="360"/>
        <v>-31.093601264166015</v>
      </c>
      <c r="BG197" s="117">
        <f t="shared" si="360"/>
        <v>-31.093601264166015</v>
      </c>
      <c r="BH197" s="117">
        <f t="shared" si="360"/>
        <v>-33.228754336113084</v>
      </c>
      <c r="BI197" s="117">
        <f t="shared" si="360"/>
        <v>-33.228754336113084</v>
      </c>
      <c r="BJ197" s="117">
        <f t="shared" si="360"/>
        <v>-33.228754336113084</v>
      </c>
      <c r="BK197" s="117">
        <f t="shared" si="360"/>
        <v>-33.228754336113084</v>
      </c>
      <c r="BL197" s="117">
        <f t="shared" si="360"/>
        <v>-33.228754336113084</v>
      </c>
      <c r="BM197" s="117">
        <f t="shared" si="360"/>
        <v>-33.228754336113084</v>
      </c>
      <c r="BN197" s="117">
        <f t="shared" si="360"/>
        <v>-33.228754336113084</v>
      </c>
      <c r="BO197" s="117">
        <f t="shared" si="360"/>
        <v>-33.228754336113084</v>
      </c>
      <c r="BP197" s="117">
        <f t="shared" ref="BP197:BT197" si="361">((BP159-BP156-BP160-BP176-BP178)/BP148)*100</f>
        <v>-33.228754336113084</v>
      </c>
      <c r="BQ197" s="117">
        <f t="shared" si="361"/>
        <v>-33.228754336113084</v>
      </c>
      <c r="BR197" s="117">
        <f t="shared" si="361"/>
        <v>-33.228754336113084</v>
      </c>
      <c r="BS197" s="117">
        <f t="shared" si="361"/>
        <v>-33.228754336113084</v>
      </c>
      <c r="BT197" s="117">
        <f t="shared" si="361"/>
        <v>-33.228754336113084</v>
      </c>
    </row>
    <row r="198" spans="2:72" s="25" customFormat="1" x14ac:dyDescent="0.25">
      <c r="B198" s="25" t="s">
        <v>1091</v>
      </c>
      <c r="C198" s="117">
        <f>((C159-C160-C176-C178)/C148)*100</f>
        <v>12.934788070207745</v>
      </c>
      <c r="D198" s="117">
        <f t="shared" ref="D198:BO198" si="362">((D159-D160-D176-D178)/D148)*100</f>
        <v>12.934788070207745</v>
      </c>
      <c r="E198" s="117">
        <f t="shared" si="362"/>
        <v>12.934788070207745</v>
      </c>
      <c r="F198" s="117">
        <f t="shared" si="362"/>
        <v>20.339905943852514</v>
      </c>
      <c r="G198" s="117">
        <f t="shared" si="362"/>
        <v>20.651660069695961</v>
      </c>
      <c r="H198" s="117">
        <f t="shared" si="362"/>
        <v>21.113228504748498</v>
      </c>
      <c r="I198" s="117">
        <f t="shared" si="362"/>
        <v>21.669585502770378</v>
      </c>
      <c r="J198" s="117">
        <f t="shared" si="362"/>
        <v>23.538232740999966</v>
      </c>
      <c r="K198" s="117">
        <f t="shared" si="362"/>
        <v>24.161563028946109</v>
      </c>
      <c r="L198" s="117">
        <f t="shared" si="362"/>
        <v>28.687565775559786</v>
      </c>
      <c r="M198" s="117">
        <f t="shared" si="362"/>
        <v>27.446425143718713</v>
      </c>
      <c r="N198" s="117">
        <f t="shared" si="362"/>
        <v>-32.103534409521686</v>
      </c>
      <c r="O198" s="117">
        <f t="shared" si="362"/>
        <v>24.875220150510643</v>
      </c>
      <c r="P198" s="117">
        <f t="shared" si="362"/>
        <v>25.375707146398302</v>
      </c>
      <c r="Q198" s="117">
        <f t="shared" si="362"/>
        <v>25.929376547819238</v>
      </c>
      <c r="R198" s="117">
        <f t="shared" si="362"/>
        <v>26.045761414509617</v>
      </c>
      <c r="S198" s="117">
        <f t="shared" si="362"/>
        <v>25.590110439626081</v>
      </c>
      <c r="T198" s="117">
        <f t="shared" si="362"/>
        <v>26.825697932135572</v>
      </c>
      <c r="U198" s="117">
        <f t="shared" si="362"/>
        <v>26.951094243765709</v>
      </c>
      <c r="V198" s="117">
        <f t="shared" si="362"/>
        <v>27.074252621512546</v>
      </c>
      <c r="W198" s="117">
        <f t="shared" si="362"/>
        <v>26.956466704886552</v>
      </c>
      <c r="X198" s="117">
        <f t="shared" si="362"/>
        <v>27.07743623445532</v>
      </c>
      <c r="Y198" s="117">
        <f t="shared" si="362"/>
        <v>14.093303341838496</v>
      </c>
      <c r="Z198" s="117">
        <f t="shared" si="362"/>
        <v>14.093303341838496</v>
      </c>
      <c r="AA198" s="117">
        <f t="shared" si="362"/>
        <v>14.093303341838496</v>
      </c>
      <c r="AB198" s="117">
        <f t="shared" si="362"/>
        <v>14.093303341838496</v>
      </c>
      <c r="AC198" s="117">
        <f t="shared" si="362"/>
        <v>14.093303341838496</v>
      </c>
      <c r="AD198" s="117">
        <f t="shared" si="362"/>
        <v>14.383558244031839</v>
      </c>
      <c r="AE198" s="117">
        <f t="shared" si="362"/>
        <v>12.795388200794108</v>
      </c>
      <c r="AF198" s="117">
        <f t="shared" si="362"/>
        <v>28.953687840652726</v>
      </c>
      <c r="AG198" s="117">
        <f t="shared" si="362"/>
        <v>28.953687840652726</v>
      </c>
      <c r="AH198" s="117">
        <f t="shared" si="362"/>
        <v>28.953687840652726</v>
      </c>
      <c r="AI198" s="117">
        <f t="shared" si="362"/>
        <v>28.008616723114564</v>
      </c>
      <c r="AJ198" s="117">
        <f t="shared" si="362"/>
        <v>28.008616723114564</v>
      </c>
      <c r="AK198" s="117">
        <f t="shared" si="362"/>
        <v>28.008616723114564</v>
      </c>
      <c r="AL198" s="117">
        <f t="shared" si="362"/>
        <v>28.008616723114564</v>
      </c>
      <c r="AM198" s="117">
        <f t="shared" si="362"/>
        <v>28.008616723114564</v>
      </c>
      <c r="AN198" s="117">
        <f t="shared" si="362"/>
        <v>27.957507524254243</v>
      </c>
      <c r="AO198" s="117">
        <f t="shared" si="362"/>
        <v>27.957507524254243</v>
      </c>
      <c r="AP198" s="117">
        <f t="shared" si="362"/>
        <v>27.957507524254243</v>
      </c>
      <c r="AQ198" s="117">
        <f t="shared" si="362"/>
        <v>27.957507524254243</v>
      </c>
      <c r="AR198" s="117">
        <f t="shared" si="362"/>
        <v>27.957507524254243</v>
      </c>
      <c r="AS198" s="117">
        <f t="shared" si="362"/>
        <v>22.279103523443393</v>
      </c>
      <c r="AT198" s="117">
        <f t="shared" si="362"/>
        <v>10.871113789720168</v>
      </c>
      <c r="AU198" s="117">
        <f t="shared" si="362"/>
        <v>10.871113789720168</v>
      </c>
      <c r="AV198" s="117">
        <f t="shared" si="362"/>
        <v>10.871113789720168</v>
      </c>
      <c r="AW198" s="117">
        <f t="shared" si="362"/>
        <v>10.871113789720168</v>
      </c>
      <c r="AX198" s="117">
        <f t="shared" si="362"/>
        <v>-23.270094584772881</v>
      </c>
      <c r="AY198" s="117">
        <f t="shared" si="362"/>
        <v>-23.270094584772881</v>
      </c>
      <c r="AZ198" s="117">
        <f t="shared" si="362"/>
        <v>-23.270094584772881</v>
      </c>
      <c r="BA198" s="117">
        <f t="shared" si="362"/>
        <v>-23.270094584772881</v>
      </c>
      <c r="BB198" s="117">
        <f t="shared" si="362"/>
        <v>-23.270094584772881</v>
      </c>
      <c r="BC198" s="117">
        <f t="shared" si="362"/>
        <v>-23.49141645198241</v>
      </c>
      <c r="BD198" s="117">
        <f t="shared" si="362"/>
        <v>-23.49141645198241</v>
      </c>
      <c r="BE198" s="117">
        <f t="shared" si="362"/>
        <v>-23.49141645198241</v>
      </c>
      <c r="BF198" s="117">
        <f t="shared" si="362"/>
        <v>-23.49141645198241</v>
      </c>
      <c r="BG198" s="117">
        <f t="shared" si="362"/>
        <v>-23.49141645198241</v>
      </c>
      <c r="BH198" s="117">
        <f t="shared" si="362"/>
        <v>-25.889821609267845</v>
      </c>
      <c r="BI198" s="117">
        <f t="shared" si="362"/>
        <v>-25.889821609267845</v>
      </c>
      <c r="BJ198" s="117">
        <f t="shared" si="362"/>
        <v>-25.889821609267845</v>
      </c>
      <c r="BK198" s="117">
        <f t="shared" si="362"/>
        <v>-25.889821609267845</v>
      </c>
      <c r="BL198" s="117">
        <f t="shared" si="362"/>
        <v>-25.889821609267845</v>
      </c>
      <c r="BM198" s="117">
        <f t="shared" si="362"/>
        <v>-26.19500391273505</v>
      </c>
      <c r="BN198" s="117">
        <f t="shared" si="362"/>
        <v>-26.19500391273505</v>
      </c>
      <c r="BO198" s="117">
        <f t="shared" si="362"/>
        <v>-26.19500391273505</v>
      </c>
      <c r="BP198" s="117">
        <f t="shared" ref="BP198:BT198" si="363">((BP159-BP160-BP176-BP178)/BP148)*100</f>
        <v>-26.19500391273505</v>
      </c>
      <c r="BQ198" s="117">
        <f t="shared" si="363"/>
        <v>-26.19500391273505</v>
      </c>
      <c r="BR198" s="117">
        <f t="shared" si="363"/>
        <v>-26.542116434331092</v>
      </c>
      <c r="BS198" s="117">
        <f t="shared" si="363"/>
        <v>-26.542116434331092</v>
      </c>
      <c r="BT198" s="117">
        <f t="shared" si="363"/>
        <v>-26.542116434331092</v>
      </c>
    </row>
    <row r="199" spans="2:72" s="25" customFormat="1" x14ac:dyDescent="0.25">
      <c r="B199" s="25" t="s">
        <v>1092</v>
      </c>
      <c r="C199" s="117">
        <f>(C180/C148)*100</f>
        <v>171.75922960161947</v>
      </c>
      <c r="D199" s="117">
        <f t="shared" ref="D199:BO199" si="364">(D180/D148)*100</f>
        <v>171.75922960161947</v>
      </c>
      <c r="E199" s="117">
        <f t="shared" si="364"/>
        <v>175.42865429025423</v>
      </c>
      <c r="F199" s="117">
        <f t="shared" si="364"/>
        <v>-14.831562952521294</v>
      </c>
      <c r="G199" s="117">
        <f t="shared" si="364"/>
        <v>-15.319875246686591</v>
      </c>
      <c r="H199" s="117">
        <f t="shared" si="364"/>
        <v>-15.994226628317755</v>
      </c>
      <c r="I199" s="117">
        <f t="shared" si="364"/>
        <v>-16.721859578390585</v>
      </c>
      <c r="J199" s="117">
        <f t="shared" si="364"/>
        <v>-16.915240008310086</v>
      </c>
      <c r="K199" s="117">
        <f t="shared" si="364"/>
        <v>-17.761796120993882</v>
      </c>
      <c r="L199" s="117">
        <f t="shared" si="364"/>
        <v>-24.104727024758958</v>
      </c>
      <c r="M199" s="117">
        <f t="shared" si="364"/>
        <v>-22.988747432691525</v>
      </c>
      <c r="N199" s="117">
        <f t="shared" si="364"/>
        <v>61.183484375673281</v>
      </c>
      <c r="O199" s="117">
        <f t="shared" si="364"/>
        <v>-8.6075862110411432</v>
      </c>
      <c r="P199" s="117">
        <f t="shared" si="364"/>
        <v>-9.5539192939839417</v>
      </c>
      <c r="Q199" s="117">
        <f t="shared" si="364"/>
        <v>-10.453877721893086</v>
      </c>
      <c r="R199" s="117">
        <f t="shared" si="364"/>
        <v>-10.712855033476004</v>
      </c>
      <c r="S199" s="117">
        <f t="shared" si="364"/>
        <v>-14.027350133366253</v>
      </c>
      <c r="T199" s="117">
        <f t="shared" si="364"/>
        <v>-15.679666101220349</v>
      </c>
      <c r="U199" s="117">
        <f t="shared" si="364"/>
        <v>-15.905000307003233</v>
      </c>
      <c r="V199" s="117">
        <f t="shared" si="364"/>
        <v>-15.925362113592797</v>
      </c>
      <c r="W199" s="117">
        <f t="shared" si="364"/>
        <v>-15.905778709881108</v>
      </c>
      <c r="X199" s="117">
        <f t="shared" si="364"/>
        <v>-16.26613109182674</v>
      </c>
      <c r="Y199" s="117">
        <f t="shared" si="364"/>
        <v>3.774798786933431</v>
      </c>
      <c r="Z199" s="117">
        <f t="shared" si="364"/>
        <v>4.8312980367986995</v>
      </c>
      <c r="AA199" s="117">
        <f t="shared" si="364"/>
        <v>4.8312980367986995</v>
      </c>
      <c r="AB199" s="117">
        <f t="shared" si="364"/>
        <v>4.8312980367986995</v>
      </c>
      <c r="AC199" s="117">
        <f t="shared" si="364"/>
        <v>5.0995556951937546</v>
      </c>
      <c r="AD199" s="117">
        <f t="shared" si="364"/>
        <v>5.2515154813329286</v>
      </c>
      <c r="AE199" s="117">
        <f t="shared" si="364"/>
        <v>17.847834589587396</v>
      </c>
      <c r="AF199" s="117">
        <f t="shared" si="364"/>
        <v>-24.175209724390953</v>
      </c>
      <c r="AG199" s="117">
        <f t="shared" si="364"/>
        <v>-24.175209724390953</v>
      </c>
      <c r="AH199" s="117">
        <f t="shared" si="364"/>
        <v>-24.175209724390953</v>
      </c>
      <c r="AI199" s="117">
        <f t="shared" si="364"/>
        <v>-22.513390347168961</v>
      </c>
      <c r="AJ199" s="117">
        <f t="shared" si="364"/>
        <v>-22.513390347168961</v>
      </c>
      <c r="AK199" s="117">
        <f t="shared" si="364"/>
        <v>-22.513390347168961</v>
      </c>
      <c r="AL199" s="117">
        <f t="shared" si="364"/>
        <v>-22.513390347168961</v>
      </c>
      <c r="AM199" s="117">
        <f t="shared" si="364"/>
        <v>-22.513390347168961</v>
      </c>
      <c r="AN199" s="117">
        <f t="shared" si="364"/>
        <v>-21.44056504212768</v>
      </c>
      <c r="AO199" s="117">
        <f t="shared" si="364"/>
        <v>-21.44056504212768</v>
      </c>
      <c r="AP199" s="117">
        <f t="shared" si="364"/>
        <v>-21.44056504212768</v>
      </c>
      <c r="AQ199" s="117">
        <f t="shared" si="364"/>
        <v>-21.44056504212768</v>
      </c>
      <c r="AR199" s="117">
        <f t="shared" si="364"/>
        <v>-21.44056504212768</v>
      </c>
      <c r="AS199" s="117">
        <f t="shared" si="364"/>
        <v>-10.566836505362938</v>
      </c>
      <c r="AT199" s="117">
        <f t="shared" si="364"/>
        <v>0.84115322836029438</v>
      </c>
      <c r="AU199" s="117">
        <f t="shared" si="364"/>
        <v>0.84115322836029438</v>
      </c>
      <c r="AV199" s="117">
        <f t="shared" si="364"/>
        <v>0.84115322836029438</v>
      </c>
      <c r="AW199" s="117">
        <f t="shared" si="364"/>
        <v>0.84115322836029438</v>
      </c>
      <c r="AX199" s="117">
        <f t="shared" si="364"/>
        <v>49.200318133500232</v>
      </c>
      <c r="AY199" s="117">
        <f t="shared" si="364"/>
        <v>49.200318133500232</v>
      </c>
      <c r="AZ199" s="117">
        <f t="shared" si="364"/>
        <v>49.200318133500232</v>
      </c>
      <c r="BA199" s="117">
        <f t="shared" si="364"/>
        <v>49.200318133500232</v>
      </c>
      <c r="BB199" s="117">
        <f t="shared" si="364"/>
        <v>49.200318133500232</v>
      </c>
      <c r="BC199" s="117">
        <f t="shared" si="364"/>
        <v>55.522755609888605</v>
      </c>
      <c r="BD199" s="117">
        <f t="shared" si="364"/>
        <v>55.522755609888605</v>
      </c>
      <c r="BE199" s="117">
        <f t="shared" si="364"/>
        <v>55.522755609888605</v>
      </c>
      <c r="BF199" s="117">
        <f t="shared" si="364"/>
        <v>55.522755609888605</v>
      </c>
      <c r="BG199" s="117">
        <f t="shared" si="364"/>
        <v>55.522755609888605</v>
      </c>
      <c r="BH199" s="117">
        <f t="shared" si="364"/>
        <v>70.007742597765926</v>
      </c>
      <c r="BI199" s="117">
        <f t="shared" si="364"/>
        <v>70.007742597765926</v>
      </c>
      <c r="BJ199" s="117">
        <f t="shared" si="364"/>
        <v>70.007742597765926</v>
      </c>
      <c r="BK199" s="117">
        <f t="shared" si="364"/>
        <v>70.007742597765926</v>
      </c>
      <c r="BL199" s="117">
        <f t="shared" si="364"/>
        <v>70.007742597765926</v>
      </c>
      <c r="BM199" s="117">
        <f t="shared" si="364"/>
        <v>90.264888912101199</v>
      </c>
      <c r="BN199" s="117">
        <f t="shared" si="364"/>
        <v>90.264888912101199</v>
      </c>
      <c r="BO199" s="117">
        <f t="shared" si="364"/>
        <v>90.264888912101199</v>
      </c>
      <c r="BP199" s="117">
        <f t="shared" ref="BP199:BT199" si="365">(BP180/BP148)*100</f>
        <v>90.264888912101199</v>
      </c>
      <c r="BQ199" s="117">
        <f t="shared" si="365"/>
        <v>90.264888912101199</v>
      </c>
      <c r="BR199" s="117">
        <f t="shared" si="365"/>
        <v>130.70706757853807</v>
      </c>
      <c r="BS199" s="117">
        <f t="shared" si="365"/>
        <v>130.70706757853807</v>
      </c>
      <c r="BT199" s="117">
        <f t="shared" si="365"/>
        <v>130.70706757853807</v>
      </c>
    </row>
    <row r="200" spans="2:72" s="25" customFormat="1" x14ac:dyDescent="0.25">
      <c r="B200" s="25" t="s">
        <v>1121</v>
      </c>
      <c r="C200" s="427">
        <f>C159/C148</f>
        <v>0.20518437401834919</v>
      </c>
      <c r="D200" s="427">
        <f t="shared" ref="D200:BO200" si="366">D159/D148</f>
        <v>0.20518437401834919</v>
      </c>
      <c r="E200" s="427">
        <f t="shared" si="366"/>
        <v>0.20518437401834919</v>
      </c>
      <c r="F200" s="427">
        <f t="shared" si="366"/>
        <v>0.24345344729190455</v>
      </c>
      <c r="G200" s="427">
        <f t="shared" si="366"/>
        <v>0.24528713070710464</v>
      </c>
      <c r="H200" s="427">
        <f t="shared" si="366"/>
        <v>0.24785408545288684</v>
      </c>
      <c r="I200" s="427">
        <f t="shared" si="366"/>
        <v>0.25043861931450856</v>
      </c>
      <c r="J200" s="427">
        <f t="shared" si="366"/>
        <v>0.26502952949547476</v>
      </c>
      <c r="K200" s="427">
        <f t="shared" si="366"/>
        <v>0.26705282946635739</v>
      </c>
      <c r="L200" s="427">
        <f t="shared" si="366"/>
        <v>0.28687565775559787</v>
      </c>
      <c r="M200" s="427">
        <f t="shared" si="366"/>
        <v>0.27446425143718711</v>
      </c>
      <c r="N200" s="427">
        <f t="shared" si="366"/>
        <v>0.42507421128134748</v>
      </c>
      <c r="O200" s="427">
        <f t="shared" si="366"/>
        <v>0.28717223639483047</v>
      </c>
      <c r="P200" s="427">
        <f t="shared" si="366"/>
        <v>0.29032069148666551</v>
      </c>
      <c r="Q200" s="427">
        <f t="shared" si="366"/>
        <v>0.29407190266794503</v>
      </c>
      <c r="R200" s="427">
        <f t="shared" si="366"/>
        <v>0.2955535893439305</v>
      </c>
      <c r="S200" s="427">
        <f t="shared" si="366"/>
        <v>0.28998943413383621</v>
      </c>
      <c r="T200" s="427">
        <f t="shared" si="366"/>
        <v>0.29255213726547546</v>
      </c>
      <c r="U200" s="427">
        <f t="shared" si="366"/>
        <v>0.29330122878659942</v>
      </c>
      <c r="V200" s="427">
        <f t="shared" si="366"/>
        <v>0.29403700308914155</v>
      </c>
      <c r="W200" s="427">
        <f t="shared" si="366"/>
        <v>0.29256152493641235</v>
      </c>
      <c r="X200" s="427">
        <f t="shared" si="366"/>
        <v>0.29329090923276702</v>
      </c>
      <c r="Y200" s="427">
        <f t="shared" si="366"/>
        <v>0.2842759331785949</v>
      </c>
      <c r="Z200" s="427">
        <f t="shared" si="366"/>
        <v>0.2842759331785949</v>
      </c>
      <c r="AA200" s="427">
        <f t="shared" si="366"/>
        <v>0.2842759331785949</v>
      </c>
      <c r="AB200" s="427">
        <f t="shared" si="366"/>
        <v>0.2842759331785949</v>
      </c>
      <c r="AC200" s="427">
        <f t="shared" si="366"/>
        <v>0.2842759331785949</v>
      </c>
      <c r="AD200" s="427">
        <f t="shared" si="366"/>
        <v>0.28717848220052833</v>
      </c>
      <c r="AE200" s="427">
        <f t="shared" si="366"/>
        <v>0.26940867120039619</v>
      </c>
      <c r="AF200" s="427">
        <f t="shared" si="366"/>
        <v>0.28953687840652725</v>
      </c>
      <c r="AG200" s="427">
        <f t="shared" si="366"/>
        <v>0.28953687840652725</v>
      </c>
      <c r="AH200" s="427">
        <f t="shared" si="366"/>
        <v>0.28953687840652725</v>
      </c>
      <c r="AI200" s="427">
        <f t="shared" si="366"/>
        <v>0.28345644459458808</v>
      </c>
      <c r="AJ200" s="427">
        <f t="shared" si="366"/>
        <v>0.28345644459458808</v>
      </c>
      <c r="AK200" s="427">
        <f t="shared" si="366"/>
        <v>0.28345644459458808</v>
      </c>
      <c r="AL200" s="427">
        <f t="shared" si="366"/>
        <v>0.28345644459458808</v>
      </c>
      <c r="AM200" s="427">
        <f t="shared" si="366"/>
        <v>0.28345644459458808</v>
      </c>
      <c r="AN200" s="427">
        <f t="shared" si="366"/>
        <v>0.28294535260598486</v>
      </c>
      <c r="AO200" s="427">
        <f t="shared" si="366"/>
        <v>0.28294535260598486</v>
      </c>
      <c r="AP200" s="427">
        <f t="shared" si="366"/>
        <v>0.28294535260598486</v>
      </c>
      <c r="AQ200" s="427">
        <f t="shared" si="366"/>
        <v>0.28294535260598486</v>
      </c>
      <c r="AR200" s="427">
        <f t="shared" si="366"/>
        <v>0.28294535260598486</v>
      </c>
      <c r="AS200" s="427">
        <f t="shared" si="366"/>
        <v>0.24146009157129611</v>
      </c>
      <c r="AT200" s="427">
        <f t="shared" si="366"/>
        <v>0.31567810153180559</v>
      </c>
      <c r="AU200" s="427">
        <f t="shared" si="366"/>
        <v>0.31567810153180559</v>
      </c>
      <c r="AV200" s="427">
        <f t="shared" si="366"/>
        <v>0.31567810153180559</v>
      </c>
      <c r="AW200" s="427">
        <f t="shared" si="366"/>
        <v>0.31567810153180559</v>
      </c>
      <c r="AX200" s="427">
        <f t="shared" si="366"/>
        <v>0.33572095934349994</v>
      </c>
      <c r="AY200" s="427">
        <f t="shared" si="366"/>
        <v>0.33572095934349994</v>
      </c>
      <c r="AZ200" s="427">
        <f t="shared" si="366"/>
        <v>0.33572095934349994</v>
      </c>
      <c r="BA200" s="427">
        <f t="shared" si="366"/>
        <v>0.33572095934349994</v>
      </c>
      <c r="BB200" s="427">
        <f t="shared" si="366"/>
        <v>0.33572095934349994</v>
      </c>
      <c r="BC200" s="427">
        <f t="shared" si="366"/>
        <v>0.33350774067140465</v>
      </c>
      <c r="BD200" s="427">
        <f t="shared" si="366"/>
        <v>0.33350774067140465</v>
      </c>
      <c r="BE200" s="427">
        <f t="shared" si="366"/>
        <v>0.33350774067140465</v>
      </c>
      <c r="BF200" s="427">
        <f t="shared" si="366"/>
        <v>0.33350774067140465</v>
      </c>
      <c r="BG200" s="427">
        <f t="shared" si="366"/>
        <v>0.33350774067140465</v>
      </c>
      <c r="BH200" s="427">
        <f t="shared" si="366"/>
        <v>0.33087521981802098</v>
      </c>
      <c r="BI200" s="427">
        <f t="shared" si="366"/>
        <v>0.33087521981802098</v>
      </c>
      <c r="BJ200" s="427">
        <f t="shared" si="366"/>
        <v>0.33087521981802098</v>
      </c>
      <c r="BK200" s="427">
        <f t="shared" si="366"/>
        <v>0.33087521981802098</v>
      </c>
      <c r="BL200" s="427">
        <f t="shared" si="366"/>
        <v>0.33087521981802098</v>
      </c>
      <c r="BM200" s="427">
        <f t="shared" si="366"/>
        <v>0.32782339678334893</v>
      </c>
      <c r="BN200" s="427">
        <f t="shared" si="366"/>
        <v>0.32782339678334893</v>
      </c>
      <c r="BO200" s="427">
        <f t="shared" si="366"/>
        <v>0.32782339678334893</v>
      </c>
      <c r="BP200" s="427">
        <f t="shared" ref="BP200:BT200" si="367">BP159/BP148</f>
        <v>0.32782339678334893</v>
      </c>
      <c r="BQ200" s="427">
        <f t="shared" si="367"/>
        <v>0.32782339678334893</v>
      </c>
      <c r="BR200" s="427">
        <f t="shared" si="367"/>
        <v>0.32435227156738849</v>
      </c>
      <c r="BS200" s="427">
        <f t="shared" si="367"/>
        <v>0.32435227156738849</v>
      </c>
      <c r="BT200" s="427">
        <f t="shared" si="367"/>
        <v>0.32435227156738849</v>
      </c>
    </row>
    <row r="201" spans="2:72" s="25" customFormat="1" x14ac:dyDescent="0.25">
      <c r="B201" s="25" t="s">
        <v>1122</v>
      </c>
      <c r="C201" s="427">
        <f>C179/C148</f>
        <v>1.9227766700345439</v>
      </c>
      <c r="D201" s="427">
        <f t="shared" ref="D201:BO201" si="368">D179/D148</f>
        <v>1.9227766700345439</v>
      </c>
      <c r="E201" s="427">
        <f t="shared" si="368"/>
        <v>1.9594709169208915</v>
      </c>
      <c r="F201" s="427">
        <f t="shared" si="368"/>
        <v>9.5137817766691612E-2</v>
      </c>
      <c r="G201" s="427">
        <f t="shared" si="368"/>
        <v>9.2088378240238744E-2</v>
      </c>
      <c r="H201" s="427">
        <f t="shared" si="368"/>
        <v>8.7911819169709304E-2</v>
      </c>
      <c r="I201" s="427">
        <f t="shared" si="368"/>
        <v>8.3220023530602691E-2</v>
      </c>
      <c r="J201" s="427">
        <f t="shared" si="368"/>
        <v>9.587712941237389E-2</v>
      </c>
      <c r="K201" s="427">
        <f t="shared" si="368"/>
        <v>8.9434868256418609E-2</v>
      </c>
      <c r="L201" s="427">
        <f t="shared" si="368"/>
        <v>4.5828387508008314E-2</v>
      </c>
      <c r="M201" s="427">
        <f t="shared" si="368"/>
        <v>4.4576777110271873E-2</v>
      </c>
      <c r="N201" s="427">
        <f t="shared" si="368"/>
        <v>1.0369090550380802</v>
      </c>
      <c r="O201" s="427">
        <f t="shared" si="368"/>
        <v>0.20109637428441904</v>
      </c>
      <c r="P201" s="427">
        <f t="shared" si="368"/>
        <v>0.19478149854682608</v>
      </c>
      <c r="Q201" s="427">
        <f t="shared" si="368"/>
        <v>0.18953312544901418</v>
      </c>
      <c r="R201" s="427">
        <f t="shared" si="368"/>
        <v>0.18842503900917046</v>
      </c>
      <c r="S201" s="427">
        <f t="shared" si="368"/>
        <v>0.14971593280017367</v>
      </c>
      <c r="T201" s="427">
        <f t="shared" si="368"/>
        <v>0.13575547625327195</v>
      </c>
      <c r="U201" s="427">
        <f t="shared" si="368"/>
        <v>0.13425122571656709</v>
      </c>
      <c r="V201" s="427">
        <f t="shared" si="368"/>
        <v>0.13478338195321357</v>
      </c>
      <c r="W201" s="427">
        <f t="shared" si="368"/>
        <v>0.13350373783760131</v>
      </c>
      <c r="X201" s="427">
        <f t="shared" si="368"/>
        <v>0.13062959831449963</v>
      </c>
      <c r="Y201" s="427">
        <f t="shared" si="368"/>
        <v>0.32202392104792921</v>
      </c>
      <c r="Z201" s="427">
        <f t="shared" si="368"/>
        <v>0.33258891354658188</v>
      </c>
      <c r="AA201" s="427">
        <f t="shared" si="368"/>
        <v>0.33258891354658188</v>
      </c>
      <c r="AB201" s="427">
        <f t="shared" si="368"/>
        <v>0.33258891354658188</v>
      </c>
      <c r="AC201" s="427">
        <f t="shared" si="368"/>
        <v>0.33527149013053248</v>
      </c>
      <c r="AD201" s="427">
        <f t="shared" si="368"/>
        <v>0.33969363701385763</v>
      </c>
      <c r="AE201" s="427">
        <f t="shared" si="368"/>
        <v>0.44788701709627016</v>
      </c>
      <c r="AF201" s="427">
        <f t="shared" si="368"/>
        <v>4.7784781162617702E-2</v>
      </c>
      <c r="AG201" s="427">
        <f t="shared" si="368"/>
        <v>4.7784781162617702E-2</v>
      </c>
      <c r="AH201" s="427">
        <f t="shared" si="368"/>
        <v>4.7784781162617702E-2</v>
      </c>
      <c r="AI201" s="427">
        <f t="shared" si="368"/>
        <v>5.8322541122898398E-2</v>
      </c>
      <c r="AJ201" s="427">
        <f t="shared" si="368"/>
        <v>5.8322541122898398E-2</v>
      </c>
      <c r="AK201" s="427">
        <f t="shared" si="368"/>
        <v>5.8322541122898398E-2</v>
      </c>
      <c r="AL201" s="427">
        <f t="shared" si="368"/>
        <v>5.8322541122898398E-2</v>
      </c>
      <c r="AM201" s="427">
        <f t="shared" si="368"/>
        <v>5.8322541122898398E-2</v>
      </c>
      <c r="AN201" s="427">
        <f t="shared" si="368"/>
        <v>6.8539702184708048E-2</v>
      </c>
      <c r="AO201" s="427">
        <f t="shared" si="368"/>
        <v>6.8539702184708048E-2</v>
      </c>
      <c r="AP201" s="427">
        <f t="shared" si="368"/>
        <v>6.8539702184708048E-2</v>
      </c>
      <c r="AQ201" s="427">
        <f t="shared" si="368"/>
        <v>6.8539702184708048E-2</v>
      </c>
      <c r="AR201" s="427">
        <f t="shared" si="368"/>
        <v>6.8539702184708048E-2</v>
      </c>
      <c r="AS201" s="427">
        <f t="shared" si="368"/>
        <v>0.13579172651766672</v>
      </c>
      <c r="AT201" s="427">
        <f t="shared" si="368"/>
        <v>0.32408963381540856</v>
      </c>
      <c r="AU201" s="427">
        <f t="shared" si="368"/>
        <v>0.32408963381540856</v>
      </c>
      <c r="AV201" s="427">
        <f t="shared" si="368"/>
        <v>0.32408963381540856</v>
      </c>
      <c r="AW201" s="427">
        <f t="shared" si="368"/>
        <v>0.32408963381540856</v>
      </c>
      <c r="AX201" s="427">
        <f t="shared" si="368"/>
        <v>0.82772414067850231</v>
      </c>
      <c r="AY201" s="427">
        <f t="shared" si="368"/>
        <v>0.82772414067850231</v>
      </c>
      <c r="AZ201" s="427">
        <f t="shared" si="368"/>
        <v>0.82772414067850231</v>
      </c>
      <c r="BA201" s="427">
        <f t="shared" si="368"/>
        <v>0.82772414067850231</v>
      </c>
      <c r="BB201" s="427">
        <f t="shared" si="368"/>
        <v>0.82772414067850231</v>
      </c>
      <c r="BC201" s="427">
        <f t="shared" si="368"/>
        <v>0.88873529677029073</v>
      </c>
      <c r="BD201" s="427">
        <f t="shared" si="368"/>
        <v>0.88873529677029073</v>
      </c>
      <c r="BE201" s="427">
        <f t="shared" si="368"/>
        <v>0.88873529677029073</v>
      </c>
      <c r="BF201" s="427">
        <f t="shared" si="368"/>
        <v>0.88873529677029073</v>
      </c>
      <c r="BG201" s="427">
        <f t="shared" si="368"/>
        <v>0.88873529677029073</v>
      </c>
      <c r="BH201" s="427">
        <f t="shared" si="368"/>
        <v>1.0309526457956801</v>
      </c>
      <c r="BI201" s="427">
        <f t="shared" si="368"/>
        <v>1.0309526457956801</v>
      </c>
      <c r="BJ201" s="427">
        <f t="shared" si="368"/>
        <v>1.0309526457956801</v>
      </c>
      <c r="BK201" s="427">
        <f t="shared" si="368"/>
        <v>1.0309526457956801</v>
      </c>
      <c r="BL201" s="427">
        <f t="shared" si="368"/>
        <v>1.0309526457956801</v>
      </c>
      <c r="BM201" s="427">
        <f t="shared" si="368"/>
        <v>1.2304722859043609</v>
      </c>
      <c r="BN201" s="427">
        <f t="shared" si="368"/>
        <v>1.2304722859043609</v>
      </c>
      <c r="BO201" s="427">
        <f t="shared" si="368"/>
        <v>1.2304722859043609</v>
      </c>
      <c r="BP201" s="427">
        <f t="shared" ref="BP201:BT201" si="369">BP179/BP148</f>
        <v>1.2304722859043609</v>
      </c>
      <c r="BQ201" s="427">
        <f t="shared" si="369"/>
        <v>1.2304722859043609</v>
      </c>
      <c r="BR201" s="427">
        <f t="shared" si="369"/>
        <v>1.6314229473527693</v>
      </c>
      <c r="BS201" s="427">
        <f t="shared" si="369"/>
        <v>1.6314229473527693</v>
      </c>
      <c r="BT201" s="427">
        <f t="shared" si="369"/>
        <v>1.6314229473527693</v>
      </c>
    </row>
    <row r="202" spans="2:72" s="25" customFormat="1" x14ac:dyDescent="0.25">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c r="AC202" s="117"/>
      <c r="AD202" s="117"/>
      <c r="AE202" s="117"/>
      <c r="AF202" s="117"/>
      <c r="AG202" s="117"/>
      <c r="AH202" s="117"/>
      <c r="AI202" s="117"/>
      <c r="AJ202" s="117"/>
      <c r="AK202" s="117"/>
      <c r="AL202" s="117"/>
      <c r="AM202" s="117"/>
      <c r="AN202" s="117"/>
      <c r="AO202" s="117"/>
      <c r="AP202" s="117"/>
      <c r="AQ202" s="117"/>
      <c r="AR202" s="117"/>
      <c r="AS202" s="117"/>
      <c r="AT202" s="117"/>
      <c r="AU202" s="117"/>
      <c r="AV202" s="117"/>
      <c r="AW202" s="117"/>
      <c r="AX202" s="117"/>
      <c r="AY202" s="117"/>
      <c r="AZ202" s="117"/>
      <c r="BA202" s="117"/>
      <c r="BB202" s="117"/>
      <c r="BC202" s="117"/>
      <c r="BD202" s="117"/>
      <c r="BE202" s="117"/>
      <c r="BF202" s="117"/>
      <c r="BG202" s="117"/>
      <c r="BH202" s="117"/>
      <c r="BI202" s="117"/>
      <c r="BJ202" s="117"/>
      <c r="BK202" s="117"/>
      <c r="BL202" s="117"/>
      <c r="BM202" s="117"/>
      <c r="BN202" s="117"/>
      <c r="BO202" s="117"/>
      <c r="BP202" s="117"/>
      <c r="BQ202" s="117"/>
      <c r="BR202" s="117"/>
      <c r="BS202" s="117"/>
      <c r="BT202" s="117"/>
    </row>
    <row r="203" spans="2:72" s="25" customFormat="1" x14ac:dyDescent="0.25">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c r="AC203" s="117"/>
      <c r="AD203" s="117"/>
      <c r="AE203" s="117"/>
      <c r="AF203" s="117"/>
      <c r="AG203" s="117"/>
      <c r="AH203" s="117"/>
      <c r="AI203" s="117"/>
      <c r="AJ203" s="117"/>
      <c r="AK203" s="117"/>
      <c r="AL203" s="117"/>
      <c r="AM203" s="117"/>
      <c r="AN203" s="117"/>
      <c r="AO203" s="117"/>
      <c r="AP203" s="117"/>
      <c r="AQ203" s="117"/>
      <c r="AR203" s="117"/>
      <c r="AS203" s="117"/>
      <c r="AT203" s="117"/>
      <c r="AU203" s="117"/>
      <c r="AV203" s="117"/>
      <c r="AW203" s="117"/>
      <c r="AX203" s="117"/>
      <c r="AY203" s="117"/>
      <c r="AZ203" s="117"/>
      <c r="BA203" s="117"/>
      <c r="BB203" s="117"/>
      <c r="BC203" s="117"/>
      <c r="BD203" s="117"/>
      <c r="BE203" s="117"/>
      <c r="BF203" s="117"/>
      <c r="BG203" s="117"/>
      <c r="BH203" s="117"/>
      <c r="BI203" s="117"/>
      <c r="BJ203" s="117"/>
      <c r="BK203" s="117"/>
      <c r="BL203" s="117"/>
      <c r="BM203" s="117"/>
      <c r="BN203" s="117"/>
      <c r="BO203" s="117"/>
      <c r="BP203" s="117"/>
      <c r="BQ203" s="117"/>
      <c r="BR203" s="117"/>
      <c r="BS203" s="117"/>
      <c r="BT203" s="117"/>
    </row>
    <row r="204" spans="2:72" s="25" customFormat="1" x14ac:dyDescent="0.25">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c r="AC204" s="117"/>
      <c r="AD204" s="117"/>
      <c r="AE204" s="117"/>
      <c r="AF204" s="117"/>
      <c r="AG204" s="117"/>
      <c r="AH204" s="117"/>
      <c r="AI204" s="117"/>
      <c r="AJ204" s="117"/>
      <c r="AK204" s="117"/>
      <c r="AL204" s="117"/>
      <c r="AM204" s="117"/>
      <c r="AN204" s="117"/>
      <c r="AO204" s="117"/>
      <c r="AP204" s="117"/>
      <c r="AQ204" s="117"/>
      <c r="AR204" s="117"/>
      <c r="AS204" s="117"/>
      <c r="AT204" s="117"/>
      <c r="AU204" s="117"/>
      <c r="AV204" s="117"/>
      <c r="AW204" s="117"/>
      <c r="AX204" s="117"/>
      <c r="AY204" s="117"/>
      <c r="AZ204" s="117"/>
      <c r="BA204" s="117"/>
      <c r="BB204" s="117"/>
      <c r="BC204" s="117"/>
      <c r="BD204" s="117"/>
      <c r="BE204" s="117"/>
      <c r="BF204" s="117"/>
      <c r="BG204" s="117"/>
      <c r="BH204" s="117"/>
      <c r="BI204" s="117"/>
      <c r="BJ204" s="117"/>
      <c r="BK204" s="117"/>
      <c r="BL204" s="117"/>
      <c r="BM204" s="117"/>
      <c r="BN204" s="117"/>
      <c r="BO204" s="117"/>
      <c r="BP204" s="117"/>
      <c r="BQ204" s="117"/>
      <c r="BR204" s="117"/>
      <c r="BS204" s="117"/>
      <c r="BT204" s="117"/>
    </row>
    <row r="206" spans="2:72" x14ac:dyDescent="0.25">
      <c r="B206" s="145" t="s">
        <v>99</v>
      </c>
      <c r="C206" s="423"/>
      <c r="D206" s="423"/>
      <c r="E206" s="423"/>
      <c r="F206" s="423"/>
      <c r="G206" s="423"/>
      <c r="H206" s="423"/>
      <c r="I206" s="423"/>
      <c r="J206" s="423"/>
      <c r="K206" s="423"/>
      <c r="L206" s="423"/>
      <c r="M206" s="423"/>
      <c r="N206" s="423"/>
      <c r="O206" s="423"/>
      <c r="P206" s="423"/>
      <c r="Q206" s="423"/>
      <c r="R206" s="423"/>
      <c r="S206" s="423"/>
      <c r="T206" s="423"/>
      <c r="U206" s="423"/>
      <c r="V206" s="423"/>
      <c r="W206" s="423"/>
      <c r="X206" s="423"/>
      <c r="Y206" s="423"/>
      <c r="Z206" s="423"/>
      <c r="AA206" s="423"/>
      <c r="AB206" s="423"/>
      <c r="AC206" s="423"/>
      <c r="AD206" s="423"/>
      <c r="AE206" s="423"/>
      <c r="AF206" s="423"/>
      <c r="AG206" s="423"/>
      <c r="AH206" s="423"/>
      <c r="AI206" s="423"/>
      <c r="AJ206" s="423"/>
      <c r="AK206" s="423"/>
      <c r="AL206" s="423"/>
      <c r="AM206" s="423"/>
      <c r="AN206" s="423"/>
      <c r="AO206" s="423"/>
      <c r="AP206" s="423"/>
      <c r="AQ206" s="423"/>
      <c r="AR206" s="423"/>
      <c r="AS206" s="423"/>
      <c r="AT206" s="423"/>
      <c r="AU206" s="423"/>
      <c r="AV206" s="423"/>
      <c r="AW206" s="423"/>
      <c r="AX206" s="423"/>
      <c r="AY206" s="423"/>
      <c r="AZ206" s="423"/>
      <c r="BA206" s="423"/>
      <c r="BB206" s="423"/>
      <c r="BC206" s="423"/>
      <c r="BD206" s="423"/>
      <c r="BE206" s="423"/>
      <c r="BF206" s="423"/>
      <c r="BG206" s="423"/>
      <c r="BH206" s="423"/>
      <c r="BI206" s="423"/>
      <c r="BJ206" s="423"/>
      <c r="BK206" s="423"/>
      <c r="BL206" s="423"/>
      <c r="BM206" s="423"/>
      <c r="BN206" s="423"/>
      <c r="BO206" s="423"/>
      <c r="BP206" s="423"/>
      <c r="BQ206" s="423"/>
      <c r="BR206" s="423"/>
      <c r="BS206" s="423"/>
      <c r="BT206" s="423"/>
    </row>
    <row r="207" spans="2:72" x14ac:dyDescent="0.25">
      <c r="B207" s="423" t="s">
        <v>72</v>
      </c>
      <c r="C207" s="423"/>
      <c r="D207" s="423"/>
      <c r="E207" s="423"/>
      <c r="F207" s="423"/>
      <c r="G207" s="423"/>
      <c r="H207" s="423"/>
      <c r="I207" s="423"/>
      <c r="J207" s="423"/>
      <c r="K207" s="423"/>
      <c r="L207" s="423"/>
      <c r="M207" s="423"/>
      <c r="N207" s="423">
        <v>0</v>
      </c>
      <c r="O207" s="423">
        <v>1</v>
      </c>
      <c r="P207" s="423">
        <v>2</v>
      </c>
      <c r="Q207" s="423">
        <v>3</v>
      </c>
      <c r="R207" s="423">
        <v>4</v>
      </c>
      <c r="S207" s="423">
        <v>5</v>
      </c>
      <c r="T207" s="423">
        <v>6</v>
      </c>
      <c r="U207" s="423">
        <v>7</v>
      </c>
      <c r="V207" s="423">
        <v>8</v>
      </c>
      <c r="W207" s="423">
        <v>9</v>
      </c>
      <c r="X207" s="423">
        <v>10</v>
      </c>
      <c r="Y207" s="423">
        <v>11</v>
      </c>
      <c r="Z207" s="423">
        <v>12</v>
      </c>
      <c r="AA207" s="423">
        <v>13</v>
      </c>
      <c r="AB207" s="423">
        <v>14</v>
      </c>
      <c r="AC207" s="423">
        <v>15</v>
      </c>
      <c r="AD207" s="423">
        <v>16</v>
      </c>
      <c r="AE207" s="423">
        <v>17</v>
      </c>
      <c r="AF207" s="423">
        <v>18</v>
      </c>
      <c r="AG207" s="423">
        <v>19</v>
      </c>
      <c r="AH207" s="423">
        <v>20</v>
      </c>
      <c r="AI207" s="423">
        <v>21</v>
      </c>
      <c r="AJ207" s="423"/>
      <c r="AK207" s="423"/>
      <c r="AL207" s="423"/>
      <c r="AM207" s="423"/>
      <c r="AN207" s="423"/>
      <c r="AO207" s="423"/>
      <c r="AP207" s="423"/>
      <c r="AQ207" s="423"/>
      <c r="AR207" s="423"/>
      <c r="AS207" s="423"/>
      <c r="AT207" s="423"/>
      <c r="AU207" s="423"/>
      <c r="AV207" s="423"/>
      <c r="AW207" s="423"/>
      <c r="AX207" s="423"/>
      <c r="AY207" s="423"/>
      <c r="AZ207" s="423"/>
      <c r="BA207" s="423"/>
      <c r="BB207" s="423"/>
      <c r="BC207" s="423"/>
      <c r="BD207" s="423"/>
      <c r="BE207" s="423"/>
      <c r="BF207" s="423"/>
      <c r="BG207" s="423"/>
      <c r="BH207" s="423"/>
      <c r="BI207" s="423"/>
      <c r="BJ207" s="423"/>
      <c r="BK207" s="423"/>
      <c r="BL207" s="423"/>
      <c r="BM207" s="423"/>
      <c r="BN207" s="423"/>
      <c r="BO207" s="423"/>
      <c r="BP207" s="423"/>
      <c r="BQ207" s="423"/>
      <c r="BR207" s="423"/>
      <c r="BS207" s="423"/>
      <c r="BT207" s="423"/>
    </row>
    <row r="208" spans="2:72" x14ac:dyDescent="0.25">
      <c r="B208" s="423" t="s">
        <v>41</v>
      </c>
      <c r="C208" s="423"/>
      <c r="D208" s="423"/>
      <c r="E208" s="423"/>
      <c r="F208" s="423"/>
      <c r="G208" s="423"/>
      <c r="H208" s="423"/>
      <c r="I208" s="423"/>
      <c r="J208" s="423"/>
      <c r="K208" s="423"/>
      <c r="L208" s="423"/>
      <c r="M208" s="423"/>
      <c r="N208" s="423" t="s">
        <v>81</v>
      </c>
      <c r="O208" s="423" t="s">
        <v>82</v>
      </c>
      <c r="P208" s="423" t="s">
        <v>82</v>
      </c>
      <c r="Q208" s="423" t="s">
        <v>82</v>
      </c>
      <c r="R208" s="423" t="s">
        <v>82</v>
      </c>
      <c r="S208" s="423" t="s">
        <v>83</v>
      </c>
      <c r="T208" s="423" t="s">
        <v>84</v>
      </c>
      <c r="U208" s="423" t="s">
        <v>84</v>
      </c>
      <c r="V208" s="423" t="s">
        <v>84</v>
      </c>
      <c r="W208" s="423" t="s">
        <v>84</v>
      </c>
      <c r="X208" s="423" t="s">
        <v>84</v>
      </c>
      <c r="Y208" s="423" t="s">
        <v>84</v>
      </c>
      <c r="Z208" s="423" t="s">
        <v>85</v>
      </c>
      <c r="AA208" s="423" t="s">
        <v>85</v>
      </c>
      <c r="AB208" s="423" t="s">
        <v>85</v>
      </c>
      <c r="AC208" s="423" t="s">
        <v>85</v>
      </c>
      <c r="AD208" s="423" t="s">
        <v>85</v>
      </c>
      <c r="AE208" s="423" t="s">
        <v>42</v>
      </c>
      <c r="AF208" s="423" t="s">
        <v>42</v>
      </c>
      <c r="AG208" s="423" t="s">
        <v>42</v>
      </c>
      <c r="AH208" s="423" t="s">
        <v>42</v>
      </c>
      <c r="AI208" s="15" t="s">
        <v>100</v>
      </c>
      <c r="AJ208" s="423"/>
      <c r="AK208" s="423"/>
      <c r="AL208" s="423"/>
      <c r="AM208" s="423"/>
      <c r="AN208" s="423"/>
      <c r="AO208" s="423"/>
      <c r="AP208" s="423"/>
      <c r="AQ208" s="423"/>
      <c r="AR208" s="423"/>
      <c r="AS208" s="423"/>
      <c r="AT208" s="423"/>
      <c r="AU208" s="423"/>
      <c r="AV208" s="423"/>
      <c r="AW208" s="423"/>
      <c r="AX208" s="423"/>
      <c r="AY208" s="423"/>
      <c r="AZ208" s="423"/>
      <c r="BA208" s="423"/>
      <c r="BB208" s="423"/>
      <c r="BC208" s="423"/>
      <c r="BD208" s="423"/>
      <c r="BE208" s="423"/>
      <c r="BF208" s="423"/>
      <c r="BG208" s="423"/>
      <c r="BH208" s="423"/>
      <c r="BI208" s="423"/>
      <c r="BJ208" s="423"/>
      <c r="BK208" s="423"/>
      <c r="BL208" s="423"/>
      <c r="BM208" s="423"/>
      <c r="BN208" s="423"/>
      <c r="BO208" s="423"/>
      <c r="BP208" s="423"/>
      <c r="BQ208" s="423"/>
      <c r="BR208" s="423"/>
      <c r="BS208" s="423"/>
      <c r="BT208" s="423"/>
    </row>
    <row r="211" spans="2:72" x14ac:dyDescent="0.25">
      <c r="B211" s="25" t="s">
        <v>101</v>
      </c>
      <c r="C211" s="423"/>
      <c r="D211" s="423"/>
      <c r="E211" s="423"/>
      <c r="F211" s="423"/>
      <c r="G211" s="423"/>
      <c r="H211" s="423"/>
      <c r="I211" s="423"/>
      <c r="J211" s="423"/>
      <c r="K211" s="423"/>
      <c r="L211" s="423"/>
      <c r="M211" s="423"/>
      <c r="N211" s="423"/>
      <c r="O211" s="423"/>
      <c r="P211" s="423"/>
      <c r="Q211" s="423"/>
      <c r="R211" s="423"/>
      <c r="S211" s="423"/>
      <c r="T211" s="423"/>
      <c r="U211" s="423"/>
      <c r="V211" s="423"/>
      <c r="W211" s="423"/>
      <c r="X211" s="423"/>
      <c r="Y211" s="270">
        <f>'Calcul pension alimentaire'!D16</f>
        <v>5840.96</v>
      </c>
      <c r="Z211" s="270">
        <f t="shared" ref="Z211:AE211" si="370">Y211</f>
        <v>5840.96</v>
      </c>
      <c r="AA211" s="270">
        <f t="shared" si="370"/>
        <v>5840.96</v>
      </c>
      <c r="AB211" s="270">
        <f t="shared" si="370"/>
        <v>5840.96</v>
      </c>
      <c r="AC211" s="270">
        <f t="shared" si="370"/>
        <v>5840.96</v>
      </c>
      <c r="AD211" s="270">
        <f t="shared" si="370"/>
        <v>5840.96</v>
      </c>
      <c r="AE211" s="364">
        <f t="shared" si="370"/>
        <v>5840.96</v>
      </c>
      <c r="AF211" s="270">
        <v>5094</v>
      </c>
      <c r="AG211" s="270">
        <f>AF211</f>
        <v>5094</v>
      </c>
      <c r="AH211" s="270">
        <f>AG211</f>
        <v>5094</v>
      </c>
      <c r="AI211" s="423"/>
      <c r="AJ211" s="423"/>
      <c r="AK211" s="423"/>
      <c r="AL211" s="423"/>
      <c r="AM211" s="423"/>
      <c r="AN211" s="423"/>
      <c r="AO211" s="423"/>
      <c r="AP211" s="423"/>
      <c r="AQ211" s="423"/>
      <c r="AR211" s="423"/>
      <c r="AS211" s="423"/>
      <c r="AT211" s="423"/>
      <c r="AU211" s="423"/>
      <c r="AV211" s="423"/>
      <c r="AW211" s="423"/>
      <c r="AX211" s="423"/>
      <c r="AY211" s="423"/>
      <c r="AZ211" s="423"/>
      <c r="BA211" s="423"/>
      <c r="BB211" s="423"/>
      <c r="BC211" s="423"/>
      <c r="BD211" s="423"/>
      <c r="BE211" s="423"/>
      <c r="BF211" s="423"/>
      <c r="BG211" s="423"/>
      <c r="BH211" s="423"/>
      <c r="BI211" s="423"/>
      <c r="BJ211" s="423"/>
      <c r="BK211" s="423"/>
      <c r="BL211" s="423"/>
      <c r="BM211" s="423"/>
      <c r="BN211" s="423"/>
      <c r="BO211" s="423"/>
      <c r="BP211" s="423"/>
      <c r="BQ211" s="423"/>
      <c r="BR211" s="423"/>
      <c r="BS211" s="423"/>
      <c r="BT211" s="423"/>
    </row>
    <row r="213" spans="2:72" x14ac:dyDescent="0.25">
      <c r="B213" s="423"/>
      <c r="C213" s="423"/>
      <c r="D213" s="423"/>
      <c r="E213" s="423"/>
      <c r="F213" s="423"/>
      <c r="G213" s="423"/>
      <c r="H213" s="423"/>
      <c r="I213" s="423"/>
      <c r="J213" s="423"/>
      <c r="K213" s="423"/>
      <c r="L213" s="423"/>
      <c r="M213" s="423"/>
      <c r="N213" s="423"/>
      <c r="O213" s="423"/>
      <c r="P213" s="423"/>
      <c r="Q213" s="423"/>
      <c r="R213" s="423"/>
      <c r="S213" s="423"/>
      <c r="T213" s="423"/>
      <c r="U213" s="423"/>
      <c r="V213" s="423"/>
      <c r="W213" s="423"/>
      <c r="X213" s="423"/>
      <c r="Y213" s="423"/>
      <c r="Z213" s="423"/>
      <c r="AA213" s="423"/>
      <c r="AB213" s="423"/>
      <c r="AC213" s="423"/>
      <c r="AD213" s="149"/>
      <c r="AE213" s="423"/>
      <c r="AF213" s="423"/>
      <c r="AG213" s="423"/>
      <c r="AH213" s="423"/>
      <c r="AI213" s="423"/>
      <c r="AJ213" s="423"/>
      <c r="AK213" s="423"/>
      <c r="AL213" s="423"/>
      <c r="AM213" s="423"/>
      <c r="AN213" s="423"/>
      <c r="AO213" s="423"/>
      <c r="AP213" s="423"/>
      <c r="AQ213" s="423"/>
      <c r="AR213" s="423"/>
      <c r="AS213" s="423"/>
      <c r="AT213" s="423"/>
      <c r="AU213" s="423"/>
      <c r="AV213" s="423"/>
      <c r="AW213" s="423"/>
      <c r="AX213" s="423"/>
      <c r="AY213" s="423"/>
      <c r="AZ213" s="423"/>
      <c r="BA213" s="423"/>
      <c r="BB213" s="423"/>
      <c r="BC213" s="423"/>
      <c r="BD213" s="423"/>
      <c r="BE213" s="423"/>
      <c r="BF213" s="423"/>
      <c r="BG213" s="423"/>
      <c r="BH213" s="423"/>
      <c r="BI213" s="423"/>
      <c r="BJ213" s="423"/>
      <c r="BK213" s="423"/>
      <c r="BL213" s="423"/>
      <c r="BM213" s="423"/>
      <c r="BN213" s="423"/>
      <c r="BO213" s="423"/>
      <c r="BP213" s="423"/>
      <c r="BQ213" s="423"/>
      <c r="BR213" s="423"/>
      <c r="BS213" s="423"/>
      <c r="BT213" s="423"/>
    </row>
    <row r="216" spans="2:72" x14ac:dyDescent="0.25">
      <c r="B216" s="149"/>
    </row>
    <row r="217" spans="2:72" x14ac:dyDescent="0.25">
      <c r="B217" s="149"/>
    </row>
    <row r="218" spans="2:72" x14ac:dyDescent="0.25">
      <c r="B218" s="149"/>
    </row>
    <row r="219" spans="2:72" x14ac:dyDescent="0.25">
      <c r="B219" s="149"/>
    </row>
  </sheetData>
  <mergeCells count="9">
    <mergeCell ref="A183:A186"/>
    <mergeCell ref="A13:A22"/>
    <mergeCell ref="A23:A35"/>
    <mergeCell ref="A39:A42"/>
    <mergeCell ref="A149:A159"/>
    <mergeCell ref="A75:A94"/>
    <mergeCell ref="A64:A74"/>
    <mergeCell ref="A97:A100"/>
    <mergeCell ref="A160:A179"/>
  </mergeCells>
  <pageMargins left="0.7" right="0.7" top="0.75" bottom="0.75" header="0.3" footer="0.3"/>
  <pageSetup orientation="portrait" horizontalDpi="4294967295" verticalDpi="4294967295"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zoomScale="80" zoomScaleNormal="80" workbookViewId="0">
      <selection activeCell="E4" sqref="E4"/>
    </sheetView>
  </sheetViews>
  <sheetFormatPr baseColWidth="10" defaultColWidth="11.42578125" defaultRowHeight="15" x14ac:dyDescent="0.25"/>
  <cols>
    <col min="1" max="1" width="39.7109375" customWidth="1"/>
    <col min="2" max="3" width="13.5703125" customWidth="1"/>
  </cols>
  <sheetData>
    <row r="1" spans="1:21" ht="15.75" x14ac:dyDescent="0.25">
      <c r="B1" t="s">
        <v>587</v>
      </c>
      <c r="J1" s="324" t="s">
        <v>588</v>
      </c>
      <c r="K1" s="325"/>
      <c r="L1" s="325"/>
      <c r="M1" s="325"/>
      <c r="N1" s="325"/>
      <c r="O1" s="325"/>
      <c r="P1" s="325"/>
      <c r="Q1" s="325"/>
      <c r="R1" s="325"/>
      <c r="S1" s="325"/>
      <c r="T1" s="325"/>
      <c r="U1" s="325"/>
    </row>
    <row r="2" spans="1:21" x14ac:dyDescent="0.25">
      <c r="B2" t="s">
        <v>169</v>
      </c>
      <c r="C2" t="s">
        <v>589</v>
      </c>
      <c r="D2" t="s">
        <v>290</v>
      </c>
      <c r="J2" s="327" t="s">
        <v>590</v>
      </c>
      <c r="K2" s="328" t="s">
        <v>591</v>
      </c>
      <c r="L2" s="328"/>
      <c r="M2" s="328"/>
      <c r="N2" s="329"/>
      <c r="O2" s="330" t="s">
        <v>592</v>
      </c>
      <c r="P2" s="330"/>
      <c r="Q2" s="330"/>
      <c r="R2" s="330"/>
      <c r="S2" s="330"/>
      <c r="T2" s="330"/>
      <c r="U2" s="331" t="s">
        <v>290</v>
      </c>
    </row>
    <row r="3" spans="1:21" x14ac:dyDescent="0.25">
      <c r="A3" t="s">
        <v>593</v>
      </c>
      <c r="B3">
        <v>364874</v>
      </c>
      <c r="C3">
        <v>648785</v>
      </c>
      <c r="D3">
        <v>6557590</v>
      </c>
      <c r="J3" s="326"/>
      <c r="K3" s="332" t="s">
        <v>594</v>
      </c>
      <c r="L3" s="332" t="s">
        <v>595</v>
      </c>
      <c r="M3" s="323" t="s">
        <v>290</v>
      </c>
      <c r="N3" s="332"/>
      <c r="O3" s="333" t="s">
        <v>596</v>
      </c>
      <c r="P3" s="333" t="s">
        <v>597</v>
      </c>
      <c r="Q3" s="333" t="s">
        <v>598</v>
      </c>
      <c r="R3" s="333" t="s">
        <v>599</v>
      </c>
      <c r="S3" s="333" t="s">
        <v>290</v>
      </c>
      <c r="T3" s="332"/>
      <c r="U3" s="332"/>
    </row>
    <row r="4" spans="1:21" x14ac:dyDescent="0.25">
      <c r="A4" t="s">
        <v>600</v>
      </c>
      <c r="B4">
        <v>68918</v>
      </c>
      <c r="C4">
        <v>237072</v>
      </c>
      <c r="E4" t="s">
        <v>601</v>
      </c>
      <c r="F4" t="s">
        <v>602</v>
      </c>
      <c r="J4" s="334"/>
      <c r="K4" s="335" t="s">
        <v>603</v>
      </c>
      <c r="L4" s="336"/>
      <c r="M4" s="336"/>
      <c r="N4" s="336"/>
      <c r="O4" s="336"/>
      <c r="P4" s="336"/>
      <c r="Q4" s="336"/>
      <c r="R4" s="336"/>
      <c r="S4" s="336"/>
      <c r="T4" s="336"/>
      <c r="U4" s="336"/>
    </row>
    <row r="5" spans="1:21" x14ac:dyDescent="0.25">
      <c r="A5" t="s">
        <v>530</v>
      </c>
      <c r="B5" s="80">
        <v>29478000</v>
      </c>
      <c r="C5" s="80">
        <v>378688000</v>
      </c>
      <c r="J5" s="337" t="s">
        <v>604</v>
      </c>
      <c r="K5" s="326"/>
      <c r="L5" s="326"/>
      <c r="M5" s="348"/>
      <c r="N5" s="326"/>
      <c r="O5" s="326"/>
      <c r="S5" s="326"/>
      <c r="T5" s="326"/>
      <c r="U5" s="326"/>
    </row>
    <row r="6" spans="1:21" x14ac:dyDescent="0.25">
      <c r="B6" s="45">
        <f>B4/B3</f>
        <v>0.18888164133372068</v>
      </c>
      <c r="C6" s="45">
        <f>C4/C3</f>
        <v>0.36540918794361771</v>
      </c>
      <c r="E6" t="s">
        <v>605</v>
      </c>
      <c r="J6" s="338" t="s">
        <v>606</v>
      </c>
      <c r="K6" s="339">
        <v>2342985</v>
      </c>
      <c r="L6" s="339">
        <v>1501160</v>
      </c>
      <c r="M6" s="349">
        <v>3844145</v>
      </c>
      <c r="N6" s="339"/>
      <c r="O6" s="339">
        <v>2010580</v>
      </c>
      <c r="P6" s="339">
        <v>103625</v>
      </c>
      <c r="Q6" s="339">
        <v>483195</v>
      </c>
      <c r="R6" s="339">
        <v>389555</v>
      </c>
      <c r="S6" s="339">
        <v>2986960</v>
      </c>
      <c r="T6" s="339"/>
      <c r="U6" s="339">
        <v>6831105</v>
      </c>
    </row>
    <row r="7" spans="1:21" x14ac:dyDescent="0.25">
      <c r="A7" t="s">
        <v>607</v>
      </c>
      <c r="B7">
        <f>W18</f>
        <v>0.63369424108995032</v>
      </c>
      <c r="C7">
        <f>Y19</f>
        <v>0.46029916722579628</v>
      </c>
      <c r="J7" s="338" t="s">
        <v>608</v>
      </c>
      <c r="K7" s="339">
        <v>440</v>
      </c>
      <c r="L7" s="339">
        <v>5795</v>
      </c>
      <c r="M7" s="349">
        <v>6240</v>
      </c>
      <c r="N7" s="339"/>
      <c r="O7" s="339">
        <v>423570</v>
      </c>
      <c r="P7" s="339">
        <v>5</v>
      </c>
      <c r="Q7" s="339">
        <v>5</v>
      </c>
      <c r="R7" s="339">
        <v>5</v>
      </c>
      <c r="S7" s="339">
        <v>423590</v>
      </c>
      <c r="T7" s="339"/>
      <c r="U7" s="339">
        <v>429825</v>
      </c>
    </row>
    <row r="8" spans="1:21" x14ac:dyDescent="0.25">
      <c r="A8" t="s">
        <v>609</v>
      </c>
      <c r="B8">
        <f>B6*(1+B7)</f>
        <v>0.30857484969451704</v>
      </c>
      <c r="C8">
        <f>C6*(1+C7)</f>
        <v>0.53360673285071947</v>
      </c>
      <c r="J8" s="338" t="s">
        <v>610</v>
      </c>
      <c r="K8" s="339">
        <v>11345</v>
      </c>
      <c r="L8" s="339">
        <v>76390</v>
      </c>
      <c r="M8" s="349">
        <v>87740</v>
      </c>
      <c r="N8" s="339"/>
      <c r="O8" s="339">
        <v>409040</v>
      </c>
      <c r="P8" s="339">
        <v>755</v>
      </c>
      <c r="Q8" s="339">
        <v>770</v>
      </c>
      <c r="R8" s="339">
        <v>1795</v>
      </c>
      <c r="S8" s="339">
        <v>412365</v>
      </c>
      <c r="T8" s="339"/>
      <c r="U8" s="339">
        <v>500100</v>
      </c>
    </row>
    <row r="9" spans="1:21" x14ac:dyDescent="0.25">
      <c r="J9" s="338" t="s">
        <v>611</v>
      </c>
      <c r="K9" s="339">
        <v>56040</v>
      </c>
      <c r="L9" s="339">
        <v>181775</v>
      </c>
      <c r="M9" s="349">
        <v>237815</v>
      </c>
      <c r="N9" s="339"/>
      <c r="O9" s="339">
        <v>250315</v>
      </c>
      <c r="P9" s="339">
        <v>2675</v>
      </c>
      <c r="Q9" s="339">
        <v>2895</v>
      </c>
      <c r="R9" s="339">
        <v>1700</v>
      </c>
      <c r="S9" s="339">
        <v>257595</v>
      </c>
      <c r="T9" s="339"/>
      <c r="U9" s="339">
        <v>495410</v>
      </c>
    </row>
    <row r="10" spans="1:21" x14ac:dyDescent="0.25">
      <c r="J10" s="338" t="s">
        <v>612</v>
      </c>
      <c r="K10" s="339">
        <v>128820</v>
      </c>
      <c r="L10" s="339">
        <v>210210</v>
      </c>
      <c r="M10" s="349">
        <v>339025</v>
      </c>
      <c r="N10" s="339"/>
      <c r="O10" s="339">
        <v>162230</v>
      </c>
      <c r="P10" s="339">
        <v>5545</v>
      </c>
      <c r="Q10" s="339">
        <v>7435</v>
      </c>
      <c r="R10" s="339">
        <v>1265</v>
      </c>
      <c r="S10" s="339">
        <v>176475</v>
      </c>
      <c r="T10" s="339"/>
      <c r="U10" s="339">
        <v>515505</v>
      </c>
    </row>
    <row r="11" spans="1:21" x14ac:dyDescent="0.25">
      <c r="A11" t="s">
        <v>613</v>
      </c>
      <c r="B11" s="80">
        <f>B5/B3</f>
        <v>80.789532825030008</v>
      </c>
      <c r="C11" s="80">
        <f>C5/C3</f>
        <v>583.68797059118197</v>
      </c>
      <c r="J11" s="338" t="s">
        <v>614</v>
      </c>
      <c r="K11" s="339">
        <v>178540</v>
      </c>
      <c r="L11" s="339">
        <v>209330</v>
      </c>
      <c r="M11" s="349">
        <v>387870</v>
      </c>
      <c r="N11" s="339"/>
      <c r="O11" s="339">
        <v>136855</v>
      </c>
      <c r="P11" s="339">
        <v>8705</v>
      </c>
      <c r="Q11" s="339">
        <v>15575</v>
      </c>
      <c r="R11" s="339">
        <v>1530</v>
      </c>
      <c r="S11" s="339">
        <v>162665</v>
      </c>
      <c r="T11" s="339"/>
      <c r="U11" s="339">
        <v>550540</v>
      </c>
    </row>
    <row r="12" spans="1:21" x14ac:dyDescent="0.25">
      <c r="A12" t="s">
        <v>615</v>
      </c>
      <c r="B12" s="45">
        <v>0.35</v>
      </c>
      <c r="C12" s="45">
        <v>0.35</v>
      </c>
      <c r="J12" s="338" t="s">
        <v>616</v>
      </c>
      <c r="K12" s="339">
        <v>192715</v>
      </c>
      <c r="L12" s="339">
        <v>163445</v>
      </c>
      <c r="M12" s="349">
        <v>356155</v>
      </c>
      <c r="N12" s="339"/>
      <c r="O12" s="339">
        <v>111545</v>
      </c>
      <c r="P12" s="339">
        <v>10745</v>
      </c>
      <c r="Q12" s="339">
        <v>25725</v>
      </c>
      <c r="R12" s="339">
        <v>2360</v>
      </c>
      <c r="S12" s="339">
        <v>150370</v>
      </c>
      <c r="T12" s="339"/>
      <c r="U12" s="339">
        <v>506525</v>
      </c>
    </row>
    <row r="13" spans="1:21" x14ac:dyDescent="0.25">
      <c r="A13" t="s">
        <v>617</v>
      </c>
      <c r="B13" s="80">
        <f>B11/B12</f>
        <v>230.82723664294289</v>
      </c>
      <c r="C13" s="80">
        <f>C11/C12</f>
        <v>1667.6799159748057</v>
      </c>
      <c r="J13" s="338" t="s">
        <v>618</v>
      </c>
      <c r="K13" s="339">
        <v>205820</v>
      </c>
      <c r="L13" s="339">
        <v>148815</v>
      </c>
      <c r="M13" s="349">
        <v>354635</v>
      </c>
      <c r="N13" s="339"/>
      <c r="O13" s="339">
        <v>109415</v>
      </c>
      <c r="P13" s="339">
        <v>11960</v>
      </c>
      <c r="Q13" s="339">
        <v>39360</v>
      </c>
      <c r="R13" s="339">
        <v>4055</v>
      </c>
      <c r="S13" s="339">
        <v>164790</v>
      </c>
      <c r="T13" s="339"/>
      <c r="U13" s="339">
        <v>519425</v>
      </c>
    </row>
    <row r="14" spans="1:21" x14ac:dyDescent="0.25">
      <c r="A14" t="s">
        <v>619</v>
      </c>
      <c r="C14" s="269">
        <f>C13/'Paramètres Indexation'!$F$26*100</f>
        <v>1727.6495252708301</v>
      </c>
      <c r="E14" s="80"/>
      <c r="J14" s="338" t="s">
        <v>620</v>
      </c>
      <c r="K14" s="339">
        <v>254950</v>
      </c>
      <c r="L14" s="339">
        <v>160225</v>
      </c>
      <c r="M14" s="349">
        <v>415175</v>
      </c>
      <c r="N14" s="339"/>
      <c r="O14" s="339">
        <v>121680</v>
      </c>
      <c r="P14" s="339">
        <v>13200</v>
      </c>
      <c r="Q14" s="339">
        <v>61390</v>
      </c>
      <c r="R14" s="339">
        <v>7990</v>
      </c>
      <c r="S14" s="339">
        <v>204265</v>
      </c>
      <c r="T14" s="339"/>
      <c r="U14" s="339">
        <v>619435</v>
      </c>
    </row>
    <row r="15" spans="1:21" x14ac:dyDescent="0.25">
      <c r="E15" s="80"/>
      <c r="J15" s="338" t="s">
        <v>621</v>
      </c>
      <c r="K15" s="339">
        <v>292725</v>
      </c>
      <c r="L15" s="339">
        <v>137035</v>
      </c>
      <c r="M15" s="349">
        <v>429755</v>
      </c>
      <c r="N15" s="339"/>
      <c r="O15" s="339">
        <v>102595</v>
      </c>
      <c r="P15" s="339">
        <v>12200</v>
      </c>
      <c r="Q15" s="339">
        <v>77145</v>
      </c>
      <c r="R15" s="339">
        <v>14770</v>
      </c>
      <c r="S15" s="339">
        <v>206720</v>
      </c>
      <c r="T15" s="339"/>
      <c r="U15" s="339">
        <v>636475</v>
      </c>
    </row>
    <row r="16" spans="1:21" x14ac:dyDescent="0.25">
      <c r="A16" t="s">
        <v>622</v>
      </c>
      <c r="J16" s="338" t="s">
        <v>623</v>
      </c>
      <c r="K16" s="339">
        <v>285480</v>
      </c>
      <c r="L16" s="339">
        <v>93205</v>
      </c>
      <c r="M16" s="349">
        <v>378685</v>
      </c>
      <c r="N16" s="339"/>
      <c r="O16" s="339">
        <v>68680</v>
      </c>
      <c r="P16" s="339">
        <v>10630</v>
      </c>
      <c r="Q16" s="339">
        <v>80065</v>
      </c>
      <c r="R16" s="339">
        <v>24610</v>
      </c>
      <c r="S16" s="339">
        <v>183990</v>
      </c>
      <c r="T16" s="339"/>
      <c r="U16" s="339">
        <v>562675</v>
      </c>
    </row>
    <row r="17" spans="1:25" x14ac:dyDescent="0.25">
      <c r="J17" s="338" t="s">
        <v>624</v>
      </c>
      <c r="K17" s="339">
        <v>264605</v>
      </c>
      <c r="L17" s="339">
        <v>58130</v>
      </c>
      <c r="M17" s="349">
        <v>322735</v>
      </c>
      <c r="N17" s="339"/>
      <c r="O17" s="339">
        <v>44270</v>
      </c>
      <c r="P17" s="339">
        <v>9490</v>
      </c>
      <c r="Q17" s="339">
        <v>73910</v>
      </c>
      <c r="R17" s="339">
        <v>37775</v>
      </c>
      <c r="S17" s="339">
        <v>165440</v>
      </c>
      <c r="T17" s="339"/>
      <c r="U17" s="339">
        <v>488175</v>
      </c>
    </row>
    <row r="18" spans="1:25" ht="15.75" thickBot="1" x14ac:dyDescent="0.3">
      <c r="A18" t="s">
        <v>625</v>
      </c>
      <c r="C18" s="80">
        <f>C14*2</f>
        <v>3455.2990505416601</v>
      </c>
      <c r="J18" s="338" t="s">
        <v>626</v>
      </c>
      <c r="K18" s="339">
        <v>204135</v>
      </c>
      <c r="L18" s="339">
        <v>32605</v>
      </c>
      <c r="M18" s="349">
        <v>236745</v>
      </c>
      <c r="N18" s="339"/>
      <c r="O18" s="339">
        <v>27045</v>
      </c>
      <c r="P18" s="339">
        <v>7505</v>
      </c>
      <c r="Q18" s="339">
        <v>51180</v>
      </c>
      <c r="R18" s="339">
        <v>51115</v>
      </c>
      <c r="S18" s="339">
        <v>136845</v>
      </c>
      <c r="T18" s="339"/>
      <c r="U18" s="339">
        <v>373595</v>
      </c>
      <c r="W18">
        <f>M18/U18</f>
        <v>0.63369424108995032</v>
      </c>
    </row>
    <row r="19" spans="1:25" x14ac:dyDescent="0.25">
      <c r="J19" s="353" t="s">
        <v>627</v>
      </c>
      <c r="K19" s="354">
        <v>133080</v>
      </c>
      <c r="L19" s="354">
        <v>14765</v>
      </c>
      <c r="M19" s="355">
        <v>147845</v>
      </c>
      <c r="N19" s="354"/>
      <c r="O19" s="354">
        <v>17130</v>
      </c>
      <c r="P19" s="354">
        <v>4955</v>
      </c>
      <c r="Q19" s="354">
        <v>26970</v>
      </c>
      <c r="R19" s="354">
        <v>60000</v>
      </c>
      <c r="S19" s="354">
        <v>109060</v>
      </c>
      <c r="T19" s="354"/>
      <c r="U19" s="356">
        <v>256900</v>
      </c>
      <c r="W19" s="363">
        <f>SUM(M19:M21)</f>
        <v>291565</v>
      </c>
      <c r="X19" s="363">
        <f>SUM(U19:U21)</f>
        <v>633425</v>
      </c>
      <c r="Y19" s="17">
        <f>W19/X19</f>
        <v>0.46029916722579628</v>
      </c>
    </row>
    <row r="20" spans="1:25" x14ac:dyDescent="0.25">
      <c r="J20" s="357" t="s">
        <v>628</v>
      </c>
      <c r="K20" s="339">
        <v>83150</v>
      </c>
      <c r="L20" s="339">
        <v>6425</v>
      </c>
      <c r="M20" s="349">
        <v>89575</v>
      </c>
      <c r="N20" s="339"/>
      <c r="O20" s="339">
        <v>12615</v>
      </c>
      <c r="P20" s="339">
        <v>3190</v>
      </c>
      <c r="Q20" s="339">
        <v>13430</v>
      </c>
      <c r="R20" s="339">
        <v>69030</v>
      </c>
      <c r="S20" s="339">
        <v>98265</v>
      </c>
      <c r="T20" s="339"/>
      <c r="U20" s="358">
        <v>187840</v>
      </c>
    </row>
    <row r="21" spans="1:25" ht="15.75" thickBot="1" x14ac:dyDescent="0.3">
      <c r="J21" s="359" t="s">
        <v>629</v>
      </c>
      <c r="K21" s="360">
        <v>51145</v>
      </c>
      <c r="L21" s="360">
        <v>3000</v>
      </c>
      <c r="M21" s="361">
        <v>54145</v>
      </c>
      <c r="N21" s="360"/>
      <c r="O21" s="360">
        <v>13590</v>
      </c>
      <c r="P21" s="360">
        <v>2055</v>
      </c>
      <c r="Q21" s="360">
        <v>7335</v>
      </c>
      <c r="R21" s="360">
        <v>111555</v>
      </c>
      <c r="S21" s="360">
        <v>134545</v>
      </c>
      <c r="T21" s="360"/>
      <c r="U21" s="362">
        <v>188685</v>
      </c>
    </row>
    <row r="22" spans="1:25" x14ac:dyDescent="0.25">
      <c r="J22" s="337" t="s">
        <v>630</v>
      </c>
      <c r="K22" s="340"/>
      <c r="L22" s="340"/>
      <c r="M22" s="340"/>
      <c r="N22" s="340"/>
      <c r="O22" s="340"/>
      <c r="P22" s="340"/>
      <c r="Q22" s="340"/>
      <c r="R22" s="340"/>
      <c r="S22" s="340"/>
      <c r="T22" s="340"/>
      <c r="U22" s="340"/>
    </row>
    <row r="23" spans="1:25" x14ac:dyDescent="0.25">
      <c r="J23" s="338" t="s">
        <v>606</v>
      </c>
      <c r="K23" s="341">
        <v>1172720</v>
      </c>
      <c r="L23" s="341">
        <v>752030</v>
      </c>
      <c r="M23" s="349">
        <v>1924750</v>
      </c>
      <c r="N23" s="341"/>
      <c r="O23" s="341">
        <v>1084300</v>
      </c>
      <c r="P23" s="341">
        <v>46395</v>
      </c>
      <c r="Q23" s="341">
        <v>194435</v>
      </c>
      <c r="R23" s="341">
        <v>84350</v>
      </c>
      <c r="S23" s="339">
        <v>1409470</v>
      </c>
      <c r="T23" s="339"/>
      <c r="U23" s="341">
        <v>3334220</v>
      </c>
    </row>
    <row r="24" spans="1:25" x14ac:dyDescent="0.25">
      <c r="J24" s="338" t="s">
        <v>608</v>
      </c>
      <c r="K24" s="341">
        <v>140</v>
      </c>
      <c r="L24" s="341">
        <v>1590</v>
      </c>
      <c r="M24" s="349">
        <v>1730</v>
      </c>
      <c r="N24" s="341"/>
      <c r="O24" s="341">
        <v>217335</v>
      </c>
      <c r="P24" s="341">
        <v>0</v>
      </c>
      <c r="Q24" s="341">
        <v>5</v>
      </c>
      <c r="R24" s="341">
        <v>0</v>
      </c>
      <c r="S24" s="339">
        <v>217340</v>
      </c>
      <c r="T24" s="339"/>
      <c r="U24" s="341">
        <v>219070</v>
      </c>
    </row>
    <row r="25" spans="1:25" x14ac:dyDescent="0.25">
      <c r="J25" s="338" t="s">
        <v>610</v>
      </c>
      <c r="K25" s="341">
        <v>3325</v>
      </c>
      <c r="L25" s="341">
        <v>28415</v>
      </c>
      <c r="M25" s="349">
        <v>31740</v>
      </c>
      <c r="N25" s="341"/>
      <c r="O25" s="341">
        <v>219180</v>
      </c>
      <c r="P25" s="341">
        <v>245</v>
      </c>
      <c r="Q25" s="341">
        <v>320</v>
      </c>
      <c r="R25" s="341">
        <v>1110</v>
      </c>
      <c r="S25" s="339">
        <v>220855</v>
      </c>
      <c r="T25" s="339"/>
      <c r="U25" s="341">
        <v>252595</v>
      </c>
    </row>
    <row r="26" spans="1:25" x14ac:dyDescent="0.25">
      <c r="J26" s="338" t="s">
        <v>611</v>
      </c>
      <c r="K26" s="341">
        <v>20010</v>
      </c>
      <c r="L26" s="341">
        <v>80515</v>
      </c>
      <c r="M26" s="349">
        <v>100525</v>
      </c>
      <c r="N26" s="341"/>
      <c r="O26" s="341">
        <v>144420</v>
      </c>
      <c r="P26" s="341">
        <v>905</v>
      </c>
      <c r="Q26" s="341">
        <v>1125</v>
      </c>
      <c r="R26" s="341">
        <v>1050</v>
      </c>
      <c r="S26" s="339">
        <v>147500</v>
      </c>
      <c r="T26" s="339"/>
      <c r="U26" s="341">
        <v>248030</v>
      </c>
    </row>
    <row r="27" spans="1:25" x14ac:dyDescent="0.25">
      <c r="J27" s="338" t="s">
        <v>612</v>
      </c>
      <c r="K27" s="341">
        <v>54685</v>
      </c>
      <c r="L27" s="341">
        <v>102330</v>
      </c>
      <c r="M27" s="349">
        <v>157015</v>
      </c>
      <c r="N27" s="341"/>
      <c r="O27" s="341">
        <v>93870</v>
      </c>
      <c r="P27" s="341">
        <v>2125</v>
      </c>
      <c r="Q27" s="341">
        <v>2750</v>
      </c>
      <c r="R27" s="341">
        <v>680</v>
      </c>
      <c r="S27" s="339">
        <v>99425</v>
      </c>
      <c r="T27" s="339"/>
      <c r="U27" s="341">
        <v>256435</v>
      </c>
    </row>
    <row r="28" spans="1:25" x14ac:dyDescent="0.25">
      <c r="J28" s="338" t="s">
        <v>614</v>
      </c>
      <c r="K28" s="341">
        <v>82875</v>
      </c>
      <c r="L28" s="341">
        <v>105930</v>
      </c>
      <c r="M28" s="349">
        <v>188805</v>
      </c>
      <c r="N28" s="341"/>
      <c r="O28" s="341">
        <v>76015</v>
      </c>
      <c r="P28" s="341">
        <v>3440</v>
      </c>
      <c r="Q28" s="341">
        <v>5685</v>
      </c>
      <c r="R28" s="341">
        <v>650</v>
      </c>
      <c r="S28" s="339">
        <v>85790</v>
      </c>
      <c r="T28" s="339"/>
      <c r="U28" s="341">
        <v>274595</v>
      </c>
    </row>
    <row r="29" spans="1:25" x14ac:dyDescent="0.25">
      <c r="J29" s="338" t="s">
        <v>616</v>
      </c>
      <c r="K29" s="341">
        <v>94560</v>
      </c>
      <c r="L29" s="341">
        <v>84550</v>
      </c>
      <c r="M29" s="349">
        <v>179110</v>
      </c>
      <c r="N29" s="341"/>
      <c r="O29" s="341">
        <v>60410</v>
      </c>
      <c r="P29" s="341">
        <v>4370</v>
      </c>
      <c r="Q29" s="341">
        <v>9455</v>
      </c>
      <c r="R29" s="341">
        <v>755</v>
      </c>
      <c r="S29" s="339">
        <v>74990</v>
      </c>
      <c r="T29" s="339"/>
      <c r="U29" s="341">
        <v>254100</v>
      </c>
    </row>
    <row r="30" spans="1:25" x14ac:dyDescent="0.25">
      <c r="J30" s="338" t="s">
        <v>618</v>
      </c>
      <c r="K30" s="341">
        <v>102195</v>
      </c>
      <c r="L30" s="341">
        <v>75875</v>
      </c>
      <c r="M30" s="349">
        <v>178070</v>
      </c>
      <c r="N30" s="341"/>
      <c r="O30" s="341">
        <v>60335</v>
      </c>
      <c r="P30" s="341">
        <v>5280</v>
      </c>
      <c r="Q30" s="341">
        <v>15465</v>
      </c>
      <c r="R30" s="341">
        <v>1260</v>
      </c>
      <c r="S30" s="339">
        <v>82335</v>
      </c>
      <c r="T30" s="339"/>
      <c r="U30" s="341">
        <v>260405</v>
      </c>
    </row>
    <row r="31" spans="1:25" x14ac:dyDescent="0.25">
      <c r="J31" s="338" t="s">
        <v>620</v>
      </c>
      <c r="K31" s="341">
        <v>124340</v>
      </c>
      <c r="L31" s="341">
        <v>81725</v>
      </c>
      <c r="M31" s="349">
        <v>206065</v>
      </c>
      <c r="N31" s="341"/>
      <c r="O31" s="341">
        <v>69300</v>
      </c>
      <c r="P31" s="341">
        <v>6050</v>
      </c>
      <c r="Q31" s="341">
        <v>25310</v>
      </c>
      <c r="R31" s="341">
        <v>2340</v>
      </c>
      <c r="S31" s="339">
        <v>103005</v>
      </c>
      <c r="T31" s="339"/>
      <c r="U31" s="341">
        <v>309070</v>
      </c>
    </row>
    <row r="32" spans="1:25" x14ac:dyDescent="0.25">
      <c r="J32" s="338" t="s">
        <v>621</v>
      </c>
      <c r="K32" s="341">
        <v>143120</v>
      </c>
      <c r="L32" s="341">
        <v>71445</v>
      </c>
      <c r="M32" s="349">
        <v>214570</v>
      </c>
      <c r="N32" s="341"/>
      <c r="O32" s="341">
        <v>57790</v>
      </c>
      <c r="P32" s="341">
        <v>5575</v>
      </c>
      <c r="Q32" s="341">
        <v>32375</v>
      </c>
      <c r="R32" s="341">
        <v>3885</v>
      </c>
      <c r="S32" s="339">
        <v>99620</v>
      </c>
      <c r="T32" s="339"/>
      <c r="U32" s="341">
        <v>314190</v>
      </c>
    </row>
    <row r="33" spans="10:21" x14ac:dyDescent="0.25">
      <c r="J33" s="338" t="s">
        <v>623</v>
      </c>
      <c r="K33" s="341">
        <v>144030</v>
      </c>
      <c r="L33" s="341">
        <v>50505</v>
      </c>
      <c r="M33" s="349">
        <v>194535</v>
      </c>
      <c r="N33" s="341"/>
      <c r="O33" s="341">
        <v>37200</v>
      </c>
      <c r="P33" s="341">
        <v>5055</v>
      </c>
      <c r="Q33" s="341">
        <v>33435</v>
      </c>
      <c r="R33" s="341">
        <v>5915</v>
      </c>
      <c r="S33" s="339">
        <v>81605</v>
      </c>
      <c r="T33" s="339"/>
      <c r="U33" s="341">
        <v>276140</v>
      </c>
    </row>
    <row r="34" spans="10:21" x14ac:dyDescent="0.25">
      <c r="J34" s="338" t="s">
        <v>624</v>
      </c>
      <c r="K34" s="341">
        <v>137540</v>
      </c>
      <c r="L34" s="341">
        <v>33450</v>
      </c>
      <c r="M34" s="349">
        <v>170985</v>
      </c>
      <c r="N34" s="341"/>
      <c r="O34" s="341">
        <v>21840</v>
      </c>
      <c r="P34" s="341">
        <v>4565</v>
      </c>
      <c r="Q34" s="341">
        <v>30205</v>
      </c>
      <c r="R34" s="341">
        <v>8795</v>
      </c>
      <c r="S34" s="339">
        <v>65410</v>
      </c>
      <c r="T34" s="339"/>
      <c r="U34" s="341">
        <v>236395</v>
      </c>
    </row>
    <row r="35" spans="10:21" x14ac:dyDescent="0.25">
      <c r="J35" s="338" t="s">
        <v>626</v>
      </c>
      <c r="K35" s="341">
        <v>109960</v>
      </c>
      <c r="L35" s="341">
        <v>19850</v>
      </c>
      <c r="M35" s="349">
        <v>129810</v>
      </c>
      <c r="N35" s="341"/>
      <c r="O35" s="341">
        <v>11945</v>
      </c>
      <c r="P35" s="341">
        <v>3675</v>
      </c>
      <c r="Q35" s="341">
        <v>20260</v>
      </c>
      <c r="R35" s="341">
        <v>11215</v>
      </c>
      <c r="S35" s="339">
        <v>47095</v>
      </c>
      <c r="T35" s="339"/>
      <c r="U35" s="341">
        <v>176900</v>
      </c>
    </row>
    <row r="36" spans="10:21" x14ac:dyDescent="0.25">
      <c r="J36" s="338" t="s">
        <v>627</v>
      </c>
      <c r="K36" s="341">
        <v>74370</v>
      </c>
      <c r="L36" s="341">
        <v>9390</v>
      </c>
      <c r="M36" s="349">
        <v>83765</v>
      </c>
      <c r="N36" s="341"/>
      <c r="O36" s="341">
        <v>6925</v>
      </c>
      <c r="P36" s="341">
        <v>2435</v>
      </c>
      <c r="Q36" s="341">
        <v>10640</v>
      </c>
      <c r="R36" s="341">
        <v>12250</v>
      </c>
      <c r="S36" s="339">
        <v>32250</v>
      </c>
      <c r="T36" s="339"/>
      <c r="U36" s="341">
        <v>116015</v>
      </c>
    </row>
    <row r="37" spans="10:21" x14ac:dyDescent="0.25">
      <c r="J37" s="338" t="s">
        <v>628</v>
      </c>
      <c r="K37" s="341">
        <v>48955</v>
      </c>
      <c r="L37" s="341">
        <v>4365</v>
      </c>
      <c r="M37" s="349">
        <v>53320</v>
      </c>
      <c r="N37" s="341"/>
      <c r="O37" s="341">
        <v>4280</v>
      </c>
      <c r="P37" s="341">
        <v>1635</v>
      </c>
      <c r="Q37" s="341">
        <v>5030</v>
      </c>
      <c r="R37" s="341">
        <v>14120</v>
      </c>
      <c r="S37" s="339">
        <v>25065</v>
      </c>
      <c r="T37" s="339"/>
      <c r="U37" s="341">
        <v>78390</v>
      </c>
    </row>
    <row r="38" spans="10:21" x14ac:dyDescent="0.25">
      <c r="J38" s="338" t="s">
        <v>629</v>
      </c>
      <c r="K38" s="341">
        <v>32615</v>
      </c>
      <c r="L38" s="341">
        <v>2090</v>
      </c>
      <c r="M38" s="349">
        <v>34705</v>
      </c>
      <c r="N38" s="341"/>
      <c r="O38" s="341">
        <v>3460</v>
      </c>
      <c r="P38" s="341">
        <v>1040</v>
      </c>
      <c r="Q38" s="341">
        <v>2365</v>
      </c>
      <c r="R38" s="341">
        <v>20320</v>
      </c>
      <c r="S38" s="339">
        <v>27180</v>
      </c>
      <c r="T38" s="339"/>
      <c r="U38" s="341">
        <v>61885</v>
      </c>
    </row>
    <row r="39" spans="10:21" x14ac:dyDescent="0.25">
      <c r="J39" s="337" t="s">
        <v>631</v>
      </c>
      <c r="K39" s="340"/>
      <c r="L39" s="340"/>
      <c r="M39" s="340"/>
      <c r="N39" s="340"/>
      <c r="O39" s="340"/>
      <c r="P39" s="340"/>
      <c r="Q39" s="340"/>
      <c r="R39" s="340"/>
      <c r="S39" s="340"/>
      <c r="T39" s="340"/>
      <c r="U39" s="340"/>
    </row>
    <row r="40" spans="10:21" x14ac:dyDescent="0.25">
      <c r="J40" s="338" t="s">
        <v>606</v>
      </c>
      <c r="K40" s="341">
        <v>1170260</v>
      </c>
      <c r="L40" s="341">
        <v>749135</v>
      </c>
      <c r="M40" s="349">
        <v>1919395</v>
      </c>
      <c r="N40" s="341"/>
      <c r="O40" s="341">
        <v>926280</v>
      </c>
      <c r="P40" s="341">
        <v>57240</v>
      </c>
      <c r="Q40" s="341">
        <v>288765</v>
      </c>
      <c r="R40" s="341">
        <v>305210</v>
      </c>
      <c r="S40" s="339">
        <v>1577490</v>
      </c>
      <c r="T40" s="339"/>
      <c r="U40" s="341">
        <v>3496885</v>
      </c>
    </row>
    <row r="41" spans="10:21" x14ac:dyDescent="0.25">
      <c r="J41" s="338" t="s">
        <v>608</v>
      </c>
      <c r="K41" s="341">
        <v>305</v>
      </c>
      <c r="L41" s="341">
        <v>4205</v>
      </c>
      <c r="M41" s="349">
        <v>4510</v>
      </c>
      <c r="N41" s="341"/>
      <c r="O41" s="341">
        <v>206235</v>
      </c>
      <c r="P41" s="341">
        <v>5</v>
      </c>
      <c r="Q41" s="341">
        <v>0</v>
      </c>
      <c r="R41" s="341">
        <v>5</v>
      </c>
      <c r="S41" s="339">
        <v>206250</v>
      </c>
      <c r="T41" s="339"/>
      <c r="U41" s="341">
        <v>210755</v>
      </c>
    </row>
    <row r="42" spans="10:21" x14ac:dyDescent="0.25">
      <c r="J42" s="338" t="s">
        <v>610</v>
      </c>
      <c r="K42" s="341">
        <v>8020</v>
      </c>
      <c r="L42" s="341">
        <v>47975</v>
      </c>
      <c r="M42" s="349">
        <v>55995</v>
      </c>
      <c r="N42" s="341"/>
      <c r="O42" s="341">
        <v>189860</v>
      </c>
      <c r="P42" s="341">
        <v>515</v>
      </c>
      <c r="Q42" s="341">
        <v>445</v>
      </c>
      <c r="R42" s="341">
        <v>690</v>
      </c>
      <c r="S42" s="339">
        <v>191505</v>
      </c>
      <c r="T42" s="339"/>
      <c r="U42" s="341">
        <v>247500</v>
      </c>
    </row>
    <row r="43" spans="10:21" x14ac:dyDescent="0.25">
      <c r="J43" s="338" t="s">
        <v>611</v>
      </c>
      <c r="K43" s="341">
        <v>36030</v>
      </c>
      <c r="L43" s="341">
        <v>101260</v>
      </c>
      <c r="M43" s="349">
        <v>137290</v>
      </c>
      <c r="N43" s="341"/>
      <c r="O43" s="341">
        <v>105895</v>
      </c>
      <c r="P43" s="341">
        <v>1775</v>
      </c>
      <c r="Q43" s="341">
        <v>1770</v>
      </c>
      <c r="R43" s="341">
        <v>655</v>
      </c>
      <c r="S43" s="339">
        <v>110095</v>
      </c>
      <c r="T43" s="339"/>
      <c r="U43" s="341">
        <v>247380</v>
      </c>
    </row>
    <row r="44" spans="10:21" x14ac:dyDescent="0.25">
      <c r="J44" s="338" t="s">
        <v>612</v>
      </c>
      <c r="K44" s="341">
        <v>74135</v>
      </c>
      <c r="L44" s="341">
        <v>107880</v>
      </c>
      <c r="M44" s="349">
        <v>182015</v>
      </c>
      <c r="N44" s="341"/>
      <c r="O44" s="341">
        <v>68360</v>
      </c>
      <c r="P44" s="341">
        <v>3420</v>
      </c>
      <c r="Q44" s="341">
        <v>4685</v>
      </c>
      <c r="R44" s="341">
        <v>585</v>
      </c>
      <c r="S44" s="339">
        <v>77055</v>
      </c>
      <c r="T44" s="339"/>
      <c r="U44" s="341">
        <v>259070</v>
      </c>
    </row>
    <row r="45" spans="10:21" x14ac:dyDescent="0.25">
      <c r="J45" s="338" t="s">
        <v>614</v>
      </c>
      <c r="K45" s="341">
        <v>95665</v>
      </c>
      <c r="L45" s="341">
        <v>103400</v>
      </c>
      <c r="M45" s="349">
        <v>199070</v>
      </c>
      <c r="N45" s="341"/>
      <c r="O45" s="341">
        <v>60840</v>
      </c>
      <c r="P45" s="341">
        <v>5270</v>
      </c>
      <c r="Q45" s="341">
        <v>9890</v>
      </c>
      <c r="R45" s="341">
        <v>880</v>
      </c>
      <c r="S45" s="339">
        <v>76875</v>
      </c>
      <c r="T45" s="339"/>
      <c r="U45" s="341">
        <v>275945</v>
      </c>
    </row>
    <row r="46" spans="10:21" x14ac:dyDescent="0.25">
      <c r="J46" s="338" t="s">
        <v>616</v>
      </c>
      <c r="K46" s="341">
        <v>98155</v>
      </c>
      <c r="L46" s="341">
        <v>78895</v>
      </c>
      <c r="M46" s="349">
        <v>177050</v>
      </c>
      <c r="N46" s="341"/>
      <c r="O46" s="341">
        <v>51135</v>
      </c>
      <c r="P46" s="341">
        <v>6375</v>
      </c>
      <c r="Q46" s="341">
        <v>16265</v>
      </c>
      <c r="R46" s="341">
        <v>1600</v>
      </c>
      <c r="S46" s="339">
        <v>75370</v>
      </c>
      <c r="T46" s="339"/>
      <c r="U46" s="341">
        <v>252420</v>
      </c>
    </row>
    <row r="47" spans="10:21" x14ac:dyDescent="0.25">
      <c r="J47" s="338" t="s">
        <v>618</v>
      </c>
      <c r="K47" s="341">
        <v>103620</v>
      </c>
      <c r="L47" s="341">
        <v>72940</v>
      </c>
      <c r="M47" s="349">
        <v>176565</v>
      </c>
      <c r="N47" s="341"/>
      <c r="O47" s="341">
        <v>49080</v>
      </c>
      <c r="P47" s="341">
        <v>6680</v>
      </c>
      <c r="Q47" s="341">
        <v>23895</v>
      </c>
      <c r="R47" s="341">
        <v>2795</v>
      </c>
      <c r="S47" s="339">
        <v>82455</v>
      </c>
      <c r="T47" s="339"/>
      <c r="U47" s="341">
        <v>259020</v>
      </c>
    </row>
    <row r="48" spans="10:21" x14ac:dyDescent="0.25">
      <c r="J48" s="338" t="s">
        <v>620</v>
      </c>
      <c r="K48" s="341">
        <v>130605</v>
      </c>
      <c r="L48" s="341">
        <v>78500</v>
      </c>
      <c r="M48" s="349">
        <v>209110</v>
      </c>
      <c r="N48" s="341"/>
      <c r="O48" s="341">
        <v>52380</v>
      </c>
      <c r="P48" s="341">
        <v>7150</v>
      </c>
      <c r="Q48" s="341">
        <v>36080</v>
      </c>
      <c r="R48" s="341">
        <v>5645</v>
      </c>
      <c r="S48" s="339">
        <v>101255</v>
      </c>
      <c r="T48" s="339"/>
      <c r="U48" s="341">
        <v>310370</v>
      </c>
    </row>
    <row r="49" spans="10:21" x14ac:dyDescent="0.25">
      <c r="J49" s="338" t="s">
        <v>621</v>
      </c>
      <c r="K49" s="341">
        <v>149600</v>
      </c>
      <c r="L49" s="341">
        <v>65585</v>
      </c>
      <c r="M49" s="349">
        <v>215190</v>
      </c>
      <c r="N49" s="341"/>
      <c r="O49" s="341">
        <v>44800</v>
      </c>
      <c r="P49" s="341">
        <v>6625</v>
      </c>
      <c r="Q49" s="341">
        <v>44775</v>
      </c>
      <c r="R49" s="341">
        <v>10890</v>
      </c>
      <c r="S49" s="339">
        <v>107100</v>
      </c>
      <c r="T49" s="339"/>
      <c r="U49" s="341">
        <v>322285</v>
      </c>
    </row>
    <row r="50" spans="10:21" x14ac:dyDescent="0.25">
      <c r="J50" s="338" t="s">
        <v>623</v>
      </c>
      <c r="K50" s="341">
        <v>141450</v>
      </c>
      <c r="L50" s="341">
        <v>42700</v>
      </c>
      <c r="M50" s="349">
        <v>184150</v>
      </c>
      <c r="N50" s="341"/>
      <c r="O50" s="341">
        <v>31485</v>
      </c>
      <c r="P50" s="341">
        <v>5570</v>
      </c>
      <c r="Q50" s="341">
        <v>46625</v>
      </c>
      <c r="R50" s="341">
        <v>18695</v>
      </c>
      <c r="S50" s="339">
        <v>102385</v>
      </c>
      <c r="T50" s="339"/>
      <c r="U50" s="341">
        <v>286535</v>
      </c>
    </row>
    <row r="51" spans="10:21" x14ac:dyDescent="0.25">
      <c r="J51" s="338" t="s">
        <v>624</v>
      </c>
      <c r="K51" s="341">
        <v>127065</v>
      </c>
      <c r="L51" s="341">
        <v>24680</v>
      </c>
      <c r="M51" s="349">
        <v>151745</v>
      </c>
      <c r="N51" s="341"/>
      <c r="O51" s="341">
        <v>22430</v>
      </c>
      <c r="P51" s="341">
        <v>4925</v>
      </c>
      <c r="Q51" s="341">
        <v>43700</v>
      </c>
      <c r="R51" s="341">
        <v>28975</v>
      </c>
      <c r="S51" s="339">
        <v>100035</v>
      </c>
      <c r="T51" s="339"/>
      <c r="U51" s="341">
        <v>251775</v>
      </c>
    </row>
    <row r="52" spans="10:21" x14ac:dyDescent="0.25">
      <c r="J52" s="338" t="s">
        <v>626</v>
      </c>
      <c r="K52" s="341">
        <v>94180</v>
      </c>
      <c r="L52" s="341">
        <v>12760</v>
      </c>
      <c r="M52" s="349">
        <v>106935</v>
      </c>
      <c r="N52" s="341"/>
      <c r="O52" s="341">
        <v>15100</v>
      </c>
      <c r="P52" s="341">
        <v>3830</v>
      </c>
      <c r="Q52" s="341">
        <v>30920</v>
      </c>
      <c r="R52" s="341">
        <v>39900</v>
      </c>
      <c r="S52" s="339">
        <v>89755</v>
      </c>
      <c r="T52" s="339"/>
      <c r="U52" s="341">
        <v>196690</v>
      </c>
    </row>
    <row r="53" spans="10:21" x14ac:dyDescent="0.25">
      <c r="J53" s="338" t="s">
        <v>627</v>
      </c>
      <c r="K53" s="341">
        <v>58705</v>
      </c>
      <c r="L53" s="341">
        <v>5375</v>
      </c>
      <c r="M53" s="349">
        <v>64080</v>
      </c>
      <c r="N53" s="341"/>
      <c r="O53" s="341">
        <v>10205</v>
      </c>
      <c r="P53" s="341">
        <v>2525</v>
      </c>
      <c r="Q53" s="341">
        <v>16325</v>
      </c>
      <c r="R53" s="341">
        <v>47750</v>
      </c>
      <c r="S53" s="339">
        <v>76805</v>
      </c>
      <c r="T53" s="339"/>
      <c r="U53" s="341">
        <v>140890</v>
      </c>
    </row>
    <row r="54" spans="10:21" x14ac:dyDescent="0.25">
      <c r="J54" s="338" t="s">
        <v>628</v>
      </c>
      <c r="K54" s="341">
        <v>34190</v>
      </c>
      <c r="L54" s="341">
        <v>2065</v>
      </c>
      <c r="M54" s="349">
        <v>36250</v>
      </c>
      <c r="N54" s="341"/>
      <c r="O54" s="341">
        <v>8340</v>
      </c>
      <c r="P54" s="341">
        <v>1555</v>
      </c>
      <c r="Q54" s="341">
        <v>8405</v>
      </c>
      <c r="R54" s="341">
        <v>54905</v>
      </c>
      <c r="S54" s="339">
        <v>73195</v>
      </c>
      <c r="T54" s="339"/>
      <c r="U54" s="341">
        <v>109450</v>
      </c>
    </row>
    <row r="55" spans="10:21" x14ac:dyDescent="0.25">
      <c r="J55" s="342" t="s">
        <v>629</v>
      </c>
      <c r="K55" s="343">
        <v>18530</v>
      </c>
      <c r="L55" s="343">
        <v>910</v>
      </c>
      <c r="M55" s="350">
        <v>19440</v>
      </c>
      <c r="N55" s="343"/>
      <c r="O55" s="343">
        <v>10130</v>
      </c>
      <c r="P55" s="343">
        <v>1020</v>
      </c>
      <c r="Q55" s="343">
        <v>4975</v>
      </c>
      <c r="R55" s="343">
        <v>91240</v>
      </c>
      <c r="S55" s="344">
        <v>107360</v>
      </c>
      <c r="T55" s="344"/>
      <c r="U55" s="343">
        <v>126800</v>
      </c>
    </row>
    <row r="56" spans="10:21" x14ac:dyDescent="0.25">
      <c r="J56" s="334"/>
      <c r="K56" s="335" t="s">
        <v>529</v>
      </c>
      <c r="L56" s="336"/>
      <c r="M56" s="336"/>
      <c r="N56" s="336"/>
      <c r="O56" s="336"/>
      <c r="P56" s="336"/>
      <c r="Q56" s="336"/>
      <c r="R56" s="336"/>
      <c r="S56" s="336"/>
      <c r="T56" s="336"/>
      <c r="U56" s="336"/>
    </row>
    <row r="57" spans="10:21" x14ac:dyDescent="0.25">
      <c r="J57" s="337" t="s">
        <v>604</v>
      </c>
      <c r="K57" s="326"/>
      <c r="L57" s="326"/>
      <c r="M57" s="348"/>
      <c r="N57" s="326"/>
      <c r="O57" s="326"/>
      <c r="P57" s="326"/>
      <c r="Q57" s="326"/>
      <c r="R57" s="326"/>
      <c r="S57" s="326"/>
      <c r="T57" s="326"/>
      <c r="U57" s="326"/>
    </row>
    <row r="58" spans="10:21" x14ac:dyDescent="0.25">
      <c r="J58" s="338" t="s">
        <v>606</v>
      </c>
      <c r="K58" s="345">
        <v>34.299999999999997</v>
      </c>
      <c r="L58" s="345">
        <v>22</v>
      </c>
      <c r="M58" s="351">
        <v>56.3</v>
      </c>
      <c r="N58" s="345"/>
      <c r="O58" s="345">
        <v>29.4</v>
      </c>
      <c r="P58" s="345">
        <v>1.5</v>
      </c>
      <c r="Q58" s="345">
        <v>7.1</v>
      </c>
      <c r="R58" s="345">
        <v>5.7</v>
      </c>
      <c r="S58" s="345">
        <v>43.7</v>
      </c>
      <c r="T58" s="345"/>
      <c r="U58" s="345">
        <v>100</v>
      </c>
    </row>
    <row r="59" spans="10:21" x14ac:dyDescent="0.25">
      <c r="J59" s="338" t="s">
        <v>608</v>
      </c>
      <c r="K59" s="345">
        <v>0.1</v>
      </c>
      <c r="L59" s="345">
        <v>1.3</v>
      </c>
      <c r="M59" s="351">
        <v>1.5</v>
      </c>
      <c r="N59" s="345"/>
      <c r="O59" s="345">
        <v>98.5</v>
      </c>
      <c r="P59" s="345">
        <v>0</v>
      </c>
      <c r="Q59" s="345">
        <v>0</v>
      </c>
      <c r="R59" s="345">
        <v>0</v>
      </c>
      <c r="S59" s="345">
        <v>98.5</v>
      </c>
      <c r="T59" s="345"/>
      <c r="U59" s="345">
        <v>100</v>
      </c>
    </row>
    <row r="60" spans="10:21" x14ac:dyDescent="0.25">
      <c r="J60" s="338" t="s">
        <v>610</v>
      </c>
      <c r="K60" s="345">
        <v>2.2999999999999998</v>
      </c>
      <c r="L60" s="345">
        <v>15.3</v>
      </c>
      <c r="M60" s="351">
        <v>17.5</v>
      </c>
      <c r="N60" s="345"/>
      <c r="O60" s="345">
        <v>81.8</v>
      </c>
      <c r="P60" s="345">
        <v>0.2</v>
      </c>
      <c r="Q60" s="345">
        <v>0.2</v>
      </c>
      <c r="R60" s="345">
        <v>0.4</v>
      </c>
      <c r="S60" s="345">
        <v>82.5</v>
      </c>
      <c r="T60" s="345"/>
      <c r="U60" s="345">
        <v>100</v>
      </c>
    </row>
    <row r="61" spans="10:21" x14ac:dyDescent="0.25">
      <c r="J61" s="338" t="s">
        <v>611</v>
      </c>
      <c r="K61" s="345">
        <v>11.3</v>
      </c>
      <c r="L61" s="345">
        <v>36.700000000000003</v>
      </c>
      <c r="M61" s="351">
        <v>48</v>
      </c>
      <c r="N61" s="345"/>
      <c r="O61" s="345">
        <v>50.5</v>
      </c>
      <c r="P61" s="345">
        <v>0.5</v>
      </c>
      <c r="Q61" s="345">
        <v>0.6</v>
      </c>
      <c r="R61" s="345">
        <v>0.3</v>
      </c>
      <c r="S61" s="345">
        <v>52</v>
      </c>
      <c r="T61" s="345"/>
      <c r="U61" s="345">
        <v>100</v>
      </c>
    </row>
    <row r="62" spans="10:21" x14ac:dyDescent="0.25">
      <c r="J62" s="338" t="s">
        <v>612</v>
      </c>
      <c r="K62" s="345">
        <v>25</v>
      </c>
      <c r="L62" s="345">
        <v>40.799999999999997</v>
      </c>
      <c r="M62" s="351">
        <v>65.8</v>
      </c>
      <c r="N62" s="345"/>
      <c r="O62" s="345">
        <v>31.5</v>
      </c>
      <c r="P62" s="345">
        <v>1.1000000000000001</v>
      </c>
      <c r="Q62" s="345">
        <v>1.4</v>
      </c>
      <c r="R62" s="345">
        <v>0.2</v>
      </c>
      <c r="S62" s="345">
        <v>34.200000000000003</v>
      </c>
      <c r="T62" s="345"/>
      <c r="U62" s="345">
        <v>100</v>
      </c>
    </row>
    <row r="63" spans="10:21" x14ac:dyDescent="0.25">
      <c r="J63" s="338" t="s">
        <v>614</v>
      </c>
      <c r="K63" s="345">
        <v>32.4</v>
      </c>
      <c r="L63" s="345">
        <v>38</v>
      </c>
      <c r="M63" s="351">
        <v>70.5</v>
      </c>
      <c r="N63" s="345"/>
      <c r="O63" s="345">
        <v>24.9</v>
      </c>
      <c r="P63" s="345">
        <v>1.6</v>
      </c>
      <c r="Q63" s="345">
        <v>2.8</v>
      </c>
      <c r="R63" s="345">
        <v>0.3</v>
      </c>
      <c r="S63" s="345">
        <v>29.5</v>
      </c>
      <c r="T63" s="345"/>
      <c r="U63" s="345">
        <v>100</v>
      </c>
    </row>
    <row r="64" spans="10:21" x14ac:dyDescent="0.25">
      <c r="J64" s="338" t="s">
        <v>616</v>
      </c>
      <c r="K64" s="345">
        <v>38</v>
      </c>
      <c r="L64" s="345">
        <v>32.299999999999997</v>
      </c>
      <c r="M64" s="351">
        <v>70.3</v>
      </c>
      <c r="N64" s="345"/>
      <c r="O64" s="345">
        <v>22</v>
      </c>
      <c r="P64" s="345">
        <v>2.1</v>
      </c>
      <c r="Q64" s="345">
        <v>5.0999999999999996</v>
      </c>
      <c r="R64" s="345">
        <v>0.5</v>
      </c>
      <c r="S64" s="345">
        <v>29.7</v>
      </c>
      <c r="T64" s="345"/>
      <c r="U64" s="345">
        <v>100</v>
      </c>
    </row>
    <row r="65" spans="10:21" x14ac:dyDescent="0.25">
      <c r="J65" s="338" t="s">
        <v>618</v>
      </c>
      <c r="K65" s="345">
        <v>39.6</v>
      </c>
      <c r="L65" s="345">
        <v>28.6</v>
      </c>
      <c r="M65" s="351">
        <v>68.3</v>
      </c>
      <c r="N65" s="345"/>
      <c r="O65" s="345">
        <v>21.1</v>
      </c>
      <c r="P65" s="345">
        <v>2.2999999999999998</v>
      </c>
      <c r="Q65" s="345">
        <v>7.6</v>
      </c>
      <c r="R65" s="345">
        <v>0.8</v>
      </c>
      <c r="S65" s="345">
        <v>31.7</v>
      </c>
      <c r="T65" s="345"/>
      <c r="U65" s="345">
        <v>100</v>
      </c>
    </row>
    <row r="66" spans="10:21" x14ac:dyDescent="0.25">
      <c r="J66" s="338" t="s">
        <v>620</v>
      </c>
      <c r="K66" s="345">
        <v>41.2</v>
      </c>
      <c r="L66" s="345">
        <v>25.9</v>
      </c>
      <c r="M66" s="351">
        <v>67</v>
      </c>
      <c r="N66" s="345"/>
      <c r="O66" s="345">
        <v>19.600000000000001</v>
      </c>
      <c r="P66" s="345">
        <v>2.1</v>
      </c>
      <c r="Q66" s="345">
        <v>9.9</v>
      </c>
      <c r="R66" s="345">
        <v>1.3</v>
      </c>
      <c r="S66" s="345">
        <v>33</v>
      </c>
      <c r="T66" s="345"/>
      <c r="U66" s="345">
        <v>100</v>
      </c>
    </row>
    <row r="67" spans="10:21" x14ac:dyDescent="0.25">
      <c r="J67" s="338" t="s">
        <v>621</v>
      </c>
      <c r="K67" s="345">
        <v>46</v>
      </c>
      <c r="L67" s="345">
        <v>21.5</v>
      </c>
      <c r="M67" s="351">
        <v>67.5</v>
      </c>
      <c r="N67" s="345"/>
      <c r="O67" s="345">
        <v>16.100000000000001</v>
      </c>
      <c r="P67" s="345">
        <v>1.9</v>
      </c>
      <c r="Q67" s="345">
        <v>12.1</v>
      </c>
      <c r="R67" s="345">
        <v>2.2999999999999998</v>
      </c>
      <c r="S67" s="345">
        <v>32.5</v>
      </c>
      <c r="T67" s="345"/>
      <c r="U67" s="345">
        <v>100</v>
      </c>
    </row>
    <row r="68" spans="10:21" x14ac:dyDescent="0.25">
      <c r="J68" s="338" t="s">
        <v>623</v>
      </c>
      <c r="K68" s="345">
        <v>50.7</v>
      </c>
      <c r="L68" s="345">
        <v>16.600000000000001</v>
      </c>
      <c r="M68" s="351">
        <v>67.3</v>
      </c>
      <c r="N68" s="345"/>
      <c r="O68" s="345">
        <v>12.2</v>
      </c>
      <c r="P68" s="345">
        <v>1.9</v>
      </c>
      <c r="Q68" s="345">
        <v>14.2</v>
      </c>
      <c r="R68" s="345">
        <v>4.4000000000000004</v>
      </c>
      <c r="S68" s="345">
        <v>32.700000000000003</v>
      </c>
      <c r="T68" s="345"/>
      <c r="U68" s="345">
        <v>100</v>
      </c>
    </row>
    <row r="69" spans="10:21" x14ac:dyDescent="0.25">
      <c r="J69" s="338" t="s">
        <v>624</v>
      </c>
      <c r="K69" s="345">
        <v>54.2</v>
      </c>
      <c r="L69" s="345">
        <v>11.9</v>
      </c>
      <c r="M69" s="351">
        <v>66.099999999999994</v>
      </c>
      <c r="N69" s="345"/>
      <c r="O69" s="345">
        <v>9.1</v>
      </c>
      <c r="P69" s="345">
        <v>1.9</v>
      </c>
      <c r="Q69" s="345">
        <v>15.1</v>
      </c>
      <c r="R69" s="345">
        <v>7.7</v>
      </c>
      <c r="S69" s="345">
        <v>33.9</v>
      </c>
      <c r="T69" s="345"/>
      <c r="U69" s="345">
        <v>100</v>
      </c>
    </row>
    <row r="70" spans="10:21" x14ac:dyDescent="0.25">
      <c r="J70" s="338" t="s">
        <v>626</v>
      </c>
      <c r="K70" s="345">
        <v>54.6</v>
      </c>
      <c r="L70" s="345">
        <v>8.6999999999999993</v>
      </c>
      <c r="M70" s="351">
        <v>63.4</v>
      </c>
      <c r="N70" s="345"/>
      <c r="O70" s="345">
        <v>7.2</v>
      </c>
      <c r="P70" s="345">
        <v>2</v>
      </c>
      <c r="Q70" s="345">
        <v>13.7</v>
      </c>
      <c r="R70" s="345">
        <v>13.7</v>
      </c>
      <c r="S70" s="345">
        <v>36.6</v>
      </c>
      <c r="T70" s="345"/>
      <c r="U70" s="345">
        <v>100</v>
      </c>
    </row>
    <row r="71" spans="10:21" x14ac:dyDescent="0.25">
      <c r="J71" s="338" t="s">
        <v>627</v>
      </c>
      <c r="K71" s="345">
        <v>51.8</v>
      </c>
      <c r="L71" s="345">
        <v>5.7</v>
      </c>
      <c r="M71" s="351">
        <v>57.5</v>
      </c>
      <c r="N71" s="345"/>
      <c r="O71" s="345">
        <v>6.7</v>
      </c>
      <c r="P71" s="345">
        <v>1.9</v>
      </c>
      <c r="Q71" s="345">
        <v>10.5</v>
      </c>
      <c r="R71" s="345">
        <v>23.4</v>
      </c>
      <c r="S71" s="345">
        <v>42.5</v>
      </c>
      <c r="T71" s="345"/>
      <c r="U71" s="345">
        <v>100</v>
      </c>
    </row>
    <row r="72" spans="10:21" x14ac:dyDescent="0.25">
      <c r="J72" s="338" t="s">
        <v>628</v>
      </c>
      <c r="K72" s="345">
        <v>44.3</v>
      </c>
      <c r="L72" s="345">
        <v>3.4</v>
      </c>
      <c r="M72" s="351">
        <v>47.7</v>
      </c>
      <c r="N72" s="345"/>
      <c r="O72" s="345">
        <v>6.7</v>
      </c>
      <c r="P72" s="345">
        <v>1.7</v>
      </c>
      <c r="Q72" s="345">
        <v>7.1</v>
      </c>
      <c r="R72" s="345">
        <v>36.700000000000003</v>
      </c>
      <c r="S72" s="345">
        <v>52.3</v>
      </c>
      <c r="T72" s="345"/>
      <c r="U72" s="345">
        <v>100</v>
      </c>
    </row>
    <row r="73" spans="10:21" x14ac:dyDescent="0.25">
      <c r="J73" s="338" t="s">
        <v>629</v>
      </c>
      <c r="K73" s="345">
        <v>27.1</v>
      </c>
      <c r="L73" s="345">
        <v>1.6</v>
      </c>
      <c r="M73" s="351">
        <v>28.7</v>
      </c>
      <c r="N73" s="345"/>
      <c r="O73" s="345">
        <v>7.2</v>
      </c>
      <c r="P73" s="345">
        <v>1.1000000000000001</v>
      </c>
      <c r="Q73" s="345">
        <v>3.9</v>
      </c>
      <c r="R73" s="345">
        <v>59.1</v>
      </c>
      <c r="S73" s="345">
        <v>71.3</v>
      </c>
      <c r="T73" s="345"/>
      <c r="U73" s="345">
        <v>100</v>
      </c>
    </row>
    <row r="74" spans="10:21" x14ac:dyDescent="0.25">
      <c r="J74" s="337" t="s">
        <v>630</v>
      </c>
      <c r="K74" s="345"/>
      <c r="L74" s="345"/>
      <c r="M74" s="351"/>
      <c r="N74" s="345"/>
      <c r="O74" s="345"/>
      <c r="P74" s="345"/>
      <c r="Q74" s="345"/>
      <c r="R74" s="345"/>
      <c r="S74" s="345"/>
      <c r="T74" s="345"/>
      <c r="U74" s="345"/>
    </row>
    <row r="75" spans="10:21" x14ac:dyDescent="0.25">
      <c r="J75" s="338" t="s">
        <v>606</v>
      </c>
      <c r="K75" s="345">
        <v>35.200000000000003</v>
      </c>
      <c r="L75" s="345">
        <v>22.6</v>
      </c>
      <c r="M75" s="351">
        <v>57.7</v>
      </c>
      <c r="N75" s="345"/>
      <c r="O75" s="345">
        <v>32.5</v>
      </c>
      <c r="P75" s="345">
        <v>1.4</v>
      </c>
      <c r="Q75" s="345">
        <v>5.8</v>
      </c>
      <c r="R75" s="345">
        <v>2.5</v>
      </c>
      <c r="S75" s="345">
        <v>42.3</v>
      </c>
      <c r="T75" s="345"/>
      <c r="U75" s="345">
        <v>100</v>
      </c>
    </row>
    <row r="76" spans="10:21" x14ac:dyDescent="0.25">
      <c r="J76" s="338" t="s">
        <v>608</v>
      </c>
      <c r="K76" s="345">
        <v>0.1</v>
      </c>
      <c r="L76" s="345">
        <v>0.7</v>
      </c>
      <c r="M76" s="351">
        <v>0.8</v>
      </c>
      <c r="N76" s="345"/>
      <c r="O76" s="345">
        <v>99.2</v>
      </c>
      <c r="P76" s="345">
        <v>0</v>
      </c>
      <c r="Q76" s="345">
        <v>0</v>
      </c>
      <c r="R76" s="345">
        <v>0</v>
      </c>
      <c r="S76" s="345">
        <v>99.2</v>
      </c>
      <c r="T76" s="345"/>
      <c r="U76" s="345">
        <v>100</v>
      </c>
    </row>
    <row r="77" spans="10:21" x14ac:dyDescent="0.25">
      <c r="J77" s="338" t="s">
        <v>610</v>
      </c>
      <c r="K77" s="345">
        <v>1.3</v>
      </c>
      <c r="L77" s="345">
        <v>11.2</v>
      </c>
      <c r="M77" s="351">
        <v>12.6</v>
      </c>
      <c r="N77" s="345"/>
      <c r="O77" s="345">
        <v>86.8</v>
      </c>
      <c r="P77" s="345">
        <v>0.1</v>
      </c>
      <c r="Q77" s="345">
        <v>0.1</v>
      </c>
      <c r="R77" s="345">
        <v>0.4</v>
      </c>
      <c r="S77" s="345">
        <v>87.4</v>
      </c>
      <c r="T77" s="345"/>
      <c r="U77" s="345">
        <v>100</v>
      </c>
    </row>
    <row r="78" spans="10:21" x14ac:dyDescent="0.25">
      <c r="J78" s="338" t="s">
        <v>611</v>
      </c>
      <c r="K78" s="345">
        <v>8.1</v>
      </c>
      <c r="L78" s="345">
        <v>32.5</v>
      </c>
      <c r="M78" s="351">
        <v>40.5</v>
      </c>
      <c r="N78" s="345"/>
      <c r="O78" s="345">
        <v>58.2</v>
      </c>
      <c r="P78" s="345">
        <v>0.4</v>
      </c>
      <c r="Q78" s="345">
        <v>0.5</v>
      </c>
      <c r="R78" s="345">
        <v>0.4</v>
      </c>
      <c r="S78" s="345">
        <v>59.5</v>
      </c>
      <c r="T78" s="345"/>
      <c r="U78" s="345">
        <v>100</v>
      </c>
    </row>
    <row r="79" spans="10:21" x14ac:dyDescent="0.25">
      <c r="J79" s="338" t="s">
        <v>612</v>
      </c>
      <c r="K79" s="345">
        <v>21.3</v>
      </c>
      <c r="L79" s="345">
        <v>39.9</v>
      </c>
      <c r="M79" s="351">
        <v>61.2</v>
      </c>
      <c r="N79" s="345"/>
      <c r="O79" s="345">
        <v>36.6</v>
      </c>
      <c r="P79" s="345">
        <v>0.8</v>
      </c>
      <c r="Q79" s="345">
        <v>1.1000000000000001</v>
      </c>
      <c r="R79" s="345">
        <v>0.3</v>
      </c>
      <c r="S79" s="345">
        <v>38.799999999999997</v>
      </c>
      <c r="T79" s="345"/>
      <c r="U79" s="345">
        <v>100</v>
      </c>
    </row>
    <row r="80" spans="10:21" x14ac:dyDescent="0.25">
      <c r="J80" s="338" t="s">
        <v>614</v>
      </c>
      <c r="K80" s="345">
        <v>30.2</v>
      </c>
      <c r="L80" s="345">
        <v>38.6</v>
      </c>
      <c r="M80" s="351">
        <v>68.8</v>
      </c>
      <c r="N80" s="345"/>
      <c r="O80" s="345">
        <v>27.7</v>
      </c>
      <c r="P80" s="345">
        <v>1.3</v>
      </c>
      <c r="Q80" s="345">
        <v>2.1</v>
      </c>
      <c r="R80" s="345">
        <v>0.2</v>
      </c>
      <c r="S80" s="345">
        <v>31.2</v>
      </c>
      <c r="T80" s="345"/>
      <c r="U80" s="345">
        <v>100</v>
      </c>
    </row>
    <row r="81" spans="10:21" x14ac:dyDescent="0.25">
      <c r="J81" s="338" t="s">
        <v>616</v>
      </c>
      <c r="K81" s="345">
        <v>37.200000000000003</v>
      </c>
      <c r="L81" s="345">
        <v>33.299999999999997</v>
      </c>
      <c r="M81" s="351">
        <v>70.5</v>
      </c>
      <c r="N81" s="345"/>
      <c r="O81" s="345">
        <v>23.8</v>
      </c>
      <c r="P81" s="345">
        <v>1.7</v>
      </c>
      <c r="Q81" s="345">
        <v>3.7</v>
      </c>
      <c r="R81" s="345">
        <v>0.3</v>
      </c>
      <c r="S81" s="345">
        <v>29.5</v>
      </c>
      <c r="T81" s="345"/>
      <c r="U81" s="345">
        <v>100</v>
      </c>
    </row>
    <row r="82" spans="10:21" x14ac:dyDescent="0.25">
      <c r="J82" s="338" t="s">
        <v>618</v>
      </c>
      <c r="K82" s="345">
        <v>39.200000000000003</v>
      </c>
      <c r="L82" s="345">
        <v>29.1</v>
      </c>
      <c r="M82" s="351">
        <v>68.400000000000006</v>
      </c>
      <c r="N82" s="345"/>
      <c r="O82" s="345">
        <v>23.2</v>
      </c>
      <c r="P82" s="345">
        <v>2</v>
      </c>
      <c r="Q82" s="345">
        <v>5.9</v>
      </c>
      <c r="R82" s="345">
        <v>0.5</v>
      </c>
      <c r="S82" s="345">
        <v>31.6</v>
      </c>
      <c r="T82" s="345"/>
      <c r="U82" s="345">
        <v>100</v>
      </c>
    </row>
    <row r="83" spans="10:21" x14ac:dyDescent="0.25">
      <c r="J83" s="338" t="s">
        <v>620</v>
      </c>
      <c r="K83" s="345">
        <v>40.200000000000003</v>
      </c>
      <c r="L83" s="345">
        <v>26.4</v>
      </c>
      <c r="M83" s="351">
        <v>66.7</v>
      </c>
      <c r="N83" s="345"/>
      <c r="O83" s="345">
        <v>22.4</v>
      </c>
      <c r="P83" s="345">
        <v>2</v>
      </c>
      <c r="Q83" s="345">
        <v>8.1999999999999993</v>
      </c>
      <c r="R83" s="345">
        <v>0.8</v>
      </c>
      <c r="S83" s="345">
        <v>33.299999999999997</v>
      </c>
      <c r="T83" s="345"/>
      <c r="U83" s="345">
        <v>100</v>
      </c>
    </row>
    <row r="84" spans="10:21" x14ac:dyDescent="0.25">
      <c r="J84" s="338" t="s">
        <v>621</v>
      </c>
      <c r="K84" s="345">
        <v>45.6</v>
      </c>
      <c r="L84" s="345">
        <v>22.7</v>
      </c>
      <c r="M84" s="351">
        <v>68.3</v>
      </c>
      <c r="N84" s="345"/>
      <c r="O84" s="345">
        <v>18.399999999999999</v>
      </c>
      <c r="P84" s="345">
        <v>1.8</v>
      </c>
      <c r="Q84" s="345">
        <v>10.3</v>
      </c>
      <c r="R84" s="345">
        <v>1.2</v>
      </c>
      <c r="S84" s="345">
        <v>31.7</v>
      </c>
      <c r="T84" s="345"/>
      <c r="U84" s="345">
        <v>100</v>
      </c>
    </row>
    <row r="85" spans="10:21" x14ac:dyDescent="0.25">
      <c r="J85" s="338" t="s">
        <v>623</v>
      </c>
      <c r="K85" s="345">
        <v>52.2</v>
      </c>
      <c r="L85" s="345">
        <v>18.3</v>
      </c>
      <c r="M85" s="351">
        <v>70.400000000000006</v>
      </c>
      <c r="N85" s="345"/>
      <c r="O85" s="345">
        <v>13.5</v>
      </c>
      <c r="P85" s="345">
        <v>1.8</v>
      </c>
      <c r="Q85" s="345">
        <v>12.1</v>
      </c>
      <c r="R85" s="345">
        <v>2.1</v>
      </c>
      <c r="S85" s="345">
        <v>29.6</v>
      </c>
      <c r="T85" s="345"/>
      <c r="U85" s="345">
        <v>100</v>
      </c>
    </row>
    <row r="86" spans="10:21" x14ac:dyDescent="0.25">
      <c r="J86" s="338" t="s">
        <v>624</v>
      </c>
      <c r="K86" s="345">
        <v>58.2</v>
      </c>
      <c r="L86" s="345">
        <v>14.2</v>
      </c>
      <c r="M86" s="351">
        <v>72.3</v>
      </c>
      <c r="N86" s="345"/>
      <c r="O86" s="345">
        <v>9.1999999999999993</v>
      </c>
      <c r="P86" s="345">
        <v>1.9</v>
      </c>
      <c r="Q86" s="345">
        <v>12.8</v>
      </c>
      <c r="R86" s="345">
        <v>3.7</v>
      </c>
      <c r="S86" s="345">
        <v>27.7</v>
      </c>
      <c r="T86" s="345"/>
      <c r="U86" s="345">
        <v>100</v>
      </c>
    </row>
    <row r="87" spans="10:21" x14ac:dyDescent="0.25">
      <c r="J87" s="338" t="s">
        <v>626</v>
      </c>
      <c r="K87" s="345">
        <v>62.2</v>
      </c>
      <c r="L87" s="345">
        <v>11.2</v>
      </c>
      <c r="M87" s="351">
        <v>73.400000000000006</v>
      </c>
      <c r="N87" s="345"/>
      <c r="O87" s="345">
        <v>6.8</v>
      </c>
      <c r="P87" s="345">
        <v>2.1</v>
      </c>
      <c r="Q87" s="345">
        <v>11.5</v>
      </c>
      <c r="R87" s="345">
        <v>6.3</v>
      </c>
      <c r="S87" s="345">
        <v>26.6</v>
      </c>
      <c r="T87" s="345"/>
      <c r="U87" s="345">
        <v>100</v>
      </c>
    </row>
    <row r="88" spans="10:21" x14ac:dyDescent="0.25">
      <c r="J88" s="338" t="s">
        <v>627</v>
      </c>
      <c r="K88" s="345">
        <v>64.099999999999994</v>
      </c>
      <c r="L88" s="345">
        <v>8.1</v>
      </c>
      <c r="M88" s="351">
        <v>72.2</v>
      </c>
      <c r="N88" s="345"/>
      <c r="O88" s="345">
        <v>6</v>
      </c>
      <c r="P88" s="345">
        <v>2.1</v>
      </c>
      <c r="Q88" s="345">
        <v>9.1999999999999993</v>
      </c>
      <c r="R88" s="345">
        <v>10.6</v>
      </c>
      <c r="S88" s="345">
        <v>27.8</v>
      </c>
      <c r="T88" s="345"/>
      <c r="U88" s="345">
        <v>100</v>
      </c>
    </row>
    <row r="89" spans="10:21" x14ac:dyDescent="0.25">
      <c r="J89" s="338" t="s">
        <v>628</v>
      </c>
      <c r="K89" s="345">
        <v>62.5</v>
      </c>
      <c r="L89" s="345">
        <v>5.6</v>
      </c>
      <c r="M89" s="351">
        <v>68</v>
      </c>
      <c r="N89" s="345"/>
      <c r="O89" s="345">
        <v>5.5</v>
      </c>
      <c r="P89" s="345">
        <v>2.1</v>
      </c>
      <c r="Q89" s="345">
        <v>6.4</v>
      </c>
      <c r="R89" s="345">
        <v>18</v>
      </c>
      <c r="S89" s="345">
        <v>32</v>
      </c>
      <c r="T89" s="345"/>
      <c r="U89" s="345">
        <v>100</v>
      </c>
    </row>
    <row r="90" spans="10:21" x14ac:dyDescent="0.25">
      <c r="J90" s="338" t="s">
        <v>629</v>
      </c>
      <c r="K90" s="345">
        <v>52.7</v>
      </c>
      <c r="L90" s="345">
        <v>3.4</v>
      </c>
      <c r="M90" s="351">
        <v>56.1</v>
      </c>
      <c r="N90" s="345"/>
      <c r="O90" s="345">
        <v>5.6</v>
      </c>
      <c r="P90" s="345">
        <v>1.7</v>
      </c>
      <c r="Q90" s="345">
        <v>3.8</v>
      </c>
      <c r="R90" s="345">
        <v>32.799999999999997</v>
      </c>
      <c r="S90" s="345">
        <v>43.9</v>
      </c>
      <c r="T90" s="345"/>
      <c r="U90" s="345">
        <v>100</v>
      </c>
    </row>
    <row r="91" spans="10:21" x14ac:dyDescent="0.25">
      <c r="J91" s="337" t="s">
        <v>631</v>
      </c>
      <c r="K91" s="345"/>
      <c r="L91" s="345"/>
      <c r="M91" s="351"/>
      <c r="N91" s="345"/>
      <c r="O91" s="345"/>
      <c r="P91" s="345"/>
      <c r="Q91" s="345"/>
      <c r="R91" s="345"/>
      <c r="S91" s="345"/>
      <c r="T91" s="345"/>
      <c r="U91" s="345"/>
    </row>
    <row r="92" spans="10:21" x14ac:dyDescent="0.25">
      <c r="J92" s="338" t="s">
        <v>606</v>
      </c>
      <c r="K92" s="345">
        <v>33.5</v>
      </c>
      <c r="L92" s="345">
        <v>21.4</v>
      </c>
      <c r="M92" s="351">
        <v>54.9</v>
      </c>
      <c r="N92" s="345"/>
      <c r="O92" s="345">
        <v>26.5</v>
      </c>
      <c r="P92" s="345">
        <v>1.6</v>
      </c>
      <c r="Q92" s="345">
        <v>8.3000000000000007</v>
      </c>
      <c r="R92" s="345">
        <v>8.6999999999999993</v>
      </c>
      <c r="S92" s="345">
        <v>45.1</v>
      </c>
      <c r="T92" s="345"/>
      <c r="U92" s="345">
        <v>100</v>
      </c>
    </row>
    <row r="93" spans="10:21" x14ac:dyDescent="0.25">
      <c r="J93" s="338" t="s">
        <v>608</v>
      </c>
      <c r="K93" s="345">
        <v>0.1</v>
      </c>
      <c r="L93" s="345">
        <v>2</v>
      </c>
      <c r="M93" s="351">
        <v>2.1</v>
      </c>
      <c r="N93" s="345"/>
      <c r="O93" s="345">
        <v>97.9</v>
      </c>
      <c r="P93" s="345">
        <v>0</v>
      </c>
      <c r="Q93" s="345">
        <v>0</v>
      </c>
      <c r="R93" s="345">
        <v>0</v>
      </c>
      <c r="S93" s="345">
        <v>97.9</v>
      </c>
      <c r="T93" s="345"/>
      <c r="U93" s="345">
        <v>100</v>
      </c>
    </row>
    <row r="94" spans="10:21" x14ac:dyDescent="0.25">
      <c r="J94" s="338" t="s">
        <v>610</v>
      </c>
      <c r="K94" s="345">
        <v>3.2</v>
      </c>
      <c r="L94" s="345">
        <v>19.399999999999999</v>
      </c>
      <c r="M94" s="351">
        <v>22.6</v>
      </c>
      <c r="N94" s="345"/>
      <c r="O94" s="345">
        <v>76.7</v>
      </c>
      <c r="P94" s="345">
        <v>0.2</v>
      </c>
      <c r="Q94" s="345">
        <v>0.2</v>
      </c>
      <c r="R94" s="345">
        <v>0.3</v>
      </c>
      <c r="S94" s="345">
        <v>77.400000000000006</v>
      </c>
      <c r="T94" s="345"/>
      <c r="U94" s="345">
        <v>100</v>
      </c>
    </row>
    <row r="95" spans="10:21" x14ac:dyDescent="0.25">
      <c r="J95" s="338" t="s">
        <v>611</v>
      </c>
      <c r="K95" s="345">
        <v>14.6</v>
      </c>
      <c r="L95" s="345">
        <v>40.9</v>
      </c>
      <c r="M95" s="351">
        <v>55.5</v>
      </c>
      <c r="N95" s="345"/>
      <c r="O95" s="345">
        <v>42.8</v>
      </c>
      <c r="P95" s="345">
        <v>0.7</v>
      </c>
      <c r="Q95" s="345">
        <v>0.7</v>
      </c>
      <c r="R95" s="345">
        <v>0.3</v>
      </c>
      <c r="S95" s="345">
        <v>44.5</v>
      </c>
      <c r="T95" s="345"/>
      <c r="U95" s="345">
        <v>100</v>
      </c>
    </row>
    <row r="96" spans="10:21" x14ac:dyDescent="0.25">
      <c r="J96" s="338" t="s">
        <v>612</v>
      </c>
      <c r="K96" s="345">
        <v>28.6</v>
      </c>
      <c r="L96" s="345">
        <v>41.6</v>
      </c>
      <c r="M96" s="351">
        <v>70.3</v>
      </c>
      <c r="N96" s="345"/>
      <c r="O96" s="345">
        <v>26.4</v>
      </c>
      <c r="P96" s="345">
        <v>1.3</v>
      </c>
      <c r="Q96" s="345">
        <v>1.8</v>
      </c>
      <c r="R96" s="345">
        <v>0.2</v>
      </c>
      <c r="S96" s="345">
        <v>29.7</v>
      </c>
      <c r="T96" s="345"/>
      <c r="U96" s="345">
        <v>100</v>
      </c>
    </row>
    <row r="97" spans="10:21" x14ac:dyDescent="0.25">
      <c r="J97" s="338" t="s">
        <v>614</v>
      </c>
      <c r="K97" s="345">
        <v>34.700000000000003</v>
      </c>
      <c r="L97" s="345">
        <v>37.5</v>
      </c>
      <c r="M97" s="351">
        <v>72.099999999999994</v>
      </c>
      <c r="N97" s="345"/>
      <c r="O97" s="345">
        <v>22</v>
      </c>
      <c r="P97" s="345">
        <v>1.9</v>
      </c>
      <c r="Q97" s="345">
        <v>3.6</v>
      </c>
      <c r="R97" s="345">
        <v>0.3</v>
      </c>
      <c r="S97" s="345">
        <v>27.9</v>
      </c>
      <c r="T97" s="345"/>
      <c r="U97" s="345">
        <v>100</v>
      </c>
    </row>
    <row r="98" spans="10:21" x14ac:dyDescent="0.25">
      <c r="J98" s="338" t="s">
        <v>616</v>
      </c>
      <c r="K98" s="345">
        <v>38.9</v>
      </c>
      <c r="L98" s="345">
        <v>31.3</v>
      </c>
      <c r="M98" s="351">
        <v>70.099999999999994</v>
      </c>
      <c r="N98" s="345"/>
      <c r="O98" s="345">
        <v>20.3</v>
      </c>
      <c r="P98" s="345">
        <v>2.5</v>
      </c>
      <c r="Q98" s="345">
        <v>6.4</v>
      </c>
      <c r="R98" s="345">
        <v>0.6</v>
      </c>
      <c r="S98" s="345">
        <v>29.9</v>
      </c>
      <c r="T98" s="345"/>
      <c r="U98" s="345">
        <v>100</v>
      </c>
    </row>
    <row r="99" spans="10:21" x14ac:dyDescent="0.25">
      <c r="J99" s="338" t="s">
        <v>618</v>
      </c>
      <c r="K99" s="345">
        <v>40</v>
      </c>
      <c r="L99" s="345">
        <v>28.2</v>
      </c>
      <c r="M99" s="351">
        <v>68.2</v>
      </c>
      <c r="N99" s="345"/>
      <c r="O99" s="345">
        <v>18.899999999999999</v>
      </c>
      <c r="P99" s="345">
        <v>2.6</v>
      </c>
      <c r="Q99" s="345">
        <v>9.1999999999999993</v>
      </c>
      <c r="R99" s="345">
        <v>1.1000000000000001</v>
      </c>
      <c r="S99" s="345">
        <v>31.8</v>
      </c>
      <c r="T99" s="345"/>
      <c r="U99" s="345">
        <v>100</v>
      </c>
    </row>
    <row r="100" spans="10:21" x14ac:dyDescent="0.25">
      <c r="J100" s="338" t="s">
        <v>620</v>
      </c>
      <c r="K100" s="345">
        <v>42.1</v>
      </c>
      <c r="L100" s="345">
        <v>25.3</v>
      </c>
      <c r="M100" s="351">
        <v>67.400000000000006</v>
      </c>
      <c r="N100" s="345"/>
      <c r="O100" s="345">
        <v>16.899999999999999</v>
      </c>
      <c r="P100" s="345">
        <v>2.2999999999999998</v>
      </c>
      <c r="Q100" s="345">
        <v>11.6</v>
      </c>
      <c r="R100" s="345">
        <v>1.8</v>
      </c>
      <c r="S100" s="345">
        <v>32.6</v>
      </c>
      <c r="T100" s="345"/>
      <c r="U100" s="345">
        <v>100</v>
      </c>
    </row>
    <row r="101" spans="10:21" x14ac:dyDescent="0.25">
      <c r="J101" s="338" t="s">
        <v>621</v>
      </c>
      <c r="K101" s="345">
        <v>46.4</v>
      </c>
      <c r="L101" s="345">
        <v>20.399999999999999</v>
      </c>
      <c r="M101" s="351">
        <v>66.8</v>
      </c>
      <c r="N101" s="345"/>
      <c r="O101" s="345">
        <v>13.9</v>
      </c>
      <c r="P101" s="345">
        <v>2.1</v>
      </c>
      <c r="Q101" s="345">
        <v>13.9</v>
      </c>
      <c r="R101" s="345">
        <v>3.4</v>
      </c>
      <c r="S101" s="345">
        <v>33.200000000000003</v>
      </c>
      <c r="T101" s="345"/>
      <c r="U101" s="345">
        <v>100</v>
      </c>
    </row>
    <row r="102" spans="10:21" x14ac:dyDescent="0.25">
      <c r="J102" s="338" t="s">
        <v>623</v>
      </c>
      <c r="K102" s="345">
        <v>49.4</v>
      </c>
      <c r="L102" s="345">
        <v>14.9</v>
      </c>
      <c r="M102" s="351">
        <v>64.3</v>
      </c>
      <c r="N102" s="345"/>
      <c r="O102" s="345">
        <v>11</v>
      </c>
      <c r="P102" s="345">
        <v>1.9</v>
      </c>
      <c r="Q102" s="345">
        <v>16.3</v>
      </c>
      <c r="R102" s="345">
        <v>6.5</v>
      </c>
      <c r="S102" s="345">
        <v>35.700000000000003</v>
      </c>
      <c r="T102" s="345"/>
      <c r="U102" s="345">
        <v>100</v>
      </c>
    </row>
    <row r="103" spans="10:21" x14ac:dyDescent="0.25">
      <c r="J103" s="338" t="s">
        <v>624</v>
      </c>
      <c r="K103" s="345">
        <v>50.5</v>
      </c>
      <c r="L103" s="345">
        <v>9.8000000000000007</v>
      </c>
      <c r="M103" s="351">
        <v>60.3</v>
      </c>
      <c r="N103" s="345"/>
      <c r="O103" s="345">
        <v>8.9</v>
      </c>
      <c r="P103" s="345">
        <v>2</v>
      </c>
      <c r="Q103" s="345">
        <v>17.399999999999999</v>
      </c>
      <c r="R103" s="345">
        <v>11.5</v>
      </c>
      <c r="S103" s="345">
        <v>39.700000000000003</v>
      </c>
      <c r="T103" s="345"/>
      <c r="U103" s="345">
        <v>100</v>
      </c>
    </row>
    <row r="104" spans="10:21" x14ac:dyDescent="0.25">
      <c r="J104" s="338" t="s">
        <v>626</v>
      </c>
      <c r="K104" s="345">
        <v>47.9</v>
      </c>
      <c r="L104" s="345">
        <v>6.5</v>
      </c>
      <c r="M104" s="351">
        <v>54.4</v>
      </c>
      <c r="N104" s="345"/>
      <c r="O104" s="345">
        <v>7.7</v>
      </c>
      <c r="P104" s="345">
        <v>1.9</v>
      </c>
      <c r="Q104" s="345">
        <v>15.7</v>
      </c>
      <c r="R104" s="345">
        <v>20.3</v>
      </c>
      <c r="S104" s="345">
        <v>45.6</v>
      </c>
      <c r="T104" s="345"/>
      <c r="U104" s="345">
        <v>100</v>
      </c>
    </row>
    <row r="105" spans="10:21" x14ac:dyDescent="0.25">
      <c r="J105" s="338" t="s">
        <v>627</v>
      </c>
      <c r="K105" s="345">
        <v>41.7</v>
      </c>
      <c r="L105" s="345">
        <v>3.8</v>
      </c>
      <c r="M105" s="351">
        <v>45.5</v>
      </c>
      <c r="N105" s="345"/>
      <c r="O105" s="345">
        <v>7.2</v>
      </c>
      <c r="P105" s="345">
        <v>1.8</v>
      </c>
      <c r="Q105" s="345">
        <v>11.6</v>
      </c>
      <c r="R105" s="345">
        <v>33.9</v>
      </c>
      <c r="S105" s="345">
        <v>54.5</v>
      </c>
      <c r="T105" s="345"/>
      <c r="U105" s="345">
        <v>100</v>
      </c>
    </row>
    <row r="106" spans="10:21" x14ac:dyDescent="0.25">
      <c r="J106" s="338" t="s">
        <v>628</v>
      </c>
      <c r="K106" s="345">
        <v>31.2</v>
      </c>
      <c r="L106" s="345">
        <v>1.9</v>
      </c>
      <c r="M106" s="351">
        <v>33.1</v>
      </c>
      <c r="N106" s="345"/>
      <c r="O106" s="345">
        <v>7.6</v>
      </c>
      <c r="P106" s="345">
        <v>1.4</v>
      </c>
      <c r="Q106" s="345">
        <v>7.7</v>
      </c>
      <c r="R106" s="345">
        <v>50.2</v>
      </c>
      <c r="S106" s="345">
        <v>66.900000000000006</v>
      </c>
      <c r="T106" s="345"/>
      <c r="U106" s="345">
        <v>100</v>
      </c>
    </row>
    <row r="107" spans="10:21" x14ac:dyDescent="0.25">
      <c r="J107" s="342" t="s">
        <v>629</v>
      </c>
      <c r="K107" s="346">
        <v>14.6</v>
      </c>
      <c r="L107" s="346">
        <v>0.7</v>
      </c>
      <c r="M107" s="352">
        <v>15.3</v>
      </c>
      <c r="N107" s="346"/>
      <c r="O107" s="346">
        <v>8</v>
      </c>
      <c r="P107" s="346">
        <v>0.8</v>
      </c>
      <c r="Q107" s="346">
        <v>3.9</v>
      </c>
      <c r="R107" s="346">
        <v>72</v>
      </c>
      <c r="S107" s="346">
        <v>84.7</v>
      </c>
      <c r="T107" s="346"/>
      <c r="U107" s="346">
        <v>100</v>
      </c>
    </row>
    <row r="108" spans="10:21" x14ac:dyDescent="0.25">
      <c r="J108" s="326" t="s">
        <v>632</v>
      </c>
    </row>
    <row r="109" spans="10:21" x14ac:dyDescent="0.25">
      <c r="J109" s="326" t="s">
        <v>633</v>
      </c>
    </row>
    <row r="112" spans="10:21" x14ac:dyDescent="0.25">
      <c r="J112" s="347" t="s">
        <v>634</v>
      </c>
    </row>
    <row r="115" spans="10:11" x14ac:dyDescent="0.25">
      <c r="J115" t="s">
        <v>635</v>
      </c>
    </row>
    <row r="117" spans="10:11" x14ac:dyDescent="0.25">
      <c r="J117" t="s">
        <v>636</v>
      </c>
      <c r="K117" t="s">
        <v>637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showGridLines="0" workbookViewId="0">
      <selection activeCell="J10" sqref="J10"/>
    </sheetView>
  </sheetViews>
  <sheetFormatPr baseColWidth="10" defaultColWidth="11.42578125" defaultRowHeight="15" x14ac:dyDescent="0.25"/>
  <cols>
    <col min="1" max="1" width="14.7109375" customWidth="1"/>
    <col min="2" max="2" width="12.140625" customWidth="1"/>
    <col min="3" max="3" width="6" customWidth="1"/>
    <col min="4" max="4" width="6.7109375" customWidth="1"/>
    <col min="7" max="7" width="14" customWidth="1"/>
    <col min="8" max="8" width="23.85546875" customWidth="1"/>
    <col min="9" max="9" width="22.28515625" customWidth="1"/>
  </cols>
  <sheetData>
    <row r="1" spans="1:9" ht="15.75" thickBot="1" x14ac:dyDescent="0.3"/>
    <row r="2" spans="1:9" ht="15.75" thickBot="1" x14ac:dyDescent="0.3">
      <c r="A2" s="423" t="s">
        <v>638</v>
      </c>
      <c r="B2" s="463" t="s">
        <v>639</v>
      </c>
      <c r="C2" s="465" t="s">
        <v>640</v>
      </c>
      <c r="D2" s="465"/>
      <c r="E2" s="465"/>
      <c r="F2" s="465"/>
      <c r="G2" s="465"/>
      <c r="H2" s="469" t="s">
        <v>641</v>
      </c>
      <c r="I2" s="470"/>
    </row>
    <row r="3" spans="1:9" ht="15.75" thickBot="1" x14ac:dyDescent="0.3">
      <c r="A3" s="423" t="s">
        <v>642</v>
      </c>
      <c r="B3" s="464"/>
      <c r="C3" s="67"/>
      <c r="D3" s="466" t="s">
        <v>643</v>
      </c>
      <c r="E3" s="466"/>
      <c r="F3" s="467"/>
      <c r="G3" s="467"/>
      <c r="H3" s="247" t="s">
        <v>644</v>
      </c>
      <c r="I3" s="247" t="s">
        <v>645</v>
      </c>
    </row>
    <row r="4" spans="1:9" ht="15.75" thickBot="1" x14ac:dyDescent="0.3">
      <c r="A4" s="423" t="s">
        <v>646</v>
      </c>
      <c r="B4" s="464"/>
      <c r="C4" s="67"/>
      <c r="D4" s="246"/>
      <c r="E4" s="468" t="s">
        <v>647</v>
      </c>
      <c r="F4" s="467"/>
      <c r="G4" s="467"/>
      <c r="H4" s="469" t="s">
        <v>641</v>
      </c>
      <c r="I4" s="470"/>
    </row>
  </sheetData>
  <mergeCells count="6">
    <mergeCell ref="B2:B4"/>
    <mergeCell ref="C2:G2"/>
    <mergeCell ref="D3:G3"/>
    <mergeCell ref="E4:G4"/>
    <mergeCell ref="H2:I2"/>
    <mergeCell ref="H4:I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7"/>
  <sheetViews>
    <sheetView zoomScale="70" zoomScaleNormal="70" workbookViewId="0">
      <selection activeCell="K46" sqref="K46"/>
    </sheetView>
  </sheetViews>
  <sheetFormatPr baseColWidth="10" defaultColWidth="11.42578125" defaultRowHeight="15" x14ac:dyDescent="0.25"/>
  <cols>
    <col min="1" max="1" width="90.42578125" style="3" customWidth="1"/>
    <col min="2" max="2" width="16.140625" customWidth="1"/>
  </cols>
  <sheetData>
    <row r="1" spans="1:4" x14ac:dyDescent="0.25">
      <c r="A1" s="153" t="s">
        <v>648</v>
      </c>
      <c r="C1" t="s">
        <v>649</v>
      </c>
    </row>
    <row r="2" spans="1:4" ht="30" x14ac:dyDescent="0.25">
      <c r="A2" s="154" t="s">
        <v>650</v>
      </c>
      <c r="C2" s="1" t="s">
        <v>129</v>
      </c>
      <c r="D2" t="s">
        <v>651</v>
      </c>
    </row>
    <row r="3" spans="1:4" ht="45" x14ac:dyDescent="0.25">
      <c r="A3" s="154" t="s">
        <v>652</v>
      </c>
      <c r="C3" t="s">
        <v>653</v>
      </c>
    </row>
    <row r="4" spans="1:4" ht="30" x14ac:dyDescent="0.25">
      <c r="A4" s="155" t="s">
        <v>654</v>
      </c>
      <c r="C4" t="s">
        <v>655</v>
      </c>
    </row>
    <row r="5" spans="1:4" x14ac:dyDescent="0.25">
      <c r="A5" s="154"/>
      <c r="C5" t="s">
        <v>656</v>
      </c>
    </row>
    <row r="6" spans="1:4" x14ac:dyDescent="0.25">
      <c r="A6" s="154"/>
    </row>
    <row r="7" spans="1:4" x14ac:dyDescent="0.25">
      <c r="A7" s="160" t="s">
        <v>657</v>
      </c>
      <c r="C7" s="4" t="s">
        <v>658</v>
      </c>
    </row>
    <row r="8" spans="1:4" ht="30" x14ac:dyDescent="0.25">
      <c r="A8" s="159" t="s">
        <v>659</v>
      </c>
      <c r="C8" s="4" t="s">
        <v>660</v>
      </c>
    </row>
    <row r="9" spans="1:4" x14ac:dyDescent="0.25">
      <c r="A9" s="159" t="s">
        <v>661</v>
      </c>
      <c r="C9" s="4" t="s">
        <v>662</v>
      </c>
    </row>
    <row r="10" spans="1:4" x14ac:dyDescent="0.25">
      <c r="A10" s="162" t="s">
        <v>663</v>
      </c>
      <c r="C10" s="4" t="s">
        <v>664</v>
      </c>
    </row>
    <row r="11" spans="1:4" x14ac:dyDescent="0.25">
      <c r="A11" s="154"/>
      <c r="C11" s="164" t="s">
        <v>665</v>
      </c>
    </row>
    <row r="12" spans="1:4" x14ac:dyDescent="0.25">
      <c r="A12" s="153" t="s">
        <v>666</v>
      </c>
      <c r="C12" s="1" t="s">
        <v>129</v>
      </c>
      <c r="D12" t="s">
        <v>651</v>
      </c>
    </row>
    <row r="13" spans="1:4" ht="30" x14ac:dyDescent="0.25">
      <c r="A13" s="154" t="s">
        <v>667</v>
      </c>
      <c r="C13" s="24" t="s">
        <v>668</v>
      </c>
    </row>
    <row r="14" spans="1:4" x14ac:dyDescent="0.25">
      <c r="A14" s="154" t="s">
        <v>669</v>
      </c>
      <c r="C14" s="24"/>
    </row>
    <row r="15" spans="1:4" x14ac:dyDescent="0.25">
      <c r="A15" s="154" t="s">
        <v>670</v>
      </c>
      <c r="C15" s="24"/>
    </row>
    <row r="16" spans="1:4" x14ac:dyDescent="0.25">
      <c r="A16" s="154" t="s">
        <v>671</v>
      </c>
      <c r="C16" s="24"/>
    </row>
    <row r="17" spans="1:2" x14ac:dyDescent="0.25">
      <c r="A17" s="471" t="s">
        <v>672</v>
      </c>
    </row>
    <row r="18" spans="1:2" x14ac:dyDescent="0.25">
      <c r="A18" s="472"/>
    </row>
    <row r="19" spans="1:2" x14ac:dyDescent="0.25">
      <c r="A19" s="472"/>
    </row>
    <row r="20" spans="1:2" x14ac:dyDescent="0.25">
      <c r="A20" s="472"/>
    </row>
    <row r="21" spans="1:2" x14ac:dyDescent="0.25">
      <c r="A21" s="1" t="s">
        <v>673</v>
      </c>
    </row>
    <row r="22" spans="1:2" x14ac:dyDescent="0.25">
      <c r="A22" s="24" t="s">
        <v>674</v>
      </c>
    </row>
    <row r="23" spans="1:2" x14ac:dyDescent="0.25">
      <c r="A23" s="153"/>
    </row>
    <row r="24" spans="1:2" x14ac:dyDescent="0.25">
      <c r="A24" s="153" t="s">
        <v>675</v>
      </c>
    </row>
    <row r="25" spans="1:2" x14ac:dyDescent="0.25">
      <c r="A25" s="154" t="s">
        <v>676</v>
      </c>
      <c r="B25" s="26"/>
    </row>
    <row r="26" spans="1:2" ht="30" x14ac:dyDescent="0.25">
      <c r="A26" s="154" t="s">
        <v>677</v>
      </c>
      <c r="B26" s="26"/>
    </row>
    <row r="27" spans="1:2" x14ac:dyDescent="0.25">
      <c r="A27" s="155" t="s">
        <v>678</v>
      </c>
      <c r="B27" s="26"/>
    </row>
    <row r="28" spans="1:2" x14ac:dyDescent="0.25">
      <c r="A28" s="154"/>
      <c r="B28" s="26"/>
    </row>
    <row r="29" spans="1:2" x14ac:dyDescent="0.25">
      <c r="A29" s="153" t="s">
        <v>679</v>
      </c>
      <c r="B29" s="26"/>
    </row>
    <row r="30" spans="1:2" ht="13.7" customHeight="1" x14ac:dyDescent="0.25">
      <c r="A30" s="3" t="s">
        <v>680</v>
      </c>
    </row>
    <row r="31" spans="1:2" ht="27.6" customHeight="1" x14ac:dyDescent="0.25">
      <c r="A31" s="154" t="s">
        <v>677</v>
      </c>
    </row>
    <row r="32" spans="1:2" ht="13.7" customHeight="1" x14ac:dyDescent="0.25">
      <c r="A32" s="155" t="s">
        <v>678</v>
      </c>
    </row>
    <row r="33" spans="1:3" ht="13.7" customHeight="1" x14ac:dyDescent="0.25">
      <c r="A33" s="154"/>
      <c r="C33" t="s">
        <v>681</v>
      </c>
    </row>
    <row r="34" spans="1:3" ht="30" x14ac:dyDescent="0.25">
      <c r="A34" s="153" t="s">
        <v>682</v>
      </c>
    </row>
    <row r="35" spans="1:3" ht="45" x14ac:dyDescent="0.25">
      <c r="A35" s="424" t="s">
        <v>683</v>
      </c>
    </row>
    <row r="36" spans="1:3" x14ac:dyDescent="0.25">
      <c r="A36" s="424" t="s">
        <v>274</v>
      </c>
    </row>
    <row r="37" spans="1:3" x14ac:dyDescent="0.25">
      <c r="A37" s="424" t="s">
        <v>684</v>
      </c>
      <c r="B37">
        <v>48</v>
      </c>
    </row>
    <row r="38" spans="1:3" x14ac:dyDescent="0.25">
      <c r="A38" s="424" t="s">
        <v>685</v>
      </c>
      <c r="B38">
        <v>7</v>
      </c>
    </row>
    <row r="39" spans="1:3" x14ac:dyDescent="0.25">
      <c r="A39"/>
    </row>
    <row r="40" spans="1:3" ht="45" x14ac:dyDescent="0.25">
      <c r="A40" s="154" t="s">
        <v>686</v>
      </c>
    </row>
    <row r="41" spans="1:3" x14ac:dyDescent="0.25">
      <c r="A41" s="155" t="s">
        <v>687</v>
      </c>
    </row>
    <row r="42" spans="1:3" x14ac:dyDescent="0.25">
      <c r="A42" s="156" t="s">
        <v>688</v>
      </c>
    </row>
    <row r="43" spans="1:3" x14ac:dyDescent="0.25">
      <c r="A43" s="156"/>
    </row>
    <row r="44" spans="1:3" x14ac:dyDescent="0.25">
      <c r="A44" s="153" t="s">
        <v>689</v>
      </c>
    </row>
    <row r="45" spans="1:3" x14ac:dyDescent="0.25">
      <c r="A45" s="154" t="s">
        <v>690</v>
      </c>
    </row>
    <row r="46" spans="1:3" x14ac:dyDescent="0.25">
      <c r="A46" s="154" t="s">
        <v>691</v>
      </c>
    </row>
    <row r="47" spans="1:3" x14ac:dyDescent="0.25">
      <c r="A47" s="154" t="s">
        <v>692</v>
      </c>
    </row>
    <row r="48" spans="1:3" x14ac:dyDescent="0.25">
      <c r="A48" s="154" t="s">
        <v>693</v>
      </c>
    </row>
    <row r="50" spans="1:8" x14ac:dyDescent="0.25">
      <c r="A50" s="154" t="s">
        <v>694</v>
      </c>
    </row>
    <row r="51" spans="1:8" x14ac:dyDescent="0.25">
      <c r="A51" s="3" t="s">
        <v>695</v>
      </c>
    </row>
    <row r="52" spans="1:8" ht="45" x14ac:dyDescent="0.25">
      <c r="A52" s="154" t="s">
        <v>696</v>
      </c>
      <c r="B52" t="s">
        <v>697</v>
      </c>
      <c r="C52" s="467" t="s">
        <v>698</v>
      </c>
      <c r="D52" s="467"/>
      <c r="E52" s="467" t="s">
        <v>699</v>
      </c>
      <c r="F52" s="467"/>
      <c r="G52" s="467" t="s">
        <v>700</v>
      </c>
      <c r="H52" s="467"/>
    </row>
    <row r="53" spans="1:8" x14ac:dyDescent="0.25">
      <c r="A53" s="154" t="s">
        <v>701</v>
      </c>
      <c r="B53" t="s">
        <v>702</v>
      </c>
      <c r="C53" t="s">
        <v>703</v>
      </c>
      <c r="D53" t="s">
        <v>704</v>
      </c>
      <c r="E53" t="s">
        <v>703</v>
      </c>
      <c r="F53" t="s">
        <v>704</v>
      </c>
    </row>
    <row r="54" spans="1:8" x14ac:dyDescent="0.25">
      <c r="A54" s="157" t="s">
        <v>705</v>
      </c>
      <c r="B54" t="s">
        <v>706</v>
      </c>
      <c r="C54">
        <v>57</v>
      </c>
      <c r="D54">
        <v>57</v>
      </c>
      <c r="E54">
        <v>58.1</v>
      </c>
      <c r="F54">
        <v>59.1</v>
      </c>
      <c r="G54">
        <f>E54-C54</f>
        <v>1.1000000000000014</v>
      </c>
      <c r="H54">
        <f>F54-D54</f>
        <v>2.1000000000000014</v>
      </c>
    </row>
    <row r="55" spans="1:8" x14ac:dyDescent="0.25">
      <c r="A55" s="154"/>
      <c r="B55" t="s">
        <v>707</v>
      </c>
      <c r="C55">
        <v>61</v>
      </c>
      <c r="D55">
        <v>62</v>
      </c>
      <c r="E55">
        <v>63</v>
      </c>
      <c r="F55">
        <v>62.1</v>
      </c>
      <c r="G55">
        <f>E55-C55</f>
        <v>2</v>
      </c>
      <c r="H55">
        <f>F55-D55</f>
        <v>0.10000000000000142</v>
      </c>
    </row>
    <row r="56" spans="1:8" x14ac:dyDescent="0.25">
      <c r="A56" s="154"/>
      <c r="B56" s="1" t="s">
        <v>708</v>
      </c>
      <c r="C56" s="1">
        <v>64</v>
      </c>
      <c r="D56" s="1" t="s">
        <v>709</v>
      </c>
      <c r="E56" s="1">
        <v>64</v>
      </c>
      <c r="F56" s="1">
        <v>64.900000000000006</v>
      </c>
      <c r="G56" s="1">
        <f>E56-C56</f>
        <v>0</v>
      </c>
      <c r="H56" s="1"/>
    </row>
    <row r="57" spans="1:8" x14ac:dyDescent="0.25">
      <c r="B57" t="s">
        <v>710</v>
      </c>
    </row>
    <row r="58" spans="1:8" x14ac:dyDescent="0.25">
      <c r="A58" s="154" t="s">
        <v>711</v>
      </c>
      <c r="B58" s="26" t="s">
        <v>712</v>
      </c>
    </row>
    <row r="59" spans="1:8" ht="30" x14ac:dyDescent="0.25">
      <c r="A59" s="154" t="s">
        <v>713</v>
      </c>
    </row>
    <row r="60" spans="1:8" ht="30" x14ac:dyDescent="0.25">
      <c r="A60" s="154" t="s">
        <v>714</v>
      </c>
    </row>
    <row r="61" spans="1:8" ht="30" x14ac:dyDescent="0.25">
      <c r="A61" s="156" t="s">
        <v>715</v>
      </c>
    </row>
    <row r="62" spans="1:8" x14ac:dyDescent="0.25">
      <c r="A62" s="154"/>
    </row>
    <row r="63" spans="1:8" x14ac:dyDescent="0.25">
      <c r="A63" s="216" t="s">
        <v>716</v>
      </c>
    </row>
    <row r="64" spans="1:8" x14ac:dyDescent="0.25">
      <c r="A64" s="154" t="s">
        <v>717</v>
      </c>
      <c r="B64" t="s">
        <v>718</v>
      </c>
    </row>
    <row r="65" spans="1:3" x14ac:dyDescent="0.25">
      <c r="A65" s="154" t="s">
        <v>719</v>
      </c>
      <c r="B65" t="s">
        <v>720</v>
      </c>
      <c r="C65">
        <f>65+22.4</f>
        <v>87.4</v>
      </c>
    </row>
    <row r="66" spans="1:3" x14ac:dyDescent="0.25">
      <c r="A66" s="154" t="s">
        <v>721</v>
      </c>
      <c r="B66" t="s">
        <v>703</v>
      </c>
      <c r="C66">
        <f>65+19.6</f>
        <v>84.6</v>
      </c>
    </row>
    <row r="67" spans="1:3" ht="45" x14ac:dyDescent="0.25">
      <c r="A67" s="154" t="s">
        <v>722</v>
      </c>
    </row>
    <row r="68" spans="1:3" x14ac:dyDescent="0.25">
      <c r="A68" s="156" t="s">
        <v>723</v>
      </c>
    </row>
    <row r="70" spans="1:3" x14ac:dyDescent="0.25">
      <c r="A70" s="3" t="s">
        <v>724</v>
      </c>
    </row>
    <row r="71" spans="1:3" x14ac:dyDescent="0.25">
      <c r="A71" s="3" t="s">
        <v>725</v>
      </c>
    </row>
    <row r="72" spans="1:3" x14ac:dyDescent="0.25">
      <c r="A72" s="3" t="s">
        <v>726</v>
      </c>
    </row>
    <row r="74" spans="1:3" x14ac:dyDescent="0.25">
      <c r="A74" s="158" t="s">
        <v>727</v>
      </c>
    </row>
    <row r="75" spans="1:3" ht="45" x14ac:dyDescent="0.25">
      <c r="A75" s="82" t="s">
        <v>728</v>
      </c>
    </row>
    <row r="76" spans="1:3" ht="60" x14ac:dyDescent="0.25">
      <c r="A76" s="159" t="s">
        <v>729</v>
      </c>
    </row>
    <row r="77" spans="1:3" x14ac:dyDescent="0.25">
      <c r="A77" s="160"/>
    </row>
    <row r="78" spans="1:3" x14ac:dyDescent="0.25">
      <c r="A78" s="160"/>
    </row>
    <row r="79" spans="1:3" x14ac:dyDescent="0.25">
      <c r="A79" s="82" t="s">
        <v>730</v>
      </c>
    </row>
    <row r="80" spans="1:3" x14ac:dyDescent="0.25">
      <c r="A80" s="160" t="s">
        <v>731</v>
      </c>
    </row>
    <row r="81" spans="1:2" x14ac:dyDescent="0.25">
      <c r="A81" s="160"/>
    </row>
    <row r="82" spans="1:2" ht="45" x14ac:dyDescent="0.25">
      <c r="A82" s="82" t="s">
        <v>732</v>
      </c>
    </row>
    <row r="83" spans="1:2" x14ac:dyDescent="0.25">
      <c r="A83" s="160" t="s">
        <v>733</v>
      </c>
    </row>
    <row r="84" spans="1:2" x14ac:dyDescent="0.25">
      <c r="A84" s="161" t="s">
        <v>734</v>
      </c>
    </row>
    <row r="85" spans="1:2" x14ac:dyDescent="0.25">
      <c r="A85" s="160"/>
      <c r="B85" s="3"/>
    </row>
    <row r="86" spans="1:2" x14ac:dyDescent="0.25">
      <c r="A86" s="67" t="s">
        <v>735</v>
      </c>
    </row>
    <row r="87" spans="1:2" ht="60" x14ac:dyDescent="0.25">
      <c r="A87" s="159" t="s">
        <v>736</v>
      </c>
    </row>
    <row r="88" spans="1:2" x14ac:dyDescent="0.25">
      <c r="A88" s="161" t="s">
        <v>737</v>
      </c>
    </row>
    <row r="89" spans="1:2" x14ac:dyDescent="0.25">
      <c r="A89" s="161" t="s">
        <v>738</v>
      </c>
    </row>
    <row r="90" spans="1:2" x14ac:dyDescent="0.25">
      <c r="A90" s="82" t="s">
        <v>739</v>
      </c>
    </row>
    <row r="91" spans="1:2" x14ac:dyDescent="0.25">
      <c r="A91" s="160"/>
    </row>
    <row r="92" spans="1:2" ht="45" x14ac:dyDescent="0.25">
      <c r="A92" s="82" t="s">
        <v>740</v>
      </c>
    </row>
    <row r="93" spans="1:2" ht="45" x14ac:dyDescent="0.25">
      <c r="A93" s="159" t="s">
        <v>741</v>
      </c>
    </row>
    <row r="94" spans="1:2" x14ac:dyDescent="0.25">
      <c r="A94" s="161" t="s">
        <v>742</v>
      </c>
    </row>
    <row r="95" spans="1:2" x14ac:dyDescent="0.25">
      <c r="A95" s="161"/>
    </row>
    <row r="96" spans="1:2" ht="15.75" x14ac:dyDescent="0.25">
      <c r="A96" s="163" t="s">
        <v>743</v>
      </c>
    </row>
    <row r="97" spans="1:3" x14ac:dyDescent="0.25">
      <c r="A97" s="474" t="s">
        <v>744</v>
      </c>
    </row>
    <row r="98" spans="1:3" x14ac:dyDescent="0.25">
      <c r="A98" s="472"/>
    </row>
    <row r="99" spans="1:3" x14ac:dyDescent="0.25">
      <c r="A99" s="472"/>
    </row>
    <row r="100" spans="1:3" x14ac:dyDescent="0.25">
      <c r="A100" s="472"/>
    </row>
    <row r="101" spans="1:3" x14ac:dyDescent="0.25">
      <c r="A101" s="472"/>
    </row>
    <row r="102" spans="1:3" x14ac:dyDescent="0.25">
      <c r="A102" s="472"/>
    </row>
    <row r="103" spans="1:3" x14ac:dyDescent="0.25">
      <c r="A103" s="472"/>
    </row>
    <row r="106" spans="1:3" ht="15.75" x14ac:dyDescent="0.25">
      <c r="A106" s="163" t="s">
        <v>745</v>
      </c>
    </row>
    <row r="107" spans="1:3" x14ac:dyDescent="0.25">
      <c r="A107" s="473" t="s">
        <v>746</v>
      </c>
      <c r="C107" t="s">
        <v>747</v>
      </c>
    </row>
    <row r="108" spans="1:3" x14ac:dyDescent="0.25">
      <c r="A108" s="472"/>
    </row>
    <row r="109" spans="1:3" x14ac:dyDescent="0.25">
      <c r="A109" s="472"/>
    </row>
    <row r="110" spans="1:3" x14ac:dyDescent="0.25">
      <c r="A110" s="472"/>
    </row>
    <row r="111" spans="1:3" x14ac:dyDescent="0.25">
      <c r="A111" s="472"/>
    </row>
    <row r="113" spans="1:1" x14ac:dyDescent="0.25">
      <c r="A113" s="238" t="s">
        <v>748</v>
      </c>
    </row>
    <row r="117" spans="1:1" x14ac:dyDescent="0.25">
      <c r="A117" t="s">
        <v>749</v>
      </c>
    </row>
    <row r="118" spans="1:1" x14ac:dyDescent="0.25">
      <c r="A118" s="43" t="s">
        <v>750</v>
      </c>
    </row>
    <row r="119" spans="1:1" x14ac:dyDescent="0.25">
      <c r="A119" s="3" t="s">
        <v>751</v>
      </c>
    </row>
    <row r="120" spans="1:1" x14ac:dyDescent="0.25">
      <c r="A120" s="3" t="s">
        <v>752</v>
      </c>
    </row>
    <row r="121" spans="1:1" x14ac:dyDescent="0.25">
      <c r="A121" s="3" t="s">
        <v>753</v>
      </c>
    </row>
    <row r="122" spans="1:1" x14ac:dyDescent="0.25">
      <c r="A122"/>
    </row>
    <row r="123" spans="1:1" x14ac:dyDescent="0.25">
      <c r="A123" s="43" t="s">
        <v>754</v>
      </c>
    </row>
    <row r="124" spans="1:1" x14ac:dyDescent="0.25">
      <c r="A124" t="s">
        <v>755</v>
      </c>
    </row>
    <row r="125" spans="1:1" x14ac:dyDescent="0.25">
      <c r="A125" t="s">
        <v>756</v>
      </c>
    </row>
    <row r="126" spans="1:1" x14ac:dyDescent="0.25">
      <c r="A126"/>
    </row>
    <row r="127" spans="1:1" x14ac:dyDescent="0.25">
      <c r="A127" t="s">
        <v>757</v>
      </c>
    </row>
    <row r="128" spans="1:1" x14ac:dyDescent="0.25">
      <c r="A128" s="3" t="s">
        <v>758</v>
      </c>
    </row>
    <row r="129" spans="1:2" x14ac:dyDescent="0.25">
      <c r="A129" t="s">
        <v>759</v>
      </c>
    </row>
    <row r="130" spans="1:2" x14ac:dyDescent="0.25">
      <c r="A130" t="s">
        <v>760</v>
      </c>
    </row>
    <row r="131" spans="1:2" x14ac:dyDescent="0.25">
      <c r="A131"/>
    </row>
    <row r="133" spans="1:2" x14ac:dyDescent="0.25">
      <c r="A133" s="43" t="s">
        <v>761</v>
      </c>
    </row>
    <row r="134" spans="1:2" x14ac:dyDescent="0.25">
      <c r="A134" s="3" t="s">
        <v>762</v>
      </c>
    </row>
    <row r="135" spans="1:2" x14ac:dyDescent="0.25">
      <c r="A135" s="3" t="s">
        <v>763</v>
      </c>
    </row>
    <row r="136" spans="1:2" x14ac:dyDescent="0.25">
      <c r="A136" s="3" t="s">
        <v>764</v>
      </c>
    </row>
    <row r="137" spans="1:2" x14ac:dyDescent="0.25">
      <c r="A137" s="3" t="s">
        <v>765</v>
      </c>
    </row>
    <row r="139" spans="1:2" x14ac:dyDescent="0.25">
      <c r="A139" s="3" t="s">
        <v>766</v>
      </c>
    </row>
    <row r="140" spans="1:2" x14ac:dyDescent="0.25">
      <c r="A140" s="3" t="s">
        <v>767</v>
      </c>
    </row>
    <row r="142" spans="1:2" x14ac:dyDescent="0.25">
      <c r="A142" s="239" t="s">
        <v>768</v>
      </c>
    </row>
    <row r="143" spans="1:2" x14ac:dyDescent="0.25">
      <c r="A143" s="3" t="s">
        <v>769</v>
      </c>
      <c r="B143">
        <f>8.2*198</f>
        <v>1623.6</v>
      </c>
    </row>
    <row r="146" spans="1:1" x14ac:dyDescent="0.25">
      <c r="A146" s="3" t="s">
        <v>770</v>
      </c>
    </row>
    <row r="147" spans="1:1" x14ac:dyDescent="0.25">
      <c r="A147" s="240" t="s">
        <v>771</v>
      </c>
    </row>
  </sheetData>
  <mergeCells count="6">
    <mergeCell ref="A17:A20"/>
    <mergeCell ref="C52:D52"/>
    <mergeCell ref="E52:F52"/>
    <mergeCell ref="G52:H52"/>
    <mergeCell ref="A107:A111"/>
    <mergeCell ref="A97:A103"/>
  </mergeCells>
  <hyperlinks>
    <hyperlink ref="A32" r:id="rId1" location="page=31"/>
    <hyperlink ref="A27" r:id="rId2" location="page=31"/>
    <hyperlink ref="A68" r:id="rId3"/>
    <hyperlink ref="A54" r:id="rId4"/>
    <hyperlink ref="A61" r:id="rId5" location="page=217 "/>
    <hyperlink ref="B58" r:id="rId6"/>
    <hyperlink ref="A10" r:id="rId7"/>
    <hyperlink ref="A42" r:id="rId8"/>
    <hyperlink ref="A88" r:id="rId9"/>
    <hyperlink ref="A84" r:id="rId10"/>
    <hyperlink ref="A89" r:id="rId11"/>
    <hyperlink ref="A94" r:id="rId12"/>
    <hyperlink ref="A4" r:id="rId13"/>
    <hyperlink ref="A41" r:id="rId14"/>
  </hyperlinks>
  <pageMargins left="0.7" right="0.7" top="0.75" bottom="0.75" header="0.3" footer="0.3"/>
  <pageSetup orientation="portrait" r:id="rId1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N38"/>
  <sheetViews>
    <sheetView topLeftCell="A13" zoomScaleNormal="100" workbookViewId="0">
      <selection activeCell="F26" sqref="F26"/>
    </sheetView>
  </sheetViews>
  <sheetFormatPr baseColWidth="10" defaultColWidth="11.42578125" defaultRowHeight="15" x14ac:dyDescent="0.25"/>
  <cols>
    <col min="10" max="10" width="13.42578125" customWidth="1"/>
    <col min="11" max="12" width="13" bestFit="1" customWidth="1"/>
  </cols>
  <sheetData>
    <row r="1" spans="1:12" x14ac:dyDescent="0.25">
      <c r="A1" t="s">
        <v>772</v>
      </c>
    </row>
    <row r="2" spans="1:12" x14ac:dyDescent="0.25">
      <c r="A2" t="s">
        <v>773</v>
      </c>
    </row>
    <row r="3" spans="1:12" x14ac:dyDescent="0.25">
      <c r="A3" t="s">
        <v>774</v>
      </c>
    </row>
    <row r="4" spans="1:12" x14ac:dyDescent="0.25">
      <c r="A4" t="s">
        <v>775</v>
      </c>
      <c r="B4" t="s">
        <v>12</v>
      </c>
      <c r="C4" t="s">
        <v>12</v>
      </c>
    </row>
    <row r="5" spans="1:12" x14ac:dyDescent="0.25">
      <c r="A5" t="s">
        <v>776</v>
      </c>
      <c r="B5" t="s">
        <v>777</v>
      </c>
      <c r="C5" t="s">
        <v>778</v>
      </c>
    </row>
    <row r="6" spans="1:12" x14ac:dyDescent="0.25">
      <c r="A6">
        <v>1995</v>
      </c>
      <c r="B6">
        <v>88.1</v>
      </c>
      <c r="C6">
        <v>90.9</v>
      </c>
      <c r="F6" s="1">
        <f t="shared" ref="F6:G28" si="0">B6/B$29*100</f>
        <v>68.19719439374164</v>
      </c>
      <c r="G6">
        <f t="shared" si="0"/>
        <v>70.923535222234875</v>
      </c>
    </row>
    <row r="7" spans="1:12" x14ac:dyDescent="0.25">
      <c r="A7">
        <v>1996</v>
      </c>
      <c r="B7">
        <v>89.5</v>
      </c>
      <c r="C7">
        <v>92.3</v>
      </c>
      <c r="D7" s="2"/>
      <c r="E7" s="2"/>
      <c r="F7" s="1">
        <f t="shared" si="0"/>
        <v>69.280918254709164</v>
      </c>
      <c r="G7">
        <f t="shared" si="0"/>
        <v>72.01586689782485</v>
      </c>
      <c r="J7" s="17"/>
    </row>
    <row r="8" spans="1:12" x14ac:dyDescent="0.25">
      <c r="A8">
        <v>1997</v>
      </c>
      <c r="B8">
        <v>90.8</v>
      </c>
      <c r="C8">
        <v>93.4</v>
      </c>
      <c r="D8" s="2"/>
      <c r="E8" s="2"/>
      <c r="F8" s="1">
        <f t="shared" si="0"/>
        <v>70.287233268464718</v>
      </c>
      <c r="G8">
        <f t="shared" si="0"/>
        <v>72.874127500074124</v>
      </c>
      <c r="K8" s="475"/>
      <c r="L8" s="475"/>
    </row>
    <row r="9" spans="1:12" x14ac:dyDescent="0.25">
      <c r="A9" s="17">
        <v>1998</v>
      </c>
      <c r="B9" s="17">
        <v>92.1</v>
      </c>
      <c r="C9" s="17">
        <v>93.3</v>
      </c>
      <c r="D9" s="18"/>
      <c r="E9" s="18"/>
      <c r="F9" s="24">
        <f t="shared" si="0"/>
        <v>71.293548282220272</v>
      </c>
      <c r="G9" s="17">
        <f t="shared" si="0"/>
        <v>72.796103808960538</v>
      </c>
    </row>
    <row r="10" spans="1:12" x14ac:dyDescent="0.25">
      <c r="A10">
        <v>1999</v>
      </c>
      <c r="B10">
        <v>93.5</v>
      </c>
      <c r="C10">
        <v>94.7</v>
      </c>
      <c r="D10" s="2"/>
      <c r="E10" s="2"/>
      <c r="F10" s="1">
        <f t="shared" si="0"/>
        <v>72.377272143187781</v>
      </c>
      <c r="G10">
        <f t="shared" si="0"/>
        <v>73.888435484550527</v>
      </c>
      <c r="K10" s="19"/>
      <c r="L10" s="19"/>
    </row>
    <row r="11" spans="1:12" x14ac:dyDescent="0.25">
      <c r="A11">
        <v>2000</v>
      </c>
      <c r="B11">
        <v>95.8</v>
      </c>
      <c r="C11">
        <v>96.8</v>
      </c>
      <c r="D11" s="2"/>
      <c r="E11" s="2"/>
      <c r="F11" s="1">
        <f t="shared" si="0"/>
        <v>74.157675629062993</v>
      </c>
      <c r="G11">
        <f t="shared" si="0"/>
        <v>75.526932997935489</v>
      </c>
      <c r="K11" s="19"/>
      <c r="L11" s="19"/>
    </row>
    <row r="12" spans="1:12" x14ac:dyDescent="0.25">
      <c r="A12">
        <v>2001</v>
      </c>
      <c r="B12">
        <v>98</v>
      </c>
      <c r="C12">
        <v>98.8</v>
      </c>
      <c r="D12" s="2"/>
      <c r="E12" s="2"/>
      <c r="F12" s="1">
        <f t="shared" si="0"/>
        <v>75.860670267726235</v>
      </c>
      <c r="G12">
        <f t="shared" si="0"/>
        <v>77.08740682020688</v>
      </c>
    </row>
    <row r="13" spans="1:12" x14ac:dyDescent="0.25">
      <c r="A13">
        <v>2002</v>
      </c>
      <c r="B13">
        <v>100</v>
      </c>
      <c r="C13">
        <v>100</v>
      </c>
      <c r="D13" s="2"/>
      <c r="E13" s="2"/>
      <c r="F13" s="1">
        <f t="shared" si="0"/>
        <v>77.408847211965551</v>
      </c>
      <c r="G13">
        <f t="shared" si="0"/>
        <v>78.023691113569726</v>
      </c>
    </row>
    <row r="14" spans="1:12" x14ac:dyDescent="0.25">
      <c r="A14">
        <v>2003</v>
      </c>
      <c r="B14">
        <v>102.5</v>
      </c>
      <c r="C14">
        <v>102.1</v>
      </c>
      <c r="D14" s="2"/>
      <c r="E14" s="2"/>
      <c r="F14" s="1">
        <f t="shared" si="0"/>
        <v>79.344068392264688</v>
      </c>
      <c r="G14">
        <f t="shared" si="0"/>
        <v>79.662188626954674</v>
      </c>
    </row>
    <row r="15" spans="1:12" x14ac:dyDescent="0.25">
      <c r="A15">
        <v>2004</v>
      </c>
      <c r="B15">
        <v>104.5</v>
      </c>
      <c r="C15">
        <v>103.9</v>
      </c>
      <c r="D15" s="2"/>
      <c r="E15" s="2"/>
      <c r="F15" s="1">
        <f t="shared" si="0"/>
        <v>80.892245336504004</v>
      </c>
      <c r="G15">
        <f t="shared" si="0"/>
        <v>81.066615066998949</v>
      </c>
    </row>
    <row r="16" spans="1:12" x14ac:dyDescent="0.25">
      <c r="A16">
        <v>2005</v>
      </c>
      <c r="B16">
        <v>106.9</v>
      </c>
      <c r="C16">
        <v>106.4</v>
      </c>
      <c r="D16" s="2"/>
      <c r="E16" s="2"/>
      <c r="F16" s="1">
        <f t="shared" si="0"/>
        <v>82.750057669591172</v>
      </c>
      <c r="G16">
        <f t="shared" si="0"/>
        <v>83.017207344838184</v>
      </c>
      <c r="K16" s="19"/>
      <c r="L16" s="19"/>
    </row>
    <row r="17" spans="1:14" x14ac:dyDescent="0.25">
      <c r="A17">
        <v>2006</v>
      </c>
      <c r="B17">
        <v>108.7</v>
      </c>
      <c r="C17">
        <v>108.2</v>
      </c>
      <c r="D17" s="2"/>
      <c r="E17" s="2"/>
      <c r="F17" s="1">
        <f t="shared" si="0"/>
        <v>84.143416919406562</v>
      </c>
      <c r="G17">
        <f t="shared" si="0"/>
        <v>84.421633784882445</v>
      </c>
    </row>
    <row r="18" spans="1:14" x14ac:dyDescent="0.25">
      <c r="A18">
        <v>2007</v>
      </c>
      <c r="B18">
        <v>110.4</v>
      </c>
      <c r="C18">
        <v>109.8</v>
      </c>
      <c r="D18" s="2"/>
      <c r="E18" s="2"/>
      <c r="F18" s="1">
        <f t="shared" si="0"/>
        <v>85.459367322009967</v>
      </c>
      <c r="G18">
        <f t="shared" si="0"/>
        <v>85.670012842699549</v>
      </c>
    </row>
    <row r="19" spans="1:14" x14ac:dyDescent="0.25">
      <c r="A19" s="17">
        <v>2008</v>
      </c>
      <c r="B19" s="17">
        <v>112.7</v>
      </c>
      <c r="C19" s="17">
        <v>112.2</v>
      </c>
      <c r="D19" s="18"/>
      <c r="E19" s="18"/>
      <c r="F19" s="24">
        <f t="shared" si="0"/>
        <v>87.239770807885179</v>
      </c>
      <c r="G19" s="17">
        <f t="shared" si="0"/>
        <v>87.542581429425226</v>
      </c>
      <c r="J19" s="23"/>
      <c r="K19" s="20"/>
      <c r="L19" s="20"/>
      <c r="M19" s="21"/>
    </row>
    <row r="20" spans="1:14" x14ac:dyDescent="0.25">
      <c r="A20">
        <v>2009</v>
      </c>
      <c r="B20">
        <v>113.4</v>
      </c>
      <c r="C20">
        <v>112.7</v>
      </c>
      <c r="D20" s="2"/>
      <c r="E20" s="2"/>
      <c r="F20" s="1">
        <f t="shared" si="0"/>
        <v>87.781632738368927</v>
      </c>
      <c r="G20">
        <f t="shared" si="0"/>
        <v>87.932699884993085</v>
      </c>
      <c r="J20" s="423"/>
      <c r="K20" s="423"/>
      <c r="L20" s="423"/>
    </row>
    <row r="21" spans="1:14" x14ac:dyDescent="0.25">
      <c r="A21">
        <v>2010</v>
      </c>
      <c r="B21">
        <v>114.8</v>
      </c>
      <c r="C21">
        <v>114.2</v>
      </c>
      <c r="D21" s="2"/>
      <c r="E21" s="2"/>
      <c r="F21" s="1">
        <f t="shared" si="0"/>
        <v>88.865356599336437</v>
      </c>
      <c r="G21">
        <f t="shared" si="0"/>
        <v>89.103055251696631</v>
      </c>
      <c r="J21" s="423"/>
      <c r="K21" s="423"/>
      <c r="L21" s="423"/>
    </row>
    <row r="22" spans="1:14" x14ac:dyDescent="0.25">
      <c r="A22">
        <v>2011</v>
      </c>
      <c r="B22">
        <v>118.3</v>
      </c>
      <c r="C22">
        <v>117.7</v>
      </c>
      <c r="D22" s="2"/>
      <c r="E22" s="2"/>
      <c r="F22" s="1">
        <f t="shared" si="0"/>
        <v>91.574666251755247</v>
      </c>
      <c r="G22">
        <f t="shared" si="0"/>
        <v>91.833884440671568</v>
      </c>
      <c r="J22" s="22"/>
      <c r="K22" s="22"/>
      <c r="L22" s="22"/>
      <c r="N22" s="17"/>
    </row>
    <row r="23" spans="1:14" x14ac:dyDescent="0.25">
      <c r="A23">
        <v>2012</v>
      </c>
      <c r="B23">
        <v>120.8</v>
      </c>
      <c r="C23">
        <v>120.2</v>
      </c>
      <c r="D23" s="2"/>
      <c r="E23" s="2"/>
      <c r="F23" s="1">
        <f t="shared" si="0"/>
        <v>93.509887432054384</v>
      </c>
      <c r="G23">
        <f t="shared" si="0"/>
        <v>93.784476718510817</v>
      </c>
      <c r="J23" s="22"/>
      <c r="K23" s="22"/>
      <c r="L23" s="22"/>
      <c r="N23" s="17"/>
    </row>
    <row r="24" spans="1:14" x14ac:dyDescent="0.25">
      <c r="A24">
        <v>2013</v>
      </c>
      <c r="B24">
        <v>121.7</v>
      </c>
      <c r="C24">
        <v>121</v>
      </c>
      <c r="D24" s="2"/>
      <c r="E24" s="2"/>
      <c r="F24" s="1">
        <f t="shared" si="0"/>
        <v>94.206567056962072</v>
      </c>
      <c r="G24">
        <f t="shared" si="0"/>
        <v>94.408666247419362</v>
      </c>
      <c r="I24">
        <v>1999</v>
      </c>
      <c r="J24" s="22">
        <f>I24/F24*100</f>
        <v>2121.932751027116</v>
      </c>
      <c r="K24" s="22"/>
      <c r="L24" s="22"/>
      <c r="N24" s="17"/>
    </row>
    <row r="25" spans="1:14" x14ac:dyDescent="0.25">
      <c r="A25">
        <v>2014</v>
      </c>
      <c r="B25">
        <v>123.4</v>
      </c>
      <c r="C25">
        <v>122.6</v>
      </c>
      <c r="D25" s="2"/>
      <c r="E25" s="2"/>
      <c r="F25" s="1">
        <f t="shared" si="0"/>
        <v>95.522517459565492</v>
      </c>
      <c r="G25">
        <f t="shared" si="0"/>
        <v>95.65704530523648</v>
      </c>
      <c r="J25" s="22"/>
      <c r="K25" s="22"/>
      <c r="L25" s="22"/>
    </row>
    <row r="26" spans="1:14" x14ac:dyDescent="0.25">
      <c r="A26">
        <v>2015</v>
      </c>
      <c r="B26">
        <v>124.7</v>
      </c>
      <c r="C26">
        <v>123.7</v>
      </c>
      <c r="D26" s="2"/>
      <c r="E26" s="2"/>
      <c r="F26" s="1">
        <f t="shared" si="0"/>
        <v>96.528832473321032</v>
      </c>
      <c r="G26">
        <f t="shared" si="0"/>
        <v>96.515305907485754</v>
      </c>
      <c r="J26" s="22"/>
      <c r="K26" s="22"/>
      <c r="L26" s="22"/>
    </row>
    <row r="27" spans="1:14" x14ac:dyDescent="0.25">
      <c r="A27">
        <v>2016</v>
      </c>
      <c r="B27">
        <v>125.6</v>
      </c>
      <c r="C27">
        <v>124.5</v>
      </c>
      <c r="D27" s="2"/>
      <c r="E27" s="2"/>
      <c r="F27" s="1">
        <f t="shared" si="0"/>
        <v>97.225512098228734</v>
      </c>
      <c r="G27">
        <f t="shared" si="0"/>
        <v>97.139495436394313</v>
      </c>
      <c r="I27">
        <v>89900</v>
      </c>
      <c r="J27">
        <f>I27/(F27/100)</f>
        <v>92465.442515923554</v>
      </c>
    </row>
    <row r="28" spans="1:14" x14ac:dyDescent="0.25">
      <c r="A28">
        <v>2017</v>
      </c>
      <c r="B28">
        <v>126.9</v>
      </c>
      <c r="C28">
        <v>125.9</v>
      </c>
      <c r="D28" s="2"/>
      <c r="E28" s="2"/>
      <c r="F28" s="1">
        <f t="shared" si="0"/>
        <v>98.231827111984288</v>
      </c>
      <c r="G28">
        <f t="shared" si="0"/>
        <v>98.231827111984288</v>
      </c>
    </row>
    <row r="29" spans="1:14" x14ac:dyDescent="0.25">
      <c r="A29" s="17">
        <v>2018</v>
      </c>
      <c r="B29" s="17">
        <f>B28*1.018</f>
        <v>129.1842</v>
      </c>
      <c r="C29" s="17">
        <f>C28*1.018</f>
        <v>128.1662</v>
      </c>
      <c r="D29" s="18"/>
      <c r="E29" s="18"/>
      <c r="F29" s="24">
        <f>B29/B$29*100</f>
        <v>100</v>
      </c>
      <c r="G29" s="17">
        <f>C29/C$29*100</f>
        <v>100</v>
      </c>
    </row>
    <row r="30" spans="1:14" x14ac:dyDescent="0.25">
      <c r="A30" t="s">
        <v>779</v>
      </c>
    </row>
    <row r="31" spans="1:14" x14ac:dyDescent="0.25">
      <c r="A31" t="s">
        <v>451</v>
      </c>
    </row>
    <row r="32" spans="1:14" x14ac:dyDescent="0.25">
      <c r="A32">
        <v>2</v>
      </c>
      <c r="B32" t="s">
        <v>780</v>
      </c>
    </row>
    <row r="33" spans="1:2" x14ac:dyDescent="0.25">
      <c r="A33">
        <v>9</v>
      </c>
      <c r="B33" t="s">
        <v>781</v>
      </c>
    </row>
    <row r="34" spans="1:2" x14ac:dyDescent="0.25">
      <c r="A34">
        <v>15</v>
      </c>
      <c r="B34" t="s">
        <v>782</v>
      </c>
    </row>
    <row r="35" spans="1:2" x14ac:dyDescent="0.25">
      <c r="A35">
        <v>25</v>
      </c>
      <c r="B35" t="s">
        <v>783</v>
      </c>
    </row>
    <row r="36" spans="1:2" x14ac:dyDescent="0.25">
      <c r="A36" t="s">
        <v>109</v>
      </c>
    </row>
    <row r="37" spans="1:2" x14ac:dyDescent="0.25">
      <c r="A37" t="s">
        <v>784</v>
      </c>
    </row>
    <row r="38" spans="1:2" x14ac:dyDescent="0.25">
      <c r="A38" t="s">
        <v>785</v>
      </c>
    </row>
  </sheetData>
  <mergeCells count="1">
    <mergeCell ref="K8:L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S68"/>
  <sheetViews>
    <sheetView topLeftCell="A39" zoomScale="90" zoomScaleNormal="90" workbookViewId="0">
      <selection activeCell="O73" sqref="O73"/>
    </sheetView>
  </sheetViews>
  <sheetFormatPr baseColWidth="10" defaultColWidth="9.140625" defaultRowHeight="15" x14ac:dyDescent="0.25"/>
  <sheetData>
    <row r="1" spans="2:19" x14ac:dyDescent="0.25">
      <c r="B1" s="151" t="s">
        <v>786</v>
      </c>
      <c r="S1" s="272" t="s">
        <v>787</v>
      </c>
    </row>
    <row r="3" spans="2:19" x14ac:dyDescent="0.25">
      <c r="B3" t="s">
        <v>788</v>
      </c>
      <c r="S3" t="s">
        <v>789</v>
      </c>
    </row>
    <row r="4" spans="2:19" x14ac:dyDescent="0.25">
      <c r="B4" t="s">
        <v>790</v>
      </c>
      <c r="C4" t="s">
        <v>267</v>
      </c>
    </row>
    <row r="5" spans="2:19" x14ac:dyDescent="0.25">
      <c r="C5" t="s">
        <v>791</v>
      </c>
    </row>
    <row r="6" spans="2:19" x14ac:dyDescent="0.25">
      <c r="B6" t="s">
        <v>792</v>
      </c>
      <c r="C6" s="4"/>
      <c r="S6" t="s">
        <v>793</v>
      </c>
    </row>
    <row r="7" spans="2:19" x14ac:dyDescent="0.25">
      <c r="C7" t="s">
        <v>794</v>
      </c>
    </row>
    <row r="8" spans="2:19" x14ac:dyDescent="0.25">
      <c r="B8" t="s">
        <v>795</v>
      </c>
      <c r="C8" s="4"/>
      <c r="S8" t="s">
        <v>796</v>
      </c>
    </row>
    <row r="9" spans="2:19" x14ac:dyDescent="0.25">
      <c r="B9" t="s">
        <v>797</v>
      </c>
      <c r="S9" t="s">
        <v>798</v>
      </c>
    </row>
    <row r="10" spans="2:19" x14ac:dyDescent="0.25">
      <c r="C10" t="s">
        <v>799</v>
      </c>
    </row>
    <row r="11" spans="2:19" x14ac:dyDescent="0.25">
      <c r="C11" t="s">
        <v>800</v>
      </c>
    </row>
    <row r="12" spans="2:19" x14ac:dyDescent="0.25">
      <c r="C12" s="45" t="s">
        <v>801</v>
      </c>
    </row>
    <row r="13" spans="2:19" x14ac:dyDescent="0.25">
      <c r="C13" s="45" t="s">
        <v>802</v>
      </c>
    </row>
    <row r="14" spans="2:19" x14ac:dyDescent="0.25">
      <c r="C14" s="184" t="s">
        <v>803</v>
      </c>
    </row>
    <row r="15" spans="2:19" x14ac:dyDescent="0.25">
      <c r="C15" s="214" t="s">
        <v>804</v>
      </c>
    </row>
    <row r="16" spans="2:19" x14ac:dyDescent="0.25">
      <c r="C16" s="214" t="s">
        <v>805</v>
      </c>
    </row>
    <row r="17" spans="1:19" x14ac:dyDescent="0.25">
      <c r="C17" s="214" t="s">
        <v>806</v>
      </c>
    </row>
    <row r="18" spans="1:19" x14ac:dyDescent="0.25">
      <c r="C18" s="214" t="s">
        <v>807</v>
      </c>
    </row>
    <row r="19" spans="1:19" x14ac:dyDescent="0.25">
      <c r="C19" s="214" t="s">
        <v>808</v>
      </c>
    </row>
    <row r="20" spans="1:19" x14ac:dyDescent="0.25">
      <c r="C20" s="184" t="s">
        <v>809</v>
      </c>
    </row>
    <row r="21" spans="1:19" x14ac:dyDescent="0.25">
      <c r="B21" t="s">
        <v>810</v>
      </c>
      <c r="S21" t="s">
        <v>811</v>
      </c>
    </row>
    <row r="22" spans="1:19" x14ac:dyDescent="0.25">
      <c r="B22" t="s">
        <v>812</v>
      </c>
      <c r="S22" t="s">
        <v>813</v>
      </c>
    </row>
    <row r="23" spans="1:19" x14ac:dyDescent="0.25">
      <c r="B23" s="222" t="s">
        <v>814</v>
      </c>
      <c r="C23" s="4"/>
      <c r="D23" s="4"/>
      <c r="E23" s="4"/>
      <c r="F23" s="4"/>
      <c r="G23" s="4"/>
      <c r="H23" s="4"/>
      <c r="I23" s="4"/>
      <c r="J23" s="4"/>
      <c r="K23" s="4"/>
      <c r="S23" t="s">
        <v>815</v>
      </c>
    </row>
    <row r="24" spans="1:19" x14ac:dyDescent="0.25">
      <c r="A24" s="4"/>
      <c r="B24" s="4" t="s">
        <v>816</v>
      </c>
      <c r="C24" s="4"/>
      <c r="D24" s="4"/>
      <c r="E24" s="4"/>
      <c r="F24" s="4"/>
      <c r="G24" s="4"/>
      <c r="H24" s="4"/>
      <c r="I24" s="4"/>
      <c r="J24" s="4"/>
      <c r="K24" s="4"/>
    </row>
    <row r="25" spans="1:19" x14ac:dyDescent="0.25">
      <c r="A25" s="4"/>
      <c r="B25" s="4" t="s">
        <v>817</v>
      </c>
      <c r="C25" s="4"/>
      <c r="D25" s="4"/>
      <c r="E25" s="4"/>
      <c r="F25" s="4"/>
      <c r="G25" s="4"/>
      <c r="H25" s="4"/>
      <c r="I25" s="4"/>
      <c r="J25" s="4"/>
      <c r="K25" s="4"/>
    </row>
    <row r="26" spans="1:19" x14ac:dyDescent="0.25">
      <c r="A26" s="4"/>
      <c r="B26" s="4"/>
      <c r="C26" s="4"/>
      <c r="D26" s="4"/>
      <c r="E26" s="4"/>
      <c r="F26" s="4"/>
      <c r="G26" s="4"/>
      <c r="H26" s="4"/>
      <c r="I26" s="4"/>
      <c r="J26" s="4"/>
      <c r="K26" s="4"/>
    </row>
    <row r="27" spans="1:19" x14ac:dyDescent="0.25">
      <c r="A27" s="4"/>
      <c r="B27" s="4" t="s">
        <v>818</v>
      </c>
      <c r="C27" s="4"/>
      <c r="D27" s="4"/>
      <c r="E27" s="4"/>
      <c r="F27" s="4"/>
      <c r="G27" s="4"/>
      <c r="H27" s="4"/>
      <c r="I27" s="4"/>
      <c r="J27" s="4"/>
      <c r="K27" s="4"/>
    </row>
    <row r="28" spans="1:19" x14ac:dyDescent="0.25">
      <c r="A28" s="4"/>
      <c r="B28" s="4" t="s">
        <v>819</v>
      </c>
      <c r="C28" s="4"/>
      <c r="D28" s="4"/>
      <c r="E28" s="4"/>
      <c r="F28" s="4"/>
      <c r="G28" s="4"/>
      <c r="H28" s="4"/>
      <c r="I28" s="4"/>
      <c r="J28" s="4"/>
      <c r="K28" s="4"/>
      <c r="S28" t="s">
        <v>820</v>
      </c>
    </row>
    <row r="29" spans="1:19" x14ac:dyDescent="0.25">
      <c r="A29" s="4"/>
      <c r="B29" s="4" t="s">
        <v>821</v>
      </c>
      <c r="C29" s="4"/>
      <c r="D29" s="4"/>
      <c r="E29" s="4"/>
      <c r="F29" s="4"/>
      <c r="G29" s="4"/>
      <c r="H29" s="4"/>
      <c r="I29" s="4"/>
      <c r="J29" s="4"/>
      <c r="K29" s="4"/>
    </row>
    <row r="30" spans="1:19" x14ac:dyDescent="0.25">
      <c r="A30" s="4"/>
      <c r="B30" s="217" t="s">
        <v>822</v>
      </c>
      <c r="C30" s="4"/>
      <c r="D30" s="4"/>
      <c r="E30" s="4"/>
      <c r="F30" s="4"/>
      <c r="G30" s="4"/>
      <c r="H30" s="4"/>
      <c r="I30" s="4"/>
      <c r="J30" s="4"/>
      <c r="K30" s="4"/>
    </row>
    <row r="31" spans="1:19" x14ac:dyDescent="0.25">
      <c r="A31" s="4"/>
      <c r="B31" s="217"/>
      <c r="C31" s="4"/>
      <c r="D31" s="4"/>
      <c r="E31" s="4"/>
      <c r="F31" s="4"/>
      <c r="G31" s="4"/>
      <c r="H31" s="4"/>
      <c r="I31" s="4"/>
      <c r="J31" s="4"/>
      <c r="K31" s="4"/>
    </row>
    <row r="32" spans="1:19" x14ac:dyDescent="0.25">
      <c r="B32" s="222" t="s">
        <v>823</v>
      </c>
      <c r="C32" s="4"/>
      <c r="D32" s="4"/>
      <c r="E32" s="4"/>
      <c r="F32" s="4"/>
      <c r="G32" s="4"/>
      <c r="H32" s="4"/>
      <c r="I32" s="4"/>
      <c r="J32" s="4"/>
      <c r="K32" s="4"/>
    </row>
    <row r="33" spans="2:19" x14ac:dyDescent="0.25">
      <c r="B33" t="s">
        <v>824</v>
      </c>
      <c r="S33" t="s">
        <v>825</v>
      </c>
    </row>
    <row r="34" spans="2:19" x14ac:dyDescent="0.25">
      <c r="B34" t="s">
        <v>826</v>
      </c>
    </row>
    <row r="36" spans="2:19" x14ac:dyDescent="0.25">
      <c r="B36" t="s">
        <v>827</v>
      </c>
      <c r="S36" t="s">
        <v>828</v>
      </c>
    </row>
    <row r="37" spans="2:19" x14ac:dyDescent="0.25">
      <c r="B37" t="s">
        <v>829</v>
      </c>
    </row>
    <row r="38" spans="2:19" x14ac:dyDescent="0.25">
      <c r="B38" t="s">
        <v>830</v>
      </c>
    </row>
    <row r="39" spans="2:19" x14ac:dyDescent="0.25">
      <c r="B39" t="s">
        <v>27</v>
      </c>
      <c r="S39" t="s">
        <v>831</v>
      </c>
    </row>
    <row r="41" spans="2:19" x14ac:dyDescent="0.25">
      <c r="B41" s="17" t="s">
        <v>832</v>
      </c>
    </row>
    <row r="42" spans="2:19" x14ac:dyDescent="0.25">
      <c r="B42" t="s">
        <v>833</v>
      </c>
      <c r="S42" t="s">
        <v>834</v>
      </c>
    </row>
    <row r="43" spans="2:19" x14ac:dyDescent="0.25">
      <c r="B43" t="s">
        <v>835</v>
      </c>
    </row>
    <row r="44" spans="2:19" x14ac:dyDescent="0.25">
      <c r="C44" t="s">
        <v>836</v>
      </c>
    </row>
    <row r="45" spans="2:19" x14ac:dyDescent="0.25">
      <c r="B45" t="s">
        <v>837</v>
      </c>
      <c r="C45" t="s">
        <v>838</v>
      </c>
    </row>
    <row r="46" spans="2:19" x14ac:dyDescent="0.25">
      <c r="B46" t="s">
        <v>839</v>
      </c>
    </row>
    <row r="48" spans="2:19" x14ac:dyDescent="0.25">
      <c r="B48" t="s">
        <v>840</v>
      </c>
      <c r="S48" t="s">
        <v>841</v>
      </c>
    </row>
    <row r="50" spans="2:19" x14ac:dyDescent="0.25">
      <c r="B50" t="s">
        <v>842</v>
      </c>
      <c r="S50" t="s">
        <v>843</v>
      </c>
    </row>
    <row r="52" spans="2:19" x14ac:dyDescent="0.25">
      <c r="B52" s="151" t="s">
        <v>844</v>
      </c>
    </row>
    <row r="53" spans="2:19" x14ac:dyDescent="0.25">
      <c r="S53" t="s">
        <v>845</v>
      </c>
    </row>
    <row r="54" spans="2:19" x14ac:dyDescent="0.25">
      <c r="B54" t="s">
        <v>846</v>
      </c>
    </row>
    <row r="55" spans="2:19" x14ac:dyDescent="0.25">
      <c r="B55" s="152" t="s">
        <v>847</v>
      </c>
    </row>
    <row r="56" spans="2:19" x14ac:dyDescent="0.25">
      <c r="B56" s="152" t="s">
        <v>848</v>
      </c>
    </row>
    <row r="57" spans="2:19" x14ac:dyDescent="0.25">
      <c r="C57" t="s">
        <v>849</v>
      </c>
      <c r="K57" s="419">
        <f>'Valid. hyp. cons. famille'!N10</f>
        <v>16832.454859000001</v>
      </c>
    </row>
    <row r="59" spans="2:19" x14ac:dyDescent="0.25">
      <c r="C59" t="s">
        <v>850</v>
      </c>
      <c r="F59">
        <v>25000</v>
      </c>
    </row>
    <row r="60" spans="2:19" x14ac:dyDescent="0.25">
      <c r="C60" t="s">
        <v>851</v>
      </c>
      <c r="G60">
        <v>255000</v>
      </c>
    </row>
    <row r="61" spans="2:19" x14ac:dyDescent="0.25">
      <c r="C61" t="s">
        <v>852</v>
      </c>
      <c r="G61" s="419">
        <f>1224.76*12</f>
        <v>14697.119999999999</v>
      </c>
    </row>
    <row r="62" spans="2:19" x14ac:dyDescent="0.25">
      <c r="C62" t="s">
        <v>853</v>
      </c>
      <c r="D62">
        <v>3.74</v>
      </c>
    </row>
    <row r="63" spans="2:19" x14ac:dyDescent="0.25">
      <c r="C63" t="s">
        <v>854</v>
      </c>
      <c r="E63" t="s">
        <v>855</v>
      </c>
    </row>
    <row r="64" spans="2:19" x14ac:dyDescent="0.25">
      <c r="B64" t="s">
        <v>856</v>
      </c>
    </row>
    <row r="65" spans="2:19" x14ac:dyDescent="0.25">
      <c r="B65" s="46"/>
    </row>
    <row r="66" spans="2:19" x14ac:dyDescent="0.25">
      <c r="B66" t="s">
        <v>857</v>
      </c>
      <c r="S66" t="s">
        <v>858</v>
      </c>
    </row>
    <row r="67" spans="2:19" x14ac:dyDescent="0.25">
      <c r="B67" t="s">
        <v>859</v>
      </c>
    </row>
    <row r="68" spans="2:19" x14ac:dyDescent="0.25">
      <c r="B68" t="s">
        <v>860</v>
      </c>
    </row>
  </sheetData>
  <hyperlinks>
    <hyperlink ref="B30" r:id="rId1"/>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80" zoomScaleNormal="80" workbookViewId="0">
      <selection activeCell="L19" sqref="L19"/>
    </sheetView>
  </sheetViews>
  <sheetFormatPr baseColWidth="10" defaultColWidth="11.42578125" defaultRowHeight="15" x14ac:dyDescent="0.25"/>
  <cols>
    <col min="3" max="3" width="26.42578125" customWidth="1"/>
  </cols>
  <sheetData>
    <row r="1" spans="2:6" x14ac:dyDescent="0.25">
      <c r="B1" t="s">
        <v>861</v>
      </c>
    </row>
    <row r="2" spans="2:6" x14ac:dyDescent="0.25">
      <c r="B2" s="26" t="s">
        <v>862</v>
      </c>
    </row>
    <row r="3" spans="2:6" x14ac:dyDescent="0.25">
      <c r="B3" s="26"/>
    </row>
    <row r="4" spans="2:6" x14ac:dyDescent="0.25">
      <c r="B4" s="17" t="s">
        <v>863</v>
      </c>
    </row>
    <row r="5" spans="2:6" x14ac:dyDescent="0.25">
      <c r="B5" t="s">
        <v>864</v>
      </c>
    </row>
    <row r="6" spans="2:6" x14ac:dyDescent="0.25">
      <c r="D6" t="s">
        <v>865</v>
      </c>
      <c r="E6" t="s">
        <v>866</v>
      </c>
    </row>
    <row r="7" spans="2:6" x14ac:dyDescent="0.25">
      <c r="B7" t="s">
        <v>867</v>
      </c>
      <c r="D7">
        <v>62412</v>
      </c>
      <c r="E7">
        <v>52963</v>
      </c>
    </row>
    <row r="9" spans="2:6" x14ac:dyDescent="0.25">
      <c r="B9" t="s">
        <v>868</v>
      </c>
      <c r="F9">
        <v>92575</v>
      </c>
    </row>
    <row r="10" spans="2:6" x14ac:dyDescent="0.25">
      <c r="B10" t="s">
        <v>869</v>
      </c>
      <c r="D10" s="44">
        <v>0.55100000000000005</v>
      </c>
      <c r="E10" s="44">
        <v>0.44900000000000001</v>
      </c>
    </row>
    <row r="12" spans="2:6" x14ac:dyDescent="0.25">
      <c r="B12" t="s">
        <v>870</v>
      </c>
      <c r="F12">
        <v>1</v>
      </c>
    </row>
    <row r="13" spans="2:6" x14ac:dyDescent="0.25">
      <c r="B13" t="s">
        <v>871</v>
      </c>
      <c r="F13">
        <v>10600</v>
      </c>
    </row>
    <row r="14" spans="2:6" x14ac:dyDescent="0.25">
      <c r="B14" t="s">
        <v>872</v>
      </c>
      <c r="D14">
        <v>5840.96</v>
      </c>
      <c r="E14">
        <v>4759.04</v>
      </c>
    </row>
    <row r="16" spans="2:6" x14ac:dyDescent="0.25">
      <c r="B16" t="s">
        <v>873</v>
      </c>
      <c r="D16">
        <f>D14</f>
        <v>5840.96</v>
      </c>
    </row>
    <row r="18" spans="2:6" x14ac:dyDescent="0.25">
      <c r="B18" s="17" t="s">
        <v>874</v>
      </c>
    </row>
    <row r="19" spans="2:6" x14ac:dyDescent="0.25">
      <c r="B19" t="s">
        <v>864</v>
      </c>
      <c r="D19" t="s">
        <v>865</v>
      </c>
      <c r="E19" t="s">
        <v>866</v>
      </c>
    </row>
    <row r="21" spans="2:6" x14ac:dyDescent="0.25">
      <c r="B21" t="s">
        <v>867</v>
      </c>
      <c r="D21">
        <v>63056</v>
      </c>
      <c r="E21">
        <v>52963</v>
      </c>
    </row>
    <row r="23" spans="2:6" x14ac:dyDescent="0.25">
      <c r="B23" t="s">
        <v>868</v>
      </c>
      <c r="F23">
        <v>93219</v>
      </c>
    </row>
    <row r="24" spans="2:6" x14ac:dyDescent="0.25">
      <c r="B24" t="s">
        <v>869</v>
      </c>
      <c r="D24">
        <v>55.41</v>
      </c>
      <c r="E24">
        <v>44.59</v>
      </c>
    </row>
    <row r="26" spans="2:6" x14ac:dyDescent="0.25">
      <c r="B26" t="s">
        <v>870</v>
      </c>
      <c r="F26">
        <v>1</v>
      </c>
    </row>
    <row r="27" spans="2:6" x14ac:dyDescent="0.25">
      <c r="B27" t="s">
        <v>871</v>
      </c>
      <c r="F27">
        <v>10600</v>
      </c>
    </row>
    <row r="28" spans="2:6" x14ac:dyDescent="0.25">
      <c r="B28" t="s">
        <v>872</v>
      </c>
      <c r="D28">
        <v>5873.84</v>
      </c>
      <c r="E28">
        <v>4726.16</v>
      </c>
    </row>
    <row r="30" spans="2:6" x14ac:dyDescent="0.25">
      <c r="B30" t="s">
        <v>873</v>
      </c>
      <c r="D30">
        <v>4952</v>
      </c>
    </row>
    <row r="33" spans="2:3" x14ac:dyDescent="0.25">
      <c r="B33" t="s">
        <v>875</v>
      </c>
    </row>
    <row r="34" spans="2:3" x14ac:dyDescent="0.25">
      <c r="B34" t="s">
        <v>129</v>
      </c>
      <c r="C34" t="s">
        <v>876</v>
      </c>
    </row>
  </sheetData>
  <hyperlinks>
    <hyperlink ref="B2"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2:M58"/>
  <sheetViews>
    <sheetView topLeftCell="C1" zoomScaleNormal="100" workbookViewId="0">
      <selection activeCell="N22" sqref="N22"/>
    </sheetView>
  </sheetViews>
  <sheetFormatPr baseColWidth="10" defaultColWidth="11.42578125" defaultRowHeight="15" x14ac:dyDescent="0.25"/>
  <cols>
    <col min="2" max="2" width="4.42578125" customWidth="1"/>
  </cols>
  <sheetData>
    <row r="2" spans="2:4" x14ac:dyDescent="0.25">
      <c r="C2" s="17" t="s">
        <v>877</v>
      </c>
    </row>
    <row r="3" spans="2:4" x14ac:dyDescent="0.25">
      <c r="C3" s="17"/>
    </row>
    <row r="4" spans="2:4" x14ac:dyDescent="0.25">
      <c r="B4" t="s">
        <v>695</v>
      </c>
      <c r="C4" t="s">
        <v>878</v>
      </c>
    </row>
    <row r="5" spans="2:4" x14ac:dyDescent="0.25">
      <c r="C5" t="s">
        <v>879</v>
      </c>
    </row>
    <row r="7" spans="2:4" x14ac:dyDescent="0.25">
      <c r="B7" t="s">
        <v>711</v>
      </c>
      <c r="C7" t="s">
        <v>880</v>
      </c>
    </row>
    <row r="8" spans="2:4" x14ac:dyDescent="0.25">
      <c r="C8" t="s">
        <v>881</v>
      </c>
    </row>
    <row r="9" spans="2:4" x14ac:dyDescent="0.25">
      <c r="C9" t="s">
        <v>882</v>
      </c>
    </row>
    <row r="10" spans="2:4" x14ac:dyDescent="0.25">
      <c r="C10" t="s">
        <v>790</v>
      </c>
      <c r="D10" t="s">
        <v>883</v>
      </c>
    </row>
    <row r="13" spans="2:4" x14ac:dyDescent="0.25">
      <c r="C13" t="s">
        <v>884</v>
      </c>
    </row>
    <row r="15" spans="2:4" x14ac:dyDescent="0.25">
      <c r="B15" t="s">
        <v>697</v>
      </c>
      <c r="C15" t="s">
        <v>885</v>
      </c>
    </row>
    <row r="16" spans="2:4" x14ac:dyDescent="0.25">
      <c r="C16" t="s">
        <v>886</v>
      </c>
    </row>
    <row r="17" spans="3:4" x14ac:dyDescent="0.25">
      <c r="C17" t="s">
        <v>887</v>
      </c>
    </row>
    <row r="18" spans="3:4" x14ac:dyDescent="0.25">
      <c r="C18" t="s">
        <v>888</v>
      </c>
    </row>
    <row r="19" spans="3:4" x14ac:dyDescent="0.25">
      <c r="C19">
        <v>2011</v>
      </c>
      <c r="D19" s="26" t="s">
        <v>173</v>
      </c>
    </row>
    <row r="20" spans="3:4" x14ac:dyDescent="0.25">
      <c r="C20">
        <v>2006</v>
      </c>
      <c r="D20" s="26" t="s">
        <v>889</v>
      </c>
    </row>
    <row r="21" spans="3:4" x14ac:dyDescent="0.25">
      <c r="C21" t="s">
        <v>890</v>
      </c>
    </row>
    <row r="23" spans="3:4" x14ac:dyDescent="0.25">
      <c r="C23" t="s">
        <v>891</v>
      </c>
    </row>
    <row r="24" spans="3:4" x14ac:dyDescent="0.25">
      <c r="C24" t="s">
        <v>892</v>
      </c>
    </row>
    <row r="25" spans="3:4" x14ac:dyDescent="0.25">
      <c r="C25" t="s">
        <v>893</v>
      </c>
      <c r="D25" t="s">
        <v>179</v>
      </c>
    </row>
    <row r="26" spans="3:4" x14ac:dyDescent="0.25">
      <c r="C26" t="s">
        <v>894</v>
      </c>
    </row>
    <row r="27" spans="3:4" x14ac:dyDescent="0.25">
      <c r="C27" t="s">
        <v>895</v>
      </c>
    </row>
    <row r="28" spans="3:4" x14ac:dyDescent="0.25">
      <c r="C28">
        <v>2011</v>
      </c>
      <c r="D28" s="26" t="s">
        <v>173</v>
      </c>
    </row>
    <row r="30" spans="3:4" x14ac:dyDescent="0.25">
      <c r="C30" t="s">
        <v>896</v>
      </c>
    </row>
    <row r="31" spans="3:4" x14ac:dyDescent="0.25">
      <c r="C31" t="s">
        <v>897</v>
      </c>
    </row>
    <row r="32" spans="3:4" x14ac:dyDescent="0.25">
      <c r="C32" t="s">
        <v>898</v>
      </c>
    </row>
    <row r="34" spans="3:13" x14ac:dyDescent="0.25">
      <c r="C34" t="s">
        <v>899</v>
      </c>
    </row>
    <row r="35" spans="3:13" x14ac:dyDescent="0.25">
      <c r="D35" s="26" t="s">
        <v>148</v>
      </c>
    </row>
    <row r="36" spans="3:13" x14ac:dyDescent="0.25">
      <c r="D36" s="4" t="s">
        <v>900</v>
      </c>
      <c r="M36" t="s">
        <v>901</v>
      </c>
    </row>
    <row r="39" spans="3:13" x14ac:dyDescent="0.25">
      <c r="C39" t="s">
        <v>902</v>
      </c>
    </row>
    <row r="40" spans="3:13" x14ac:dyDescent="0.25">
      <c r="C40" t="s">
        <v>903</v>
      </c>
    </row>
    <row r="42" spans="3:13" x14ac:dyDescent="0.25">
      <c r="C42" t="s">
        <v>904</v>
      </c>
    </row>
    <row r="43" spans="3:13" x14ac:dyDescent="0.25">
      <c r="C43" t="s">
        <v>905</v>
      </c>
    </row>
    <row r="45" spans="3:13" x14ac:dyDescent="0.25">
      <c r="C45" t="s">
        <v>906</v>
      </c>
    </row>
    <row r="46" spans="3:13" x14ac:dyDescent="0.25">
      <c r="C46" t="s">
        <v>907</v>
      </c>
    </row>
    <row r="48" spans="3:13" x14ac:dyDescent="0.25">
      <c r="C48" t="s">
        <v>908</v>
      </c>
    </row>
    <row r="49" spans="3:3" x14ac:dyDescent="0.25">
      <c r="C49" t="s">
        <v>909</v>
      </c>
    </row>
    <row r="51" spans="3:3" x14ac:dyDescent="0.25">
      <c r="C51" t="s">
        <v>910</v>
      </c>
    </row>
    <row r="52" spans="3:3" x14ac:dyDescent="0.25">
      <c r="C52" t="s">
        <v>911</v>
      </c>
    </row>
    <row r="54" spans="3:3" x14ac:dyDescent="0.25">
      <c r="C54" t="s">
        <v>912</v>
      </c>
    </row>
    <row r="55" spans="3:3" x14ac:dyDescent="0.25">
      <c r="C55" t="s">
        <v>913</v>
      </c>
    </row>
    <row r="57" spans="3:3" x14ac:dyDescent="0.25">
      <c r="C57" t="s">
        <v>914</v>
      </c>
    </row>
    <row r="58" spans="3:3" x14ac:dyDescent="0.25">
      <c r="C58" t="s">
        <v>915</v>
      </c>
    </row>
  </sheetData>
  <hyperlinks>
    <hyperlink ref="D28" r:id="rId1"/>
    <hyperlink ref="D19" r:id="rId2"/>
    <hyperlink ref="D20" r:id="rId3"/>
    <hyperlink ref="D35" r:id="rId4"/>
  </hyperlinks>
  <pageMargins left="0.7" right="0.7" top="0.75" bottom="0.75" header="0.3" footer="0.3"/>
  <pageSetup orientation="portrait"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2:O80"/>
  <sheetViews>
    <sheetView topLeftCell="A58" zoomScaleNormal="100" workbookViewId="0">
      <selection activeCell="G70" sqref="G70"/>
    </sheetView>
  </sheetViews>
  <sheetFormatPr baseColWidth="10" defaultColWidth="11.42578125" defaultRowHeight="15" x14ac:dyDescent="0.25"/>
  <cols>
    <col min="1" max="1" width="15" customWidth="1"/>
    <col min="2" max="2" width="17" customWidth="1"/>
    <col min="5" max="5" width="22.28515625" customWidth="1"/>
    <col min="6" max="6" width="15.42578125" customWidth="1"/>
  </cols>
  <sheetData>
    <row r="2" spans="1:6" x14ac:dyDescent="0.25">
      <c r="B2" t="s">
        <v>916</v>
      </c>
    </row>
    <row r="4" spans="1:6" x14ac:dyDescent="0.25">
      <c r="A4" t="s">
        <v>917</v>
      </c>
      <c r="B4" t="s">
        <v>918</v>
      </c>
      <c r="F4" s="78">
        <v>1174121300</v>
      </c>
    </row>
    <row r="5" spans="1:6" x14ac:dyDescent="0.25">
      <c r="B5" t="s">
        <v>919</v>
      </c>
      <c r="F5" s="78">
        <v>42719300</v>
      </c>
    </row>
    <row r="6" spans="1:6" x14ac:dyDescent="0.25">
      <c r="B6" s="1" t="s">
        <v>920</v>
      </c>
      <c r="C6" s="1"/>
      <c r="D6" s="1"/>
      <c r="E6" s="1"/>
      <c r="F6" s="79">
        <f>99482100/234269*F11</f>
        <v>40597295.09324751</v>
      </c>
    </row>
    <row r="7" spans="1:6" x14ac:dyDescent="0.25">
      <c r="B7" s="1" t="s">
        <v>921</v>
      </c>
      <c r="C7" s="1"/>
      <c r="D7" s="1"/>
      <c r="E7" s="1"/>
      <c r="F7" s="79">
        <f>37383600/234269*F11</f>
        <v>15255739.885345479</v>
      </c>
    </row>
    <row r="10" spans="1:6" x14ac:dyDescent="0.25">
      <c r="F10" s="36">
        <f>F4+F5+F6+F7</f>
        <v>1272693634.9785929</v>
      </c>
    </row>
    <row r="11" spans="1:6" x14ac:dyDescent="0.25">
      <c r="B11" t="s">
        <v>922</v>
      </c>
      <c r="F11" s="36">
        <v>95602</v>
      </c>
    </row>
    <row r="12" spans="1:6" x14ac:dyDescent="0.25">
      <c r="B12" t="s">
        <v>923</v>
      </c>
    </row>
    <row r="14" spans="1:6" x14ac:dyDescent="0.25">
      <c r="B14" t="s">
        <v>924</v>
      </c>
      <c r="F14" s="36">
        <f>F10/F11</f>
        <v>13312.416424118668</v>
      </c>
    </row>
    <row r="17" spans="1:6" x14ac:dyDescent="0.25">
      <c r="A17" t="s">
        <v>925</v>
      </c>
      <c r="B17" t="s">
        <v>926</v>
      </c>
      <c r="F17" s="36">
        <v>571118500</v>
      </c>
    </row>
    <row r="18" spans="1:6" x14ac:dyDescent="0.25">
      <c r="B18" s="1" t="s">
        <v>920</v>
      </c>
      <c r="C18" s="1"/>
      <c r="D18" s="1"/>
      <c r="E18" s="1"/>
      <c r="F18" s="79">
        <f>99482100/234269*F22</f>
        <v>38899548.332899362</v>
      </c>
    </row>
    <row r="19" spans="1:6" x14ac:dyDescent="0.25">
      <c r="B19" s="1" t="s">
        <v>921</v>
      </c>
      <c r="C19" s="1"/>
      <c r="D19" s="1"/>
      <c r="E19" s="1"/>
      <c r="F19" s="79">
        <f>37383600/234269*F22</f>
        <v>14617756.913633473</v>
      </c>
    </row>
    <row r="20" spans="1:6" x14ac:dyDescent="0.25">
      <c r="F20" s="36">
        <f>F17+F18+F19</f>
        <v>624635805.2465328</v>
      </c>
    </row>
    <row r="22" spans="1:6" x14ac:dyDescent="0.25">
      <c r="B22" t="s">
        <v>922</v>
      </c>
      <c r="F22">
        <v>91604</v>
      </c>
    </row>
    <row r="23" spans="1:6" x14ac:dyDescent="0.25">
      <c r="B23" t="s">
        <v>923</v>
      </c>
    </row>
    <row r="25" spans="1:6" x14ac:dyDescent="0.25">
      <c r="B25" t="s">
        <v>924</v>
      </c>
      <c r="F25" s="36">
        <f>F20/F22</f>
        <v>6818.8704122803892</v>
      </c>
    </row>
    <row r="28" spans="1:6" x14ac:dyDescent="0.25">
      <c r="A28" t="s">
        <v>927</v>
      </c>
      <c r="B28" t="s">
        <v>928</v>
      </c>
      <c r="F28" s="36">
        <v>480075100</v>
      </c>
    </row>
    <row r="29" spans="1:6" x14ac:dyDescent="0.25">
      <c r="B29" s="1" t="s">
        <v>920</v>
      </c>
      <c r="F29" s="79">
        <f>99482100/234269*F33</f>
        <v>19985256.573853135</v>
      </c>
    </row>
    <row r="30" spans="1:6" x14ac:dyDescent="0.25">
      <c r="B30" s="1" t="s">
        <v>921</v>
      </c>
      <c r="F30" s="79">
        <f>37383600/234269*F33</f>
        <v>7510103.2010210482</v>
      </c>
    </row>
    <row r="31" spans="1:6" x14ac:dyDescent="0.25">
      <c r="F31" s="36">
        <f>F28+F29+F30</f>
        <v>507570459.77487421</v>
      </c>
    </row>
    <row r="33" spans="1:13" x14ac:dyDescent="0.25">
      <c r="B33" t="s">
        <v>929</v>
      </c>
      <c r="F33">
        <v>47063</v>
      </c>
    </row>
    <row r="35" spans="1:13" x14ac:dyDescent="0.25">
      <c r="B35" t="s">
        <v>924</v>
      </c>
      <c r="F35" s="80">
        <f>F31/F33</f>
        <v>10784.915109000152</v>
      </c>
    </row>
    <row r="37" spans="1:13" x14ac:dyDescent="0.25">
      <c r="A37" t="s">
        <v>930</v>
      </c>
      <c r="F37" s="36">
        <f>(F14*F11+F25*F22+F35*F33)/(F33+F22+F11)</f>
        <v>10265.549005630281</v>
      </c>
    </row>
    <row r="39" spans="1:13" x14ac:dyDescent="0.25">
      <c r="B39" t="s">
        <v>931</v>
      </c>
    </row>
    <row r="44" spans="1:13" x14ac:dyDescent="0.25">
      <c r="B44" s="313" t="s">
        <v>932</v>
      </c>
      <c r="C44" s="46"/>
      <c r="D44" s="46"/>
      <c r="E44" s="46"/>
      <c r="F44" s="46"/>
      <c r="G44" s="46"/>
      <c r="H44" s="46"/>
      <c r="I44" s="46"/>
    </row>
    <row r="45" spans="1:13" x14ac:dyDescent="0.25">
      <c r="B45" s="17" t="s">
        <v>933</v>
      </c>
      <c r="C45">
        <v>30</v>
      </c>
      <c r="D45">
        <v>31</v>
      </c>
      <c r="E45">
        <v>32</v>
      </c>
      <c r="F45">
        <v>33</v>
      </c>
      <c r="G45">
        <v>34</v>
      </c>
      <c r="H45">
        <v>35</v>
      </c>
      <c r="I45">
        <v>36</v>
      </c>
    </row>
    <row r="46" spans="1:13" x14ac:dyDescent="0.25">
      <c r="B46" s="17" t="s">
        <v>934</v>
      </c>
      <c r="C46">
        <v>1</v>
      </c>
      <c r="D46">
        <v>2</v>
      </c>
      <c r="E46">
        <v>3</v>
      </c>
      <c r="F46">
        <v>4</v>
      </c>
      <c r="G46">
        <v>5</v>
      </c>
      <c r="H46">
        <v>6</v>
      </c>
      <c r="I46">
        <v>7</v>
      </c>
      <c r="J46">
        <v>8</v>
      </c>
      <c r="K46">
        <v>9</v>
      </c>
      <c r="L46">
        <v>10</v>
      </c>
      <c r="M46">
        <v>11</v>
      </c>
    </row>
    <row r="47" spans="1:13" x14ac:dyDescent="0.25">
      <c r="B47" s="17" t="s">
        <v>935</v>
      </c>
      <c r="D47">
        <v>0</v>
      </c>
      <c r="E47">
        <v>1</v>
      </c>
      <c r="F47">
        <v>2</v>
      </c>
      <c r="G47">
        <v>3</v>
      </c>
      <c r="H47">
        <v>4</v>
      </c>
      <c r="I47">
        <v>5</v>
      </c>
      <c r="J47">
        <v>6</v>
      </c>
      <c r="K47">
        <v>7</v>
      </c>
      <c r="L47">
        <v>8</v>
      </c>
      <c r="M47">
        <v>9</v>
      </c>
    </row>
    <row r="49" spans="1:15" x14ac:dyDescent="0.25">
      <c r="B49" t="s">
        <v>936</v>
      </c>
      <c r="C49" s="36">
        <f>Sommaire!O4</f>
        <v>49127</v>
      </c>
      <c r="D49" s="232">
        <f>Sommaire!P55+'Calculs source'!G194</f>
        <v>32122.917692307692</v>
      </c>
      <c r="E49" s="36">
        <f>Sommaire!Q4</f>
        <v>52963</v>
      </c>
      <c r="F49" s="36">
        <f>Sommaire!R4</f>
        <v>52963</v>
      </c>
      <c r="G49" s="36">
        <f>Sommaire!S4</f>
        <v>52963</v>
      </c>
      <c r="H49" s="36">
        <f>Sommaire!T4</f>
        <v>52963</v>
      </c>
    </row>
    <row r="50" spans="1:15" x14ac:dyDescent="0.25">
      <c r="A50" s="17" t="s">
        <v>937</v>
      </c>
      <c r="C50" s="36">
        <v>1150</v>
      </c>
      <c r="D50" s="232">
        <f>Sommaire!P55*0.06</f>
        <v>235.33846153846153</v>
      </c>
      <c r="E50" s="36">
        <v>1150</v>
      </c>
      <c r="F50" s="36">
        <v>1150</v>
      </c>
      <c r="G50" s="36">
        <v>1150</v>
      </c>
      <c r="H50" s="36">
        <v>1150</v>
      </c>
    </row>
    <row r="51" spans="1:15" x14ac:dyDescent="0.25">
      <c r="A51" t="s">
        <v>341</v>
      </c>
      <c r="C51" s="36">
        <f>Sommaire!O6</f>
        <v>3731.5512000000003</v>
      </c>
      <c r="D51" s="232">
        <f>Sommaire!P60</f>
        <v>2076</v>
      </c>
      <c r="E51" s="36">
        <f>Sommaire!Q6</f>
        <v>4222.9428000000007</v>
      </c>
      <c r="F51" s="36">
        <f>Sommaire!R6</f>
        <v>4222.9428000000007</v>
      </c>
      <c r="G51" s="36">
        <f>Sommaire!S6</f>
        <v>4222.9428000000007</v>
      </c>
      <c r="H51" s="36">
        <f>Sommaire!T6</f>
        <v>4222.9428000000007</v>
      </c>
    </row>
    <row r="52" spans="1:15" x14ac:dyDescent="0.25">
      <c r="B52" t="s">
        <v>938</v>
      </c>
      <c r="C52" s="204">
        <f>C49-(C50+C51)</f>
        <v>44245.448799999998</v>
      </c>
      <c r="D52" s="296">
        <f t="shared" ref="D52:H52" si="0">D49-(D50+D51)</f>
        <v>29811.579230769232</v>
      </c>
      <c r="E52" s="204">
        <f t="shared" si="0"/>
        <v>47590.057199999996</v>
      </c>
      <c r="F52" s="204">
        <f t="shared" si="0"/>
        <v>47590.057199999996</v>
      </c>
      <c r="G52" s="204">
        <f t="shared" si="0"/>
        <v>47590.057199999996</v>
      </c>
      <c r="H52" s="204">
        <f t="shared" si="0"/>
        <v>47590.057199999996</v>
      </c>
    </row>
    <row r="53" spans="1:15" x14ac:dyDescent="0.25">
      <c r="B53" t="s">
        <v>939</v>
      </c>
      <c r="C53" s="36">
        <f>Sommaire!O122</f>
        <v>52424.964000000029</v>
      </c>
      <c r="D53" s="232">
        <f>Sommaire!P122+'Calculs source'!G196</f>
        <v>51172.160576923103</v>
      </c>
      <c r="E53" s="36">
        <f>Sommaire!Q122</f>
        <v>54422.280000000028</v>
      </c>
      <c r="F53" s="36">
        <f>Sommaire!R122</f>
        <v>55420.938000000031</v>
      </c>
      <c r="G53" s="36">
        <f>Sommaire!S122</f>
        <v>56419.596000000034</v>
      </c>
      <c r="H53" s="36">
        <f>Sommaire!T122</f>
        <v>57418.254000000001</v>
      </c>
    </row>
    <row r="54" spans="1:15" x14ac:dyDescent="0.25">
      <c r="A54" s="17" t="s">
        <v>937</v>
      </c>
      <c r="C54" s="36">
        <v>1150</v>
      </c>
      <c r="D54" s="36">
        <v>1150</v>
      </c>
      <c r="E54" s="36">
        <v>1150</v>
      </c>
      <c r="F54" s="36">
        <v>1150</v>
      </c>
      <c r="G54" s="36">
        <v>1150</v>
      </c>
      <c r="H54" s="36">
        <v>1150</v>
      </c>
    </row>
    <row r="55" spans="1:15" x14ac:dyDescent="0.25">
      <c r="A55" t="s">
        <v>375</v>
      </c>
      <c r="C55" s="36">
        <f>Sommaire!O126</f>
        <v>3668.301255669654</v>
      </c>
      <c r="D55" s="36">
        <f>Sommaire!P126</f>
        <v>3668</v>
      </c>
      <c r="E55" s="36">
        <f>Sommaire!R126</f>
        <v>3668.301255669654</v>
      </c>
      <c r="F55" s="36">
        <f>Sommaire!S126</f>
        <v>3668.301255669654</v>
      </c>
      <c r="G55" s="36">
        <f>Sommaire!T126</f>
        <v>3668.301255669654</v>
      </c>
      <c r="H55" s="36">
        <f>Sommaire!U126</f>
        <v>3668.301255669654</v>
      </c>
    </row>
    <row r="56" spans="1:15" x14ac:dyDescent="0.25">
      <c r="B56" t="s">
        <v>940</v>
      </c>
      <c r="C56" s="204">
        <f>C53-(C54+C55)</f>
        <v>47606.662744330373</v>
      </c>
      <c r="D56" s="204">
        <f t="shared" ref="D56:H56" si="1">D53-(D54+D55)</f>
        <v>46354.160576923103</v>
      </c>
      <c r="E56" s="204">
        <f t="shared" si="1"/>
        <v>49603.978744330372</v>
      </c>
      <c r="F56" s="204">
        <f t="shared" si="1"/>
        <v>50602.636744330375</v>
      </c>
      <c r="G56" s="204">
        <f t="shared" si="1"/>
        <v>51601.294744330378</v>
      </c>
      <c r="H56" s="204">
        <f t="shared" si="1"/>
        <v>52599.952744330345</v>
      </c>
    </row>
    <row r="57" spans="1:15" x14ac:dyDescent="0.25">
      <c r="C57" s="204"/>
      <c r="D57" s="36"/>
      <c r="E57" s="36"/>
      <c r="F57" s="36"/>
      <c r="G57" s="36"/>
      <c r="H57" s="36"/>
    </row>
    <row r="58" spans="1:15" x14ac:dyDescent="0.25">
      <c r="A58" s="17" t="s">
        <v>941</v>
      </c>
      <c r="B58" s="17"/>
      <c r="C58" s="204">
        <f>54.2*12</f>
        <v>650.40000000000009</v>
      </c>
      <c r="D58" s="204">
        <f>14*12</f>
        <v>168</v>
      </c>
      <c r="E58" s="204">
        <f>105.6*12</f>
        <v>1267.1999999999998</v>
      </c>
      <c r="F58" s="204">
        <f>110.2*12</f>
        <v>1322.4</v>
      </c>
      <c r="G58" s="204">
        <f>76.4*12</f>
        <v>916.80000000000007</v>
      </c>
      <c r="H58" s="204">
        <f>79.4*12</f>
        <v>952.80000000000007</v>
      </c>
    </row>
    <row r="59" spans="1:15" x14ac:dyDescent="0.25">
      <c r="A59" t="s">
        <v>942</v>
      </c>
      <c r="C59" s="36">
        <f>8.05*260</f>
        <v>2093</v>
      </c>
      <c r="D59" s="36">
        <f>8.05*260</f>
        <v>2093</v>
      </c>
      <c r="E59" s="36">
        <f>8.05*260*2</f>
        <v>4186</v>
      </c>
      <c r="F59" s="36">
        <f>8.05*260*2</f>
        <v>4186</v>
      </c>
      <c r="G59" s="36">
        <f>8.05*260</f>
        <v>2093</v>
      </c>
      <c r="H59" s="36">
        <f>8.05*260</f>
        <v>2093</v>
      </c>
    </row>
    <row r="60" spans="1:15" x14ac:dyDescent="0.25">
      <c r="A60" t="s">
        <v>943</v>
      </c>
      <c r="C60" s="36"/>
      <c r="D60" s="36"/>
      <c r="E60" s="36"/>
      <c r="F60" s="36"/>
      <c r="G60" s="36">
        <f>8.2*198</f>
        <v>1623.6</v>
      </c>
      <c r="H60" s="36">
        <f t="shared" ref="H60" si="2">8.2*198</f>
        <v>1623.6</v>
      </c>
      <c r="I60" s="36">
        <f>8.2*198*2</f>
        <v>3247.2</v>
      </c>
      <c r="J60" s="36">
        <f t="shared" ref="J60:M60" si="3">8.2*198*2</f>
        <v>3247.2</v>
      </c>
      <c r="K60" s="36">
        <f t="shared" si="3"/>
        <v>3247.2</v>
      </c>
      <c r="L60" s="36">
        <f t="shared" si="3"/>
        <v>3247.2</v>
      </c>
      <c r="M60" s="36">
        <f t="shared" si="3"/>
        <v>3247.2</v>
      </c>
      <c r="N60" s="36"/>
      <c r="O60" s="36"/>
    </row>
    <row r="61" spans="1:15" x14ac:dyDescent="0.25">
      <c r="A61" s="17" t="s">
        <v>944</v>
      </c>
      <c r="B61" s="17"/>
      <c r="C61" s="204">
        <f>SUM(C58:C60)</f>
        <v>2743.4</v>
      </c>
      <c r="D61" s="204">
        <f t="shared" ref="D61:M61" si="4">SUM(D58:D60)</f>
        <v>2261</v>
      </c>
      <c r="E61" s="204">
        <f t="shared" si="4"/>
        <v>5453.2</v>
      </c>
      <c r="F61" s="204">
        <f t="shared" si="4"/>
        <v>5508.4</v>
      </c>
      <c r="G61" s="204">
        <f t="shared" si="4"/>
        <v>4633.3999999999996</v>
      </c>
      <c r="H61" s="204">
        <f t="shared" si="4"/>
        <v>4669.3999999999996</v>
      </c>
      <c r="I61" s="204">
        <f t="shared" si="4"/>
        <v>3247.2</v>
      </c>
      <c r="J61" s="204">
        <f t="shared" si="4"/>
        <v>3247.2</v>
      </c>
      <c r="K61" s="204">
        <f t="shared" si="4"/>
        <v>3247.2</v>
      </c>
      <c r="L61" s="204">
        <f t="shared" si="4"/>
        <v>3247.2</v>
      </c>
      <c r="M61" s="204">
        <f t="shared" si="4"/>
        <v>3247.2</v>
      </c>
      <c r="N61" s="36"/>
    </row>
    <row r="62" spans="1:15" x14ac:dyDescent="0.25">
      <c r="A62" t="s">
        <v>945</v>
      </c>
      <c r="C62" s="36">
        <f>C59+C60</f>
        <v>2093</v>
      </c>
      <c r="D62" s="36">
        <f t="shared" ref="D62:M62" si="5">D59+D60</f>
        <v>2093</v>
      </c>
      <c r="E62" s="36">
        <f t="shared" si="5"/>
        <v>4186</v>
      </c>
      <c r="F62" s="36">
        <f t="shared" si="5"/>
        <v>4186</v>
      </c>
      <c r="G62" s="36">
        <f t="shared" si="5"/>
        <v>3716.6</v>
      </c>
      <c r="H62" s="36">
        <f t="shared" si="5"/>
        <v>3716.6</v>
      </c>
      <c r="I62" s="36">
        <f t="shared" si="5"/>
        <v>3247.2</v>
      </c>
      <c r="J62" s="36">
        <f t="shared" si="5"/>
        <v>3247.2</v>
      </c>
      <c r="K62" s="36">
        <f t="shared" si="5"/>
        <v>3247.2</v>
      </c>
      <c r="L62" s="36">
        <f t="shared" si="5"/>
        <v>3247.2</v>
      </c>
      <c r="M62" s="36">
        <f t="shared" si="5"/>
        <v>3247.2</v>
      </c>
    </row>
    <row r="64" spans="1:15" x14ac:dyDescent="0.25">
      <c r="B64" s="313" t="s">
        <v>946</v>
      </c>
      <c r="C64" s="46"/>
      <c r="D64" s="46"/>
      <c r="E64" s="46"/>
      <c r="F64" s="46"/>
      <c r="G64" s="46"/>
      <c r="H64" s="46"/>
      <c r="I64" s="46"/>
    </row>
    <row r="65" spans="1:12" x14ac:dyDescent="0.25">
      <c r="B65" t="s">
        <v>936</v>
      </c>
      <c r="D65" s="36">
        <f>Sommaire!P4</f>
        <v>50990</v>
      </c>
    </row>
    <row r="66" spans="1:12" x14ac:dyDescent="0.25">
      <c r="A66" t="s">
        <v>937</v>
      </c>
      <c r="D66" s="36">
        <v>1150</v>
      </c>
    </row>
    <row r="67" spans="1:12" x14ac:dyDescent="0.25">
      <c r="A67" t="s">
        <v>341</v>
      </c>
      <c r="D67" s="36">
        <f>Sommaire!P6</f>
        <v>3970.2015000000001</v>
      </c>
    </row>
    <row r="68" spans="1:12" x14ac:dyDescent="0.25">
      <c r="B68" t="s">
        <v>938</v>
      </c>
      <c r="D68" s="36">
        <f>D65-D66-D67</f>
        <v>45869.798499999997</v>
      </c>
    </row>
    <row r="69" spans="1:12" x14ac:dyDescent="0.25">
      <c r="B69" t="s">
        <v>939</v>
      </c>
      <c r="D69" s="36">
        <f>Sommaire!O122+Sommaire!C133</f>
        <v>53423.622000000032</v>
      </c>
    </row>
    <row r="70" spans="1:12" x14ac:dyDescent="0.25">
      <c r="A70" t="s">
        <v>937</v>
      </c>
      <c r="D70" s="36">
        <v>1150</v>
      </c>
    </row>
    <row r="71" spans="1:12" x14ac:dyDescent="0.25">
      <c r="A71" t="s">
        <v>375</v>
      </c>
      <c r="D71" s="36">
        <f>Sommaire!P126</f>
        <v>3668</v>
      </c>
    </row>
    <row r="72" spans="1:12" x14ac:dyDescent="0.25">
      <c r="B72" t="s">
        <v>940</v>
      </c>
      <c r="D72" s="36">
        <f>D69-D70-D71</f>
        <v>48605.622000000032</v>
      </c>
    </row>
    <row r="74" spans="1:12" x14ac:dyDescent="0.25">
      <c r="A74" s="17" t="s">
        <v>947</v>
      </c>
      <c r="B74" s="17"/>
      <c r="C74" s="204">
        <f>C58</f>
        <v>650.40000000000009</v>
      </c>
      <c r="D74" s="204">
        <f>62.4*12</f>
        <v>748.8</v>
      </c>
      <c r="E74" s="17">
        <f>70.4*12</f>
        <v>844.80000000000007</v>
      </c>
      <c r="F74" s="17">
        <f>73.4*12</f>
        <v>880.80000000000007</v>
      </c>
      <c r="G74">
        <v>0</v>
      </c>
      <c r="H74">
        <v>0</v>
      </c>
    </row>
    <row r="75" spans="1:12" x14ac:dyDescent="0.25">
      <c r="A75" t="s">
        <v>942</v>
      </c>
      <c r="C75">
        <f>8.05*260</f>
        <v>2093</v>
      </c>
      <c r="D75">
        <f t="shared" ref="D75:F75" si="6">8.05*260</f>
        <v>2093</v>
      </c>
      <c r="E75">
        <f t="shared" si="6"/>
        <v>2093</v>
      </c>
      <c r="F75">
        <f t="shared" si="6"/>
        <v>2093</v>
      </c>
    </row>
    <row r="76" spans="1:12" x14ac:dyDescent="0.25">
      <c r="A76" t="s">
        <v>943</v>
      </c>
      <c r="G76">
        <f>8.2*198</f>
        <v>1623.6</v>
      </c>
      <c r="H76">
        <f t="shared" ref="H76:L76" si="7">8.2*198</f>
        <v>1623.6</v>
      </c>
      <c r="I76">
        <f t="shared" si="7"/>
        <v>1623.6</v>
      </c>
      <c r="J76">
        <f t="shared" si="7"/>
        <v>1623.6</v>
      </c>
      <c r="K76">
        <f t="shared" si="7"/>
        <v>1623.6</v>
      </c>
      <c r="L76">
        <f t="shared" si="7"/>
        <v>1623.6</v>
      </c>
    </row>
    <row r="77" spans="1:12" x14ac:dyDescent="0.25">
      <c r="A77" s="17" t="s">
        <v>944</v>
      </c>
      <c r="B77" s="17"/>
      <c r="C77" s="204">
        <f>SUM(C74:C76)</f>
        <v>2743.4</v>
      </c>
      <c r="D77" s="204">
        <f t="shared" ref="D77:L77" si="8">SUM(D74:D76)</f>
        <v>2841.8</v>
      </c>
      <c r="E77" s="204">
        <f t="shared" si="8"/>
        <v>2937.8</v>
      </c>
      <c r="F77" s="204">
        <f t="shared" si="8"/>
        <v>2973.8</v>
      </c>
      <c r="G77" s="204">
        <f t="shared" si="8"/>
        <v>1623.6</v>
      </c>
      <c r="H77" s="204">
        <f t="shared" si="8"/>
        <v>1623.6</v>
      </c>
      <c r="I77" s="204">
        <f t="shared" si="8"/>
        <v>1623.6</v>
      </c>
      <c r="J77" s="204">
        <f t="shared" si="8"/>
        <v>1623.6</v>
      </c>
      <c r="K77" s="204">
        <f t="shared" si="8"/>
        <v>1623.6</v>
      </c>
      <c r="L77" s="204">
        <f t="shared" si="8"/>
        <v>1623.6</v>
      </c>
    </row>
    <row r="78" spans="1:12" x14ac:dyDescent="0.25">
      <c r="A78" t="s">
        <v>945</v>
      </c>
      <c r="C78">
        <f>C75+C76</f>
        <v>2093</v>
      </c>
      <c r="D78">
        <f t="shared" ref="D78:L78" si="9">D75+D76</f>
        <v>2093</v>
      </c>
      <c r="E78">
        <f t="shared" si="9"/>
        <v>2093</v>
      </c>
      <c r="F78">
        <f t="shared" si="9"/>
        <v>2093</v>
      </c>
      <c r="G78">
        <f t="shared" si="9"/>
        <v>1623.6</v>
      </c>
      <c r="H78">
        <f t="shared" si="9"/>
        <v>1623.6</v>
      </c>
      <c r="I78">
        <f t="shared" si="9"/>
        <v>1623.6</v>
      </c>
      <c r="J78">
        <f t="shared" si="9"/>
        <v>1623.6</v>
      </c>
      <c r="K78">
        <f t="shared" si="9"/>
        <v>1623.6</v>
      </c>
      <c r="L78">
        <f t="shared" si="9"/>
        <v>1623.6</v>
      </c>
    </row>
    <row r="79" spans="1:12" x14ac:dyDescent="0.25">
      <c r="B79" t="s">
        <v>948</v>
      </c>
    </row>
    <row r="80" spans="1:12" x14ac:dyDescent="0.25">
      <c r="B80" s="26" t="s">
        <v>949</v>
      </c>
    </row>
  </sheetData>
  <hyperlinks>
    <hyperlink ref="B80" r:id="rId1"/>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B1:G24"/>
  <sheetViews>
    <sheetView zoomScaleNormal="100" workbookViewId="0">
      <selection activeCell="I10" sqref="I10"/>
    </sheetView>
  </sheetViews>
  <sheetFormatPr baseColWidth="10" defaultColWidth="11.42578125" defaultRowHeight="15" x14ac:dyDescent="0.25"/>
  <cols>
    <col min="2" max="2" width="17.7109375" customWidth="1"/>
  </cols>
  <sheetData>
    <row r="1" spans="2:7" x14ac:dyDescent="0.25">
      <c r="B1" t="s">
        <v>136</v>
      </c>
      <c r="D1" t="s">
        <v>950</v>
      </c>
      <c r="E1" t="s">
        <v>951</v>
      </c>
      <c r="G1" t="s">
        <v>952</v>
      </c>
    </row>
    <row r="2" spans="2:7" x14ac:dyDescent="0.25">
      <c r="B2" t="s">
        <v>953</v>
      </c>
      <c r="E2" t="s">
        <v>954</v>
      </c>
    </row>
    <row r="3" spans="2:7" x14ac:dyDescent="0.25">
      <c r="B3" t="s">
        <v>786</v>
      </c>
      <c r="C3" s="36">
        <v>3658</v>
      </c>
      <c r="G3">
        <v>3658</v>
      </c>
    </row>
    <row r="4" spans="2:7" x14ac:dyDescent="0.25">
      <c r="B4" t="s">
        <v>955</v>
      </c>
      <c r="C4" s="36">
        <v>79</v>
      </c>
    </row>
    <row r="5" spans="2:7" x14ac:dyDescent="0.25">
      <c r="C5" s="36">
        <f>C3+C4</f>
        <v>3737</v>
      </c>
      <c r="D5" s="36">
        <f>C5/0.6</f>
        <v>6228.3333333333339</v>
      </c>
      <c r="E5" s="107">
        <f>C5/0.639</f>
        <v>5848.2003129890454</v>
      </c>
    </row>
    <row r="6" spans="2:7" x14ac:dyDescent="0.25">
      <c r="C6" s="36"/>
      <c r="D6" s="36"/>
    </row>
    <row r="7" spans="2:7" x14ac:dyDescent="0.25">
      <c r="C7" s="36"/>
      <c r="D7" s="36"/>
    </row>
    <row r="8" spans="2:7" x14ac:dyDescent="0.25">
      <c r="B8" t="s">
        <v>956</v>
      </c>
      <c r="C8" s="36"/>
      <c r="D8" s="36"/>
    </row>
    <row r="9" spans="2:7" x14ac:dyDescent="0.25">
      <c r="B9" t="s">
        <v>786</v>
      </c>
      <c r="C9" s="36">
        <v>4692</v>
      </c>
      <c r="D9" s="36"/>
      <c r="G9">
        <v>4692</v>
      </c>
    </row>
    <row r="10" spans="2:7" x14ac:dyDescent="0.25">
      <c r="B10" t="s">
        <v>955</v>
      </c>
      <c r="C10" s="36">
        <v>101</v>
      </c>
      <c r="D10" s="36"/>
    </row>
    <row r="11" spans="2:7" x14ac:dyDescent="0.25">
      <c r="C11" s="36">
        <f>C9+C10</f>
        <v>4793</v>
      </c>
      <c r="D11" s="36">
        <f>C11/0.6</f>
        <v>7988.3333333333339</v>
      </c>
      <c r="E11" s="107">
        <f>C11/0.748</f>
        <v>6407.7540106951874</v>
      </c>
    </row>
    <row r="14" spans="2:7" x14ac:dyDescent="0.25">
      <c r="B14" t="s">
        <v>957</v>
      </c>
    </row>
    <row r="15" spans="2:7" x14ac:dyDescent="0.25">
      <c r="B15" s="26" t="s">
        <v>958</v>
      </c>
    </row>
    <row r="17" spans="2:7" x14ac:dyDescent="0.25">
      <c r="B17" s="67" t="s">
        <v>959</v>
      </c>
      <c r="C17" s="67" t="s">
        <v>960</v>
      </c>
      <c r="D17" s="67"/>
      <c r="E17" s="67"/>
      <c r="F17" s="67"/>
      <c r="G17" s="67"/>
    </row>
    <row r="18" spans="2:7" x14ac:dyDescent="0.25">
      <c r="B18" s="67" t="s">
        <v>961</v>
      </c>
      <c r="C18" s="67"/>
      <c r="D18" s="67"/>
      <c r="E18" s="67"/>
      <c r="F18" s="67"/>
      <c r="G18" s="67"/>
    </row>
    <row r="19" spans="2:7" x14ac:dyDescent="0.25">
      <c r="B19" s="67"/>
      <c r="C19" s="67" t="s">
        <v>962</v>
      </c>
      <c r="D19" s="67" t="s">
        <v>84</v>
      </c>
      <c r="E19" s="67" t="s">
        <v>85</v>
      </c>
      <c r="F19" s="67"/>
      <c r="G19" s="67"/>
    </row>
    <row r="20" spans="2:7" x14ac:dyDescent="0.25">
      <c r="B20" s="67" t="s">
        <v>963</v>
      </c>
      <c r="C20" s="67">
        <v>5366</v>
      </c>
      <c r="D20" s="67">
        <v>5022</v>
      </c>
      <c r="E20" s="67">
        <v>5471</v>
      </c>
      <c r="F20" s="67"/>
      <c r="G20" s="67"/>
    </row>
    <row r="21" spans="2:7" x14ac:dyDescent="0.25">
      <c r="B21" s="67" t="s">
        <v>964</v>
      </c>
      <c r="C21" s="75">
        <f>C20/('Paramètres Indexation'!$G$24/100)</f>
        <v>5683.8002413223148</v>
      </c>
      <c r="D21" s="75">
        <f>D20/('Paramètres Indexation'!$G$24/100)</f>
        <v>5319.4269123966942</v>
      </c>
      <c r="E21" s="75">
        <f>E20/('Paramètres Indexation'!$G$24/100)</f>
        <v>5795.0188446280999</v>
      </c>
      <c r="F21" s="67"/>
      <c r="G21" s="67"/>
    </row>
    <row r="22" spans="2:7" x14ac:dyDescent="0.25">
      <c r="B22" s="67"/>
      <c r="C22" s="67"/>
      <c r="D22" s="67"/>
      <c r="E22" s="67"/>
      <c r="F22" s="67"/>
      <c r="G22" s="67"/>
    </row>
    <row r="23" spans="2:7" x14ac:dyDescent="0.25">
      <c r="B23" s="67" t="s">
        <v>965</v>
      </c>
      <c r="C23" s="67"/>
      <c r="D23" s="67"/>
      <c r="E23" s="67"/>
      <c r="F23" s="67"/>
      <c r="G23" s="67"/>
    </row>
    <row r="24" spans="2:7" x14ac:dyDescent="0.25">
      <c r="B24" s="67" t="s">
        <v>966</v>
      </c>
      <c r="C24" s="67"/>
      <c r="D24" s="67"/>
      <c r="E24" s="67"/>
      <c r="F24" s="67"/>
      <c r="G24" s="67"/>
    </row>
  </sheetData>
  <hyperlinks>
    <hyperlink ref="B15" r:id="rId1"/>
  </hyperlinks>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S48"/>
  <sheetViews>
    <sheetView topLeftCell="A4" zoomScaleNormal="100" workbookViewId="0">
      <selection activeCell="C3" sqref="C3"/>
    </sheetView>
  </sheetViews>
  <sheetFormatPr baseColWidth="10" defaultColWidth="9.140625" defaultRowHeight="15" x14ac:dyDescent="0.25"/>
  <cols>
    <col min="3" max="3" width="25.140625" customWidth="1"/>
    <col min="7" max="7" width="17.42578125" customWidth="1"/>
  </cols>
  <sheetData>
    <row r="1" spans="1:19" ht="15.75" x14ac:dyDescent="0.25">
      <c r="A1" s="30" t="s">
        <v>967</v>
      </c>
    </row>
    <row r="2" spans="1:19" ht="60" x14ac:dyDescent="0.25">
      <c r="A2" s="31" t="s">
        <v>968</v>
      </c>
      <c r="B2" s="32" t="s">
        <v>969</v>
      </c>
      <c r="C2" s="32" t="s">
        <v>970</v>
      </c>
      <c r="D2" s="32" t="s">
        <v>971</v>
      </c>
      <c r="E2" s="33" t="s">
        <v>972</v>
      </c>
      <c r="F2" s="33" t="s">
        <v>973</v>
      </c>
      <c r="G2" s="33" t="s">
        <v>974</v>
      </c>
      <c r="H2" s="440" t="s">
        <v>975</v>
      </c>
      <c r="I2" s="441"/>
    </row>
    <row r="3" spans="1:19" x14ac:dyDescent="0.25">
      <c r="A3" s="28">
        <v>2015</v>
      </c>
      <c r="B3" s="28" t="s">
        <v>12</v>
      </c>
      <c r="C3" s="28" t="s">
        <v>976</v>
      </c>
      <c r="D3" s="28" t="s">
        <v>290</v>
      </c>
      <c r="E3" s="28" t="s">
        <v>977</v>
      </c>
      <c r="F3" s="28" t="s">
        <v>978</v>
      </c>
      <c r="G3" s="29">
        <v>353875966.45201617</v>
      </c>
      <c r="H3" s="29">
        <v>8363.4894699379893</v>
      </c>
      <c r="S3" s="363"/>
    </row>
    <row r="4" spans="1:19" x14ac:dyDescent="0.25">
      <c r="A4" s="28">
        <v>2015</v>
      </c>
      <c r="B4" s="28" t="s">
        <v>12</v>
      </c>
      <c r="C4" s="28" t="s">
        <v>976</v>
      </c>
      <c r="D4" s="28" t="s">
        <v>290</v>
      </c>
      <c r="E4" s="28" t="s">
        <v>979</v>
      </c>
      <c r="F4" s="28" t="s">
        <v>978</v>
      </c>
      <c r="G4" s="29">
        <v>274832556.28951001</v>
      </c>
      <c r="H4" s="29">
        <v>1574.8723936571907</v>
      </c>
    </row>
    <row r="5" spans="1:19" x14ac:dyDescent="0.25">
      <c r="A5" s="28">
        <v>2015</v>
      </c>
      <c r="B5" s="28" t="s">
        <v>12</v>
      </c>
      <c r="C5" s="28" t="s">
        <v>976</v>
      </c>
      <c r="D5" s="28" t="s">
        <v>290</v>
      </c>
      <c r="E5" s="28" t="s">
        <v>980</v>
      </c>
      <c r="F5" s="28" t="s">
        <v>978</v>
      </c>
      <c r="G5" s="29">
        <v>285714281.19093049</v>
      </c>
      <c r="H5" s="29">
        <v>1320.6724655215423</v>
      </c>
    </row>
    <row r="6" spans="1:19" x14ac:dyDescent="0.25">
      <c r="A6" s="28">
        <v>2015</v>
      </c>
      <c r="B6" s="28" t="s">
        <v>12</v>
      </c>
      <c r="C6" s="28" t="s">
        <v>976</v>
      </c>
      <c r="D6" s="28" t="s">
        <v>290</v>
      </c>
      <c r="E6" s="28" t="s">
        <v>981</v>
      </c>
      <c r="F6" s="28" t="s">
        <v>978</v>
      </c>
      <c r="G6" s="29">
        <v>244808860.54022807</v>
      </c>
      <c r="H6" s="29">
        <v>1276.6552662221554</v>
      </c>
    </row>
    <row r="7" spans="1:19" x14ac:dyDescent="0.25">
      <c r="A7" s="28">
        <v>2015</v>
      </c>
      <c r="B7" s="28" t="s">
        <v>12</v>
      </c>
      <c r="C7" s="28" t="s">
        <v>976</v>
      </c>
      <c r="D7" s="28" t="s">
        <v>290</v>
      </c>
      <c r="E7" s="28" t="s">
        <v>982</v>
      </c>
      <c r="F7" s="28" t="s">
        <v>978</v>
      </c>
      <c r="G7" s="29">
        <v>343268130.93779999</v>
      </c>
      <c r="H7" s="29">
        <v>1610.3626863033749</v>
      </c>
    </row>
    <row r="8" spans="1:19" x14ac:dyDescent="0.25">
      <c r="A8" s="28">
        <v>2015</v>
      </c>
      <c r="B8" s="28" t="s">
        <v>12</v>
      </c>
      <c r="C8" s="28" t="s">
        <v>976</v>
      </c>
      <c r="D8" s="28" t="s">
        <v>290</v>
      </c>
      <c r="E8" s="28" t="s">
        <v>159</v>
      </c>
      <c r="F8" s="28" t="s">
        <v>978</v>
      </c>
      <c r="G8" s="29">
        <v>503751276.74076474</v>
      </c>
      <c r="H8" s="29">
        <v>1877.0564726733492</v>
      </c>
      <c r="S8" s="363"/>
    </row>
    <row r="9" spans="1:19" x14ac:dyDescent="0.25">
      <c r="A9" s="28">
        <v>2015</v>
      </c>
      <c r="B9" s="28" t="s">
        <v>12</v>
      </c>
      <c r="C9" s="28" t="s">
        <v>976</v>
      </c>
      <c r="D9" s="28" t="s">
        <v>290</v>
      </c>
      <c r="E9" s="28" t="s">
        <v>160</v>
      </c>
      <c r="F9" s="28" t="s">
        <v>978</v>
      </c>
      <c r="G9" s="29">
        <v>682626865.25461733</v>
      </c>
      <c r="H9" s="29">
        <v>2611.8360770228587</v>
      </c>
    </row>
    <row r="10" spans="1:19" x14ac:dyDescent="0.25">
      <c r="A10" s="28">
        <v>2015</v>
      </c>
      <c r="B10" s="28" t="s">
        <v>12</v>
      </c>
      <c r="C10" s="28" t="s">
        <v>976</v>
      </c>
      <c r="D10" s="28" t="s">
        <v>290</v>
      </c>
      <c r="E10" s="28" t="s">
        <v>161</v>
      </c>
      <c r="F10" s="28" t="s">
        <v>978</v>
      </c>
      <c r="G10" s="29">
        <v>772912673.72906446</v>
      </c>
      <c r="H10" s="29">
        <v>2784.3277366552034</v>
      </c>
    </row>
    <row r="11" spans="1:19" x14ac:dyDescent="0.25">
      <c r="A11" s="28">
        <v>2015</v>
      </c>
      <c r="B11" s="28" t="s">
        <v>12</v>
      </c>
      <c r="C11" s="28" t="s">
        <v>976</v>
      </c>
      <c r="D11" s="28" t="s">
        <v>290</v>
      </c>
      <c r="E11" s="28" t="s">
        <v>162</v>
      </c>
      <c r="F11" s="28" t="s">
        <v>978</v>
      </c>
      <c r="G11" s="29">
        <v>692475138.45615971</v>
      </c>
      <c r="H11" s="29">
        <v>2451.7688366555599</v>
      </c>
    </row>
    <row r="12" spans="1:19" x14ac:dyDescent="0.25">
      <c r="A12" s="28">
        <v>2015</v>
      </c>
      <c r="B12" s="28" t="s">
        <v>12</v>
      </c>
      <c r="C12" s="28" t="s">
        <v>976</v>
      </c>
      <c r="D12" s="28" t="s">
        <v>290</v>
      </c>
      <c r="E12" s="28" t="s">
        <v>163</v>
      </c>
      <c r="F12" s="28" t="s">
        <v>978</v>
      </c>
      <c r="G12" s="29">
        <v>568709156.98812377</v>
      </c>
      <c r="H12" s="29">
        <v>2216.8958383221084</v>
      </c>
    </row>
    <row r="13" spans="1:19" x14ac:dyDescent="0.25">
      <c r="A13" s="28">
        <v>2015</v>
      </c>
      <c r="B13" s="28" t="s">
        <v>12</v>
      </c>
      <c r="C13" s="28" t="s">
        <v>976</v>
      </c>
      <c r="D13" s="28" t="s">
        <v>290</v>
      </c>
      <c r="E13" s="28" t="s">
        <v>164</v>
      </c>
      <c r="F13" s="28" t="s">
        <v>978</v>
      </c>
      <c r="G13" s="29">
        <v>654119086.13842404</v>
      </c>
      <c r="H13" s="29">
        <v>2442.9761764987547</v>
      </c>
    </row>
    <row r="14" spans="1:19" x14ac:dyDescent="0.25">
      <c r="A14" s="28">
        <v>2015</v>
      </c>
      <c r="B14" s="28" t="s">
        <v>12</v>
      </c>
      <c r="C14" s="28" t="s">
        <v>976</v>
      </c>
      <c r="D14" s="28" t="s">
        <v>290</v>
      </c>
      <c r="E14" s="28" t="s">
        <v>165</v>
      </c>
      <c r="F14" s="28" t="s">
        <v>978</v>
      </c>
      <c r="G14" s="29">
        <v>887273677.76553988</v>
      </c>
      <c r="H14" s="29">
        <v>2809.4106102980154</v>
      </c>
    </row>
    <row r="15" spans="1:19" x14ac:dyDescent="0.25">
      <c r="A15" s="28">
        <v>2015</v>
      </c>
      <c r="B15" s="28" t="s">
        <v>12</v>
      </c>
      <c r="C15" s="28" t="s">
        <v>976</v>
      </c>
      <c r="D15" s="28" t="s">
        <v>290</v>
      </c>
      <c r="E15" s="28" t="s">
        <v>166</v>
      </c>
      <c r="F15" s="28" t="s">
        <v>978</v>
      </c>
      <c r="G15" s="29">
        <v>1041584347.1318676</v>
      </c>
      <c r="H15" s="29">
        <v>3331.7585306643068</v>
      </c>
    </row>
    <row r="16" spans="1:19" x14ac:dyDescent="0.25">
      <c r="A16" s="28">
        <v>2015</v>
      </c>
      <c r="B16" s="28" t="s">
        <v>12</v>
      </c>
      <c r="C16" s="28" t="s">
        <v>976</v>
      </c>
      <c r="D16" s="28" t="s">
        <v>290</v>
      </c>
      <c r="E16" s="28" t="s">
        <v>167</v>
      </c>
      <c r="F16" s="28" t="s">
        <v>978</v>
      </c>
      <c r="G16" s="29">
        <v>1145012652.0226908</v>
      </c>
      <c r="H16" s="29">
        <v>4183.0307897719294</v>
      </c>
    </row>
    <row r="17" spans="1:19" x14ac:dyDescent="0.25">
      <c r="A17" s="28">
        <v>2015</v>
      </c>
      <c r="B17" s="28" t="s">
        <v>12</v>
      </c>
      <c r="C17" s="28" t="s">
        <v>976</v>
      </c>
      <c r="D17" s="28" t="s">
        <v>290</v>
      </c>
      <c r="E17" s="28" t="s">
        <v>168</v>
      </c>
      <c r="F17" s="28" t="s">
        <v>978</v>
      </c>
      <c r="G17" s="29">
        <v>1390228859.8812037</v>
      </c>
      <c r="H17" s="29">
        <v>5767.8664891557219</v>
      </c>
    </row>
    <row r="18" spans="1:19" x14ac:dyDescent="0.25">
      <c r="A18" s="28">
        <v>2015</v>
      </c>
      <c r="B18" s="28" t="s">
        <v>12</v>
      </c>
      <c r="C18" s="28" t="s">
        <v>976</v>
      </c>
      <c r="D18" s="28" t="s">
        <v>290</v>
      </c>
      <c r="E18" s="28" t="s">
        <v>169</v>
      </c>
      <c r="F18" s="28" t="s">
        <v>978</v>
      </c>
      <c r="G18" s="29">
        <v>1398241071.7976055</v>
      </c>
      <c r="H18" s="29">
        <v>7436.6218230814939</v>
      </c>
    </row>
    <row r="19" spans="1:19" x14ac:dyDescent="0.25">
      <c r="A19" s="28">
        <v>2015</v>
      </c>
      <c r="B19" s="28" t="s">
        <v>12</v>
      </c>
      <c r="C19" s="28" t="s">
        <v>976</v>
      </c>
      <c r="D19" s="28" t="s">
        <v>290</v>
      </c>
      <c r="E19" s="28" t="s">
        <v>170</v>
      </c>
      <c r="F19" s="28" t="s">
        <v>978</v>
      </c>
      <c r="G19" s="29">
        <v>1467479278.5843401</v>
      </c>
      <c r="H19" s="29">
        <v>10742.500483762235</v>
      </c>
    </row>
    <row r="20" spans="1:19" x14ac:dyDescent="0.25">
      <c r="A20" s="28">
        <v>2015</v>
      </c>
      <c r="B20" s="28" t="s">
        <v>12</v>
      </c>
      <c r="C20" s="28" t="s">
        <v>976</v>
      </c>
      <c r="D20" s="28" t="s">
        <v>290</v>
      </c>
      <c r="E20" s="28" t="s">
        <v>171</v>
      </c>
      <c r="F20" s="28" t="s">
        <v>978</v>
      </c>
      <c r="G20" s="29">
        <v>1773509701.7571929</v>
      </c>
      <c r="H20" s="29">
        <v>16199.690364796515</v>
      </c>
    </row>
    <row r="21" spans="1:19" x14ac:dyDescent="0.25">
      <c r="A21" s="28">
        <v>2015</v>
      </c>
      <c r="B21" s="28" t="s">
        <v>12</v>
      </c>
      <c r="C21" s="28" t="s">
        <v>976</v>
      </c>
      <c r="D21" s="28" t="s">
        <v>290</v>
      </c>
      <c r="E21" s="28" t="s">
        <v>983</v>
      </c>
      <c r="F21" s="28" t="s">
        <v>978</v>
      </c>
      <c r="G21" s="29">
        <v>2083985006.1505132</v>
      </c>
      <c r="H21" s="29">
        <v>27166.349543102944</v>
      </c>
    </row>
    <row r="22" spans="1:19" x14ac:dyDescent="0.25">
      <c r="A22" s="28">
        <v>2015</v>
      </c>
      <c r="B22" s="28" t="s">
        <v>12</v>
      </c>
      <c r="C22" s="28" t="s">
        <v>976</v>
      </c>
      <c r="D22" s="28" t="s">
        <v>290</v>
      </c>
      <c r="E22" s="28" t="s">
        <v>984</v>
      </c>
      <c r="F22" s="28" t="s">
        <v>978</v>
      </c>
      <c r="G22" s="29">
        <v>1572134463.8117476</v>
      </c>
      <c r="H22" s="29">
        <v>31888.490371630342</v>
      </c>
      <c r="Q22" s="17"/>
    </row>
    <row r="23" spans="1:19" x14ac:dyDescent="0.25">
      <c r="A23" s="28">
        <v>2015</v>
      </c>
      <c r="B23" s="28" t="s">
        <v>12</v>
      </c>
      <c r="C23" s="28" t="s">
        <v>976</v>
      </c>
      <c r="D23" s="28" t="s">
        <v>290</v>
      </c>
      <c r="E23" s="28" t="s">
        <v>977</v>
      </c>
      <c r="F23" s="28" t="s">
        <v>985</v>
      </c>
      <c r="G23" s="29">
        <v>415371218.60549569</v>
      </c>
      <c r="H23" s="29">
        <v>9381.6198442799705</v>
      </c>
      <c r="S23" s="363"/>
    </row>
    <row r="24" spans="1:19" x14ac:dyDescent="0.25">
      <c r="A24" s="28">
        <v>2015</v>
      </c>
      <c r="B24" s="28" t="s">
        <v>12</v>
      </c>
      <c r="C24" s="28" t="s">
        <v>976</v>
      </c>
      <c r="D24" s="28" t="s">
        <v>290</v>
      </c>
      <c r="E24" s="28" t="s">
        <v>979</v>
      </c>
      <c r="F24" s="28" t="s">
        <v>985</v>
      </c>
      <c r="G24" s="29">
        <v>318543328.3604328</v>
      </c>
      <c r="H24" s="29">
        <v>1731.260786219369</v>
      </c>
    </row>
    <row r="25" spans="1:19" x14ac:dyDescent="0.25">
      <c r="A25" s="28">
        <v>2015</v>
      </c>
      <c r="B25" s="28" t="s">
        <v>12</v>
      </c>
      <c r="C25" s="28" t="s">
        <v>976</v>
      </c>
      <c r="D25" s="28" t="s">
        <v>290</v>
      </c>
      <c r="E25" s="28" t="s">
        <v>980</v>
      </c>
      <c r="F25" s="28" t="s">
        <v>985</v>
      </c>
      <c r="G25" s="29">
        <v>321290187.86706126</v>
      </c>
      <c r="H25" s="29">
        <v>1430.6587459292498</v>
      </c>
    </row>
    <row r="26" spans="1:19" x14ac:dyDescent="0.25">
      <c r="A26" s="28">
        <v>2015</v>
      </c>
      <c r="B26" s="28" t="s">
        <v>12</v>
      </c>
      <c r="C26" s="28" t="s">
        <v>976</v>
      </c>
      <c r="D26" s="28" t="s">
        <v>290</v>
      </c>
      <c r="E26" s="28" t="s">
        <v>981</v>
      </c>
      <c r="F26" s="28" t="s">
        <v>985</v>
      </c>
      <c r="G26" s="29">
        <v>256595117.09947914</v>
      </c>
      <c r="H26" s="29">
        <v>1272.8942629349508</v>
      </c>
    </row>
    <row r="27" spans="1:19" x14ac:dyDescent="0.25">
      <c r="A27" s="28">
        <v>2015</v>
      </c>
      <c r="B27" s="28" t="s">
        <v>12</v>
      </c>
      <c r="C27" s="28" t="s">
        <v>976</v>
      </c>
      <c r="D27" s="28" t="s">
        <v>290</v>
      </c>
      <c r="E27" s="28" t="s">
        <v>982</v>
      </c>
      <c r="F27" s="28" t="s">
        <v>985</v>
      </c>
      <c r="G27" s="29">
        <v>312361892.38473403</v>
      </c>
      <c r="H27" s="29">
        <v>1410.0398253248318</v>
      </c>
    </row>
    <row r="28" spans="1:19" x14ac:dyDescent="0.25">
      <c r="A28" s="28">
        <v>2015</v>
      </c>
      <c r="B28" s="28" t="s">
        <v>12</v>
      </c>
      <c r="C28" s="28" t="s">
        <v>976</v>
      </c>
      <c r="D28" s="28" t="s">
        <v>290</v>
      </c>
      <c r="E28" s="28" t="s">
        <v>159</v>
      </c>
      <c r="F28" s="28" t="s">
        <v>985</v>
      </c>
      <c r="G28" s="29">
        <v>385882652.24586916</v>
      </c>
      <c r="H28" s="29">
        <v>1422.5721446667521</v>
      </c>
      <c r="S28" s="446"/>
    </row>
    <row r="29" spans="1:19" x14ac:dyDescent="0.25">
      <c r="A29" s="28">
        <v>2015</v>
      </c>
      <c r="B29" s="28" t="s">
        <v>12</v>
      </c>
      <c r="C29" s="28" t="s">
        <v>976</v>
      </c>
      <c r="D29" s="28" t="s">
        <v>290</v>
      </c>
      <c r="E29" s="28" t="s">
        <v>160</v>
      </c>
      <c r="F29" s="28" t="s">
        <v>985</v>
      </c>
      <c r="G29" s="29">
        <v>395356046.20448172</v>
      </c>
      <c r="H29" s="29">
        <v>1472.0672527459367</v>
      </c>
    </row>
    <row r="30" spans="1:19" x14ac:dyDescent="0.25">
      <c r="A30" s="28">
        <v>2015</v>
      </c>
      <c r="B30" s="28" t="s">
        <v>12</v>
      </c>
      <c r="C30" s="28" t="s">
        <v>976</v>
      </c>
      <c r="D30" s="28" t="s">
        <v>290</v>
      </c>
      <c r="E30" s="28" t="s">
        <v>161</v>
      </c>
      <c r="F30" s="28" t="s">
        <v>985</v>
      </c>
      <c r="G30" s="29">
        <v>436156959.18143487</v>
      </c>
      <c r="H30" s="29">
        <v>1521.8582291436867</v>
      </c>
    </row>
    <row r="31" spans="1:19" x14ac:dyDescent="0.25">
      <c r="A31" s="28">
        <v>2015</v>
      </c>
      <c r="B31" s="28" t="s">
        <v>12</v>
      </c>
      <c r="C31" s="28" t="s">
        <v>976</v>
      </c>
      <c r="D31" s="28" t="s">
        <v>290</v>
      </c>
      <c r="E31" s="28" t="s">
        <v>162</v>
      </c>
      <c r="F31" s="28" t="s">
        <v>985</v>
      </c>
      <c r="G31" s="29">
        <v>473329971.389413</v>
      </c>
      <c r="H31" s="29">
        <v>1616.7518475144416</v>
      </c>
    </row>
    <row r="32" spans="1:19" x14ac:dyDescent="0.25">
      <c r="A32" s="28">
        <v>2015</v>
      </c>
      <c r="B32" s="28" t="s">
        <v>12</v>
      </c>
      <c r="C32" s="28" t="s">
        <v>976</v>
      </c>
      <c r="D32" s="28" t="s">
        <v>290</v>
      </c>
      <c r="E32" s="28" t="s">
        <v>163</v>
      </c>
      <c r="F32" s="28" t="s">
        <v>985</v>
      </c>
      <c r="G32" s="29">
        <v>490893842.08943677</v>
      </c>
      <c r="H32" s="29">
        <v>1834.7467878986552</v>
      </c>
    </row>
    <row r="33" spans="1:17" x14ac:dyDescent="0.25">
      <c r="A33" s="28">
        <v>2015</v>
      </c>
      <c r="B33" s="28" t="s">
        <v>12</v>
      </c>
      <c r="C33" s="28" t="s">
        <v>976</v>
      </c>
      <c r="D33" s="28" t="s">
        <v>290</v>
      </c>
      <c r="E33" s="28" t="s">
        <v>164</v>
      </c>
      <c r="F33" s="28" t="s">
        <v>985</v>
      </c>
      <c r="G33" s="29">
        <v>620798820.39794922</v>
      </c>
      <c r="H33" s="29">
        <v>2237.5966709845343</v>
      </c>
    </row>
    <row r="34" spans="1:17" x14ac:dyDescent="0.25">
      <c r="A34" s="28">
        <v>2015</v>
      </c>
      <c r="B34" s="28" t="s">
        <v>12</v>
      </c>
      <c r="C34" s="28" t="s">
        <v>976</v>
      </c>
      <c r="D34" s="28" t="s">
        <v>290</v>
      </c>
      <c r="E34" s="28" t="s">
        <v>165</v>
      </c>
      <c r="F34" s="28" t="s">
        <v>985</v>
      </c>
      <c r="G34" s="29">
        <v>881405835.44673419</v>
      </c>
      <c r="H34" s="29">
        <v>2729.0472098099344</v>
      </c>
    </row>
    <row r="35" spans="1:17" x14ac:dyDescent="0.25">
      <c r="A35" s="28">
        <v>2015</v>
      </c>
      <c r="B35" s="28" t="s">
        <v>12</v>
      </c>
      <c r="C35" s="28" t="s">
        <v>976</v>
      </c>
      <c r="D35" s="28" t="s">
        <v>290</v>
      </c>
      <c r="E35" s="28" t="s">
        <v>166</v>
      </c>
      <c r="F35" s="28" t="s">
        <v>985</v>
      </c>
      <c r="G35" s="29">
        <v>1083229142.8844321</v>
      </c>
      <c r="H35" s="29">
        <v>3429.5465689133903</v>
      </c>
    </row>
    <row r="36" spans="1:17" x14ac:dyDescent="0.25">
      <c r="A36" s="28">
        <v>2015</v>
      </c>
      <c r="B36" s="28" t="s">
        <v>12</v>
      </c>
      <c r="C36" s="28" t="s">
        <v>976</v>
      </c>
      <c r="D36" s="28" t="s">
        <v>290</v>
      </c>
      <c r="E36" s="28" t="s">
        <v>167</v>
      </c>
      <c r="F36" s="28" t="s">
        <v>985</v>
      </c>
      <c r="G36" s="29">
        <v>1212409951.8332093</v>
      </c>
      <c r="H36" s="29">
        <v>4430.1732804469939</v>
      </c>
    </row>
    <row r="37" spans="1:17" x14ac:dyDescent="0.25">
      <c r="A37" s="28">
        <v>2015</v>
      </c>
      <c r="B37" s="28" t="s">
        <v>12</v>
      </c>
      <c r="C37" s="28" t="s">
        <v>976</v>
      </c>
      <c r="D37" s="28" t="s">
        <v>290</v>
      </c>
      <c r="E37" s="28" t="s">
        <v>168</v>
      </c>
      <c r="F37" s="28" t="s">
        <v>985</v>
      </c>
      <c r="G37" s="29">
        <v>1464097683.2888391</v>
      </c>
      <c r="H37" s="29">
        <v>6288.1340145976301</v>
      </c>
    </row>
    <row r="38" spans="1:17" x14ac:dyDescent="0.25">
      <c r="A38" s="28">
        <v>2015</v>
      </c>
      <c r="B38" s="28" t="s">
        <v>12</v>
      </c>
      <c r="C38" s="28" t="s">
        <v>976</v>
      </c>
      <c r="D38" s="28" t="s">
        <v>290</v>
      </c>
      <c r="E38" s="28" t="s">
        <v>169</v>
      </c>
      <c r="F38" s="28" t="s">
        <v>985</v>
      </c>
      <c r="G38" s="29">
        <v>1425261606.9035132</v>
      </c>
      <c r="H38" s="29">
        <v>8395.3984396467695</v>
      </c>
    </row>
    <row r="39" spans="1:17" x14ac:dyDescent="0.25">
      <c r="A39" s="28">
        <v>2015</v>
      </c>
      <c r="B39" s="28" t="s">
        <v>12</v>
      </c>
      <c r="C39" s="28" t="s">
        <v>976</v>
      </c>
      <c r="D39" s="28" t="s">
        <v>290</v>
      </c>
      <c r="E39" s="28" t="s">
        <v>170</v>
      </c>
      <c r="F39" s="28" t="s">
        <v>985</v>
      </c>
      <c r="G39" s="29">
        <v>1316469310.6937606</v>
      </c>
      <c r="H39" s="29">
        <v>11788.714366123653</v>
      </c>
    </row>
    <row r="40" spans="1:17" x14ac:dyDescent="0.25">
      <c r="A40" s="28">
        <v>2015</v>
      </c>
      <c r="B40" s="28" t="s">
        <v>12</v>
      </c>
      <c r="C40" s="28" t="s">
        <v>976</v>
      </c>
      <c r="D40" s="28" t="s">
        <v>290</v>
      </c>
      <c r="E40" s="28" t="s">
        <v>171</v>
      </c>
      <c r="F40" s="28" t="s">
        <v>985</v>
      </c>
      <c r="G40" s="29">
        <v>1268141424.4236426</v>
      </c>
      <c r="H40" s="29">
        <v>16437.348339904634</v>
      </c>
    </row>
    <row r="41" spans="1:17" x14ac:dyDescent="0.25">
      <c r="A41" s="28">
        <v>2015</v>
      </c>
      <c r="B41" s="28" t="s">
        <v>12</v>
      </c>
      <c r="C41" s="28" t="s">
        <v>976</v>
      </c>
      <c r="D41" s="28" t="s">
        <v>290</v>
      </c>
      <c r="E41" s="28" t="s">
        <v>983</v>
      </c>
      <c r="F41" s="28" t="s">
        <v>985</v>
      </c>
      <c r="G41" s="29">
        <v>1046648817.2693571</v>
      </c>
      <c r="H41" s="29">
        <v>24631.667543757816</v>
      </c>
      <c r="L41" s="17"/>
      <c r="Q41" s="17"/>
    </row>
    <row r="42" spans="1:17" x14ac:dyDescent="0.25">
      <c r="A42" s="28">
        <v>2015</v>
      </c>
      <c r="B42" s="28" t="s">
        <v>12</v>
      </c>
      <c r="C42" s="28" t="s">
        <v>976</v>
      </c>
      <c r="D42" s="28" t="s">
        <v>290</v>
      </c>
      <c r="E42" s="28" t="s">
        <v>984</v>
      </c>
      <c r="F42" s="28" t="s">
        <v>985</v>
      </c>
      <c r="G42" s="29">
        <v>488420965.4975304</v>
      </c>
      <c r="H42" s="29">
        <v>27999.367432786654</v>
      </c>
    </row>
    <row r="44" spans="1:17" x14ac:dyDescent="0.25">
      <c r="A44" t="s">
        <v>986</v>
      </c>
    </row>
    <row r="45" spans="1:17" x14ac:dyDescent="0.25">
      <c r="A45" s="26" t="s">
        <v>987</v>
      </c>
    </row>
    <row r="47" spans="1:17" x14ac:dyDescent="0.25">
      <c r="A47" t="s">
        <v>1105</v>
      </c>
    </row>
    <row r="48" spans="1:17" x14ac:dyDescent="0.25">
      <c r="A48" t="s">
        <v>1106</v>
      </c>
    </row>
  </sheetData>
  <hyperlinks>
    <hyperlink ref="A45"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4"/>
  <sheetViews>
    <sheetView workbookViewId="0">
      <selection activeCell="F104" sqref="F104"/>
    </sheetView>
  </sheetViews>
  <sheetFormatPr baseColWidth="10" defaultRowHeight="15" x14ac:dyDescent="0.25"/>
  <cols>
    <col min="2" max="2" width="48.7109375" customWidth="1"/>
  </cols>
  <sheetData>
    <row r="1" spans="2:6" x14ac:dyDescent="0.25">
      <c r="B1" s="313" t="s">
        <v>1117</v>
      </c>
      <c r="C1" s="313" t="s">
        <v>1118</v>
      </c>
      <c r="D1" s="313" t="s">
        <v>1119</v>
      </c>
      <c r="E1" s="313" t="s">
        <v>45</v>
      </c>
      <c r="F1" s="313" t="s">
        <v>290</v>
      </c>
    </row>
    <row r="2" spans="2:6" x14ac:dyDescent="0.25">
      <c r="B2" s="17" t="s">
        <v>1110</v>
      </c>
      <c r="C2" s="36">
        <f>SUM(Sommaire!C10:E10)</f>
        <v>22588.069741780273</v>
      </c>
      <c r="D2" s="36">
        <f>SUM(Sommaire!F10:AR10)</f>
        <v>1952303</v>
      </c>
      <c r="E2" s="36">
        <f>SUM(Sommaire!AS10:BT10)</f>
        <v>858265.41499999969</v>
      </c>
      <c r="F2" s="36">
        <f>SUM(C2:E2)</f>
        <v>2833156.48474178</v>
      </c>
    </row>
    <row r="3" spans="2:6" x14ac:dyDescent="0.25">
      <c r="B3" s="17" t="s">
        <v>1111</v>
      </c>
      <c r="C3" s="36"/>
      <c r="D3" s="36"/>
      <c r="E3" s="36"/>
      <c r="F3" s="36"/>
    </row>
    <row r="4" spans="2:6" x14ac:dyDescent="0.25">
      <c r="B4" t="s">
        <v>1112</v>
      </c>
      <c r="C4" s="36">
        <f>SUM(Sommaire!C14:E14)</f>
        <v>0</v>
      </c>
      <c r="D4" s="36">
        <f>SUM(Sommaire!F14:AR14)</f>
        <v>178329.48410000006</v>
      </c>
      <c r="E4" s="36">
        <f>SUM(Sommaire!AS14:BT14)</f>
        <v>105599.54149999995</v>
      </c>
      <c r="F4" s="36">
        <f t="shared" ref="F4:F11" si="0">SUM(C4:E4)</f>
        <v>283929.02559999999</v>
      </c>
    </row>
    <row r="5" spans="2:6" x14ac:dyDescent="0.25">
      <c r="B5" t="s">
        <v>379</v>
      </c>
      <c r="C5" s="36">
        <f>SUM(Sommaire!C15:E15)</f>
        <v>0</v>
      </c>
      <c r="D5" s="36">
        <f>SUM(Sommaire!F15:AR15)</f>
        <v>144135.8416290101</v>
      </c>
      <c r="E5" s="36">
        <f>SUM(Sommaire!AS15:BT15)</f>
        <v>90831.408549999935</v>
      </c>
      <c r="F5" s="36">
        <f t="shared" si="0"/>
        <v>234967.25017901004</v>
      </c>
    </row>
    <row r="6" spans="2:6" x14ac:dyDescent="0.25">
      <c r="B6" t="s">
        <v>14</v>
      </c>
      <c r="C6" s="36">
        <f>SUM(Sommaire!C16:E16)</f>
        <v>652.71</v>
      </c>
      <c r="D6" s="36">
        <f>SUM(Sommaire!F16:AR16)</f>
        <v>98053.361999999921</v>
      </c>
      <c r="E6" s="36">
        <f>SUM(Sommaire!AS16:BT16)</f>
        <v>0</v>
      </c>
      <c r="F6" s="36">
        <f t="shared" si="0"/>
        <v>98706.071999999927</v>
      </c>
    </row>
    <row r="7" spans="2:6" x14ac:dyDescent="0.25">
      <c r="B7" t="s">
        <v>15</v>
      </c>
      <c r="C7" s="36">
        <f>SUM(Sommaire!C17:E17)</f>
        <v>123.78</v>
      </c>
      <c r="D7" s="36">
        <f>SUM(Sommaire!F17:AR17)</f>
        <v>10696.534959999997</v>
      </c>
      <c r="E7" s="36">
        <f>SUM(Sommaire!AS17:BT17)</f>
        <v>0</v>
      </c>
      <c r="F7" s="36">
        <f t="shared" si="0"/>
        <v>10820.314959999998</v>
      </c>
    </row>
    <row r="8" spans="2:6" x14ac:dyDescent="0.25">
      <c r="B8" t="s">
        <v>16</v>
      </c>
      <c r="C8" s="36">
        <f>SUM(Sommaire!C18:E18)</f>
        <v>293.64</v>
      </c>
      <c r="D8" s="36">
        <f>SUM(Sommaire!F18:AR18)</f>
        <v>24920.206999999988</v>
      </c>
      <c r="E8" s="36">
        <f>SUM(Sommaire!AS18:BT18)</f>
        <v>0</v>
      </c>
      <c r="F8" s="36">
        <f t="shared" si="0"/>
        <v>25213.846999999987</v>
      </c>
    </row>
    <row r="9" spans="2:6" x14ac:dyDescent="0.25">
      <c r="B9" t="s">
        <v>18</v>
      </c>
      <c r="C9" s="36">
        <f>SUM(Sommaire!C20:E20)</f>
        <v>0</v>
      </c>
      <c r="D9" s="36">
        <f>SUM(Sommaire!F20:AR20)</f>
        <v>0</v>
      </c>
      <c r="E9" s="36">
        <f>SUM(Sommaire!AS20:BT20)</f>
        <v>4200</v>
      </c>
      <c r="F9" s="36">
        <f t="shared" si="0"/>
        <v>4200</v>
      </c>
    </row>
    <row r="10" spans="2:6" x14ac:dyDescent="0.25">
      <c r="B10" t="s">
        <v>19</v>
      </c>
      <c r="C10" s="36">
        <f>SUM(Sommaire!C21:E21)</f>
        <v>0</v>
      </c>
      <c r="D10" s="36">
        <f>SUM(Sommaire!F21:AR21)</f>
        <v>0</v>
      </c>
      <c r="E10" s="36">
        <f>SUM(Sommaire!AS21:BT21)</f>
        <v>17976</v>
      </c>
      <c r="F10" s="36">
        <f t="shared" si="0"/>
        <v>17976</v>
      </c>
    </row>
    <row r="11" spans="2:6" x14ac:dyDescent="0.25">
      <c r="B11" t="s">
        <v>1113</v>
      </c>
      <c r="C11" s="36">
        <f>SUM(Sommaire!C19:E19)</f>
        <v>3564.5889502500004</v>
      </c>
      <c r="D11" s="36">
        <f>SUM(Sommaire!F19:AR19)</f>
        <v>88272.700891773085</v>
      </c>
      <c r="E11" s="36">
        <f>SUM(Sommaire!AS19:BT19)</f>
        <v>59239.358614916266</v>
      </c>
      <c r="F11" s="36">
        <f t="shared" si="0"/>
        <v>151076.64845693935</v>
      </c>
    </row>
    <row r="12" spans="2:6" x14ac:dyDescent="0.25">
      <c r="B12" s="17" t="s">
        <v>20</v>
      </c>
      <c r="C12" s="204">
        <f>SUM(C3:C11)</f>
        <v>4634.7189502500005</v>
      </c>
      <c r="D12" s="204">
        <f>SUM(D4:D11)</f>
        <v>544408.13058078312</v>
      </c>
      <c r="E12" s="204">
        <f>SUM(E4:E11)</f>
        <v>277846.30866491614</v>
      </c>
      <c r="F12" s="204">
        <f>SUM(C12:E12)</f>
        <v>826889.15819594916</v>
      </c>
    </row>
    <row r="13" spans="2:6" x14ac:dyDescent="0.25">
      <c r="C13" s="36"/>
      <c r="D13" s="36"/>
      <c r="E13" s="36"/>
      <c r="F13" s="36"/>
    </row>
    <row r="14" spans="2:6" x14ac:dyDescent="0.25">
      <c r="B14" s="17" t="s">
        <v>21</v>
      </c>
      <c r="C14" s="36"/>
      <c r="D14" s="36"/>
      <c r="E14" s="36"/>
      <c r="F14" s="36"/>
    </row>
    <row r="15" spans="2:6" x14ac:dyDescent="0.25">
      <c r="B15" s="3" t="s">
        <v>1114</v>
      </c>
      <c r="C15" s="444">
        <f>SUM(C16:C20)</f>
        <v>1713</v>
      </c>
      <c r="D15" s="444">
        <f>SUM(D16:D20)</f>
        <v>15794.398826000001</v>
      </c>
      <c r="E15" s="444">
        <f t="shared" ref="E15:F15" si="1">SUM(E16:E20)</f>
        <v>413282.48267226887</v>
      </c>
      <c r="F15" s="444">
        <f t="shared" si="1"/>
        <v>430789.88149826892</v>
      </c>
    </row>
    <row r="16" spans="2:6" x14ac:dyDescent="0.25">
      <c r="B16" t="s">
        <v>23</v>
      </c>
      <c r="C16" s="36">
        <f>SUM(Sommaire!C24:E24)</f>
        <v>852</v>
      </c>
      <c r="D16" s="36">
        <f>SUM(Sommaire!F24:AR24)</f>
        <v>3089.8399999999992</v>
      </c>
      <c r="E16" s="36">
        <f>SUM(Sommaire!AS24:BT24)</f>
        <v>2141.5600000000004</v>
      </c>
      <c r="F16" s="36">
        <f>SUM(C16:E16)</f>
        <v>6083.4</v>
      </c>
    </row>
    <row r="17" spans="2:6" x14ac:dyDescent="0.25">
      <c r="B17" t="s">
        <v>24</v>
      </c>
      <c r="C17" s="36">
        <f>SUM(Sommaire!C25:E25)</f>
        <v>861</v>
      </c>
      <c r="D17" s="36">
        <f>SUM(Sommaire!F25:AR25)</f>
        <v>12704.558826</v>
      </c>
      <c r="E17" s="36">
        <f>SUM(Sommaire!AS25:BT25)</f>
        <v>9847.52</v>
      </c>
      <c r="F17" s="36">
        <f t="shared" ref="F17:F20" si="2">SUM(C17:E17)</f>
        <v>23413.078826000001</v>
      </c>
    </row>
    <row r="18" spans="2:6" x14ac:dyDescent="0.25">
      <c r="B18" t="s">
        <v>26</v>
      </c>
      <c r="C18" s="36">
        <f>SUM(Sommaire!C27:E27)</f>
        <v>0</v>
      </c>
      <c r="D18" s="36">
        <f>SUM(Sommaire!F27:AR27)</f>
        <v>0</v>
      </c>
      <c r="E18" s="36">
        <f>SUM(Sommaire!AS27:BT27)</f>
        <v>163790.12999999998</v>
      </c>
      <c r="F18" s="36">
        <f t="shared" si="2"/>
        <v>163790.12999999998</v>
      </c>
    </row>
    <row r="19" spans="2:6" x14ac:dyDescent="0.25">
      <c r="B19" t="s">
        <v>27</v>
      </c>
      <c r="C19" s="36">
        <f>SUM(Sommaire!C28:E28)</f>
        <v>0</v>
      </c>
      <c r="D19" s="36">
        <f>SUM(Sommaire!F28:AR28)</f>
        <v>0</v>
      </c>
      <c r="E19" s="36">
        <f>SUM(Sommaire!AS28:BT28)</f>
        <v>7865</v>
      </c>
      <c r="F19" s="36">
        <f t="shared" si="2"/>
        <v>7865</v>
      </c>
    </row>
    <row r="20" spans="2:6" x14ac:dyDescent="0.25">
      <c r="B20" t="s">
        <v>32</v>
      </c>
      <c r="C20" s="36">
        <f>SUM(Sommaire!C33:E33)</f>
        <v>0</v>
      </c>
      <c r="D20" s="36">
        <f>SUM(Sommaire!F33:AR33)</f>
        <v>0</v>
      </c>
      <c r="E20" s="36">
        <f>SUM(Sommaire!AS33:BT33)</f>
        <v>229638.27267226891</v>
      </c>
      <c r="F20" s="36">
        <f t="shared" si="2"/>
        <v>229638.27267226891</v>
      </c>
    </row>
    <row r="21" spans="2:6" x14ac:dyDescent="0.25">
      <c r="C21" s="36"/>
      <c r="D21" s="36"/>
      <c r="E21" s="36"/>
      <c r="F21" s="36"/>
    </row>
    <row r="22" spans="2:6" x14ac:dyDescent="0.25">
      <c r="B22" s="3" t="s">
        <v>28</v>
      </c>
      <c r="C22" s="444">
        <f>SUM(C23:C25)</f>
        <v>41995.097589871963</v>
      </c>
      <c r="D22" s="444">
        <f>SUM(D23:D25)</f>
        <v>104376.1665190801</v>
      </c>
      <c r="E22" s="36">
        <f>SUM(E23:E25)</f>
        <v>348132.23358860682</v>
      </c>
      <c r="F22" s="36">
        <f t="shared" ref="F22:F25" si="3">SUM(C22:E22)</f>
        <v>494503.49769755889</v>
      </c>
    </row>
    <row r="23" spans="2:6" x14ac:dyDescent="0.25">
      <c r="B23" t="s">
        <v>29</v>
      </c>
      <c r="C23" s="36">
        <f>SUM(Sommaire!C30:E30)</f>
        <v>5281.0975898719598</v>
      </c>
      <c r="D23" s="36">
        <f>SUM(Sommaire!F30:AR30)</f>
        <v>104376.1665190801</v>
      </c>
      <c r="E23" s="36">
        <f>SUM(Sommaire!AS30:BT30)</f>
        <v>314048.75684778776</v>
      </c>
      <c r="F23" s="36">
        <f t="shared" si="3"/>
        <v>423706.02095673984</v>
      </c>
    </row>
    <row r="24" spans="2:6" x14ac:dyDescent="0.25">
      <c r="B24" t="s">
        <v>30</v>
      </c>
      <c r="C24" s="36">
        <f>SUM(Sommaire!C31:E31)</f>
        <v>36714</v>
      </c>
      <c r="D24" s="36">
        <f>SUM(Sommaire!F31:AR31)</f>
        <v>0</v>
      </c>
      <c r="E24" s="36">
        <f>SUM(Sommaire!AS31:BT31)</f>
        <v>0</v>
      </c>
      <c r="F24" s="36">
        <f t="shared" si="3"/>
        <v>36714</v>
      </c>
    </row>
    <row r="25" spans="2:6" x14ac:dyDescent="0.25">
      <c r="B25" t="s">
        <v>1115</v>
      </c>
      <c r="C25" s="36">
        <f>SUM(Sommaire!C34:E34)</f>
        <v>0</v>
      </c>
      <c r="D25" s="36">
        <f>SUM(Sommaire!F34:AR34)</f>
        <v>0</v>
      </c>
      <c r="E25" s="36">
        <f>SUM(Sommaire!AS34:BT34)</f>
        <v>34083.476740819046</v>
      </c>
      <c r="F25" s="36">
        <f t="shared" si="3"/>
        <v>34083.476740819046</v>
      </c>
    </row>
    <row r="26" spans="2:6" x14ac:dyDescent="0.25">
      <c r="C26" s="36"/>
      <c r="D26" s="36"/>
      <c r="E26" s="36"/>
      <c r="F26" s="36"/>
    </row>
    <row r="27" spans="2:6" x14ac:dyDescent="0.25">
      <c r="B27" s="17" t="s">
        <v>1116</v>
      </c>
      <c r="C27" s="204">
        <f>C22+C15</f>
        <v>43708.097589871963</v>
      </c>
      <c r="D27" s="204">
        <f t="shared" ref="D27:E27" si="4">D22+D15</f>
        <v>120170.5653450801</v>
      </c>
      <c r="E27" s="204">
        <f t="shared" si="4"/>
        <v>761414.71626087569</v>
      </c>
      <c r="F27" s="204">
        <f>SUM(C27:E27)</f>
        <v>925293.37919582776</v>
      </c>
    </row>
    <row r="31" spans="2:6" x14ac:dyDescent="0.25">
      <c r="B31" s="313" t="s">
        <v>251</v>
      </c>
      <c r="C31" s="313" t="s">
        <v>1118</v>
      </c>
      <c r="D31" s="313" t="s">
        <v>1119</v>
      </c>
      <c r="E31" s="313" t="s">
        <v>45</v>
      </c>
      <c r="F31" s="313" t="s">
        <v>290</v>
      </c>
    </row>
    <row r="32" spans="2:6" x14ac:dyDescent="0.25">
      <c r="B32" s="17" t="s">
        <v>1110</v>
      </c>
      <c r="C32" s="36">
        <f>C2</f>
        <v>22588.069741780273</v>
      </c>
      <c r="D32" s="36">
        <f>SUM(Sommaire!F63:AR63)</f>
        <v>3828337.6081538475</v>
      </c>
      <c r="E32" s="36">
        <f>SUM(Sommaire!AS63:BT63)</f>
        <v>1051288.7149999996</v>
      </c>
      <c r="F32" s="36">
        <f>SUM(C32:E32)</f>
        <v>4902214.3928956278</v>
      </c>
    </row>
    <row r="33" spans="2:6" x14ac:dyDescent="0.25">
      <c r="B33" s="17" t="s">
        <v>1111</v>
      </c>
    </row>
    <row r="34" spans="2:6" x14ac:dyDescent="0.25">
      <c r="B34" t="s">
        <v>1112</v>
      </c>
      <c r="C34" s="78">
        <f>C4</f>
        <v>0</v>
      </c>
      <c r="D34" s="36">
        <f>SUM(Sommaire!F65:AR65)</f>
        <v>387346.1219000002</v>
      </c>
      <c r="E34" s="36">
        <f>SUM(Sommaire!AS65:BT65)</f>
        <v>149386.98749999996</v>
      </c>
      <c r="F34" s="36">
        <f>SUM(C34:E34)</f>
        <v>536733.10940000019</v>
      </c>
    </row>
    <row r="35" spans="2:6" x14ac:dyDescent="0.25">
      <c r="B35" t="s">
        <v>379</v>
      </c>
      <c r="C35" s="78">
        <f>C5</f>
        <v>0</v>
      </c>
      <c r="D35" s="36">
        <f>SUM(Sommaire!F66:AR66)</f>
        <v>311259.46050159982</v>
      </c>
      <c r="E35" s="36">
        <f>SUM(Sommaire!AS66:BT66)</f>
        <v>106107.60287250001</v>
      </c>
      <c r="F35" s="36">
        <f t="shared" ref="F35:F43" si="5">SUM(C35:E35)</f>
        <v>417367.06337409985</v>
      </c>
    </row>
    <row r="36" spans="2:6" x14ac:dyDescent="0.25">
      <c r="B36" s="17" t="s">
        <v>56</v>
      </c>
      <c r="C36" s="78">
        <f>SUM(Sommaire!C67:E67)</f>
        <v>0</v>
      </c>
      <c r="D36" s="36">
        <f>SUM(Sommaire!F67:AR67)</f>
        <v>5277.6</v>
      </c>
      <c r="E36" s="36">
        <f>SUM(Sommaire!AS67:BT67)</f>
        <v>0</v>
      </c>
      <c r="F36" s="36">
        <f t="shared" si="5"/>
        <v>5277.6</v>
      </c>
    </row>
    <row r="37" spans="2:6" x14ac:dyDescent="0.25">
      <c r="B37" t="s">
        <v>14</v>
      </c>
      <c r="C37" s="36">
        <f t="shared" ref="C37:C42" si="6">C6</f>
        <v>652.71</v>
      </c>
      <c r="D37" s="36">
        <f>SUM(Sommaire!F68:AR68)</f>
        <v>184465.03600000017</v>
      </c>
      <c r="E37" s="36">
        <f>SUM(Sommaire!AS68:BT68)</f>
        <v>0</v>
      </c>
      <c r="F37" s="36">
        <f t="shared" si="5"/>
        <v>185117.74600000016</v>
      </c>
    </row>
    <row r="38" spans="2:6" x14ac:dyDescent="0.25">
      <c r="B38" t="s">
        <v>15</v>
      </c>
      <c r="C38" s="36">
        <f t="shared" si="6"/>
        <v>123.78</v>
      </c>
      <c r="D38" s="36">
        <f>SUM(Sommaire!F69:AR69)</f>
        <v>20986.500239999998</v>
      </c>
      <c r="E38" s="36">
        <f>SUM(Sommaire!AS69:BT69)</f>
        <v>0</v>
      </c>
      <c r="F38" s="36">
        <f t="shared" si="5"/>
        <v>21110.280239999996</v>
      </c>
    </row>
    <row r="39" spans="2:6" x14ac:dyDescent="0.25">
      <c r="B39" t="s">
        <v>16</v>
      </c>
      <c r="C39" s="36">
        <f t="shared" si="6"/>
        <v>293.64</v>
      </c>
      <c r="D39" s="36">
        <f>SUM(Sommaire!F70:AR70)</f>
        <v>45706.474999999969</v>
      </c>
      <c r="E39" s="36">
        <f>SUM(Sommaire!AS70:BT70)</f>
        <v>0</v>
      </c>
      <c r="F39" s="36">
        <f t="shared" si="5"/>
        <v>46000.114999999969</v>
      </c>
    </row>
    <row r="40" spans="2:6" x14ac:dyDescent="0.25">
      <c r="B40" t="s">
        <v>18</v>
      </c>
      <c r="C40" s="36">
        <f t="shared" si="6"/>
        <v>0</v>
      </c>
      <c r="D40" s="36">
        <f>SUM(Sommaire!F72:AR72)</f>
        <v>250</v>
      </c>
      <c r="E40" s="36">
        <f>SUM(Sommaire!AS72:BT72)</f>
        <v>5251.5199999999986</v>
      </c>
      <c r="F40" s="36">
        <f t="shared" si="5"/>
        <v>5501.5199999999986</v>
      </c>
    </row>
    <row r="41" spans="2:6" x14ac:dyDescent="0.25">
      <c r="B41" t="s">
        <v>19</v>
      </c>
      <c r="C41" s="36">
        <f t="shared" si="6"/>
        <v>0</v>
      </c>
      <c r="D41" s="36">
        <f>SUM(Sommaire!F73:AR73)</f>
        <v>0</v>
      </c>
      <c r="E41" s="36">
        <f>SUM(Sommaire!AS73:BT73)</f>
        <v>32075</v>
      </c>
      <c r="F41" s="36">
        <f t="shared" si="5"/>
        <v>32075</v>
      </c>
    </row>
    <row r="42" spans="2:6" x14ac:dyDescent="0.25">
      <c r="B42" t="s">
        <v>1113</v>
      </c>
      <c r="C42" s="36">
        <f t="shared" si="6"/>
        <v>3564.5889502500004</v>
      </c>
      <c r="D42" s="36">
        <f>SUM(Sommaire!F71:AR71)</f>
        <v>176185.01347002736</v>
      </c>
      <c r="E42" s="36">
        <f>SUM(Sommaire!AS71:BT71)</f>
        <v>105378.29547945211</v>
      </c>
      <c r="F42" s="36">
        <f t="shared" si="5"/>
        <v>285127.89789972949</v>
      </c>
    </row>
    <row r="43" spans="2:6" x14ac:dyDescent="0.25">
      <c r="B43" s="17" t="s">
        <v>20</v>
      </c>
      <c r="C43" s="204">
        <f>SUM(C34:C42)</f>
        <v>4634.7189502500005</v>
      </c>
      <c r="D43" s="204">
        <f>SUM(D34:D42)</f>
        <v>1131476.2071116273</v>
      </c>
      <c r="E43" s="204">
        <f>SUM(E34:E42)</f>
        <v>398199.40585195203</v>
      </c>
      <c r="F43" s="204">
        <f t="shared" si="5"/>
        <v>1534310.3319138293</v>
      </c>
    </row>
    <row r="44" spans="2:6" x14ac:dyDescent="0.25">
      <c r="C44" s="36"/>
      <c r="D44" s="36"/>
      <c r="E44" s="36"/>
    </row>
    <row r="45" spans="2:6" x14ac:dyDescent="0.25">
      <c r="B45" s="17" t="s">
        <v>21</v>
      </c>
      <c r="C45" s="36"/>
      <c r="D45" s="36"/>
      <c r="E45" s="36"/>
    </row>
    <row r="46" spans="2:6" x14ac:dyDescent="0.25">
      <c r="B46" s="3" t="s">
        <v>1114</v>
      </c>
      <c r="C46" s="36"/>
      <c r="D46" s="36"/>
      <c r="E46" s="36"/>
    </row>
    <row r="47" spans="2:6" x14ac:dyDescent="0.25">
      <c r="B47" t="s">
        <v>23</v>
      </c>
      <c r="C47" s="36">
        <f>C16</f>
        <v>852</v>
      </c>
      <c r="D47" s="36">
        <f>SUM(Sommaire!F76:AR76)</f>
        <v>2469.2799999999997</v>
      </c>
      <c r="E47" s="36">
        <f>SUM(Sommaire!AS76:BT76)</f>
        <v>0</v>
      </c>
      <c r="F47" s="36">
        <f>SUM(C47:E47)</f>
        <v>3321.2799999999997</v>
      </c>
    </row>
    <row r="48" spans="2:6" x14ac:dyDescent="0.25">
      <c r="B48" t="s">
        <v>24</v>
      </c>
      <c r="C48" s="36">
        <f>C17</f>
        <v>861</v>
      </c>
      <c r="D48" s="36">
        <f>SUM(Sommaire!F77:AR77)</f>
        <v>5366.4952919999996</v>
      </c>
      <c r="E48" s="36">
        <f>SUM(Sommaire!AS77:BT77)</f>
        <v>930.48000000000013</v>
      </c>
      <c r="F48" s="36">
        <f t="shared" ref="F48:F55" si="7">SUM(C48:E48)</f>
        <v>7157.9752920000001</v>
      </c>
    </row>
    <row r="49" spans="2:6" x14ac:dyDescent="0.25">
      <c r="B49" t="s">
        <v>26</v>
      </c>
      <c r="C49" s="36">
        <f>C18</f>
        <v>0</v>
      </c>
      <c r="D49" s="36">
        <f>SUM(Sommaire!F79:AR79)</f>
        <v>0</v>
      </c>
      <c r="E49" s="36">
        <f>SUM(Sommaire!AS79:BT79)</f>
        <v>306216.32999999996</v>
      </c>
      <c r="F49" s="36">
        <f t="shared" si="7"/>
        <v>306216.32999999996</v>
      </c>
    </row>
    <row r="50" spans="2:6" x14ac:dyDescent="0.25">
      <c r="B50" t="s">
        <v>27</v>
      </c>
      <c r="C50" s="36">
        <f>C19</f>
        <v>0</v>
      </c>
      <c r="D50" s="36">
        <f>SUM(Sommaire!F83:AR83)</f>
        <v>0</v>
      </c>
      <c r="E50" s="36">
        <f>SUM(Sommaire!AS83:BT83)</f>
        <v>9329.39</v>
      </c>
      <c r="F50" s="36">
        <f t="shared" si="7"/>
        <v>9329.39</v>
      </c>
    </row>
    <row r="51" spans="2:6" x14ac:dyDescent="0.25">
      <c r="B51" t="s">
        <v>58</v>
      </c>
      <c r="C51" s="36">
        <f>SUM(Sommaire!C80:E80)</f>
        <v>0</v>
      </c>
      <c r="D51" s="36">
        <f>SUM(Sommaire!F80:AR80)</f>
        <v>87875.679999999978</v>
      </c>
      <c r="E51" s="36">
        <f>SUM(Sommaire!AS80:BT80)</f>
        <v>0</v>
      </c>
      <c r="F51" s="36">
        <f t="shared" si="7"/>
        <v>87875.679999999978</v>
      </c>
    </row>
    <row r="52" spans="2:6" x14ac:dyDescent="0.25">
      <c r="B52" t="s">
        <v>1124</v>
      </c>
      <c r="C52" s="36">
        <f>SUM(Sommaire!C81:E81)</f>
        <v>0</v>
      </c>
      <c r="D52" s="36">
        <f>SUM(Sommaire!F81:AR81)</f>
        <v>32427.731680304758</v>
      </c>
      <c r="E52" s="36">
        <f>SUM(Sommaire!AS81:BT81)</f>
        <v>0</v>
      </c>
      <c r="F52" s="36">
        <f t="shared" si="7"/>
        <v>32427.731680304758</v>
      </c>
    </row>
    <row r="53" spans="2:6" x14ac:dyDescent="0.25">
      <c r="B53" t="s">
        <v>60</v>
      </c>
      <c r="C53" s="36">
        <f>SUM(Sommaire!C82:E82)</f>
        <v>0</v>
      </c>
      <c r="D53" s="36">
        <f>SUM(Sommaire!F82:AR82)</f>
        <v>2600</v>
      </c>
      <c r="E53" s="36">
        <f>SUM(Sommaire!AS82:BT82)</f>
        <v>0</v>
      </c>
      <c r="F53" s="36">
        <f t="shared" si="7"/>
        <v>2600</v>
      </c>
    </row>
    <row r="54" spans="2:6" x14ac:dyDescent="0.25">
      <c r="B54" t="s">
        <v>64</v>
      </c>
      <c r="C54" s="36">
        <f>SUM(Sommaire!C91:E91)</f>
        <v>0</v>
      </c>
      <c r="D54" s="36">
        <f>SUM(Sommaire!F91:AR91)</f>
        <v>64090.630000000005</v>
      </c>
      <c r="E54" s="36">
        <f>SUM(Sommaire!AS91:BT91)</f>
        <v>0</v>
      </c>
      <c r="F54" s="36">
        <f t="shared" si="7"/>
        <v>64090.630000000005</v>
      </c>
    </row>
    <row r="55" spans="2:6" x14ac:dyDescent="0.25">
      <c r="B55" t="s">
        <v>32</v>
      </c>
      <c r="C55" s="36">
        <f>C20</f>
        <v>0</v>
      </c>
      <c r="D55" s="36">
        <f>SUM(Sommaire!F93:AR93)</f>
        <v>0</v>
      </c>
      <c r="E55" s="36">
        <f>SUM(Sommaire!AS93:BT93)</f>
        <v>489508.03761374054</v>
      </c>
      <c r="F55" s="36">
        <f t="shared" si="7"/>
        <v>489508.03761374054</v>
      </c>
    </row>
    <row r="56" spans="2:6" x14ac:dyDescent="0.25">
      <c r="C56" s="36"/>
      <c r="D56" s="36"/>
      <c r="E56" s="36"/>
    </row>
    <row r="57" spans="2:6" x14ac:dyDescent="0.25">
      <c r="B57" s="3" t="s">
        <v>28</v>
      </c>
      <c r="C57" s="36"/>
      <c r="D57" s="36"/>
      <c r="E57" s="36"/>
    </row>
    <row r="58" spans="2:6" x14ac:dyDescent="0.25">
      <c r="B58" t="s">
        <v>29</v>
      </c>
      <c r="C58" s="36">
        <f>C23</f>
        <v>5281.0975898719598</v>
      </c>
      <c r="D58" s="36">
        <f>SUM(Sommaire!F85:AR85)</f>
        <v>256324.04149710867</v>
      </c>
      <c r="E58" s="36">
        <f>SUM(Sommaire!AS85:BT85)</f>
        <v>545490.82098339591</v>
      </c>
      <c r="F58" s="36">
        <f t="shared" ref="F58:F63" si="8">SUM(C58:E58)</f>
        <v>807095.96007037652</v>
      </c>
    </row>
    <row r="59" spans="2:6" x14ac:dyDescent="0.25">
      <c r="B59" t="s">
        <v>61</v>
      </c>
      <c r="C59" s="36">
        <f>SUM(Sommaire!C87:E87)</f>
        <v>0</v>
      </c>
      <c r="D59" s="36">
        <f>SUM(Sommaire!F87:AR87)</f>
        <v>82124.392045042245</v>
      </c>
      <c r="E59" s="36">
        <f>SUM(Sommaire!AS87:BT87)</f>
        <v>0</v>
      </c>
      <c r="F59" s="36">
        <f t="shared" si="8"/>
        <v>82124.392045042245</v>
      </c>
    </row>
    <row r="60" spans="2:6" x14ac:dyDescent="0.25">
      <c r="B60" t="s">
        <v>62</v>
      </c>
      <c r="C60" s="36">
        <f>SUM(Sommaire!C88:E88)</f>
        <v>0</v>
      </c>
      <c r="D60" s="36">
        <f>SUM(Sommaire!F88:AR88)</f>
        <v>9096</v>
      </c>
      <c r="E60" s="36">
        <f>SUM(Sommaire!AS88:BT88)</f>
        <v>0</v>
      </c>
      <c r="F60" s="36">
        <f t="shared" si="8"/>
        <v>9096</v>
      </c>
    </row>
    <row r="61" spans="2:6" x14ac:dyDescent="0.25">
      <c r="B61" t="s">
        <v>63</v>
      </c>
      <c r="C61" s="36">
        <f>SUM(Sommaire!C89:E89)</f>
        <v>0</v>
      </c>
      <c r="D61" s="36">
        <f>SUM(Sommaire!F89:AR89)</f>
        <v>145952.34448879847</v>
      </c>
      <c r="E61" s="36">
        <f>SUM(Sommaire!AS89:BT89)</f>
        <v>0</v>
      </c>
      <c r="F61" s="36">
        <f t="shared" si="8"/>
        <v>145952.34448879847</v>
      </c>
    </row>
    <row r="62" spans="2:6" x14ac:dyDescent="0.25">
      <c r="B62" t="s">
        <v>30</v>
      </c>
      <c r="C62" s="36">
        <f>C24</f>
        <v>36714</v>
      </c>
      <c r="D62" s="36">
        <f>SUM(Sommaire!F86:AR86)</f>
        <v>24476</v>
      </c>
      <c r="E62" s="36">
        <f>SUM(Sommaire!AS86:BT86)</f>
        <v>0</v>
      </c>
      <c r="F62" s="36">
        <f t="shared" si="8"/>
        <v>61190</v>
      </c>
    </row>
    <row r="63" spans="2:6" x14ac:dyDescent="0.25">
      <c r="B63" t="s">
        <v>1115</v>
      </c>
      <c r="C63" s="36">
        <f>C25</f>
        <v>0</v>
      </c>
      <c r="D63" s="36">
        <f>SUM(Sommaire!F92:AR92)</f>
        <v>0</v>
      </c>
      <c r="E63" s="36">
        <f>SUM(Sommaire!AS92:BT92)</f>
        <v>62459.448474598481</v>
      </c>
      <c r="F63" s="36">
        <f t="shared" si="8"/>
        <v>62459.448474598481</v>
      </c>
    </row>
    <row r="64" spans="2:6" x14ac:dyDescent="0.25">
      <c r="C64" s="36"/>
      <c r="D64" s="36"/>
      <c r="E64" s="36"/>
    </row>
    <row r="65" spans="2:6" x14ac:dyDescent="0.25">
      <c r="B65" s="17" t="s">
        <v>1116</v>
      </c>
      <c r="C65" s="204">
        <f>SUM(C47:C63)</f>
        <v>43708.097589871963</v>
      </c>
      <c r="D65" s="204">
        <f>SUM(D47:D63)</f>
        <v>712802.59500325401</v>
      </c>
      <c r="E65" s="204">
        <f>SUM(E47:E63)</f>
        <v>1413934.5070717349</v>
      </c>
      <c r="F65" s="204">
        <f>SUM(C65:E65)</f>
        <v>2170445.199664861</v>
      </c>
    </row>
    <row r="70" spans="2:6" x14ac:dyDescent="0.25">
      <c r="B70" s="313" t="s">
        <v>325</v>
      </c>
      <c r="C70" s="313" t="s">
        <v>1118</v>
      </c>
      <c r="D70" s="313" t="s">
        <v>1119</v>
      </c>
      <c r="E70" s="313" t="s">
        <v>45</v>
      </c>
      <c r="F70" s="313" t="s">
        <v>290</v>
      </c>
    </row>
    <row r="71" spans="2:6" x14ac:dyDescent="0.25">
      <c r="B71" s="17" t="s">
        <v>1110</v>
      </c>
      <c r="C71" s="204">
        <f>C32</f>
        <v>22588.069741780273</v>
      </c>
      <c r="D71" s="204">
        <f>SUM(Sommaire!F148:AR148)</f>
        <v>2622122.5758846155</v>
      </c>
      <c r="E71" s="204">
        <f>SUM(Sommaire!AS148:BT148)</f>
        <v>858265.41499999969</v>
      </c>
      <c r="F71" s="204">
        <f>SUM(C71:E71)</f>
        <v>3502976.0606263955</v>
      </c>
    </row>
    <row r="72" spans="2:6" x14ac:dyDescent="0.25">
      <c r="B72" s="17" t="s">
        <v>1111</v>
      </c>
      <c r="C72" s="36"/>
      <c r="D72" s="36"/>
      <c r="E72" s="36"/>
    </row>
    <row r="73" spans="2:6" x14ac:dyDescent="0.25">
      <c r="B73" t="s">
        <v>1112</v>
      </c>
      <c r="C73" s="36">
        <f t="shared" ref="C73:C82" si="9">C34</f>
        <v>0</v>
      </c>
      <c r="D73" s="36">
        <f>SUM(Sommaire!F150:AR150)</f>
        <v>249224.07210000008</v>
      </c>
      <c r="E73" s="36">
        <f>SUM(Sommaire!AS150:BT150)</f>
        <v>105599.54149999995</v>
      </c>
      <c r="F73" s="204">
        <f t="shared" ref="F73:F82" si="10">SUM(C73:E73)</f>
        <v>354823.61360000004</v>
      </c>
    </row>
    <row r="74" spans="2:6" x14ac:dyDescent="0.25">
      <c r="B74" t="s">
        <v>379</v>
      </c>
      <c r="C74" s="36">
        <f t="shared" si="9"/>
        <v>0</v>
      </c>
      <c r="D74" s="36">
        <f>SUM(Sommaire!F151:AR151)</f>
        <v>189746.99272910005</v>
      </c>
      <c r="E74" s="36">
        <f>SUM(Sommaire!AS151:BT151)</f>
        <v>90831.408549999935</v>
      </c>
      <c r="F74" s="204">
        <f t="shared" si="10"/>
        <v>280578.40127909998</v>
      </c>
    </row>
    <row r="75" spans="2:6" x14ac:dyDescent="0.25">
      <c r="B75" s="17" t="s">
        <v>56</v>
      </c>
      <c r="C75" s="36">
        <f t="shared" si="9"/>
        <v>0</v>
      </c>
      <c r="D75" s="36">
        <f>SUM(Sommaire!F152:AR152)</f>
        <v>3124.8</v>
      </c>
      <c r="E75" s="36">
        <f>SUM(Sommaire!AS152:BT152)</f>
        <v>0</v>
      </c>
      <c r="F75" s="204">
        <f t="shared" si="10"/>
        <v>3124.8</v>
      </c>
    </row>
    <row r="76" spans="2:6" x14ac:dyDescent="0.25">
      <c r="B76" t="s">
        <v>14</v>
      </c>
      <c r="C76" s="36">
        <f t="shared" si="9"/>
        <v>652.71</v>
      </c>
      <c r="D76" s="36">
        <f>SUM(Sommaire!F153:AR153)</f>
        <v>130789.16999999987</v>
      </c>
      <c r="E76" s="36">
        <f>SUM(Sommaire!AS153:BT153)</f>
        <v>0</v>
      </c>
      <c r="F76" s="204">
        <f t="shared" si="10"/>
        <v>131441.87999999986</v>
      </c>
    </row>
    <row r="77" spans="2:6" x14ac:dyDescent="0.25">
      <c r="B77" t="s">
        <v>15</v>
      </c>
      <c r="C77" s="36">
        <f t="shared" si="9"/>
        <v>123.78</v>
      </c>
      <c r="D77" s="36">
        <f>SUM(Sommaire!F154:AR154)</f>
        <v>14367.362999999998</v>
      </c>
      <c r="E77" s="36">
        <f>SUM(Sommaire!AS154:BT154)</f>
        <v>0</v>
      </c>
      <c r="F77" s="204">
        <f t="shared" si="10"/>
        <v>14491.142999999998</v>
      </c>
    </row>
    <row r="78" spans="2:6" x14ac:dyDescent="0.25">
      <c r="B78" t="s">
        <v>16</v>
      </c>
      <c r="C78" s="36">
        <f t="shared" si="9"/>
        <v>293.64</v>
      </c>
      <c r="D78" s="36">
        <f>SUM(Sommaire!F155:AR155)</f>
        <v>32950.244999999974</v>
      </c>
      <c r="E78" s="36">
        <f>SUM(Sommaire!AS155:BT155)</f>
        <v>0</v>
      </c>
      <c r="F78" s="204">
        <f t="shared" si="10"/>
        <v>33243.884999999973</v>
      </c>
    </row>
    <row r="79" spans="2:6" x14ac:dyDescent="0.25">
      <c r="B79" t="s">
        <v>18</v>
      </c>
      <c r="C79" s="36">
        <f t="shared" si="9"/>
        <v>0</v>
      </c>
      <c r="D79" s="36">
        <f>SUM(Sommaire!F157:AR157)</f>
        <v>115</v>
      </c>
      <c r="E79" s="36">
        <f>SUM(Sommaire!AS157:BT157)</f>
        <v>4200</v>
      </c>
      <c r="F79" s="204">
        <f t="shared" si="10"/>
        <v>4315</v>
      </c>
    </row>
    <row r="80" spans="2:6" x14ac:dyDescent="0.25">
      <c r="B80" t="s">
        <v>19</v>
      </c>
      <c r="C80" s="36">
        <f t="shared" si="9"/>
        <v>0</v>
      </c>
      <c r="D80" s="36">
        <f>SUM(Sommaire!F158:AR158)</f>
        <v>0</v>
      </c>
      <c r="E80" s="36">
        <f>SUM(Sommaire!AS158:BT158)</f>
        <v>17976</v>
      </c>
      <c r="F80" s="204">
        <f t="shared" si="10"/>
        <v>17976</v>
      </c>
    </row>
    <row r="81" spans="2:6" x14ac:dyDescent="0.25">
      <c r="B81" t="s">
        <v>1113</v>
      </c>
      <c r="C81" s="36">
        <f t="shared" si="9"/>
        <v>3564.5889502500004</v>
      </c>
      <c r="D81" s="36">
        <f>SUM(Sommaire!F156:AR156)</f>
        <v>132520.73565351288</v>
      </c>
      <c r="E81" s="36">
        <f>SUM(Sommaire!AS156:BT156)</f>
        <v>59239.358614916266</v>
      </c>
      <c r="F81" s="204">
        <f t="shared" si="10"/>
        <v>195324.68321867916</v>
      </c>
    </row>
    <row r="82" spans="2:6" x14ac:dyDescent="0.25">
      <c r="B82" s="17" t="s">
        <v>20</v>
      </c>
      <c r="C82" s="204">
        <f t="shared" si="9"/>
        <v>4634.7189502500005</v>
      </c>
      <c r="D82" s="204">
        <f>SUM(D73:D81)</f>
        <v>752838.3784826129</v>
      </c>
      <c r="E82" s="204">
        <f>SUM(E73:E81)</f>
        <v>277846.30866491614</v>
      </c>
      <c r="F82" s="204">
        <f t="shared" si="10"/>
        <v>1035319.4060977791</v>
      </c>
    </row>
    <row r="83" spans="2:6" x14ac:dyDescent="0.25">
      <c r="C83" s="36"/>
      <c r="D83" s="36"/>
      <c r="E83" s="36"/>
    </row>
    <row r="84" spans="2:6" x14ac:dyDescent="0.25">
      <c r="B84" s="17" t="s">
        <v>21</v>
      </c>
      <c r="C84" s="36"/>
      <c r="D84" s="36"/>
      <c r="E84" s="36"/>
    </row>
    <row r="85" spans="2:6" x14ac:dyDescent="0.25">
      <c r="B85" s="3" t="s">
        <v>1114</v>
      </c>
      <c r="C85" s="36"/>
      <c r="D85" s="36"/>
      <c r="E85" s="36"/>
    </row>
    <row r="86" spans="2:6" x14ac:dyDescent="0.25">
      <c r="B86" t="s">
        <v>23</v>
      </c>
      <c r="C86" s="36">
        <f t="shared" ref="C86:C94" si="11">C47</f>
        <v>852</v>
      </c>
      <c r="D86" s="36">
        <f>SUM(Sommaire!F161:AR161)</f>
        <v>3611.9599999999982</v>
      </c>
      <c r="E86" s="36">
        <f>SUM(Sommaire!AS161:BT161)</f>
        <v>2141.5600000000004</v>
      </c>
      <c r="F86" s="204">
        <f t="shared" ref="F86:F94" si="12">SUM(C86:E86)</f>
        <v>6605.5199999999986</v>
      </c>
    </row>
    <row r="87" spans="2:6" x14ac:dyDescent="0.25">
      <c r="B87" t="s">
        <v>24</v>
      </c>
      <c r="C87" s="36">
        <f t="shared" si="11"/>
        <v>861</v>
      </c>
      <c r="D87" s="36">
        <f>SUM(Sommaire!F162:AR162)</f>
        <v>9233.9952919999996</v>
      </c>
      <c r="E87" s="36">
        <f>SUM(Sommaire!AS162:BT162)</f>
        <v>9847.52</v>
      </c>
      <c r="F87" s="204">
        <f t="shared" si="12"/>
        <v>19942.515292</v>
      </c>
    </row>
    <row r="88" spans="2:6" x14ac:dyDescent="0.25">
      <c r="B88" t="s">
        <v>26</v>
      </c>
      <c r="C88" s="36">
        <f t="shared" si="11"/>
        <v>0</v>
      </c>
      <c r="D88" s="36">
        <f>SUM(Sommaire!C164:AR164)</f>
        <v>0</v>
      </c>
      <c r="E88" s="36">
        <f>SUM(Sommaire!AS164:BT164)</f>
        <v>163790.12999999998</v>
      </c>
      <c r="F88" s="204">
        <f t="shared" si="12"/>
        <v>163790.12999999998</v>
      </c>
    </row>
    <row r="89" spans="2:6" x14ac:dyDescent="0.25">
      <c r="B89" t="s">
        <v>27</v>
      </c>
      <c r="C89" s="36">
        <f t="shared" si="11"/>
        <v>0</v>
      </c>
      <c r="D89" s="36">
        <f>SUM(Sommaire!F168:AR168)</f>
        <v>0</v>
      </c>
      <c r="E89" s="36">
        <f>E19</f>
        <v>7865</v>
      </c>
      <c r="F89" s="204">
        <f t="shared" si="12"/>
        <v>7865</v>
      </c>
    </row>
    <row r="90" spans="2:6" x14ac:dyDescent="0.25">
      <c r="B90" t="s">
        <v>58</v>
      </c>
      <c r="C90" s="36">
        <f t="shared" si="11"/>
        <v>0</v>
      </c>
      <c r="D90" s="36">
        <f>SUM(Sommaire!F165:AR165)</f>
        <v>57987.1</v>
      </c>
      <c r="E90" s="36">
        <f>SUM(Sommaire!AS165:BT165)</f>
        <v>0</v>
      </c>
      <c r="F90" s="204">
        <f t="shared" si="12"/>
        <v>57987.1</v>
      </c>
    </row>
    <row r="91" spans="2:6" x14ac:dyDescent="0.25">
      <c r="B91" t="s">
        <v>1124</v>
      </c>
      <c r="C91" s="36">
        <f t="shared" si="11"/>
        <v>0</v>
      </c>
      <c r="D91" s="36">
        <f>SUM(Sommaire!F166:AR166)</f>
        <v>27622.920000000006</v>
      </c>
      <c r="E91" s="36">
        <f>SUM(Sommaire!AS166:BT166)</f>
        <v>0</v>
      </c>
      <c r="F91" s="204">
        <f t="shared" si="12"/>
        <v>27622.920000000006</v>
      </c>
    </row>
    <row r="92" spans="2:6" x14ac:dyDescent="0.25">
      <c r="B92" t="s">
        <v>60</v>
      </c>
      <c r="C92" s="36">
        <f t="shared" si="11"/>
        <v>0</v>
      </c>
      <c r="D92" s="36">
        <f>SUM(Sommaire!F167:AR167)</f>
        <v>1300</v>
      </c>
      <c r="E92" s="36">
        <f>SUM(Sommaire!AS167:BT167)</f>
        <v>0</v>
      </c>
      <c r="F92" s="204">
        <f t="shared" si="12"/>
        <v>1300</v>
      </c>
    </row>
    <row r="93" spans="2:6" x14ac:dyDescent="0.25">
      <c r="B93" t="s">
        <v>64</v>
      </c>
      <c r="C93" s="36">
        <f t="shared" si="11"/>
        <v>0</v>
      </c>
      <c r="D93" s="36">
        <f>SUM(Sommaire!F176:AR176)</f>
        <v>30949.84</v>
      </c>
      <c r="E93" s="36">
        <f>SUM(Sommaire!AS176:BT176)</f>
        <v>0</v>
      </c>
      <c r="F93" s="204">
        <f t="shared" si="12"/>
        <v>30949.84</v>
      </c>
    </row>
    <row r="94" spans="2:6" x14ac:dyDescent="0.25">
      <c r="B94" t="s">
        <v>32</v>
      </c>
      <c r="C94" s="36">
        <f t="shared" si="11"/>
        <v>0</v>
      </c>
      <c r="D94" s="36">
        <f>SUM(Sommaire!C178:AR178)</f>
        <v>0</v>
      </c>
      <c r="E94" s="36">
        <f>SUM(Sommaire!AS178:BT178)</f>
        <v>229638.27267226891</v>
      </c>
      <c r="F94" s="204">
        <f t="shared" si="12"/>
        <v>229638.27267226891</v>
      </c>
    </row>
    <row r="95" spans="2:6" x14ac:dyDescent="0.25">
      <c r="C95" s="36"/>
      <c r="D95" s="36"/>
      <c r="E95" s="36"/>
    </row>
    <row r="96" spans="2:6" x14ac:dyDescent="0.25">
      <c r="B96" s="3" t="s">
        <v>28</v>
      </c>
      <c r="C96" s="36"/>
      <c r="D96" s="36"/>
      <c r="E96" s="36"/>
    </row>
    <row r="97" spans="2:6" x14ac:dyDescent="0.25">
      <c r="B97" t="s">
        <v>29</v>
      </c>
      <c r="C97" s="36">
        <f t="shared" ref="C97:C102" si="13">C58</f>
        <v>5281.0975898719598</v>
      </c>
      <c r="D97" s="36">
        <f>SUM(Sommaire!F170:AR170)</f>
        <v>161614.85556228412</v>
      </c>
      <c r="E97" s="36">
        <f>SUM(Sommaire!AS170:BT170)</f>
        <v>314048.75684778776</v>
      </c>
      <c r="F97" s="204">
        <f t="shared" ref="F97:F104" si="14">SUM(C97:E97)</f>
        <v>480944.70999994385</v>
      </c>
    </row>
    <row r="98" spans="2:6" x14ac:dyDescent="0.25">
      <c r="B98" t="s">
        <v>61</v>
      </c>
      <c r="C98" s="36">
        <f t="shared" si="13"/>
        <v>0</v>
      </c>
      <c r="D98" s="36">
        <f>SUM(Sommaire!F172:AR172)</f>
        <v>41062.196022521122</v>
      </c>
      <c r="E98" s="36">
        <f>SUM(Sommaire!AS172:BT172)</f>
        <v>0</v>
      </c>
      <c r="F98" s="204">
        <f t="shared" si="14"/>
        <v>41062.196022521122</v>
      </c>
    </row>
    <row r="99" spans="2:6" x14ac:dyDescent="0.25">
      <c r="B99" t="s">
        <v>62</v>
      </c>
      <c r="C99" s="36">
        <f t="shared" si="13"/>
        <v>0</v>
      </c>
      <c r="D99" s="36">
        <f>SUM(Sommaire!F173:AR173)</f>
        <v>4548</v>
      </c>
      <c r="E99" s="36">
        <f>SUM(Sommaire!AS173:BT173)</f>
        <v>0</v>
      </c>
      <c r="F99" s="204">
        <f t="shared" si="14"/>
        <v>4548</v>
      </c>
    </row>
    <row r="100" spans="2:6" x14ac:dyDescent="0.25">
      <c r="B100" t="s">
        <v>63</v>
      </c>
      <c r="C100" s="36">
        <f t="shared" si="13"/>
        <v>0</v>
      </c>
      <c r="D100" s="36">
        <f>SUM(Sommaire!F174:AR174)</f>
        <v>72976.172244399248</v>
      </c>
      <c r="E100" s="36">
        <f>SUM(Sommaire!AS174:BT174)</f>
        <v>0</v>
      </c>
      <c r="F100" s="204">
        <f t="shared" si="14"/>
        <v>72976.172244399248</v>
      </c>
    </row>
    <row r="101" spans="2:6" x14ac:dyDescent="0.25">
      <c r="B101" t="s">
        <v>30</v>
      </c>
      <c r="C101" s="36">
        <f t="shared" si="13"/>
        <v>36714</v>
      </c>
      <c r="D101" s="36">
        <f>SUM(Sommaire!F171:AR171)</f>
        <v>12238</v>
      </c>
      <c r="E101" s="36">
        <f>SUM(Sommaire!AS171:BT171)</f>
        <v>0</v>
      </c>
      <c r="F101" s="204">
        <f t="shared" si="14"/>
        <v>48952</v>
      </c>
    </row>
    <row r="102" spans="2:6" x14ac:dyDescent="0.25">
      <c r="B102" t="s">
        <v>1115</v>
      </c>
      <c r="C102" s="36">
        <f t="shared" si="13"/>
        <v>0</v>
      </c>
      <c r="D102" s="36">
        <f>SUM(Sommaire!F177:AR177)</f>
        <v>0</v>
      </c>
      <c r="E102" s="36">
        <f>SUM(Sommaire!AS177:BT177)</f>
        <v>34083.476740819046</v>
      </c>
      <c r="F102" s="204">
        <f t="shared" si="14"/>
        <v>34083.476740819046</v>
      </c>
    </row>
    <row r="103" spans="2:6" x14ac:dyDescent="0.25">
      <c r="C103" s="36"/>
      <c r="D103" s="36"/>
      <c r="E103" s="36"/>
    </row>
    <row r="104" spans="2:6" x14ac:dyDescent="0.25">
      <c r="B104" s="17" t="s">
        <v>1116</v>
      </c>
      <c r="C104" s="204">
        <f>SUM(C86:C102)</f>
        <v>43708.097589871963</v>
      </c>
      <c r="D104" s="204">
        <f>SUM(D86:D102)</f>
        <v>423145.03912120452</v>
      </c>
      <c r="E104" s="204">
        <f>SUM(E86:E102)</f>
        <v>761414.71626087569</v>
      </c>
      <c r="F104" s="204">
        <f t="shared" si="14"/>
        <v>1228267.8529719522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T22"/>
  <sheetViews>
    <sheetView workbookViewId="0">
      <selection activeCell="B2" sqref="B2"/>
    </sheetView>
  </sheetViews>
  <sheetFormatPr baseColWidth="10" defaultColWidth="11.42578125" defaultRowHeight="15" x14ac:dyDescent="0.25"/>
  <sheetData>
    <row r="2" spans="2:72" x14ac:dyDescent="0.25">
      <c r="B2" t="s">
        <v>988</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4" spans="2:72" x14ac:dyDescent="0.25">
      <c r="B4" t="s">
        <v>989</v>
      </c>
      <c r="C4">
        <f>Sommaire!C4</f>
        <v>7529.356580593425</v>
      </c>
      <c r="D4">
        <f>Sommaire!D4</f>
        <v>7529.356580593425</v>
      </c>
      <c r="E4">
        <f>Sommaire!E4</f>
        <v>7529.356580593425</v>
      </c>
      <c r="F4">
        <f>Sommaire!F4</f>
        <v>35302</v>
      </c>
      <c r="G4">
        <f>Sommaire!G4</f>
        <v>36471</v>
      </c>
      <c r="H4">
        <f>Sommaire!H4</f>
        <v>37987</v>
      </c>
      <c r="I4">
        <f>Sommaire!I4</f>
        <v>39302</v>
      </c>
      <c r="J4">
        <f>Sommaire!J4</f>
        <v>40854</v>
      </c>
      <c r="K4">
        <f>Sommaire!K4</f>
        <v>42279</v>
      </c>
      <c r="L4">
        <f>Sommaire!L4</f>
        <v>44014</v>
      </c>
      <c r="M4">
        <f>Sommaire!M4</f>
        <v>45639</v>
      </c>
      <c r="N4">
        <f>Sommaire!N4</f>
        <v>47374</v>
      </c>
      <c r="O4">
        <f>Sommaire!O4</f>
        <v>49127</v>
      </c>
      <c r="P4">
        <f>Sommaire!P4</f>
        <v>50990</v>
      </c>
      <c r="Q4">
        <f>Sommaire!Q4</f>
        <v>52963</v>
      </c>
      <c r="R4">
        <f>Sommaire!R4</f>
        <v>52963</v>
      </c>
      <c r="S4">
        <f>Sommaire!S4</f>
        <v>52963</v>
      </c>
      <c r="T4">
        <f>Sommaire!T4</f>
        <v>52963</v>
      </c>
      <c r="U4">
        <f>Sommaire!U4</f>
        <v>52963</v>
      </c>
      <c r="V4">
        <f>Sommaire!V4</f>
        <v>52963</v>
      </c>
      <c r="W4">
        <f>Sommaire!W4</f>
        <v>52963</v>
      </c>
      <c r="X4">
        <f>Sommaire!X4</f>
        <v>52963</v>
      </c>
      <c r="Y4">
        <f>Sommaire!Y4</f>
        <v>52963</v>
      </c>
      <c r="Z4">
        <f>Sommaire!Z4</f>
        <v>52963</v>
      </c>
      <c r="AA4">
        <f>Sommaire!AA4</f>
        <v>52963</v>
      </c>
      <c r="AB4">
        <f>Sommaire!AB4</f>
        <v>52963</v>
      </c>
      <c r="AC4">
        <f>Sommaire!AC4</f>
        <v>52963</v>
      </c>
      <c r="AD4">
        <f>Sommaire!AD4</f>
        <v>52963</v>
      </c>
      <c r="AE4">
        <f>Sommaire!AE4</f>
        <v>52963</v>
      </c>
      <c r="AF4">
        <f>Sommaire!AF4</f>
        <v>52963</v>
      </c>
      <c r="AG4">
        <f>Sommaire!AG4</f>
        <v>52963</v>
      </c>
      <c r="AH4">
        <f>Sommaire!AH4</f>
        <v>52963</v>
      </c>
      <c r="AI4">
        <f>Sommaire!AI4</f>
        <v>52963</v>
      </c>
      <c r="AJ4">
        <f>Sommaire!AJ4</f>
        <v>52963</v>
      </c>
      <c r="AK4">
        <f>Sommaire!AK4</f>
        <v>52963</v>
      </c>
      <c r="AL4">
        <f>Sommaire!AL4</f>
        <v>52963</v>
      </c>
      <c r="AM4">
        <f>Sommaire!AM4</f>
        <v>52963</v>
      </c>
      <c r="AN4">
        <f>Sommaire!AN4</f>
        <v>52963</v>
      </c>
      <c r="AO4">
        <f>Sommaire!AO4</f>
        <v>52963</v>
      </c>
      <c r="AP4">
        <f>Sommaire!AP4</f>
        <v>52963</v>
      </c>
      <c r="AQ4">
        <f>Sommaire!AQ4</f>
        <v>52963</v>
      </c>
      <c r="AR4">
        <f>Sommaire!AR4</f>
        <v>52963</v>
      </c>
      <c r="AS4">
        <f>Sommaire!AS4</f>
        <v>0</v>
      </c>
      <c r="AT4">
        <f>Sommaire!AT4</f>
        <v>0</v>
      </c>
      <c r="AU4">
        <f>Sommaire!AU4</f>
        <v>0</v>
      </c>
      <c r="AV4">
        <f>Sommaire!AV4</f>
        <v>0</v>
      </c>
      <c r="AW4">
        <f>Sommaire!AW4</f>
        <v>0</v>
      </c>
      <c r="AX4">
        <f>Sommaire!AX4</f>
        <v>0</v>
      </c>
      <c r="AY4">
        <f>Sommaire!AY4</f>
        <v>0</v>
      </c>
      <c r="AZ4">
        <f>Sommaire!AZ4</f>
        <v>0</v>
      </c>
      <c r="BA4">
        <f>Sommaire!BA4</f>
        <v>0</v>
      </c>
      <c r="BB4">
        <f>Sommaire!BB4</f>
        <v>0</v>
      </c>
      <c r="BC4">
        <f>Sommaire!BC4</f>
        <v>0</v>
      </c>
      <c r="BD4">
        <f>Sommaire!BD4</f>
        <v>0</v>
      </c>
      <c r="BE4">
        <f>Sommaire!BE4</f>
        <v>0</v>
      </c>
      <c r="BF4">
        <f>Sommaire!BF4</f>
        <v>0</v>
      </c>
      <c r="BG4">
        <f>Sommaire!BG4</f>
        <v>0</v>
      </c>
      <c r="BH4">
        <f>Sommaire!BH4</f>
        <v>0</v>
      </c>
      <c r="BI4">
        <f>Sommaire!BI4</f>
        <v>0</v>
      </c>
      <c r="BJ4">
        <f>Sommaire!BJ4</f>
        <v>0</v>
      </c>
      <c r="BK4">
        <f>Sommaire!BK4</f>
        <v>0</v>
      </c>
      <c r="BL4">
        <f>Sommaire!BL4</f>
        <v>0</v>
      </c>
      <c r="BM4">
        <f>Sommaire!BM4</f>
        <v>0</v>
      </c>
      <c r="BN4">
        <f>Sommaire!BN4</f>
        <v>0</v>
      </c>
      <c r="BO4">
        <f>Sommaire!BO4</f>
        <v>0</v>
      </c>
      <c r="BP4">
        <f>Sommaire!BP4</f>
        <v>0</v>
      </c>
      <c r="BQ4">
        <f>Sommaire!BQ4</f>
        <v>0</v>
      </c>
      <c r="BR4">
        <f>Sommaire!BR4</f>
        <v>0</v>
      </c>
      <c r="BS4">
        <f>Sommaire!BS4</f>
        <v>0</v>
      </c>
      <c r="BT4">
        <f>Sommaire!BT4</f>
        <v>0</v>
      </c>
    </row>
    <row r="5" spans="2:72" x14ac:dyDescent="0.25">
      <c r="B5" t="s">
        <v>990</v>
      </c>
      <c r="C5">
        <f>C4/26</f>
        <v>289.59063771513172</v>
      </c>
      <c r="D5">
        <f t="shared" ref="D5:BO5" si="0">D4/26</f>
        <v>289.59063771513172</v>
      </c>
      <c r="E5">
        <f t="shared" si="0"/>
        <v>289.59063771513172</v>
      </c>
      <c r="F5">
        <f t="shared" si="0"/>
        <v>1357.7692307692307</v>
      </c>
      <c r="G5">
        <f t="shared" si="0"/>
        <v>1402.7307692307693</v>
      </c>
      <c r="H5">
        <f t="shared" si="0"/>
        <v>1461.0384615384614</v>
      </c>
      <c r="I5">
        <f t="shared" si="0"/>
        <v>1511.6153846153845</v>
      </c>
      <c r="J5">
        <f t="shared" si="0"/>
        <v>1571.3076923076924</v>
      </c>
      <c r="K5">
        <f t="shared" si="0"/>
        <v>1626.1153846153845</v>
      </c>
      <c r="L5">
        <f t="shared" si="0"/>
        <v>1692.8461538461538</v>
      </c>
      <c r="M5">
        <f t="shared" si="0"/>
        <v>1755.3461538461538</v>
      </c>
      <c r="N5">
        <f t="shared" si="0"/>
        <v>1822.0769230769231</v>
      </c>
      <c r="O5">
        <f t="shared" si="0"/>
        <v>1889.5</v>
      </c>
      <c r="P5">
        <f t="shared" si="0"/>
        <v>1961.1538461538462</v>
      </c>
      <c r="Q5">
        <f t="shared" si="0"/>
        <v>2037.0384615384614</v>
      </c>
      <c r="R5">
        <f t="shared" si="0"/>
        <v>2037.0384615384614</v>
      </c>
      <c r="S5">
        <f t="shared" si="0"/>
        <v>2037.0384615384614</v>
      </c>
      <c r="T5">
        <f t="shared" si="0"/>
        <v>2037.0384615384614</v>
      </c>
      <c r="U5">
        <f t="shared" si="0"/>
        <v>2037.0384615384614</v>
      </c>
      <c r="V5">
        <f t="shared" si="0"/>
        <v>2037.0384615384614</v>
      </c>
      <c r="W5">
        <f t="shared" si="0"/>
        <v>2037.0384615384614</v>
      </c>
      <c r="X5">
        <f t="shared" si="0"/>
        <v>2037.0384615384614</v>
      </c>
      <c r="Y5">
        <f t="shared" si="0"/>
        <v>2037.0384615384614</v>
      </c>
      <c r="Z5">
        <f t="shared" si="0"/>
        <v>2037.0384615384614</v>
      </c>
      <c r="AA5">
        <f t="shared" si="0"/>
        <v>2037.0384615384614</v>
      </c>
      <c r="AB5">
        <f t="shared" si="0"/>
        <v>2037.0384615384614</v>
      </c>
      <c r="AC5">
        <f t="shared" si="0"/>
        <v>2037.0384615384614</v>
      </c>
      <c r="AD5">
        <f t="shared" si="0"/>
        <v>2037.0384615384614</v>
      </c>
      <c r="AE5">
        <f t="shared" si="0"/>
        <v>2037.0384615384614</v>
      </c>
      <c r="AF5">
        <f t="shared" si="0"/>
        <v>2037.0384615384614</v>
      </c>
      <c r="AG5">
        <f t="shared" si="0"/>
        <v>2037.0384615384614</v>
      </c>
      <c r="AH5">
        <f t="shared" si="0"/>
        <v>2037.0384615384614</v>
      </c>
      <c r="AI5">
        <f t="shared" si="0"/>
        <v>2037.0384615384614</v>
      </c>
      <c r="AJ5">
        <f t="shared" si="0"/>
        <v>2037.0384615384614</v>
      </c>
      <c r="AK5">
        <f t="shared" si="0"/>
        <v>2037.0384615384614</v>
      </c>
      <c r="AL5">
        <f t="shared" si="0"/>
        <v>2037.0384615384614</v>
      </c>
      <c r="AM5">
        <f t="shared" si="0"/>
        <v>2037.0384615384614</v>
      </c>
      <c r="AN5">
        <f t="shared" si="0"/>
        <v>2037.0384615384614</v>
      </c>
      <c r="AO5">
        <f t="shared" si="0"/>
        <v>2037.0384615384614</v>
      </c>
      <c r="AP5">
        <f t="shared" si="0"/>
        <v>2037.0384615384614</v>
      </c>
      <c r="AQ5">
        <f t="shared" si="0"/>
        <v>2037.0384615384614</v>
      </c>
      <c r="AR5">
        <f t="shared" si="0"/>
        <v>2037.0384615384614</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ref="BP5:BT5" si="1">BP4/26</f>
        <v>0</v>
      </c>
      <c r="BQ5">
        <f t="shared" si="1"/>
        <v>0</v>
      </c>
      <c r="BR5">
        <f t="shared" si="1"/>
        <v>0</v>
      </c>
      <c r="BS5">
        <f t="shared" si="1"/>
        <v>0</v>
      </c>
      <c r="BT5">
        <f t="shared" si="1"/>
        <v>0</v>
      </c>
    </row>
    <row r="6" spans="2:72" x14ac:dyDescent="0.25">
      <c r="B6" t="s">
        <v>991</v>
      </c>
      <c r="F6">
        <v>7.44</v>
      </c>
      <c r="G6">
        <v>7.69</v>
      </c>
      <c r="H6">
        <v>8.01</v>
      </c>
      <c r="I6">
        <v>8.2799999999999994</v>
      </c>
      <c r="J6">
        <v>8.61</v>
      </c>
      <c r="K6">
        <v>8.91</v>
      </c>
      <c r="L6">
        <v>9.2799999999999994</v>
      </c>
      <c r="M6">
        <v>9.6199999999999992</v>
      </c>
      <c r="N6">
        <v>9.99</v>
      </c>
      <c r="O6">
        <v>10.35</v>
      </c>
      <c r="P6">
        <v>10.75</v>
      </c>
      <c r="Q6">
        <v>11.16</v>
      </c>
      <c r="R6">
        <v>11.16</v>
      </c>
      <c r="S6">
        <v>11.16</v>
      </c>
      <c r="T6">
        <v>11.16</v>
      </c>
      <c r="U6">
        <v>11.16</v>
      </c>
      <c r="V6">
        <v>11.16</v>
      </c>
      <c r="W6">
        <v>11.16</v>
      </c>
      <c r="X6">
        <v>11.16</v>
      </c>
      <c r="Y6">
        <v>11.16</v>
      </c>
      <c r="Z6">
        <v>11.16</v>
      </c>
      <c r="AA6">
        <v>11.16</v>
      </c>
      <c r="AB6">
        <v>11.16</v>
      </c>
      <c r="AC6">
        <v>11.16</v>
      </c>
      <c r="AD6">
        <v>11.16</v>
      </c>
      <c r="AE6">
        <v>11.16</v>
      </c>
      <c r="AF6">
        <v>11.16</v>
      </c>
      <c r="AG6">
        <v>11.16</v>
      </c>
      <c r="AH6">
        <v>11.16</v>
      </c>
      <c r="AI6">
        <v>11.16</v>
      </c>
      <c r="AJ6">
        <v>11.16</v>
      </c>
      <c r="AK6">
        <v>11.16</v>
      </c>
      <c r="AL6">
        <v>11.16</v>
      </c>
      <c r="AM6">
        <v>11.16</v>
      </c>
      <c r="AN6">
        <v>11.16</v>
      </c>
      <c r="AO6">
        <v>11.16</v>
      </c>
      <c r="AP6">
        <v>11.16</v>
      </c>
      <c r="AQ6">
        <v>11.16</v>
      </c>
      <c r="AR6">
        <v>11.16</v>
      </c>
    </row>
    <row r="7" spans="2:72" x14ac:dyDescent="0.25">
      <c r="B7" t="s">
        <v>992</v>
      </c>
      <c r="F7">
        <f t="shared" ref="F7:BO7" si="2">F6*26</f>
        <v>193.44</v>
      </c>
      <c r="G7">
        <f t="shared" si="2"/>
        <v>199.94</v>
      </c>
      <c r="H7">
        <f t="shared" si="2"/>
        <v>208.26</v>
      </c>
      <c r="I7">
        <f t="shared" si="2"/>
        <v>215.27999999999997</v>
      </c>
      <c r="J7">
        <f t="shared" si="2"/>
        <v>223.85999999999999</v>
      </c>
      <c r="K7">
        <f t="shared" si="2"/>
        <v>231.66</v>
      </c>
      <c r="L7">
        <f t="shared" si="2"/>
        <v>241.27999999999997</v>
      </c>
      <c r="M7">
        <f t="shared" si="2"/>
        <v>250.11999999999998</v>
      </c>
      <c r="N7">
        <f t="shared" si="2"/>
        <v>259.74</v>
      </c>
      <c r="O7">
        <f t="shared" si="2"/>
        <v>269.09999999999997</v>
      </c>
      <c r="P7">
        <f t="shared" si="2"/>
        <v>279.5</v>
      </c>
      <c r="Q7">
        <f t="shared" si="2"/>
        <v>290.16000000000003</v>
      </c>
      <c r="R7">
        <f t="shared" si="2"/>
        <v>290.16000000000003</v>
      </c>
      <c r="S7">
        <f t="shared" si="2"/>
        <v>290.16000000000003</v>
      </c>
      <c r="T7">
        <f t="shared" si="2"/>
        <v>290.16000000000003</v>
      </c>
      <c r="U7">
        <f t="shared" si="2"/>
        <v>290.16000000000003</v>
      </c>
      <c r="V7">
        <f t="shared" si="2"/>
        <v>290.16000000000003</v>
      </c>
      <c r="W7">
        <f t="shared" si="2"/>
        <v>290.16000000000003</v>
      </c>
      <c r="X7">
        <f t="shared" si="2"/>
        <v>290.16000000000003</v>
      </c>
      <c r="Y7">
        <f t="shared" si="2"/>
        <v>290.16000000000003</v>
      </c>
      <c r="Z7">
        <f t="shared" si="2"/>
        <v>290.16000000000003</v>
      </c>
      <c r="AA7">
        <f t="shared" si="2"/>
        <v>290.16000000000003</v>
      </c>
      <c r="AB7">
        <f t="shared" si="2"/>
        <v>290.16000000000003</v>
      </c>
      <c r="AC7">
        <f t="shared" si="2"/>
        <v>290.16000000000003</v>
      </c>
      <c r="AD7">
        <f t="shared" si="2"/>
        <v>290.16000000000003</v>
      </c>
      <c r="AE7">
        <f t="shared" si="2"/>
        <v>290.16000000000003</v>
      </c>
      <c r="AF7">
        <f t="shared" si="2"/>
        <v>290.16000000000003</v>
      </c>
      <c r="AG7">
        <f t="shared" si="2"/>
        <v>290.16000000000003</v>
      </c>
      <c r="AH7">
        <f t="shared" si="2"/>
        <v>290.16000000000003</v>
      </c>
      <c r="AI7">
        <f t="shared" si="2"/>
        <v>290.16000000000003</v>
      </c>
      <c r="AJ7">
        <f t="shared" si="2"/>
        <v>290.16000000000003</v>
      </c>
      <c r="AK7">
        <f t="shared" si="2"/>
        <v>290.16000000000003</v>
      </c>
      <c r="AL7">
        <f t="shared" si="2"/>
        <v>290.16000000000003</v>
      </c>
      <c r="AM7">
        <f t="shared" si="2"/>
        <v>290.16000000000003</v>
      </c>
      <c r="AN7">
        <f t="shared" si="2"/>
        <v>290.16000000000003</v>
      </c>
      <c r="AO7">
        <f t="shared" si="2"/>
        <v>290.16000000000003</v>
      </c>
      <c r="AP7">
        <f t="shared" si="2"/>
        <v>290.16000000000003</v>
      </c>
      <c r="AQ7">
        <f t="shared" si="2"/>
        <v>290.16000000000003</v>
      </c>
      <c r="AR7">
        <f t="shared" si="2"/>
        <v>290.16000000000003</v>
      </c>
      <c r="AS7">
        <f t="shared" si="2"/>
        <v>0</v>
      </c>
      <c r="AT7">
        <f t="shared" si="2"/>
        <v>0</v>
      </c>
      <c r="AU7">
        <f t="shared" si="2"/>
        <v>0</v>
      </c>
      <c r="AV7">
        <f t="shared" si="2"/>
        <v>0</v>
      </c>
      <c r="AW7">
        <f t="shared" si="2"/>
        <v>0</v>
      </c>
      <c r="AX7">
        <f t="shared" si="2"/>
        <v>0</v>
      </c>
      <c r="AY7">
        <f t="shared" si="2"/>
        <v>0</v>
      </c>
      <c r="AZ7">
        <f t="shared" si="2"/>
        <v>0</v>
      </c>
      <c r="BA7">
        <f t="shared" si="2"/>
        <v>0</v>
      </c>
      <c r="BB7">
        <f t="shared" si="2"/>
        <v>0</v>
      </c>
      <c r="BC7">
        <f t="shared" si="2"/>
        <v>0</v>
      </c>
      <c r="BD7">
        <f t="shared" si="2"/>
        <v>0</v>
      </c>
      <c r="BE7">
        <f t="shared" si="2"/>
        <v>0</v>
      </c>
      <c r="BF7">
        <f t="shared" si="2"/>
        <v>0</v>
      </c>
      <c r="BG7">
        <f t="shared" si="2"/>
        <v>0</v>
      </c>
      <c r="BH7">
        <f t="shared" si="2"/>
        <v>0</v>
      </c>
      <c r="BI7">
        <f t="shared" si="2"/>
        <v>0</v>
      </c>
      <c r="BJ7">
        <f t="shared" si="2"/>
        <v>0</v>
      </c>
      <c r="BK7">
        <f t="shared" si="2"/>
        <v>0</v>
      </c>
      <c r="BL7">
        <f t="shared" si="2"/>
        <v>0</v>
      </c>
      <c r="BM7">
        <f t="shared" si="2"/>
        <v>0</v>
      </c>
      <c r="BN7">
        <f t="shared" si="2"/>
        <v>0</v>
      </c>
      <c r="BO7">
        <f t="shared" si="2"/>
        <v>0</v>
      </c>
      <c r="BP7">
        <f t="shared" ref="BP7:BT7" si="3">BP6*26</f>
        <v>0</v>
      </c>
      <c r="BQ7">
        <f t="shared" si="3"/>
        <v>0</v>
      </c>
      <c r="BR7">
        <f t="shared" si="3"/>
        <v>0</v>
      </c>
      <c r="BS7">
        <f t="shared" si="3"/>
        <v>0</v>
      </c>
      <c r="BT7">
        <f t="shared" si="3"/>
        <v>0</v>
      </c>
    </row>
    <row r="9" spans="2:72" x14ac:dyDescent="0.25">
      <c r="B9" t="s">
        <v>989</v>
      </c>
      <c r="C9">
        <f>Sommaire!C63</f>
        <v>7529.356580593425</v>
      </c>
      <c r="D9">
        <f>Sommaire!D63</f>
        <v>7529.356580593425</v>
      </c>
      <c r="E9">
        <f>Sommaire!E63</f>
        <v>7529.356580593425</v>
      </c>
      <c r="F9">
        <f>Sommaire!F63</f>
        <v>35302</v>
      </c>
      <c r="G9">
        <f>Sommaire!G63</f>
        <v>36471</v>
      </c>
      <c r="H9">
        <f>Sommaire!H63</f>
        <v>37987</v>
      </c>
      <c r="I9">
        <f>Sommaire!I63</f>
        <v>39302</v>
      </c>
      <c r="J9">
        <f>Sommaire!J63</f>
        <v>40854</v>
      </c>
      <c r="K9">
        <f>Sommaire!K63</f>
        <v>42279</v>
      </c>
      <c r="L9">
        <f>Sommaire!L63</f>
        <v>93442.99000000002</v>
      </c>
      <c r="M9">
        <f>Sommaire!M63</f>
        <v>96066.64800000003</v>
      </c>
      <c r="N9">
        <f>Sommaire!N63</f>
        <v>48147.687884615414</v>
      </c>
      <c r="O9">
        <f>Sommaire!O63</f>
        <v>101551.96400000004</v>
      </c>
      <c r="P9">
        <f>Sommaire!P63</f>
        <v>50154.288269230798</v>
      </c>
      <c r="Q9">
        <f>Sommaire!Q63</f>
        <v>107385.28000000003</v>
      </c>
      <c r="R9">
        <f>Sommaire!R63</f>
        <v>108383.93800000002</v>
      </c>
      <c r="S9">
        <f>Sommaire!S63</f>
        <v>109382.59600000003</v>
      </c>
      <c r="T9">
        <f>Sommaire!T63</f>
        <v>110381.254</v>
      </c>
      <c r="U9">
        <f>Sommaire!U63</f>
        <v>111379.91200000001</v>
      </c>
      <c r="V9">
        <f>Sommaire!V63</f>
        <v>112378.57</v>
      </c>
      <c r="W9">
        <f>Sommaire!W63</f>
        <v>113377.228</v>
      </c>
      <c r="X9">
        <f>Sommaire!X63</f>
        <v>114375.88600000001</v>
      </c>
      <c r="Y9">
        <f>Sommaire!Y63</f>
        <v>115374.54400000002</v>
      </c>
      <c r="Z9">
        <f>Sommaire!Z63</f>
        <v>116018.93799999999</v>
      </c>
      <c r="AA9">
        <f>Sommaire!AA63</f>
        <v>116018.93799999999</v>
      </c>
      <c r="AB9">
        <f>Sommaire!AB63</f>
        <v>116018.93799999999</v>
      </c>
      <c r="AC9">
        <f>Sommaire!AC63</f>
        <v>116018.93799999999</v>
      </c>
      <c r="AD9">
        <f>Sommaire!AD63</f>
        <v>116018.93799999999</v>
      </c>
      <c r="AE9">
        <f>Sommaire!AE63</f>
        <v>116018.93799999999</v>
      </c>
      <c r="AF9">
        <f>Sommaire!AF63</f>
        <v>116018.93799999999</v>
      </c>
      <c r="AG9">
        <f>Sommaire!AG63</f>
        <v>116018.93799999999</v>
      </c>
      <c r="AH9">
        <f>Sommaire!AH63</f>
        <v>116018.93799999999</v>
      </c>
      <c r="AI9">
        <f>Sommaire!AI63</f>
        <v>116018.93799999999</v>
      </c>
      <c r="AJ9">
        <f>Sommaire!AJ63</f>
        <v>116018.93799999999</v>
      </c>
      <c r="AK9">
        <f>Sommaire!AK63</f>
        <v>116018.93799999999</v>
      </c>
      <c r="AL9">
        <f>Sommaire!AL63</f>
        <v>116018.93799999999</v>
      </c>
      <c r="AM9">
        <f>Sommaire!AM63</f>
        <v>116018.93799999999</v>
      </c>
      <c r="AN9">
        <f>Sommaire!AN63</f>
        <v>116018.93799999999</v>
      </c>
      <c r="AO9">
        <f>Sommaire!AO63</f>
        <v>116018.93799999999</v>
      </c>
      <c r="AP9">
        <f>Sommaire!AP63</f>
        <v>116018.93799999999</v>
      </c>
      <c r="AQ9">
        <f>Sommaire!AQ63</f>
        <v>116018.93799999999</v>
      </c>
      <c r="AR9">
        <f>Sommaire!AR63</f>
        <v>116018.93799999999</v>
      </c>
      <c r="AS9">
        <f>Sommaire!AS63</f>
        <v>50086.14</v>
      </c>
      <c r="AT9">
        <f>Sommaire!AT63</f>
        <v>50086.14</v>
      </c>
      <c r="AU9">
        <f>Sommaire!AU63</f>
        <v>50086.14</v>
      </c>
      <c r="AV9">
        <f>Sommaire!AV63</f>
        <v>50086.14</v>
      </c>
      <c r="AW9">
        <f>Sommaire!AW63</f>
        <v>50086.14</v>
      </c>
      <c r="AX9">
        <f>Sommaire!AX63</f>
        <v>37110.205000000002</v>
      </c>
      <c r="AY9">
        <f>Sommaire!AY63</f>
        <v>37110.205000000002</v>
      </c>
      <c r="AZ9">
        <f>Sommaire!AZ63</f>
        <v>37110.205000000002</v>
      </c>
      <c r="BA9">
        <f>Sommaire!BA63</f>
        <v>37110.205000000002</v>
      </c>
      <c r="BB9">
        <f>Sommaire!BB63</f>
        <v>37110.205000000002</v>
      </c>
      <c r="BC9">
        <f>Sommaire!BC63</f>
        <v>37110.205000000002</v>
      </c>
      <c r="BD9">
        <f>Sommaire!BD63</f>
        <v>37110.205000000002</v>
      </c>
      <c r="BE9">
        <f>Sommaire!BE63</f>
        <v>37110.205000000002</v>
      </c>
      <c r="BF9">
        <f>Sommaire!BF63</f>
        <v>37110.205000000002</v>
      </c>
      <c r="BG9">
        <f>Sommaire!BG63</f>
        <v>37110.205000000002</v>
      </c>
      <c r="BH9">
        <f>Sommaire!BH63</f>
        <v>37110.205000000002</v>
      </c>
      <c r="BI9">
        <f>Sommaire!BI63</f>
        <v>37110.205000000002</v>
      </c>
      <c r="BJ9">
        <f>Sommaire!BJ63</f>
        <v>37110.205000000002</v>
      </c>
      <c r="BK9">
        <f>Sommaire!BK63</f>
        <v>37110.205000000002</v>
      </c>
      <c r="BL9">
        <f>Sommaire!BL63</f>
        <v>37110.205000000002</v>
      </c>
      <c r="BM9">
        <f>Sommaire!BM63</f>
        <v>37110.205000000002</v>
      </c>
      <c r="BN9">
        <f>Sommaire!BN63</f>
        <v>37083.505000000005</v>
      </c>
      <c r="BO9">
        <f>Sommaire!BO63</f>
        <v>28335.205000000002</v>
      </c>
      <c r="BP9">
        <f>Sommaire!BP63</f>
        <v>28335.205000000002</v>
      </c>
      <c r="BQ9">
        <f>Sommaire!BQ63</f>
        <v>28335.205000000002</v>
      </c>
      <c r="BR9">
        <f>Sommaire!BR63</f>
        <v>28335.205000000002</v>
      </c>
      <c r="BS9">
        <f>Sommaire!BS63</f>
        <v>28335.205000000002</v>
      </c>
      <c r="BT9">
        <f>Sommaire!BT63</f>
        <v>28335.205000000002</v>
      </c>
    </row>
    <row r="10" spans="2:72" x14ac:dyDescent="0.25">
      <c r="B10" t="s">
        <v>990</v>
      </c>
      <c r="C10">
        <f>C9/26</f>
        <v>289.59063771513172</v>
      </c>
      <c r="D10">
        <f t="shared" ref="D10:BO10" si="4">D9/26</f>
        <v>289.59063771513172</v>
      </c>
      <c r="E10">
        <f t="shared" si="4"/>
        <v>289.59063771513172</v>
      </c>
      <c r="F10">
        <f t="shared" si="4"/>
        <v>1357.7692307692307</v>
      </c>
      <c r="G10">
        <f t="shared" si="4"/>
        <v>1402.7307692307693</v>
      </c>
      <c r="H10">
        <f t="shared" si="4"/>
        <v>1461.0384615384614</v>
      </c>
      <c r="I10">
        <f t="shared" si="4"/>
        <v>1511.6153846153845</v>
      </c>
      <c r="J10">
        <f t="shared" si="4"/>
        <v>1571.3076923076924</v>
      </c>
      <c r="K10">
        <f t="shared" si="4"/>
        <v>1626.1153846153845</v>
      </c>
      <c r="L10">
        <f t="shared" si="4"/>
        <v>3593.9611538461545</v>
      </c>
      <c r="M10">
        <f t="shared" si="4"/>
        <v>3694.8710769230779</v>
      </c>
      <c r="N10">
        <f t="shared" si="4"/>
        <v>1851.8341494082852</v>
      </c>
      <c r="O10">
        <f t="shared" si="4"/>
        <v>3905.8447692307705</v>
      </c>
      <c r="P10">
        <f t="shared" si="4"/>
        <v>1929.0110872781077</v>
      </c>
      <c r="Q10">
        <f t="shared" si="4"/>
        <v>4130.2030769230778</v>
      </c>
      <c r="R10">
        <f t="shared" si="4"/>
        <v>4168.6130000000012</v>
      </c>
      <c r="S10">
        <f t="shared" si="4"/>
        <v>4207.0229230769246</v>
      </c>
      <c r="T10">
        <f t="shared" si="4"/>
        <v>4245.4328461538462</v>
      </c>
      <c r="U10">
        <f t="shared" si="4"/>
        <v>4283.8427692307696</v>
      </c>
      <c r="V10">
        <f t="shared" si="4"/>
        <v>4322.252692307693</v>
      </c>
      <c r="W10">
        <f t="shared" si="4"/>
        <v>4360.6626153846155</v>
      </c>
      <c r="X10">
        <f t="shared" si="4"/>
        <v>4399.0725384615389</v>
      </c>
      <c r="Y10">
        <f t="shared" si="4"/>
        <v>4437.4824615384623</v>
      </c>
      <c r="Z10">
        <f t="shared" si="4"/>
        <v>4462.266846153846</v>
      </c>
      <c r="AA10">
        <f t="shared" si="4"/>
        <v>4462.266846153846</v>
      </c>
      <c r="AB10">
        <f t="shared" si="4"/>
        <v>4462.266846153846</v>
      </c>
      <c r="AC10">
        <f t="shared" si="4"/>
        <v>4462.266846153846</v>
      </c>
      <c r="AD10">
        <f t="shared" si="4"/>
        <v>4462.266846153846</v>
      </c>
      <c r="AE10">
        <f t="shared" si="4"/>
        <v>4462.266846153846</v>
      </c>
      <c r="AF10">
        <f t="shared" si="4"/>
        <v>4462.266846153846</v>
      </c>
      <c r="AG10">
        <f t="shared" si="4"/>
        <v>4462.266846153846</v>
      </c>
      <c r="AH10">
        <f t="shared" si="4"/>
        <v>4462.266846153846</v>
      </c>
      <c r="AI10">
        <f t="shared" si="4"/>
        <v>4462.266846153846</v>
      </c>
      <c r="AJ10">
        <f t="shared" si="4"/>
        <v>4462.266846153846</v>
      </c>
      <c r="AK10">
        <f t="shared" si="4"/>
        <v>4462.266846153846</v>
      </c>
      <c r="AL10">
        <f t="shared" si="4"/>
        <v>4462.266846153846</v>
      </c>
      <c r="AM10">
        <f t="shared" si="4"/>
        <v>4462.266846153846</v>
      </c>
      <c r="AN10">
        <f t="shared" si="4"/>
        <v>4462.266846153846</v>
      </c>
      <c r="AO10">
        <f t="shared" si="4"/>
        <v>4462.266846153846</v>
      </c>
      <c r="AP10">
        <f t="shared" si="4"/>
        <v>4462.266846153846</v>
      </c>
      <c r="AQ10">
        <f t="shared" si="4"/>
        <v>4462.266846153846</v>
      </c>
      <c r="AR10">
        <f t="shared" si="4"/>
        <v>4462.266846153846</v>
      </c>
      <c r="AS10">
        <f t="shared" si="4"/>
        <v>1926.3899999999999</v>
      </c>
      <c r="AT10">
        <f t="shared" si="4"/>
        <v>1926.3899999999999</v>
      </c>
      <c r="AU10">
        <f t="shared" si="4"/>
        <v>1926.3899999999999</v>
      </c>
      <c r="AV10">
        <f t="shared" si="4"/>
        <v>1926.3899999999999</v>
      </c>
      <c r="AW10">
        <f t="shared" si="4"/>
        <v>1926.3899999999999</v>
      </c>
      <c r="AX10">
        <f t="shared" si="4"/>
        <v>1427.3155769230771</v>
      </c>
      <c r="AY10">
        <f t="shared" si="4"/>
        <v>1427.3155769230771</v>
      </c>
      <c r="AZ10">
        <f t="shared" si="4"/>
        <v>1427.3155769230771</v>
      </c>
      <c r="BA10">
        <f t="shared" si="4"/>
        <v>1427.3155769230771</v>
      </c>
      <c r="BB10">
        <f t="shared" si="4"/>
        <v>1427.3155769230771</v>
      </c>
      <c r="BC10">
        <f t="shared" si="4"/>
        <v>1427.3155769230771</v>
      </c>
      <c r="BD10">
        <f t="shared" si="4"/>
        <v>1427.3155769230771</v>
      </c>
      <c r="BE10">
        <f t="shared" si="4"/>
        <v>1427.3155769230771</v>
      </c>
      <c r="BF10">
        <f t="shared" si="4"/>
        <v>1427.3155769230771</v>
      </c>
      <c r="BG10">
        <f t="shared" si="4"/>
        <v>1427.3155769230771</v>
      </c>
      <c r="BH10">
        <f t="shared" si="4"/>
        <v>1427.3155769230771</v>
      </c>
      <c r="BI10">
        <f t="shared" si="4"/>
        <v>1427.3155769230771</v>
      </c>
      <c r="BJ10">
        <f t="shared" si="4"/>
        <v>1427.3155769230771</v>
      </c>
      <c r="BK10">
        <f t="shared" si="4"/>
        <v>1427.3155769230771</v>
      </c>
      <c r="BL10">
        <f t="shared" si="4"/>
        <v>1427.3155769230771</v>
      </c>
      <c r="BM10">
        <f t="shared" si="4"/>
        <v>1427.3155769230771</v>
      </c>
      <c r="BN10">
        <f t="shared" si="4"/>
        <v>1426.2886538461539</v>
      </c>
      <c r="BO10">
        <f t="shared" si="4"/>
        <v>1089.8155769230771</v>
      </c>
      <c r="BP10">
        <f t="shared" ref="BP10:BT10" si="5">BP9/26</f>
        <v>1089.8155769230771</v>
      </c>
      <c r="BQ10">
        <f t="shared" si="5"/>
        <v>1089.8155769230771</v>
      </c>
      <c r="BR10">
        <f t="shared" si="5"/>
        <v>1089.8155769230771</v>
      </c>
      <c r="BS10">
        <f t="shared" si="5"/>
        <v>1089.8155769230771</v>
      </c>
      <c r="BT10">
        <f t="shared" si="5"/>
        <v>1089.8155769230771</v>
      </c>
    </row>
    <row r="11" spans="2:72" x14ac:dyDescent="0.25">
      <c r="B11" t="s">
        <v>991</v>
      </c>
      <c r="F11">
        <v>7.44</v>
      </c>
      <c r="G11">
        <v>7.69</v>
      </c>
      <c r="H11">
        <v>8.01</v>
      </c>
      <c r="I11">
        <v>8.2799999999999994</v>
      </c>
      <c r="J11">
        <v>8.61</v>
      </c>
      <c r="K11">
        <v>8.91</v>
      </c>
      <c r="L11">
        <v>19.7</v>
      </c>
      <c r="M11">
        <v>20.25</v>
      </c>
      <c r="N11">
        <v>0</v>
      </c>
      <c r="O11">
        <v>21.4</v>
      </c>
      <c r="P11">
        <v>0</v>
      </c>
      <c r="Q11">
        <v>22.66</v>
      </c>
      <c r="R11">
        <v>22.82</v>
      </c>
      <c r="S11">
        <v>23.04</v>
      </c>
      <c r="T11">
        <v>23.26</v>
      </c>
      <c r="U11">
        <v>23.48</v>
      </c>
      <c r="V11">
        <v>23.7</v>
      </c>
      <c r="W11">
        <v>23.92</v>
      </c>
      <c r="X11">
        <v>24.08</v>
      </c>
      <c r="Y11">
        <v>24.36</v>
      </c>
      <c r="Z11">
        <v>24.47</v>
      </c>
      <c r="AA11">
        <v>24.47</v>
      </c>
      <c r="AB11">
        <v>24.47</v>
      </c>
      <c r="AC11">
        <v>24.47</v>
      </c>
      <c r="AD11">
        <v>24.47</v>
      </c>
      <c r="AE11">
        <v>24.47</v>
      </c>
      <c r="AF11">
        <v>24.47</v>
      </c>
      <c r="AG11">
        <v>24.47</v>
      </c>
      <c r="AH11">
        <v>24.47</v>
      </c>
      <c r="AI11">
        <v>24.47</v>
      </c>
      <c r="AJ11">
        <v>24.47</v>
      </c>
      <c r="AK11">
        <v>24.47</v>
      </c>
      <c r="AL11">
        <v>24.47</v>
      </c>
      <c r="AM11">
        <v>24.47</v>
      </c>
      <c r="AN11">
        <v>24.47</v>
      </c>
      <c r="AO11">
        <v>24.47</v>
      </c>
      <c r="AP11">
        <v>24.47</v>
      </c>
      <c r="AQ11">
        <v>24.47</v>
      </c>
      <c r="AR11">
        <v>24.47</v>
      </c>
      <c r="AS11">
        <v>14.36</v>
      </c>
      <c r="AT11">
        <v>14.36</v>
      </c>
      <c r="AU11">
        <v>10.15</v>
      </c>
      <c r="AV11">
        <v>10.15</v>
      </c>
      <c r="AW11">
        <v>10.15</v>
      </c>
      <c r="AX11">
        <v>7.26</v>
      </c>
      <c r="AY11">
        <v>7.26</v>
      </c>
      <c r="AZ11">
        <v>7.26</v>
      </c>
      <c r="BA11">
        <v>7.26</v>
      </c>
      <c r="BB11">
        <v>7.26</v>
      </c>
      <c r="BC11">
        <v>7.26</v>
      </c>
      <c r="BD11">
        <v>7.26</v>
      </c>
      <c r="BE11">
        <v>7.26</v>
      </c>
      <c r="BF11">
        <v>7.26</v>
      </c>
      <c r="BG11">
        <v>7.26</v>
      </c>
      <c r="BH11">
        <v>7.26</v>
      </c>
      <c r="BI11">
        <v>7.26</v>
      </c>
      <c r="BJ11">
        <v>7.26</v>
      </c>
      <c r="BK11">
        <v>7.26</v>
      </c>
      <c r="BL11">
        <v>5.15</v>
      </c>
      <c r="BM11">
        <v>5.15</v>
      </c>
      <c r="BN11">
        <v>5.15</v>
      </c>
      <c r="BO11">
        <v>5.15</v>
      </c>
      <c r="BP11">
        <v>5.15</v>
      </c>
      <c r="BQ11">
        <v>5.15</v>
      </c>
      <c r="BR11">
        <v>5.15</v>
      </c>
      <c r="BS11">
        <v>5.15</v>
      </c>
      <c r="BT11">
        <v>5.15</v>
      </c>
    </row>
    <row r="12" spans="2:72" x14ac:dyDescent="0.25">
      <c r="B12" t="s">
        <v>992</v>
      </c>
      <c r="C12">
        <f>C11*26</f>
        <v>0</v>
      </c>
      <c r="D12">
        <f t="shared" ref="D12:BO12" si="6">D11*26</f>
        <v>0</v>
      </c>
      <c r="E12">
        <f t="shared" si="6"/>
        <v>0</v>
      </c>
      <c r="F12">
        <f t="shared" si="6"/>
        <v>193.44</v>
      </c>
      <c r="G12">
        <f t="shared" si="6"/>
        <v>199.94</v>
      </c>
      <c r="H12">
        <f t="shared" si="6"/>
        <v>208.26</v>
      </c>
      <c r="I12">
        <f t="shared" si="6"/>
        <v>215.27999999999997</v>
      </c>
      <c r="J12">
        <f t="shared" si="6"/>
        <v>223.85999999999999</v>
      </c>
      <c r="K12">
        <f t="shared" si="6"/>
        <v>231.66</v>
      </c>
      <c r="L12">
        <f t="shared" si="6"/>
        <v>512.19999999999993</v>
      </c>
      <c r="M12">
        <f t="shared" si="6"/>
        <v>526.5</v>
      </c>
      <c r="N12">
        <f t="shared" si="6"/>
        <v>0</v>
      </c>
      <c r="O12">
        <f t="shared" si="6"/>
        <v>556.4</v>
      </c>
      <c r="P12">
        <f t="shared" si="6"/>
        <v>0</v>
      </c>
      <c r="Q12">
        <f t="shared" si="6"/>
        <v>589.16</v>
      </c>
      <c r="R12">
        <f t="shared" si="6"/>
        <v>593.32000000000005</v>
      </c>
      <c r="S12">
        <f t="shared" si="6"/>
        <v>599.04</v>
      </c>
      <c r="T12">
        <f t="shared" si="6"/>
        <v>604.76</v>
      </c>
      <c r="U12">
        <f t="shared" si="6"/>
        <v>610.48</v>
      </c>
      <c r="V12">
        <f t="shared" si="6"/>
        <v>616.19999999999993</v>
      </c>
      <c r="W12">
        <f t="shared" si="6"/>
        <v>621.92000000000007</v>
      </c>
      <c r="X12">
        <f t="shared" si="6"/>
        <v>626.07999999999993</v>
      </c>
      <c r="Y12">
        <f t="shared" si="6"/>
        <v>633.36</v>
      </c>
      <c r="Z12">
        <f t="shared" si="6"/>
        <v>636.22</v>
      </c>
      <c r="AA12">
        <f t="shared" si="6"/>
        <v>636.22</v>
      </c>
      <c r="AB12">
        <f t="shared" si="6"/>
        <v>636.22</v>
      </c>
      <c r="AC12">
        <f t="shared" si="6"/>
        <v>636.22</v>
      </c>
      <c r="AD12">
        <f t="shared" si="6"/>
        <v>636.22</v>
      </c>
      <c r="AE12">
        <f t="shared" si="6"/>
        <v>636.22</v>
      </c>
      <c r="AF12">
        <f t="shared" si="6"/>
        <v>636.22</v>
      </c>
      <c r="AG12">
        <f t="shared" si="6"/>
        <v>636.22</v>
      </c>
      <c r="AH12">
        <f t="shared" si="6"/>
        <v>636.22</v>
      </c>
      <c r="AI12">
        <f t="shared" si="6"/>
        <v>636.22</v>
      </c>
      <c r="AJ12">
        <f t="shared" si="6"/>
        <v>636.22</v>
      </c>
      <c r="AK12">
        <f t="shared" si="6"/>
        <v>636.22</v>
      </c>
      <c r="AL12">
        <f t="shared" si="6"/>
        <v>636.22</v>
      </c>
      <c r="AM12">
        <f t="shared" si="6"/>
        <v>636.22</v>
      </c>
      <c r="AN12">
        <f t="shared" si="6"/>
        <v>636.22</v>
      </c>
      <c r="AO12">
        <f t="shared" si="6"/>
        <v>636.22</v>
      </c>
      <c r="AP12">
        <f t="shared" si="6"/>
        <v>636.22</v>
      </c>
      <c r="AQ12">
        <f t="shared" si="6"/>
        <v>636.22</v>
      </c>
      <c r="AR12">
        <f t="shared" si="6"/>
        <v>636.22</v>
      </c>
      <c r="AS12">
        <f t="shared" si="6"/>
        <v>373.36</v>
      </c>
      <c r="AT12">
        <f t="shared" si="6"/>
        <v>373.36</v>
      </c>
      <c r="AU12">
        <f t="shared" si="6"/>
        <v>263.90000000000003</v>
      </c>
      <c r="AV12">
        <f t="shared" si="6"/>
        <v>263.90000000000003</v>
      </c>
      <c r="AW12">
        <f t="shared" si="6"/>
        <v>263.90000000000003</v>
      </c>
      <c r="AX12">
        <f t="shared" si="6"/>
        <v>188.76</v>
      </c>
      <c r="AY12">
        <f t="shared" si="6"/>
        <v>188.76</v>
      </c>
      <c r="AZ12">
        <f t="shared" si="6"/>
        <v>188.76</v>
      </c>
      <c r="BA12">
        <f t="shared" si="6"/>
        <v>188.76</v>
      </c>
      <c r="BB12">
        <f t="shared" si="6"/>
        <v>188.76</v>
      </c>
      <c r="BC12">
        <f t="shared" si="6"/>
        <v>188.76</v>
      </c>
      <c r="BD12">
        <f t="shared" si="6"/>
        <v>188.76</v>
      </c>
      <c r="BE12">
        <f t="shared" si="6"/>
        <v>188.76</v>
      </c>
      <c r="BF12">
        <f t="shared" si="6"/>
        <v>188.76</v>
      </c>
      <c r="BG12">
        <f t="shared" si="6"/>
        <v>188.76</v>
      </c>
      <c r="BH12">
        <f t="shared" si="6"/>
        <v>188.76</v>
      </c>
      <c r="BI12">
        <f t="shared" si="6"/>
        <v>188.76</v>
      </c>
      <c r="BJ12">
        <f t="shared" si="6"/>
        <v>188.76</v>
      </c>
      <c r="BK12">
        <f t="shared" si="6"/>
        <v>188.76</v>
      </c>
      <c r="BL12">
        <f t="shared" si="6"/>
        <v>133.9</v>
      </c>
      <c r="BM12">
        <f t="shared" si="6"/>
        <v>133.9</v>
      </c>
      <c r="BN12">
        <f t="shared" si="6"/>
        <v>133.9</v>
      </c>
      <c r="BO12">
        <f t="shared" si="6"/>
        <v>133.9</v>
      </c>
      <c r="BP12">
        <f t="shared" ref="BP12:BT12" si="7">BP11*26</f>
        <v>133.9</v>
      </c>
      <c r="BQ12">
        <f t="shared" si="7"/>
        <v>133.9</v>
      </c>
      <c r="BR12">
        <f t="shared" si="7"/>
        <v>133.9</v>
      </c>
      <c r="BS12">
        <f t="shared" si="7"/>
        <v>133.9</v>
      </c>
      <c r="BT12">
        <f t="shared" si="7"/>
        <v>133.9</v>
      </c>
    </row>
    <row r="14" spans="2:72" x14ac:dyDescent="0.25">
      <c r="B14" t="s">
        <v>989</v>
      </c>
      <c r="C14">
        <f>Sommaire!C148</f>
        <v>7529.356580593425</v>
      </c>
      <c r="D14">
        <f>Sommaire!D148</f>
        <v>7529.356580593425</v>
      </c>
      <c r="E14">
        <f>Sommaire!E148</f>
        <v>7529.356580593425</v>
      </c>
      <c r="F14">
        <f>Sommaire!F148</f>
        <v>35302</v>
      </c>
      <c r="G14">
        <f>Sommaire!G148</f>
        <v>36471</v>
      </c>
      <c r="H14">
        <f>Sommaire!H148</f>
        <v>37987</v>
      </c>
      <c r="I14">
        <f>Sommaire!I148</f>
        <v>39302</v>
      </c>
      <c r="J14">
        <f>Sommaire!J148</f>
        <v>40854</v>
      </c>
      <c r="K14">
        <f>Sommaire!K148</f>
        <v>42279</v>
      </c>
      <c r="L14">
        <f>Sommaire!L148</f>
        <v>93442.99000000002</v>
      </c>
      <c r="M14">
        <f>Sommaire!M148</f>
        <v>96066.64800000003</v>
      </c>
      <c r="N14">
        <f>Sommaire!N148</f>
        <v>48147.687884615414</v>
      </c>
      <c r="O14">
        <f>Sommaire!O148</f>
        <v>101551.96400000004</v>
      </c>
      <c r="P14">
        <f>Sommaire!P148</f>
        <v>104413.62200000003</v>
      </c>
      <c r="Q14">
        <f>Sommaire!Q148</f>
        <v>107385.28000000003</v>
      </c>
      <c r="R14">
        <f>Sommaire!R148</f>
        <v>108383.93800000002</v>
      </c>
      <c r="S14">
        <f>Sommaire!S148</f>
        <v>109382.59600000003</v>
      </c>
      <c r="T14">
        <f>Sommaire!T148</f>
        <v>110381.254</v>
      </c>
      <c r="U14">
        <f>Sommaire!U148</f>
        <v>111379.91200000001</v>
      </c>
      <c r="V14">
        <f>Sommaire!V148</f>
        <v>112378.57</v>
      </c>
      <c r="W14">
        <f>Sommaire!W148</f>
        <v>113377.228</v>
      </c>
      <c r="X14">
        <f>Sommaire!X148</f>
        <v>114375.88600000001</v>
      </c>
      <c r="Y14">
        <f>Sommaire!Y148</f>
        <v>52963</v>
      </c>
      <c r="Z14">
        <f>Sommaire!Z148</f>
        <v>52963</v>
      </c>
      <c r="AA14">
        <f>Sommaire!AA148</f>
        <v>52963</v>
      </c>
      <c r="AB14">
        <f>Sommaire!AB148</f>
        <v>52963</v>
      </c>
      <c r="AC14">
        <f>Sommaire!AC148</f>
        <v>52963</v>
      </c>
      <c r="AD14">
        <f>Sommaire!AD148</f>
        <v>52963</v>
      </c>
      <c r="AE14">
        <f>Sommaire!AE148</f>
        <v>52963</v>
      </c>
      <c r="AF14">
        <f>Sommaire!AF148</f>
        <v>52963</v>
      </c>
      <c r="AG14">
        <f>Sommaire!AG148</f>
        <v>52963</v>
      </c>
      <c r="AH14">
        <f>Sommaire!AH148</f>
        <v>52963</v>
      </c>
      <c r="AI14">
        <f>Sommaire!AI148</f>
        <v>52963</v>
      </c>
      <c r="AJ14">
        <f>Sommaire!AJ148</f>
        <v>52963</v>
      </c>
      <c r="AK14">
        <f>Sommaire!AK148</f>
        <v>52963</v>
      </c>
      <c r="AL14">
        <f>Sommaire!AL148</f>
        <v>52963</v>
      </c>
      <c r="AM14">
        <f>Sommaire!AM148</f>
        <v>52963</v>
      </c>
      <c r="AN14">
        <f>Sommaire!AN148</f>
        <v>52963</v>
      </c>
      <c r="AO14">
        <f>Sommaire!AO148</f>
        <v>52963</v>
      </c>
      <c r="AP14">
        <f>Sommaire!AP148</f>
        <v>52963</v>
      </c>
      <c r="AQ14">
        <f>Sommaire!AQ148</f>
        <v>52963</v>
      </c>
      <c r="AR14">
        <f>Sommaire!AR148</f>
        <v>52963</v>
      </c>
      <c r="AS14">
        <f>Sommaire!AS148</f>
        <v>41311.14</v>
      </c>
      <c r="AT14">
        <f>Sommaire!AT148</f>
        <v>41311.14</v>
      </c>
      <c r="AU14">
        <f>Sommaire!AU148</f>
        <v>41311.14</v>
      </c>
      <c r="AV14">
        <f>Sommaire!AV148</f>
        <v>41311.14</v>
      </c>
      <c r="AW14">
        <f>Sommaire!AW148</f>
        <v>41311.14</v>
      </c>
      <c r="AX14">
        <f>Sommaire!AX148</f>
        <v>28335.205000000002</v>
      </c>
      <c r="AY14">
        <f>Sommaire!AY148</f>
        <v>28335.205000000002</v>
      </c>
      <c r="AZ14">
        <f>Sommaire!AZ148</f>
        <v>28335.205000000002</v>
      </c>
      <c r="BA14">
        <f>Sommaire!BA148</f>
        <v>28335.205000000002</v>
      </c>
      <c r="BB14">
        <f>Sommaire!BB148</f>
        <v>28335.205000000002</v>
      </c>
      <c r="BC14">
        <f>Sommaire!BC148</f>
        <v>28335.205000000002</v>
      </c>
      <c r="BD14">
        <f>Sommaire!BD148</f>
        <v>28335.205000000002</v>
      </c>
      <c r="BE14">
        <f>Sommaire!BE148</f>
        <v>28335.205000000002</v>
      </c>
      <c r="BF14">
        <f>Sommaire!BF148</f>
        <v>28335.205000000002</v>
      </c>
      <c r="BG14">
        <f>Sommaire!BG148</f>
        <v>28335.205000000002</v>
      </c>
      <c r="BH14">
        <f>Sommaire!BH148</f>
        <v>28335.205000000002</v>
      </c>
      <c r="BI14">
        <f>Sommaire!BI148</f>
        <v>28335.205000000002</v>
      </c>
      <c r="BJ14">
        <f>Sommaire!BJ148</f>
        <v>28335.205000000002</v>
      </c>
      <c r="BK14">
        <f>Sommaire!BK148</f>
        <v>28335.205000000002</v>
      </c>
      <c r="BL14">
        <f>Sommaire!BL148</f>
        <v>28335.205000000002</v>
      </c>
      <c r="BM14">
        <f>Sommaire!BM148</f>
        <v>28335.205000000002</v>
      </c>
      <c r="BN14">
        <f>Sommaire!BN148</f>
        <v>28335.205000000002</v>
      </c>
      <c r="BO14">
        <f>Sommaire!BO148</f>
        <v>28335.205000000002</v>
      </c>
      <c r="BP14">
        <f>Sommaire!BP148</f>
        <v>28335.205000000002</v>
      </c>
      <c r="BQ14">
        <f>Sommaire!BQ148</f>
        <v>28335.205000000002</v>
      </c>
      <c r="BR14">
        <f>Sommaire!BR148</f>
        <v>28335.205000000002</v>
      </c>
      <c r="BS14">
        <f>Sommaire!BS148</f>
        <v>28335.205000000002</v>
      </c>
      <c r="BT14">
        <f>Sommaire!BT148</f>
        <v>28335.205000000002</v>
      </c>
    </row>
    <row r="15" spans="2:72" x14ac:dyDescent="0.25">
      <c r="B15" t="s">
        <v>990</v>
      </c>
      <c r="C15">
        <f>C14/26</f>
        <v>289.59063771513172</v>
      </c>
      <c r="D15">
        <f t="shared" ref="D15:BO15" si="8">D14/26</f>
        <v>289.59063771513172</v>
      </c>
      <c r="E15">
        <f t="shared" si="8"/>
        <v>289.59063771513172</v>
      </c>
      <c r="F15">
        <f t="shared" si="8"/>
        <v>1357.7692307692307</v>
      </c>
      <c r="G15">
        <f t="shared" si="8"/>
        <v>1402.7307692307693</v>
      </c>
      <c r="H15">
        <f t="shared" si="8"/>
        <v>1461.0384615384614</v>
      </c>
      <c r="I15">
        <f t="shared" si="8"/>
        <v>1511.6153846153845</v>
      </c>
      <c r="J15">
        <f t="shared" si="8"/>
        <v>1571.3076923076924</v>
      </c>
      <c r="K15">
        <f t="shared" si="8"/>
        <v>1626.1153846153845</v>
      </c>
      <c r="L15">
        <f t="shared" si="8"/>
        <v>3593.9611538461545</v>
      </c>
      <c r="M15">
        <f t="shared" si="8"/>
        <v>3694.8710769230779</v>
      </c>
      <c r="N15">
        <f t="shared" si="8"/>
        <v>1851.8341494082852</v>
      </c>
      <c r="O15">
        <f t="shared" si="8"/>
        <v>3905.8447692307705</v>
      </c>
      <c r="P15">
        <f t="shared" si="8"/>
        <v>4015.9085384615396</v>
      </c>
      <c r="Q15">
        <f t="shared" si="8"/>
        <v>4130.2030769230778</v>
      </c>
      <c r="R15">
        <f t="shared" si="8"/>
        <v>4168.6130000000012</v>
      </c>
      <c r="S15">
        <f t="shared" si="8"/>
        <v>4207.0229230769246</v>
      </c>
      <c r="T15">
        <f t="shared" si="8"/>
        <v>4245.4328461538462</v>
      </c>
      <c r="U15">
        <f t="shared" si="8"/>
        <v>4283.8427692307696</v>
      </c>
      <c r="V15">
        <f t="shared" si="8"/>
        <v>4322.252692307693</v>
      </c>
      <c r="W15">
        <f t="shared" si="8"/>
        <v>4360.6626153846155</v>
      </c>
      <c r="X15">
        <f t="shared" si="8"/>
        <v>4399.0725384615389</v>
      </c>
      <c r="Y15">
        <f t="shared" si="8"/>
        <v>2037.0384615384614</v>
      </c>
      <c r="Z15">
        <f t="shared" si="8"/>
        <v>2037.0384615384614</v>
      </c>
      <c r="AA15">
        <f t="shared" si="8"/>
        <v>2037.0384615384614</v>
      </c>
      <c r="AB15">
        <f t="shared" si="8"/>
        <v>2037.0384615384614</v>
      </c>
      <c r="AC15">
        <f t="shared" si="8"/>
        <v>2037.0384615384614</v>
      </c>
      <c r="AD15">
        <f t="shared" si="8"/>
        <v>2037.0384615384614</v>
      </c>
      <c r="AE15">
        <f t="shared" si="8"/>
        <v>2037.0384615384614</v>
      </c>
      <c r="AF15">
        <f t="shared" si="8"/>
        <v>2037.0384615384614</v>
      </c>
      <c r="AG15">
        <f t="shared" si="8"/>
        <v>2037.0384615384614</v>
      </c>
      <c r="AH15">
        <f t="shared" si="8"/>
        <v>2037.0384615384614</v>
      </c>
      <c r="AI15">
        <f t="shared" si="8"/>
        <v>2037.0384615384614</v>
      </c>
      <c r="AJ15">
        <f t="shared" si="8"/>
        <v>2037.0384615384614</v>
      </c>
      <c r="AK15">
        <f t="shared" si="8"/>
        <v>2037.0384615384614</v>
      </c>
      <c r="AL15">
        <f t="shared" si="8"/>
        <v>2037.0384615384614</v>
      </c>
      <c r="AM15">
        <f t="shared" si="8"/>
        <v>2037.0384615384614</v>
      </c>
      <c r="AN15">
        <f t="shared" si="8"/>
        <v>2037.0384615384614</v>
      </c>
      <c r="AO15">
        <f t="shared" si="8"/>
        <v>2037.0384615384614</v>
      </c>
      <c r="AP15">
        <f t="shared" si="8"/>
        <v>2037.0384615384614</v>
      </c>
      <c r="AQ15">
        <f t="shared" si="8"/>
        <v>2037.0384615384614</v>
      </c>
      <c r="AR15">
        <f t="shared" si="8"/>
        <v>2037.0384615384614</v>
      </c>
      <c r="AS15">
        <f t="shared" si="8"/>
        <v>1588.8899999999999</v>
      </c>
      <c r="AT15">
        <f t="shared" si="8"/>
        <v>1588.8899999999999</v>
      </c>
      <c r="AU15">
        <f t="shared" si="8"/>
        <v>1588.8899999999999</v>
      </c>
      <c r="AV15">
        <f t="shared" si="8"/>
        <v>1588.8899999999999</v>
      </c>
      <c r="AW15">
        <f t="shared" si="8"/>
        <v>1588.8899999999999</v>
      </c>
      <c r="AX15">
        <f t="shared" si="8"/>
        <v>1089.8155769230771</v>
      </c>
      <c r="AY15">
        <f t="shared" si="8"/>
        <v>1089.8155769230771</v>
      </c>
      <c r="AZ15">
        <f t="shared" si="8"/>
        <v>1089.8155769230771</v>
      </c>
      <c r="BA15">
        <f t="shared" si="8"/>
        <v>1089.8155769230771</v>
      </c>
      <c r="BB15">
        <f t="shared" si="8"/>
        <v>1089.8155769230771</v>
      </c>
      <c r="BC15">
        <f t="shared" si="8"/>
        <v>1089.8155769230771</v>
      </c>
      <c r="BD15">
        <f t="shared" si="8"/>
        <v>1089.8155769230771</v>
      </c>
      <c r="BE15">
        <f t="shared" si="8"/>
        <v>1089.8155769230771</v>
      </c>
      <c r="BF15">
        <f t="shared" si="8"/>
        <v>1089.8155769230771</v>
      </c>
      <c r="BG15">
        <f t="shared" si="8"/>
        <v>1089.8155769230771</v>
      </c>
      <c r="BH15">
        <f t="shared" si="8"/>
        <v>1089.8155769230771</v>
      </c>
      <c r="BI15">
        <f t="shared" si="8"/>
        <v>1089.8155769230771</v>
      </c>
      <c r="BJ15">
        <f t="shared" si="8"/>
        <v>1089.8155769230771</v>
      </c>
      <c r="BK15">
        <f t="shared" si="8"/>
        <v>1089.8155769230771</v>
      </c>
      <c r="BL15">
        <f t="shared" si="8"/>
        <v>1089.8155769230771</v>
      </c>
      <c r="BM15">
        <f t="shared" si="8"/>
        <v>1089.8155769230771</v>
      </c>
      <c r="BN15">
        <f t="shared" si="8"/>
        <v>1089.8155769230771</v>
      </c>
      <c r="BO15">
        <f t="shared" si="8"/>
        <v>1089.8155769230771</v>
      </c>
      <c r="BP15">
        <f t="shared" ref="BP15:BT15" si="9">BP14/26</f>
        <v>1089.8155769230771</v>
      </c>
      <c r="BQ15">
        <f t="shared" si="9"/>
        <v>1089.8155769230771</v>
      </c>
      <c r="BR15">
        <f t="shared" si="9"/>
        <v>1089.8155769230771</v>
      </c>
      <c r="BS15">
        <f t="shared" si="9"/>
        <v>1089.8155769230771</v>
      </c>
      <c r="BT15">
        <f t="shared" si="9"/>
        <v>1089.8155769230771</v>
      </c>
    </row>
    <row r="16" spans="2:72" x14ac:dyDescent="0.25">
      <c r="B16" t="s">
        <v>991</v>
      </c>
      <c r="F16">
        <v>7.44</v>
      </c>
      <c r="G16">
        <v>7.69</v>
      </c>
      <c r="H16">
        <v>8.01</v>
      </c>
      <c r="I16">
        <v>8.2799999999999994</v>
      </c>
      <c r="J16">
        <v>8.61</v>
      </c>
      <c r="K16">
        <v>8.91</v>
      </c>
      <c r="L16">
        <v>19.7</v>
      </c>
      <c r="M16">
        <v>20.25</v>
      </c>
      <c r="N16">
        <v>0</v>
      </c>
      <c r="O16">
        <v>21.4</v>
      </c>
      <c r="P16">
        <v>0</v>
      </c>
      <c r="Q16">
        <v>22.66</v>
      </c>
      <c r="R16">
        <v>22.82</v>
      </c>
      <c r="S16">
        <v>23.04</v>
      </c>
      <c r="T16">
        <v>23.26</v>
      </c>
      <c r="U16">
        <v>23.48</v>
      </c>
      <c r="V16">
        <v>23.7</v>
      </c>
      <c r="W16">
        <v>23.92</v>
      </c>
      <c r="X16">
        <v>24.08</v>
      </c>
      <c r="Y16">
        <v>11.16</v>
      </c>
      <c r="Z16">
        <v>11.16</v>
      </c>
      <c r="AA16">
        <v>11.16</v>
      </c>
      <c r="AB16">
        <v>11.16</v>
      </c>
      <c r="AC16">
        <v>11.16</v>
      </c>
      <c r="AD16">
        <v>11.16</v>
      </c>
      <c r="AE16">
        <v>11.16</v>
      </c>
      <c r="AF16">
        <v>11.16</v>
      </c>
      <c r="AG16">
        <v>11.16</v>
      </c>
      <c r="AH16">
        <v>11.16</v>
      </c>
      <c r="AI16">
        <v>11.16</v>
      </c>
      <c r="AJ16">
        <v>11.16</v>
      </c>
      <c r="AK16">
        <v>11.16</v>
      </c>
      <c r="AL16">
        <v>11.16</v>
      </c>
      <c r="AM16">
        <v>11.16</v>
      </c>
      <c r="AN16">
        <v>11.16</v>
      </c>
      <c r="AO16">
        <v>11.16</v>
      </c>
      <c r="AP16">
        <v>11.16</v>
      </c>
      <c r="AQ16">
        <v>11.16</v>
      </c>
      <c r="AR16">
        <v>11.16</v>
      </c>
      <c r="AS16">
        <v>8.0399999999999991</v>
      </c>
      <c r="AT16">
        <v>8.0399999999999991</v>
      </c>
      <c r="AU16">
        <v>8.0399999999999991</v>
      </c>
      <c r="AV16">
        <v>8.0399999999999991</v>
      </c>
      <c r="AW16">
        <v>8.0399999999999991</v>
      </c>
      <c r="AX16">
        <v>5.15</v>
      </c>
      <c r="AY16">
        <v>5.15</v>
      </c>
      <c r="AZ16">
        <v>5.15</v>
      </c>
      <c r="BA16">
        <v>5.15</v>
      </c>
      <c r="BB16">
        <v>5.15</v>
      </c>
      <c r="BC16">
        <v>5.15</v>
      </c>
      <c r="BD16">
        <v>5.15</v>
      </c>
      <c r="BE16">
        <v>5.15</v>
      </c>
      <c r="BF16">
        <v>5.15</v>
      </c>
      <c r="BG16">
        <v>5.15</v>
      </c>
      <c r="BH16">
        <v>5.15</v>
      </c>
      <c r="BI16">
        <v>5.15</v>
      </c>
      <c r="BJ16">
        <v>5.15</v>
      </c>
      <c r="BK16">
        <v>5.15</v>
      </c>
      <c r="BL16">
        <v>5.15</v>
      </c>
      <c r="BM16">
        <v>5.15</v>
      </c>
      <c r="BN16">
        <v>5.15</v>
      </c>
      <c r="BO16">
        <v>5.15</v>
      </c>
      <c r="BP16">
        <v>5.15</v>
      </c>
      <c r="BQ16">
        <v>5.15</v>
      </c>
      <c r="BR16">
        <v>5.15</v>
      </c>
      <c r="BS16">
        <v>5.15</v>
      </c>
      <c r="BT16">
        <v>5.15</v>
      </c>
    </row>
    <row r="17" spans="2:72" x14ac:dyDescent="0.25">
      <c r="B17" t="s">
        <v>992</v>
      </c>
      <c r="C17">
        <f>C16*26</f>
        <v>0</v>
      </c>
      <c r="D17">
        <f t="shared" ref="D17:BO17" si="10">D16*26</f>
        <v>0</v>
      </c>
      <c r="E17">
        <f t="shared" si="10"/>
        <v>0</v>
      </c>
      <c r="F17">
        <f t="shared" si="10"/>
        <v>193.44</v>
      </c>
      <c r="G17">
        <f t="shared" si="10"/>
        <v>199.94</v>
      </c>
      <c r="H17">
        <f t="shared" si="10"/>
        <v>208.26</v>
      </c>
      <c r="I17">
        <f t="shared" si="10"/>
        <v>215.27999999999997</v>
      </c>
      <c r="J17">
        <f t="shared" si="10"/>
        <v>223.85999999999999</v>
      </c>
      <c r="K17">
        <f t="shared" si="10"/>
        <v>231.66</v>
      </c>
      <c r="L17">
        <f t="shared" si="10"/>
        <v>512.19999999999993</v>
      </c>
      <c r="M17">
        <f t="shared" si="10"/>
        <v>526.5</v>
      </c>
      <c r="N17">
        <f t="shared" si="10"/>
        <v>0</v>
      </c>
      <c r="O17">
        <f t="shared" si="10"/>
        <v>556.4</v>
      </c>
      <c r="P17">
        <f t="shared" si="10"/>
        <v>0</v>
      </c>
      <c r="Q17">
        <f t="shared" si="10"/>
        <v>589.16</v>
      </c>
      <c r="R17">
        <f t="shared" si="10"/>
        <v>593.32000000000005</v>
      </c>
      <c r="S17">
        <f t="shared" si="10"/>
        <v>599.04</v>
      </c>
      <c r="T17">
        <f t="shared" si="10"/>
        <v>604.76</v>
      </c>
      <c r="U17">
        <f t="shared" si="10"/>
        <v>610.48</v>
      </c>
      <c r="V17">
        <f t="shared" si="10"/>
        <v>616.19999999999993</v>
      </c>
      <c r="W17">
        <f t="shared" si="10"/>
        <v>621.92000000000007</v>
      </c>
      <c r="X17">
        <f t="shared" si="10"/>
        <v>626.07999999999993</v>
      </c>
      <c r="Y17">
        <f t="shared" si="10"/>
        <v>290.16000000000003</v>
      </c>
      <c r="Z17">
        <f t="shared" si="10"/>
        <v>290.16000000000003</v>
      </c>
      <c r="AA17">
        <f t="shared" si="10"/>
        <v>290.16000000000003</v>
      </c>
      <c r="AB17">
        <f t="shared" si="10"/>
        <v>290.16000000000003</v>
      </c>
      <c r="AC17">
        <f t="shared" si="10"/>
        <v>290.16000000000003</v>
      </c>
      <c r="AD17">
        <f t="shared" si="10"/>
        <v>290.16000000000003</v>
      </c>
      <c r="AE17">
        <f t="shared" si="10"/>
        <v>290.16000000000003</v>
      </c>
      <c r="AF17">
        <f t="shared" si="10"/>
        <v>290.16000000000003</v>
      </c>
      <c r="AG17">
        <f t="shared" si="10"/>
        <v>290.16000000000003</v>
      </c>
      <c r="AH17">
        <f t="shared" si="10"/>
        <v>290.16000000000003</v>
      </c>
      <c r="AI17">
        <f t="shared" si="10"/>
        <v>290.16000000000003</v>
      </c>
      <c r="AJ17">
        <f t="shared" si="10"/>
        <v>290.16000000000003</v>
      </c>
      <c r="AK17">
        <f t="shared" si="10"/>
        <v>290.16000000000003</v>
      </c>
      <c r="AL17">
        <f t="shared" si="10"/>
        <v>290.16000000000003</v>
      </c>
      <c r="AM17">
        <f t="shared" si="10"/>
        <v>290.16000000000003</v>
      </c>
      <c r="AN17">
        <f t="shared" si="10"/>
        <v>290.16000000000003</v>
      </c>
      <c r="AO17">
        <f t="shared" si="10"/>
        <v>290.16000000000003</v>
      </c>
      <c r="AP17">
        <f t="shared" si="10"/>
        <v>290.16000000000003</v>
      </c>
      <c r="AQ17">
        <f t="shared" si="10"/>
        <v>290.16000000000003</v>
      </c>
      <c r="AR17">
        <f t="shared" si="10"/>
        <v>290.16000000000003</v>
      </c>
      <c r="AS17">
        <f t="shared" si="10"/>
        <v>209.03999999999996</v>
      </c>
      <c r="AT17">
        <f t="shared" si="10"/>
        <v>209.03999999999996</v>
      </c>
      <c r="AU17">
        <f t="shared" si="10"/>
        <v>209.03999999999996</v>
      </c>
      <c r="AV17">
        <f t="shared" si="10"/>
        <v>209.03999999999996</v>
      </c>
      <c r="AW17">
        <f t="shared" si="10"/>
        <v>209.03999999999996</v>
      </c>
      <c r="AX17">
        <f t="shared" si="10"/>
        <v>133.9</v>
      </c>
      <c r="AY17">
        <f t="shared" si="10"/>
        <v>133.9</v>
      </c>
      <c r="AZ17">
        <f t="shared" si="10"/>
        <v>133.9</v>
      </c>
      <c r="BA17">
        <f t="shared" si="10"/>
        <v>133.9</v>
      </c>
      <c r="BB17">
        <f t="shared" si="10"/>
        <v>133.9</v>
      </c>
      <c r="BC17">
        <f t="shared" si="10"/>
        <v>133.9</v>
      </c>
      <c r="BD17">
        <f t="shared" si="10"/>
        <v>133.9</v>
      </c>
      <c r="BE17">
        <f t="shared" si="10"/>
        <v>133.9</v>
      </c>
      <c r="BF17">
        <f t="shared" si="10"/>
        <v>133.9</v>
      </c>
      <c r="BG17">
        <f t="shared" si="10"/>
        <v>133.9</v>
      </c>
      <c r="BH17">
        <f t="shared" si="10"/>
        <v>133.9</v>
      </c>
      <c r="BI17">
        <f t="shared" si="10"/>
        <v>133.9</v>
      </c>
      <c r="BJ17">
        <f t="shared" si="10"/>
        <v>133.9</v>
      </c>
      <c r="BK17">
        <f t="shared" si="10"/>
        <v>133.9</v>
      </c>
      <c r="BL17">
        <f t="shared" si="10"/>
        <v>133.9</v>
      </c>
      <c r="BM17">
        <f t="shared" si="10"/>
        <v>133.9</v>
      </c>
      <c r="BN17">
        <f t="shared" si="10"/>
        <v>133.9</v>
      </c>
      <c r="BO17">
        <f t="shared" si="10"/>
        <v>133.9</v>
      </c>
      <c r="BP17">
        <f t="shared" ref="BP17:BT17" si="11">BP16*26</f>
        <v>133.9</v>
      </c>
      <c r="BQ17">
        <f t="shared" si="11"/>
        <v>133.9</v>
      </c>
      <c r="BR17">
        <f t="shared" si="11"/>
        <v>133.9</v>
      </c>
      <c r="BS17">
        <f t="shared" si="11"/>
        <v>133.9</v>
      </c>
      <c r="BT17">
        <f t="shared" si="11"/>
        <v>133.9</v>
      </c>
    </row>
    <row r="22" spans="2:72" x14ac:dyDescent="0.25">
      <c r="B22" t="s">
        <v>993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R84"/>
  <sheetViews>
    <sheetView zoomScale="90" zoomScaleNormal="90" workbookViewId="0">
      <selection activeCell="P54" sqref="P54"/>
    </sheetView>
  </sheetViews>
  <sheetFormatPr baseColWidth="10" defaultColWidth="9.140625" defaultRowHeight="15" x14ac:dyDescent="0.25"/>
  <cols>
    <col min="3" max="3" width="25.42578125" customWidth="1"/>
    <col min="16" max="16" width="11.42578125" bestFit="1" customWidth="1"/>
  </cols>
  <sheetData>
    <row r="1" spans="1:18" ht="15.75" customHeight="1" thickBot="1" x14ac:dyDescent="0.3">
      <c r="A1" s="476" t="s">
        <v>994</v>
      </c>
      <c r="B1" s="476"/>
      <c r="C1" s="476"/>
      <c r="D1" s="476"/>
      <c r="E1" s="476"/>
      <c r="F1" s="476"/>
      <c r="G1" s="476"/>
      <c r="H1" s="476"/>
      <c r="I1" s="476"/>
      <c r="J1" s="476"/>
      <c r="K1" s="476"/>
      <c r="L1" s="476"/>
      <c r="M1" s="476"/>
      <c r="N1" s="476"/>
      <c r="O1" s="476"/>
    </row>
    <row r="2" spans="1:18" x14ac:dyDescent="0.25">
      <c r="B2" t="s">
        <v>995</v>
      </c>
      <c r="D2" s="87">
        <v>2010</v>
      </c>
      <c r="E2" s="88"/>
      <c r="F2" s="87">
        <v>2011</v>
      </c>
      <c r="G2" s="88"/>
      <c r="H2" s="87">
        <v>2012</v>
      </c>
      <c r="I2" s="88"/>
      <c r="J2" s="87">
        <v>2013</v>
      </c>
      <c r="K2" s="88"/>
      <c r="L2" s="87">
        <v>2014</v>
      </c>
      <c r="M2" s="88"/>
      <c r="N2" s="46">
        <v>2015</v>
      </c>
      <c r="O2" s="46"/>
      <c r="P2" t="s">
        <v>996</v>
      </c>
      <c r="Q2" t="s">
        <v>997</v>
      </c>
    </row>
    <row r="3" spans="1:18" ht="63.75" customHeight="1" x14ac:dyDescent="0.25">
      <c r="A3" s="426" t="s">
        <v>998</v>
      </c>
      <c r="B3" s="426" t="s">
        <v>999</v>
      </c>
      <c r="C3" s="46"/>
      <c r="D3" s="477" t="s">
        <v>1000</v>
      </c>
      <c r="E3" s="477"/>
      <c r="F3" s="477"/>
      <c r="G3" s="477"/>
      <c r="H3" s="477"/>
      <c r="I3" s="477"/>
      <c r="J3" s="477"/>
      <c r="K3" s="477"/>
      <c r="L3" s="477"/>
      <c r="M3" s="477"/>
      <c r="N3" s="477"/>
      <c r="O3" s="477"/>
    </row>
    <row r="4" spans="1:18" x14ac:dyDescent="0.25">
      <c r="A4" s="423">
        <v>0</v>
      </c>
      <c r="B4" s="423" t="s">
        <v>204</v>
      </c>
      <c r="C4" s="82" t="s">
        <v>445</v>
      </c>
      <c r="D4" s="91">
        <v>35830.741117999998</v>
      </c>
      <c r="E4" s="92"/>
      <c r="F4" s="91">
        <v>37511.613718000001</v>
      </c>
      <c r="G4" s="92"/>
      <c r="H4" s="91">
        <v>35441.674662999998</v>
      </c>
      <c r="I4" s="92"/>
      <c r="J4" s="91">
        <v>41046.463135999998</v>
      </c>
      <c r="K4" s="92"/>
      <c r="L4" s="91">
        <v>37333.160106000003</v>
      </c>
      <c r="M4" s="92"/>
      <c r="N4" s="91">
        <v>37608.085058999997</v>
      </c>
      <c r="O4" s="92"/>
    </row>
    <row r="5" spans="1:18" ht="60" customHeight="1" x14ac:dyDescent="0.25">
      <c r="A5" s="423">
        <v>1</v>
      </c>
      <c r="B5" s="423" t="s">
        <v>204</v>
      </c>
      <c r="C5" s="82" t="s">
        <v>1001</v>
      </c>
      <c r="D5" s="91">
        <v>28245.628849000001</v>
      </c>
      <c r="E5" s="92"/>
      <c r="F5" s="91">
        <v>29635.481026000001</v>
      </c>
      <c r="G5" s="92"/>
      <c r="H5" s="91">
        <v>27880.563741000002</v>
      </c>
      <c r="I5" s="92"/>
      <c r="J5" s="91">
        <v>31834.394022</v>
      </c>
      <c r="K5" s="92"/>
      <c r="L5" s="91">
        <v>28951.541705</v>
      </c>
      <c r="M5" s="92"/>
      <c r="N5" s="91">
        <v>29217.116113</v>
      </c>
      <c r="O5" s="92"/>
    </row>
    <row r="6" spans="1:18" x14ac:dyDescent="0.25">
      <c r="A6" s="423">
        <v>2</v>
      </c>
      <c r="B6" s="423" t="s">
        <v>204</v>
      </c>
      <c r="C6" s="83" t="s">
        <v>1002</v>
      </c>
      <c r="D6" s="93">
        <v>3933.9898717999999</v>
      </c>
      <c r="E6" s="94"/>
      <c r="F6" s="93">
        <v>4081.2606909000001</v>
      </c>
      <c r="G6" s="94"/>
      <c r="H6" s="93">
        <v>4063.9096206999998</v>
      </c>
      <c r="I6" s="94"/>
      <c r="J6" s="93">
        <v>4591.5430096</v>
      </c>
      <c r="K6" s="94"/>
      <c r="L6" s="93">
        <v>4176.4059779999998</v>
      </c>
      <c r="M6" s="94"/>
      <c r="N6" s="93">
        <v>4902.8546317999999</v>
      </c>
      <c r="O6" s="94"/>
      <c r="P6" s="186">
        <f>N7*0.773+N10+N11+N35+N37+N38+N48+N60+N61+N63+N73+N74+N76</f>
        <v>16039.658552969002</v>
      </c>
      <c r="Q6" s="186">
        <f>N7+N8+N10+N11+N13+N14+N15+N16+N17+N18+N19+N20+N22+N23+N24+N25+N27+N28+N29+N30+N31+N32+N34+N35+N37+N38+N40+N41+N43+N44+N45+N46+N48+N49+N51+N52+N53+N54+N55+N57+N58+N60+N61+N63+N64+N70+N73+N74+N76</f>
        <v>29674.381965068995</v>
      </c>
      <c r="R6" s="418">
        <f>P6/(Q6-(Q6-P6)*0.14975)</f>
        <v>0.58046180683097215</v>
      </c>
    </row>
    <row r="7" spans="1:18" ht="30" x14ac:dyDescent="0.25">
      <c r="A7" s="423">
        <v>3</v>
      </c>
      <c r="B7" s="423" t="s">
        <v>1003</v>
      </c>
      <c r="C7" s="89" t="s">
        <v>1004</v>
      </c>
      <c r="D7" s="95">
        <v>2856.9097946000002</v>
      </c>
      <c r="E7" s="96"/>
      <c r="F7" s="95">
        <v>2798.9003412000002</v>
      </c>
      <c r="G7" s="96"/>
      <c r="H7" s="95">
        <v>2968.1633126000002</v>
      </c>
      <c r="I7" s="96"/>
      <c r="J7" s="95">
        <v>3179.7383673999998</v>
      </c>
      <c r="K7" s="96"/>
      <c r="L7" s="95">
        <v>3123.7037961999999</v>
      </c>
      <c r="M7" s="96"/>
      <c r="N7" s="95">
        <v>3708.7354529999998</v>
      </c>
      <c r="O7" s="96"/>
    </row>
    <row r="8" spans="1:18" ht="30" x14ac:dyDescent="0.25">
      <c r="A8" s="423">
        <v>3</v>
      </c>
      <c r="B8" s="423" t="s">
        <v>1005</v>
      </c>
      <c r="C8" s="89" t="s">
        <v>1006</v>
      </c>
      <c r="D8" s="95">
        <v>1077.0800772</v>
      </c>
      <c r="E8" s="96"/>
      <c r="F8" s="95">
        <v>1282.3603498</v>
      </c>
      <c r="G8" s="96"/>
      <c r="H8" s="95">
        <v>1095.7463081999999</v>
      </c>
      <c r="I8" s="96"/>
      <c r="J8" s="95">
        <v>1411.8046422</v>
      </c>
      <c r="K8" s="96" t="s">
        <v>1007</v>
      </c>
      <c r="L8" s="95">
        <v>1052.7021818999999</v>
      </c>
      <c r="M8" s="96"/>
      <c r="N8" s="95">
        <v>1194.1191788000001</v>
      </c>
      <c r="O8" s="96"/>
    </row>
    <row r="9" spans="1:18" x14ac:dyDescent="0.25">
      <c r="A9" s="423">
        <v>2</v>
      </c>
      <c r="B9" s="423" t="s">
        <v>204</v>
      </c>
      <c r="C9" s="83" t="s">
        <v>1008</v>
      </c>
      <c r="D9" s="93">
        <v>9340.6952961999996</v>
      </c>
      <c r="E9" s="94"/>
      <c r="F9" s="93">
        <v>9519.9840714000002</v>
      </c>
      <c r="G9" s="94"/>
      <c r="H9" s="93">
        <v>9221.5649847000004</v>
      </c>
      <c r="I9" s="94"/>
      <c r="J9" s="93">
        <v>9603.8783378000007</v>
      </c>
      <c r="K9" s="94"/>
      <c r="L9" s="93">
        <v>9560.5641379000008</v>
      </c>
      <c r="M9" s="94"/>
      <c r="N9" s="93">
        <v>10191.603370000001</v>
      </c>
      <c r="O9" s="94"/>
    </row>
    <row r="10" spans="1:18" x14ac:dyDescent="0.25">
      <c r="A10" s="423">
        <v>3</v>
      </c>
      <c r="B10" s="423" t="s">
        <v>1003</v>
      </c>
      <c r="C10" s="89" t="s">
        <v>1009</v>
      </c>
      <c r="D10" s="95">
        <v>8843.4431726999992</v>
      </c>
      <c r="E10" s="96"/>
      <c r="F10" s="95">
        <v>9063.5532103999994</v>
      </c>
      <c r="G10" s="96"/>
      <c r="H10" s="95">
        <v>8872.8739922000004</v>
      </c>
      <c r="I10" s="96"/>
      <c r="J10" s="95">
        <v>9183.8103792000002</v>
      </c>
      <c r="K10" s="96"/>
      <c r="L10" s="95">
        <v>9074.7974642000008</v>
      </c>
      <c r="M10" s="96"/>
      <c r="N10" s="95">
        <v>9767.3718332000008</v>
      </c>
      <c r="O10" s="96"/>
    </row>
    <row r="11" spans="1:18" x14ac:dyDescent="0.25">
      <c r="A11" s="423">
        <v>3</v>
      </c>
      <c r="B11" s="185" t="s">
        <v>1003</v>
      </c>
      <c r="C11" s="89" t="s">
        <v>1010</v>
      </c>
      <c r="D11" s="95" t="s">
        <v>978</v>
      </c>
      <c r="E11" s="96"/>
      <c r="F11" s="95">
        <v>456.43086094</v>
      </c>
      <c r="G11" s="96" t="s">
        <v>1011</v>
      </c>
      <c r="H11" s="95">
        <v>348.69099245000001</v>
      </c>
      <c r="I11" s="96" t="s">
        <v>1011</v>
      </c>
      <c r="J11" s="95">
        <v>420.06795863000002</v>
      </c>
      <c r="K11" s="96" t="s">
        <v>1007</v>
      </c>
      <c r="L11" s="95">
        <v>485.76667371999997</v>
      </c>
      <c r="M11" s="96" t="s">
        <v>1007</v>
      </c>
      <c r="N11" s="95">
        <v>424.23153631999998</v>
      </c>
      <c r="O11" s="96" t="s">
        <v>1007</v>
      </c>
    </row>
    <row r="12" spans="1:18" x14ac:dyDescent="0.25">
      <c r="A12" s="423">
        <v>2</v>
      </c>
      <c r="B12" s="423" t="s">
        <v>204</v>
      </c>
      <c r="C12" s="83" t="s">
        <v>1012</v>
      </c>
      <c r="D12" s="93">
        <v>1635.5342169999999</v>
      </c>
      <c r="E12" s="94"/>
      <c r="F12" s="93">
        <v>1922.3700369000001</v>
      </c>
      <c r="G12" s="94"/>
      <c r="H12" s="93">
        <v>1895.0239783</v>
      </c>
      <c r="I12" s="94"/>
      <c r="J12" s="93">
        <v>2263.3135090000001</v>
      </c>
      <c r="K12" s="94"/>
      <c r="L12" s="93">
        <v>1980.7810265999999</v>
      </c>
      <c r="M12" s="94"/>
      <c r="N12" s="93">
        <v>1956.9117541000001</v>
      </c>
      <c r="O12" s="94"/>
    </row>
    <row r="13" spans="1:18" x14ac:dyDescent="0.25">
      <c r="A13" s="423">
        <v>3</v>
      </c>
      <c r="B13" s="423" t="s">
        <v>1005</v>
      </c>
      <c r="C13" s="89" t="s">
        <v>1013</v>
      </c>
      <c r="D13" s="95">
        <v>913.80312551999998</v>
      </c>
      <c r="E13" s="96"/>
      <c r="F13" s="95">
        <v>981.66735244999995</v>
      </c>
      <c r="G13" s="96"/>
      <c r="H13" s="95">
        <v>989.81095276999997</v>
      </c>
      <c r="I13" s="96"/>
      <c r="J13" s="95">
        <v>1058.0980764000001</v>
      </c>
      <c r="K13" s="96"/>
      <c r="L13" s="95">
        <v>1007.1963972</v>
      </c>
      <c r="M13" s="96"/>
      <c r="N13" s="95">
        <v>1006.6452699</v>
      </c>
      <c r="O13" s="96"/>
    </row>
    <row r="14" spans="1:18" ht="60" x14ac:dyDescent="0.25">
      <c r="A14" s="423">
        <v>3</v>
      </c>
      <c r="B14" s="423" t="s">
        <v>1005</v>
      </c>
      <c r="C14" s="89" t="s">
        <v>1014</v>
      </c>
      <c r="D14" s="95">
        <v>107.67678943999999</v>
      </c>
      <c r="E14" s="96" t="s">
        <v>1011</v>
      </c>
      <c r="F14" s="95">
        <v>102.85596735</v>
      </c>
      <c r="G14" s="96" t="s">
        <v>1007</v>
      </c>
      <c r="H14" s="95" t="s">
        <v>978</v>
      </c>
      <c r="I14" s="96"/>
      <c r="J14" s="95">
        <v>195.32709478000001</v>
      </c>
      <c r="K14" s="96" t="s">
        <v>1007</v>
      </c>
      <c r="L14" s="95">
        <v>101.03148385999999</v>
      </c>
      <c r="M14" s="96" t="s">
        <v>1007</v>
      </c>
      <c r="N14" s="95">
        <v>101.11983257</v>
      </c>
      <c r="O14" s="96" t="s">
        <v>1007</v>
      </c>
    </row>
    <row r="15" spans="1:18" ht="30" x14ac:dyDescent="0.25">
      <c r="A15" s="423">
        <v>3</v>
      </c>
      <c r="B15" s="423" t="s">
        <v>1005</v>
      </c>
      <c r="C15" s="89" t="s">
        <v>1015</v>
      </c>
      <c r="D15" s="95">
        <v>139.05567024999999</v>
      </c>
      <c r="E15" s="96" t="s">
        <v>1007</v>
      </c>
      <c r="F15" s="95">
        <v>288.36765523999998</v>
      </c>
      <c r="G15" s="96" t="s">
        <v>1007</v>
      </c>
      <c r="H15" s="95">
        <v>164.17220157</v>
      </c>
      <c r="I15" s="96" t="s">
        <v>1007</v>
      </c>
      <c r="J15" s="95">
        <v>315.56416247999999</v>
      </c>
      <c r="K15" s="96" t="s">
        <v>1011</v>
      </c>
      <c r="L15" s="95">
        <v>217.86454126999999</v>
      </c>
      <c r="M15" s="96" t="s">
        <v>1007</v>
      </c>
      <c r="N15" s="95">
        <v>305.55205047999999</v>
      </c>
      <c r="O15" s="96" t="s">
        <v>1007</v>
      </c>
    </row>
    <row r="16" spans="1:18" ht="30" x14ac:dyDescent="0.25">
      <c r="A16" s="423">
        <v>3</v>
      </c>
      <c r="B16" s="423" t="s">
        <v>1005</v>
      </c>
      <c r="C16" s="89" t="s">
        <v>1016</v>
      </c>
      <c r="D16" s="95">
        <v>131.43831596000001</v>
      </c>
      <c r="E16" s="96" t="s">
        <v>1007</v>
      </c>
      <c r="F16" s="95">
        <v>104.90419208</v>
      </c>
      <c r="G16" s="96"/>
      <c r="H16" s="95">
        <v>139.84637040999999</v>
      </c>
      <c r="I16" s="96" t="s">
        <v>1007</v>
      </c>
      <c r="J16" s="95">
        <v>132.39434764000001</v>
      </c>
      <c r="K16" s="96" t="s">
        <v>1007</v>
      </c>
      <c r="L16" s="95">
        <v>102.61620120000001</v>
      </c>
      <c r="M16" s="96" t="s">
        <v>1007</v>
      </c>
      <c r="N16" s="95">
        <v>167.30329764000001</v>
      </c>
      <c r="O16" s="96" t="s">
        <v>1007</v>
      </c>
    </row>
    <row r="17" spans="1:15" ht="45" x14ac:dyDescent="0.25">
      <c r="A17" s="423">
        <v>3</v>
      </c>
      <c r="B17" s="423" t="s">
        <v>1005</v>
      </c>
      <c r="C17" s="89" t="s">
        <v>1017</v>
      </c>
      <c r="D17" s="95">
        <v>158.66610138999999</v>
      </c>
      <c r="E17" s="96"/>
      <c r="F17" s="95">
        <v>127.32391302000001</v>
      </c>
      <c r="G17" s="96"/>
      <c r="H17" s="95">
        <v>161.7442035</v>
      </c>
      <c r="I17" s="96"/>
      <c r="J17" s="95">
        <v>195.63888284000001</v>
      </c>
      <c r="K17" s="96" t="s">
        <v>1007</v>
      </c>
      <c r="L17" s="95">
        <v>177.69052808000001</v>
      </c>
      <c r="M17" s="96" t="s">
        <v>1007</v>
      </c>
      <c r="N17" s="95">
        <v>159.06628982999999</v>
      </c>
      <c r="O17" s="96"/>
    </row>
    <row r="18" spans="1:15" ht="30" x14ac:dyDescent="0.25">
      <c r="A18" s="423">
        <v>3</v>
      </c>
      <c r="B18" s="423" t="s">
        <v>1005</v>
      </c>
      <c r="C18" s="89" t="s">
        <v>1018</v>
      </c>
      <c r="D18" s="95">
        <v>114.8403412</v>
      </c>
      <c r="E18" s="96" t="s">
        <v>1011</v>
      </c>
      <c r="F18" s="95">
        <v>264.49107402999999</v>
      </c>
      <c r="G18" s="96"/>
      <c r="H18" s="95">
        <v>214.81948184999999</v>
      </c>
      <c r="I18" s="96" t="s">
        <v>1007</v>
      </c>
      <c r="J18" s="95">
        <v>299.87968454999998</v>
      </c>
      <c r="K18" s="96" t="s">
        <v>1007</v>
      </c>
      <c r="L18" s="95">
        <v>256.31295023000001</v>
      </c>
      <c r="M18" s="96" t="s">
        <v>1007</v>
      </c>
      <c r="N18" s="95">
        <v>166.50836545999999</v>
      </c>
      <c r="O18" s="96" t="s">
        <v>1007</v>
      </c>
    </row>
    <row r="19" spans="1:15" ht="30" x14ac:dyDescent="0.25">
      <c r="A19" s="423">
        <v>3</v>
      </c>
      <c r="B19" s="423" t="s">
        <v>1005</v>
      </c>
      <c r="C19" s="89" t="s">
        <v>1019</v>
      </c>
      <c r="D19" s="95">
        <v>47.347852891000002</v>
      </c>
      <c r="E19" s="96" t="s">
        <v>1011</v>
      </c>
      <c r="F19" s="95">
        <v>41.627292595999997</v>
      </c>
      <c r="G19" s="96" t="s">
        <v>1011</v>
      </c>
      <c r="H19" s="95">
        <v>45.205795901000002</v>
      </c>
      <c r="I19" s="96" t="s">
        <v>1011</v>
      </c>
      <c r="J19" s="95">
        <v>47.758820464999999</v>
      </c>
      <c r="K19" s="96" t="s">
        <v>1011</v>
      </c>
      <c r="L19" s="95" t="s">
        <v>978</v>
      </c>
      <c r="M19" s="96"/>
      <c r="N19" s="95">
        <v>36.4992047</v>
      </c>
      <c r="O19" s="96" t="s">
        <v>1007</v>
      </c>
    </row>
    <row r="20" spans="1:15" x14ac:dyDescent="0.25">
      <c r="A20" s="423">
        <v>3</v>
      </c>
      <c r="B20" s="423" t="s">
        <v>1005</v>
      </c>
      <c r="C20" s="89" t="s">
        <v>1020</v>
      </c>
      <c r="D20" s="95" t="s">
        <v>978</v>
      </c>
      <c r="E20" s="96"/>
      <c r="F20" s="95" t="s">
        <v>978</v>
      </c>
      <c r="G20" s="96"/>
      <c r="H20" s="95" t="s">
        <v>978</v>
      </c>
      <c r="I20" s="96"/>
      <c r="J20" s="95" t="s">
        <v>978</v>
      </c>
      <c r="K20" s="96"/>
      <c r="L20" s="95" t="s">
        <v>978</v>
      </c>
      <c r="M20" s="96"/>
      <c r="N20" s="95"/>
      <c r="O20" s="96"/>
    </row>
    <row r="21" spans="1:15" ht="30" x14ac:dyDescent="0.25">
      <c r="A21" s="423">
        <v>2</v>
      </c>
      <c r="B21" s="423" t="s">
        <v>204</v>
      </c>
      <c r="C21" s="83" t="s">
        <v>1021</v>
      </c>
      <c r="D21" s="93">
        <v>944.35035787000004</v>
      </c>
      <c r="E21" s="94" t="s">
        <v>1007</v>
      </c>
      <c r="F21" s="93">
        <v>932.36972491999995</v>
      </c>
      <c r="G21" s="94"/>
      <c r="H21" s="93">
        <v>924.58499843000004</v>
      </c>
      <c r="I21" s="94"/>
      <c r="J21" s="93">
        <v>992.00803098999995</v>
      </c>
      <c r="K21" s="94"/>
      <c r="L21" s="93">
        <v>1060.7267913000001</v>
      </c>
      <c r="M21" s="94"/>
      <c r="N21" s="93">
        <v>1074.7048467</v>
      </c>
      <c r="O21" s="94" t="s">
        <v>1007</v>
      </c>
    </row>
    <row r="22" spans="1:15" x14ac:dyDescent="0.25">
      <c r="A22" s="423">
        <v>3</v>
      </c>
      <c r="B22" s="423" t="s">
        <v>1005</v>
      </c>
      <c r="C22" s="89" t="s">
        <v>1022</v>
      </c>
      <c r="D22" s="95">
        <v>391.49324829</v>
      </c>
      <c r="E22" s="96" t="s">
        <v>1007</v>
      </c>
      <c r="F22" s="95">
        <v>343.01015102000002</v>
      </c>
      <c r="G22" s="96" t="s">
        <v>1007</v>
      </c>
      <c r="H22" s="95">
        <v>377.93942499000002</v>
      </c>
      <c r="I22" s="96" t="s">
        <v>1007</v>
      </c>
      <c r="J22" s="95">
        <v>433.57262394999998</v>
      </c>
      <c r="K22" s="96"/>
      <c r="L22" s="95">
        <v>444.19496275</v>
      </c>
      <c r="M22" s="96" t="s">
        <v>1007</v>
      </c>
      <c r="N22" s="95">
        <v>510.93356534999998</v>
      </c>
      <c r="O22" s="96" t="s">
        <v>1007</v>
      </c>
    </row>
    <row r="23" spans="1:15" x14ac:dyDescent="0.25">
      <c r="A23" s="423">
        <v>3</v>
      </c>
      <c r="B23" s="423" t="s">
        <v>1005</v>
      </c>
      <c r="C23" s="89" t="s">
        <v>1023</v>
      </c>
      <c r="D23" s="95">
        <v>487.83915603999998</v>
      </c>
      <c r="E23" s="96" t="s">
        <v>1007</v>
      </c>
      <c r="F23" s="95">
        <v>563.30626110000003</v>
      </c>
      <c r="G23" s="96"/>
      <c r="H23" s="95">
        <v>513.40462652999997</v>
      </c>
      <c r="I23" s="96" t="s">
        <v>1007</v>
      </c>
      <c r="J23" s="95">
        <v>523.08065625999996</v>
      </c>
      <c r="K23" s="96"/>
      <c r="L23" s="95">
        <v>573.35797339999999</v>
      </c>
      <c r="M23" s="96" t="s">
        <v>1007</v>
      </c>
      <c r="N23" s="95">
        <v>535.58616923</v>
      </c>
      <c r="O23" s="96"/>
    </row>
    <row r="24" spans="1:15" ht="45" x14ac:dyDescent="0.25">
      <c r="A24" s="423">
        <v>3</v>
      </c>
      <c r="B24" s="423" t="s">
        <v>1005</v>
      </c>
      <c r="C24" s="89" t="s">
        <v>1024</v>
      </c>
      <c r="D24" s="95" t="s">
        <v>978</v>
      </c>
      <c r="E24" s="96"/>
      <c r="F24" s="95" t="s">
        <v>978</v>
      </c>
      <c r="G24" s="96"/>
      <c r="H24" s="95" t="s">
        <v>978</v>
      </c>
      <c r="I24" s="96"/>
      <c r="J24" s="95" t="s">
        <v>978</v>
      </c>
      <c r="K24" s="96"/>
      <c r="L24" s="95" t="s">
        <v>978</v>
      </c>
      <c r="M24" s="96"/>
      <c r="N24" s="95"/>
      <c r="O24" s="96"/>
    </row>
    <row r="25" spans="1:15" ht="45" x14ac:dyDescent="0.25">
      <c r="A25" s="423">
        <v>3</v>
      </c>
      <c r="B25" s="423" t="s">
        <v>1005</v>
      </c>
      <c r="C25" s="89" t="s">
        <v>1025</v>
      </c>
      <c r="D25" s="95">
        <v>17.797717845000001</v>
      </c>
      <c r="E25" s="96" t="s">
        <v>1007</v>
      </c>
      <c r="F25" s="95">
        <v>16.234766614000002</v>
      </c>
      <c r="G25" s="96" t="s">
        <v>1007</v>
      </c>
      <c r="H25" s="95">
        <v>31.322702239000002</v>
      </c>
      <c r="I25" s="96" t="s">
        <v>1007</v>
      </c>
      <c r="J25" s="95">
        <v>29.567983230999999</v>
      </c>
      <c r="K25" s="96" t="s">
        <v>1007</v>
      </c>
      <c r="L25" s="95">
        <v>24.84402751</v>
      </c>
      <c r="M25" s="96" t="s">
        <v>1007</v>
      </c>
      <c r="N25" s="95">
        <v>23.767705194000001</v>
      </c>
      <c r="O25" s="96" t="s">
        <v>1007</v>
      </c>
    </row>
    <row r="26" spans="1:15" x14ac:dyDescent="0.25">
      <c r="A26" s="423">
        <v>2</v>
      </c>
      <c r="B26" s="423" t="s">
        <v>204</v>
      </c>
      <c r="C26" s="83" t="s">
        <v>1026</v>
      </c>
      <c r="D26" s="93">
        <v>1407.3413929000001</v>
      </c>
      <c r="E26" s="94"/>
      <c r="F26" s="93">
        <v>1505.2162995000001</v>
      </c>
      <c r="G26" s="94"/>
      <c r="H26" s="93">
        <v>1428.1946121999999</v>
      </c>
      <c r="I26" s="94"/>
      <c r="J26" s="93">
        <v>1627.5057909</v>
      </c>
      <c r="K26" s="94"/>
      <c r="L26" s="93">
        <v>1276.1426919999999</v>
      </c>
      <c r="M26" s="94"/>
      <c r="N26" s="93">
        <v>1190.7394992</v>
      </c>
      <c r="O26" s="94"/>
    </row>
    <row r="27" spans="1:15" ht="45" x14ac:dyDescent="0.25">
      <c r="A27" s="423">
        <v>3</v>
      </c>
      <c r="B27" s="423" t="s">
        <v>1005</v>
      </c>
      <c r="C27" s="89" t="s">
        <v>1027</v>
      </c>
      <c r="D27" s="95">
        <v>741.94723825999995</v>
      </c>
      <c r="E27" s="96" t="s">
        <v>1007</v>
      </c>
      <c r="F27" s="95">
        <v>703.27180018000001</v>
      </c>
      <c r="G27" s="96"/>
      <c r="H27" s="95">
        <v>720.64580785999999</v>
      </c>
      <c r="I27" s="96"/>
      <c r="J27" s="95">
        <v>826.24399546999996</v>
      </c>
      <c r="K27" s="96"/>
      <c r="L27" s="95">
        <v>655.56467624000004</v>
      </c>
      <c r="M27" s="96"/>
      <c r="N27" s="95">
        <v>631.27151533000006</v>
      </c>
      <c r="O27" s="96"/>
    </row>
    <row r="28" spans="1:15" ht="60" x14ac:dyDescent="0.25">
      <c r="A28" s="423">
        <v>3</v>
      </c>
      <c r="B28" s="423" t="s">
        <v>1005</v>
      </c>
      <c r="C28" s="89" t="s">
        <v>1028</v>
      </c>
      <c r="D28" s="95">
        <v>374.76073051999998</v>
      </c>
      <c r="E28" s="96" t="s">
        <v>1007</v>
      </c>
      <c r="F28" s="95">
        <v>506.32882361999998</v>
      </c>
      <c r="G28" s="96"/>
      <c r="H28" s="95">
        <v>409.75502022000001</v>
      </c>
      <c r="I28" s="96"/>
      <c r="J28" s="95">
        <v>470.12585495000002</v>
      </c>
      <c r="K28" s="96"/>
      <c r="L28" s="95">
        <v>361.83016081</v>
      </c>
      <c r="M28" s="96"/>
      <c r="N28" s="95">
        <v>321.54299650000002</v>
      </c>
      <c r="O28" s="96" t="s">
        <v>1007</v>
      </c>
    </row>
    <row r="29" spans="1:15" ht="45" x14ac:dyDescent="0.25">
      <c r="A29" s="423">
        <v>3</v>
      </c>
      <c r="B29" s="423" t="s">
        <v>1005</v>
      </c>
      <c r="C29" s="89" t="s">
        <v>1029</v>
      </c>
      <c r="D29" s="95">
        <v>0</v>
      </c>
      <c r="E29" s="96"/>
      <c r="F29" s="95">
        <v>0</v>
      </c>
      <c r="G29" s="96"/>
      <c r="H29" s="95">
        <v>0</v>
      </c>
      <c r="I29" s="96"/>
      <c r="J29" s="95">
        <v>0</v>
      </c>
      <c r="K29" s="96"/>
      <c r="L29" s="95">
        <v>0</v>
      </c>
      <c r="M29" s="96"/>
      <c r="N29" s="95">
        <v>0</v>
      </c>
      <c r="O29" s="96"/>
    </row>
    <row r="30" spans="1:15" ht="45" x14ac:dyDescent="0.25">
      <c r="A30" s="423">
        <v>3</v>
      </c>
      <c r="B30" s="423" t="s">
        <v>1005</v>
      </c>
      <c r="C30" s="89" t="s">
        <v>1030</v>
      </c>
      <c r="D30" s="95">
        <v>272.46163295999997</v>
      </c>
      <c r="E30" s="96" t="s">
        <v>1007</v>
      </c>
      <c r="F30" s="95">
        <v>225.96751725999999</v>
      </c>
      <c r="G30" s="96" t="s">
        <v>1007</v>
      </c>
      <c r="H30" s="95">
        <v>226.35272666</v>
      </c>
      <c r="I30" s="96" t="s">
        <v>1007</v>
      </c>
      <c r="J30" s="95">
        <v>227.13460649000001</v>
      </c>
      <c r="K30" s="96" t="s">
        <v>1007</v>
      </c>
      <c r="L30" s="95">
        <v>171.87826097999999</v>
      </c>
      <c r="M30" s="96"/>
      <c r="N30" s="95">
        <v>171.43386056</v>
      </c>
      <c r="O30" s="96"/>
    </row>
    <row r="31" spans="1:15" ht="45" x14ac:dyDescent="0.25">
      <c r="A31" s="423">
        <v>3</v>
      </c>
      <c r="B31" s="423" t="s">
        <v>1005</v>
      </c>
      <c r="C31" s="89" t="s">
        <v>1031</v>
      </c>
      <c r="D31" s="95" t="s">
        <v>978</v>
      </c>
      <c r="E31" s="96"/>
      <c r="F31" s="95" t="s">
        <v>978</v>
      </c>
      <c r="G31" s="96"/>
      <c r="H31" s="95" t="s">
        <v>978</v>
      </c>
      <c r="I31" s="96"/>
      <c r="J31" s="95" t="s">
        <v>978</v>
      </c>
      <c r="K31" s="96"/>
      <c r="L31" s="95" t="s">
        <v>978</v>
      </c>
      <c r="M31" s="96"/>
      <c r="N31" s="95"/>
      <c r="O31" s="96"/>
    </row>
    <row r="32" spans="1:15" x14ac:dyDescent="0.25">
      <c r="A32" s="423">
        <v>3</v>
      </c>
      <c r="B32" s="423" t="s">
        <v>1005</v>
      </c>
      <c r="C32" s="89" t="s">
        <v>1032</v>
      </c>
      <c r="D32" s="95" t="s">
        <v>978</v>
      </c>
      <c r="E32" s="96"/>
      <c r="F32" s="95">
        <v>62.687025423999998</v>
      </c>
      <c r="G32" s="96"/>
      <c r="H32" s="95">
        <v>71.126188650000003</v>
      </c>
      <c r="I32" s="96" t="s">
        <v>1007</v>
      </c>
      <c r="J32" s="95">
        <v>62.935131865000002</v>
      </c>
      <c r="K32" s="96"/>
      <c r="L32" s="95" t="s">
        <v>978</v>
      </c>
      <c r="M32" s="96"/>
      <c r="N32" s="95">
        <v>52.294579552000002</v>
      </c>
      <c r="O32" s="96" t="s">
        <v>1007</v>
      </c>
    </row>
    <row r="33" spans="1:15" x14ac:dyDescent="0.25">
      <c r="A33" s="423">
        <v>2</v>
      </c>
      <c r="B33" s="423" t="s">
        <v>204</v>
      </c>
      <c r="C33" s="83" t="s">
        <v>1033</v>
      </c>
      <c r="D33" s="93">
        <v>5005.1099830000003</v>
      </c>
      <c r="E33" s="94"/>
      <c r="F33" s="93">
        <v>5362.7556384</v>
      </c>
      <c r="G33" s="94"/>
      <c r="H33" s="93">
        <v>4475.8229503000002</v>
      </c>
      <c r="I33" s="94"/>
      <c r="J33" s="93">
        <v>5971.9323863999998</v>
      </c>
      <c r="K33" s="94"/>
      <c r="L33" s="93">
        <v>5156.2856517</v>
      </c>
      <c r="M33" s="94"/>
      <c r="N33" s="93">
        <v>4184.0076220000001</v>
      </c>
      <c r="O33" s="94"/>
    </row>
    <row r="34" spans="1:15" x14ac:dyDescent="0.25">
      <c r="A34" s="423">
        <v>3</v>
      </c>
      <c r="B34" s="423" t="s">
        <v>1005</v>
      </c>
      <c r="C34" s="89" t="s">
        <v>1034</v>
      </c>
      <c r="D34" s="95">
        <v>4581.3119012999996</v>
      </c>
      <c r="E34" s="96"/>
      <c r="F34" s="95">
        <v>4868.4453722999997</v>
      </c>
      <c r="G34" s="96"/>
      <c r="H34" s="95">
        <v>3993.1410203</v>
      </c>
      <c r="I34" s="96"/>
      <c r="J34" s="95">
        <v>5475.2785069000001</v>
      </c>
      <c r="K34" s="96"/>
      <c r="L34" s="95">
        <v>4701.0044526000001</v>
      </c>
      <c r="M34" s="96"/>
      <c r="N34" s="95">
        <v>3714.0991519999998</v>
      </c>
      <c r="O34" s="96"/>
    </row>
    <row r="35" spans="1:15" x14ac:dyDescent="0.25">
      <c r="A35" s="423">
        <v>3</v>
      </c>
      <c r="B35" s="423" t="s">
        <v>1003</v>
      </c>
      <c r="C35" s="89" t="s">
        <v>1035</v>
      </c>
      <c r="D35" s="95">
        <v>423.79808172000003</v>
      </c>
      <c r="E35" s="96"/>
      <c r="F35" s="95">
        <v>494.31026610999999</v>
      </c>
      <c r="G35" s="96"/>
      <c r="H35" s="95">
        <v>482.68193000000002</v>
      </c>
      <c r="I35" s="96" t="s">
        <v>1007</v>
      </c>
      <c r="J35" s="95">
        <v>496.65387945999998</v>
      </c>
      <c r="K35" s="96"/>
      <c r="L35" s="95">
        <v>455.28119919</v>
      </c>
      <c r="M35" s="96"/>
      <c r="N35" s="95">
        <v>469.90846998000001</v>
      </c>
      <c r="O35" s="96"/>
    </row>
    <row r="36" spans="1:15" x14ac:dyDescent="0.25">
      <c r="A36" s="423">
        <v>2</v>
      </c>
      <c r="B36" s="423" t="s">
        <v>204</v>
      </c>
      <c r="C36" s="83" t="s">
        <v>29</v>
      </c>
      <c r="D36" s="93">
        <v>1635.3610619999999</v>
      </c>
      <c r="E36" s="94"/>
      <c r="F36" s="93">
        <v>1542.8304369</v>
      </c>
      <c r="G36" s="94"/>
      <c r="H36" s="93">
        <v>1576.5840724</v>
      </c>
      <c r="I36" s="94"/>
      <c r="J36" s="93">
        <v>1830.4958853000001</v>
      </c>
      <c r="K36" s="94"/>
      <c r="L36" s="93">
        <v>1368.2755668</v>
      </c>
      <c r="M36" s="94"/>
      <c r="N36" s="93">
        <v>1506.6110514</v>
      </c>
      <c r="O36" s="94"/>
    </row>
    <row r="37" spans="1:15" ht="45" x14ac:dyDescent="0.25">
      <c r="A37" s="423">
        <v>3</v>
      </c>
      <c r="B37" s="149" t="s">
        <v>1003</v>
      </c>
      <c r="C37" s="89" t="s">
        <v>1036</v>
      </c>
      <c r="D37" s="95">
        <v>1131.7417969999999</v>
      </c>
      <c r="E37" s="96"/>
      <c r="F37" s="95">
        <v>1009.0062237</v>
      </c>
      <c r="G37" s="96"/>
      <c r="H37" s="95">
        <v>1051.8779173</v>
      </c>
      <c r="I37" s="96"/>
      <c r="J37" s="95">
        <v>1122.6872865</v>
      </c>
      <c r="K37" s="96"/>
      <c r="L37" s="95">
        <v>954.31612856000004</v>
      </c>
      <c r="M37" s="96"/>
      <c r="N37" s="95">
        <v>1077.4166103</v>
      </c>
      <c r="O37" s="96"/>
    </row>
    <row r="38" spans="1:15" ht="30" x14ac:dyDescent="0.25">
      <c r="A38" s="423">
        <v>3</v>
      </c>
      <c r="B38" s="185" t="s">
        <v>1003</v>
      </c>
      <c r="C38" s="89" t="s">
        <v>1037</v>
      </c>
      <c r="D38" s="95">
        <v>503.61926499999998</v>
      </c>
      <c r="E38" s="96"/>
      <c r="F38" s="95">
        <v>533.82421323000005</v>
      </c>
      <c r="G38" s="96"/>
      <c r="H38" s="95">
        <v>524.70615502999999</v>
      </c>
      <c r="I38" s="96"/>
      <c r="J38" s="95">
        <v>707.80859880000003</v>
      </c>
      <c r="K38" s="96"/>
      <c r="L38" s="95">
        <v>413.95943820999997</v>
      </c>
      <c r="M38" s="96"/>
      <c r="N38" s="95">
        <v>429.19444113999998</v>
      </c>
      <c r="O38" s="96"/>
    </row>
    <row r="39" spans="1:15" x14ac:dyDescent="0.25">
      <c r="A39" s="423">
        <v>2</v>
      </c>
      <c r="B39" s="423" t="s">
        <v>204</v>
      </c>
      <c r="C39" s="83" t="s">
        <v>1038</v>
      </c>
      <c r="D39" s="93">
        <v>569.45021138000004</v>
      </c>
      <c r="E39" s="94" t="s">
        <v>1007</v>
      </c>
      <c r="F39" s="93">
        <v>550.18835999999999</v>
      </c>
      <c r="G39" s="94"/>
      <c r="H39" s="93">
        <v>635.61082134000003</v>
      </c>
      <c r="I39" s="94"/>
      <c r="J39" s="93">
        <v>693.77074956000001</v>
      </c>
      <c r="K39" s="94"/>
      <c r="L39" s="93">
        <v>499.17867785999999</v>
      </c>
      <c r="M39" s="94"/>
      <c r="N39" s="93">
        <v>785.54974660000005</v>
      </c>
      <c r="O39" s="94"/>
    </row>
    <row r="40" spans="1:15" ht="30" x14ac:dyDescent="0.25">
      <c r="A40" s="423">
        <v>3</v>
      </c>
      <c r="B40" s="423" t="s">
        <v>1005</v>
      </c>
      <c r="C40" s="89" t="s">
        <v>1039</v>
      </c>
      <c r="D40" s="95">
        <v>334.19454528</v>
      </c>
      <c r="E40" s="96" t="s">
        <v>1007</v>
      </c>
      <c r="F40" s="95">
        <v>245.41965855000001</v>
      </c>
      <c r="G40" s="96"/>
      <c r="H40" s="95">
        <v>300.92137066999999</v>
      </c>
      <c r="I40" s="96" t="s">
        <v>1007</v>
      </c>
      <c r="J40" s="95">
        <v>367.48402493999998</v>
      </c>
      <c r="K40" s="96" t="s">
        <v>1007</v>
      </c>
      <c r="L40" s="95">
        <v>208.29065059000001</v>
      </c>
      <c r="M40" s="96" t="s">
        <v>1007</v>
      </c>
      <c r="N40" s="95">
        <v>467.39473858000002</v>
      </c>
      <c r="O40" s="96" t="s">
        <v>1007</v>
      </c>
    </row>
    <row r="41" spans="1:15" ht="30" x14ac:dyDescent="0.25">
      <c r="A41" s="423">
        <v>3</v>
      </c>
      <c r="B41" s="423" t="s">
        <v>1005</v>
      </c>
      <c r="C41" s="89" t="s">
        <v>1040</v>
      </c>
      <c r="D41" s="95">
        <v>235.25566610000001</v>
      </c>
      <c r="E41" s="96" t="s">
        <v>1011</v>
      </c>
      <c r="F41" s="95">
        <v>304.76870144999998</v>
      </c>
      <c r="G41" s="96" t="s">
        <v>1007</v>
      </c>
      <c r="H41" s="95">
        <v>334.68945066999999</v>
      </c>
      <c r="I41" s="96"/>
      <c r="J41" s="95">
        <v>326.28672461999997</v>
      </c>
      <c r="K41" s="96"/>
      <c r="L41" s="95">
        <v>290.88802726</v>
      </c>
      <c r="M41" s="96"/>
      <c r="N41" s="95">
        <v>318.15500802000003</v>
      </c>
      <c r="O41" s="96"/>
    </row>
    <row r="42" spans="1:15" x14ac:dyDescent="0.25">
      <c r="A42" s="423">
        <v>2</v>
      </c>
      <c r="B42" s="423" t="s">
        <v>204</v>
      </c>
      <c r="C42" s="83" t="s">
        <v>1041</v>
      </c>
      <c r="D42" s="93">
        <v>1677.5867063000001</v>
      </c>
      <c r="E42" s="94"/>
      <c r="F42" s="93">
        <v>1988.7425272</v>
      </c>
      <c r="G42" s="94"/>
      <c r="H42" s="93">
        <v>1538.5858234</v>
      </c>
      <c r="I42" s="94"/>
      <c r="J42" s="93">
        <v>1761.492342</v>
      </c>
      <c r="K42" s="94"/>
      <c r="L42" s="93">
        <v>1671.4337025</v>
      </c>
      <c r="M42" s="94"/>
      <c r="N42" s="93">
        <v>1473.5508809999999</v>
      </c>
      <c r="O42" s="94"/>
    </row>
    <row r="43" spans="1:15" ht="30" x14ac:dyDescent="0.25">
      <c r="A43" s="423">
        <v>3</v>
      </c>
      <c r="B43" s="423" t="s">
        <v>1005</v>
      </c>
      <c r="C43" s="89" t="s">
        <v>1042</v>
      </c>
      <c r="D43" s="95" t="s">
        <v>978</v>
      </c>
      <c r="E43" s="96"/>
      <c r="F43" s="95">
        <v>294.84617443000002</v>
      </c>
      <c r="G43" s="96" t="s">
        <v>1007</v>
      </c>
      <c r="H43" s="95">
        <v>229.03319417</v>
      </c>
      <c r="I43" s="96" t="s">
        <v>1007</v>
      </c>
      <c r="J43" s="95">
        <v>345.66017098999998</v>
      </c>
      <c r="K43" s="96" t="s">
        <v>1011</v>
      </c>
      <c r="L43" s="95">
        <v>289.67026948</v>
      </c>
      <c r="M43" s="96" t="s">
        <v>1007</v>
      </c>
      <c r="N43" s="95">
        <v>255.21188667999999</v>
      </c>
      <c r="O43" s="96" t="s">
        <v>1007</v>
      </c>
    </row>
    <row r="44" spans="1:15" ht="30" x14ac:dyDescent="0.25">
      <c r="A44" s="423">
        <v>3</v>
      </c>
      <c r="B44" s="423" t="s">
        <v>1005</v>
      </c>
      <c r="C44" s="89" t="s">
        <v>1043</v>
      </c>
      <c r="D44" s="95">
        <v>294.53347561999999</v>
      </c>
      <c r="E44" s="96" t="s">
        <v>1011</v>
      </c>
      <c r="F44" s="95">
        <v>272.20401628000002</v>
      </c>
      <c r="G44" s="96" t="s">
        <v>1007</v>
      </c>
      <c r="H44" s="95">
        <v>150.69995797000001</v>
      </c>
      <c r="I44" s="96" t="s">
        <v>1007</v>
      </c>
      <c r="J44" s="95">
        <v>157.66476768999999</v>
      </c>
      <c r="K44" s="96" t="s">
        <v>1007</v>
      </c>
      <c r="L44" s="95">
        <v>128.73587333</v>
      </c>
      <c r="M44" s="96"/>
      <c r="N44" s="95">
        <v>136.31609850000001</v>
      </c>
      <c r="O44" s="96" t="s">
        <v>1011</v>
      </c>
    </row>
    <row r="45" spans="1:15" x14ac:dyDescent="0.25">
      <c r="A45" s="423">
        <v>3</v>
      </c>
      <c r="B45" s="423" t="s">
        <v>1005</v>
      </c>
      <c r="C45" s="89" t="s">
        <v>1044</v>
      </c>
      <c r="D45" s="95">
        <v>802.34244518000003</v>
      </c>
      <c r="E45" s="96"/>
      <c r="F45" s="95">
        <v>945.10331990999998</v>
      </c>
      <c r="G45" s="96"/>
      <c r="H45" s="95">
        <v>915.33803246000002</v>
      </c>
      <c r="I45" s="96"/>
      <c r="J45" s="95">
        <v>823.43614234999995</v>
      </c>
      <c r="K45" s="96"/>
      <c r="L45" s="95">
        <v>923.14547660999995</v>
      </c>
      <c r="M45" s="96"/>
      <c r="N45" s="95">
        <v>857.78359899999998</v>
      </c>
      <c r="O45" s="96"/>
    </row>
    <row r="46" spans="1:15" ht="30" x14ac:dyDescent="0.25">
      <c r="A46" s="423">
        <v>3</v>
      </c>
      <c r="B46" s="423" t="s">
        <v>1005</v>
      </c>
      <c r="C46" s="89" t="s">
        <v>1045</v>
      </c>
      <c r="D46" s="95" t="s">
        <v>978</v>
      </c>
      <c r="E46" s="96"/>
      <c r="F46" s="95" t="s">
        <v>978</v>
      </c>
      <c r="G46" s="96"/>
      <c r="H46" s="95" t="s">
        <v>978</v>
      </c>
      <c r="I46" s="96"/>
      <c r="J46" s="95" t="s">
        <v>978</v>
      </c>
      <c r="K46" s="96"/>
      <c r="L46" s="95" t="s">
        <v>978</v>
      </c>
      <c r="M46" s="96"/>
      <c r="N46" s="95">
        <v>224.23929679</v>
      </c>
      <c r="O46" s="96" t="s">
        <v>1011</v>
      </c>
    </row>
    <row r="47" spans="1:15" x14ac:dyDescent="0.25">
      <c r="A47" s="423">
        <v>2</v>
      </c>
      <c r="B47" s="423" t="s">
        <v>204</v>
      </c>
      <c r="C47" s="83" t="s">
        <v>1046</v>
      </c>
      <c r="D47" s="93" t="s">
        <v>978</v>
      </c>
      <c r="E47" s="94"/>
      <c r="F47" s="93">
        <v>204.41104150999999</v>
      </c>
      <c r="G47" s="94" t="s">
        <v>1007</v>
      </c>
      <c r="H47" s="93" t="s">
        <v>978</v>
      </c>
      <c r="I47" s="94"/>
      <c r="J47" s="93" t="s">
        <v>978</v>
      </c>
      <c r="K47" s="94"/>
      <c r="L47" s="93" t="s">
        <v>978</v>
      </c>
      <c r="M47" s="94"/>
      <c r="N47" s="93">
        <v>243.84076705999999</v>
      </c>
      <c r="O47" s="94" t="s">
        <v>1007</v>
      </c>
    </row>
    <row r="48" spans="1:15" x14ac:dyDescent="0.25">
      <c r="A48" s="423">
        <v>3</v>
      </c>
      <c r="B48" s="423" t="s">
        <v>1003</v>
      </c>
      <c r="C48" s="89" t="s">
        <v>376</v>
      </c>
      <c r="D48" s="95" t="s">
        <v>978</v>
      </c>
      <c r="E48" s="96"/>
      <c r="F48" s="95">
        <v>204.41104150999999</v>
      </c>
      <c r="G48" s="96" t="s">
        <v>1007</v>
      </c>
      <c r="H48" s="95" t="s">
        <v>978</v>
      </c>
      <c r="I48" s="96"/>
      <c r="J48" s="95" t="s">
        <v>978</v>
      </c>
      <c r="K48" s="96"/>
      <c r="L48" s="95" t="s">
        <v>978</v>
      </c>
      <c r="M48" s="96"/>
      <c r="N48" s="95">
        <v>223.00621662</v>
      </c>
      <c r="O48" s="96" t="s">
        <v>1007</v>
      </c>
    </row>
    <row r="49" spans="1:15" ht="30" x14ac:dyDescent="0.25">
      <c r="A49" s="423">
        <v>3</v>
      </c>
      <c r="B49" s="423" t="s">
        <v>1005</v>
      </c>
      <c r="C49" s="89" t="s">
        <v>1047</v>
      </c>
      <c r="D49" s="95" t="s">
        <v>978</v>
      </c>
      <c r="E49" s="96"/>
      <c r="F49" s="95">
        <v>0</v>
      </c>
      <c r="G49" s="96"/>
      <c r="H49" s="95" t="s">
        <v>978</v>
      </c>
      <c r="I49" s="96"/>
      <c r="J49" s="95">
        <v>0</v>
      </c>
      <c r="K49" s="96"/>
      <c r="L49" s="95">
        <v>26.506091836</v>
      </c>
      <c r="M49" s="96" t="s">
        <v>1011</v>
      </c>
      <c r="N49" s="95"/>
      <c r="O49" s="96"/>
    </row>
    <row r="50" spans="1:15" ht="30" x14ac:dyDescent="0.25">
      <c r="A50" s="423">
        <v>2</v>
      </c>
      <c r="B50" s="423" t="s">
        <v>204</v>
      </c>
      <c r="C50" s="83" t="s">
        <v>1048</v>
      </c>
      <c r="D50" s="93">
        <v>110.21259442</v>
      </c>
      <c r="E50" s="94" t="s">
        <v>1007</v>
      </c>
      <c r="F50" s="93">
        <v>99.607465852000004</v>
      </c>
      <c r="G50" s="94" t="s">
        <v>1007</v>
      </c>
      <c r="H50" s="93">
        <v>116.38332119</v>
      </c>
      <c r="I50" s="94" t="s">
        <v>1011</v>
      </c>
      <c r="J50" s="93">
        <v>131.14301313999999</v>
      </c>
      <c r="K50" s="94" t="s">
        <v>1011</v>
      </c>
      <c r="L50" s="93">
        <v>79.195907360999996</v>
      </c>
      <c r="M50" s="94"/>
      <c r="N50" s="93">
        <v>138.90413900999999</v>
      </c>
      <c r="O50" s="94" t="s">
        <v>1007</v>
      </c>
    </row>
    <row r="51" spans="1:15" x14ac:dyDescent="0.25">
      <c r="A51" s="423">
        <v>3</v>
      </c>
      <c r="B51" s="423" t="s">
        <v>1005</v>
      </c>
      <c r="C51" s="89" t="s">
        <v>1049</v>
      </c>
      <c r="D51" s="95">
        <v>22.462800449</v>
      </c>
      <c r="E51" s="96" t="s">
        <v>1011</v>
      </c>
      <c r="F51" s="95" t="s">
        <v>978</v>
      </c>
      <c r="G51" s="96"/>
      <c r="H51" s="95" t="s">
        <v>978</v>
      </c>
      <c r="I51" s="96"/>
      <c r="J51" s="95" t="s">
        <v>978</v>
      </c>
      <c r="K51" s="96"/>
      <c r="L51" s="95" t="s">
        <v>978</v>
      </c>
      <c r="M51" s="96"/>
      <c r="N51" s="95"/>
      <c r="O51" s="96"/>
    </row>
    <row r="52" spans="1:15" ht="30" x14ac:dyDescent="0.25">
      <c r="A52" s="423">
        <v>3</v>
      </c>
      <c r="B52" s="423" t="s">
        <v>1005</v>
      </c>
      <c r="C52" s="89" t="s">
        <v>1050</v>
      </c>
      <c r="D52" s="95">
        <v>14.081417838</v>
      </c>
      <c r="E52" s="96" t="s">
        <v>1011</v>
      </c>
      <c r="F52" s="95" t="s">
        <v>978</v>
      </c>
      <c r="G52" s="96"/>
      <c r="H52" s="95" t="s">
        <v>978</v>
      </c>
      <c r="I52" s="96"/>
      <c r="J52" s="95" t="s">
        <v>978</v>
      </c>
      <c r="K52" s="96"/>
      <c r="L52" s="95" t="s">
        <v>978</v>
      </c>
      <c r="M52" s="96"/>
      <c r="N52" s="95"/>
      <c r="O52" s="96"/>
    </row>
    <row r="53" spans="1:15" ht="45" x14ac:dyDescent="0.25">
      <c r="A53" s="423">
        <v>3</v>
      </c>
      <c r="B53" s="423" t="s">
        <v>1005</v>
      </c>
      <c r="C53" s="89" t="s">
        <v>1051</v>
      </c>
      <c r="D53" s="95">
        <v>64.796550119000003</v>
      </c>
      <c r="E53" s="96" t="s">
        <v>1011</v>
      </c>
      <c r="F53" s="95">
        <v>36.565588226999999</v>
      </c>
      <c r="G53" s="96" t="s">
        <v>1011</v>
      </c>
      <c r="H53" s="95" t="s">
        <v>978</v>
      </c>
      <c r="I53" s="96"/>
      <c r="J53" s="95">
        <v>110.48189988</v>
      </c>
      <c r="K53" s="96" t="s">
        <v>1011</v>
      </c>
      <c r="L53" s="95">
        <v>60.033739658000002</v>
      </c>
      <c r="M53" s="96"/>
      <c r="N53" s="95">
        <v>61.323010023000002</v>
      </c>
      <c r="O53" s="96"/>
    </row>
    <row r="54" spans="1:15" ht="45" x14ac:dyDescent="0.25">
      <c r="A54" s="423">
        <v>3</v>
      </c>
      <c r="B54" s="423" t="s">
        <v>1005</v>
      </c>
      <c r="C54" s="89" t="s">
        <v>1052</v>
      </c>
      <c r="D54" s="95" t="s">
        <v>978</v>
      </c>
      <c r="E54" s="96"/>
      <c r="F54" s="95" t="s">
        <v>978</v>
      </c>
      <c r="G54" s="96"/>
      <c r="H54" s="95" t="s">
        <v>978</v>
      </c>
      <c r="I54" s="96"/>
      <c r="J54" s="95" t="s">
        <v>978</v>
      </c>
      <c r="K54" s="96"/>
      <c r="L54" s="95" t="s">
        <v>978</v>
      </c>
      <c r="M54" s="96"/>
      <c r="N54" s="95"/>
      <c r="O54" s="96"/>
    </row>
    <row r="55" spans="1:15" ht="60" x14ac:dyDescent="0.25">
      <c r="A55" s="423">
        <v>3</v>
      </c>
      <c r="B55" s="423" t="s">
        <v>1005</v>
      </c>
      <c r="C55" s="89" t="s">
        <v>1053</v>
      </c>
      <c r="D55" s="95" t="s">
        <v>978</v>
      </c>
      <c r="E55" s="96"/>
      <c r="F55" s="95" t="s">
        <v>978</v>
      </c>
      <c r="G55" s="96"/>
      <c r="H55" s="95" t="s">
        <v>978</v>
      </c>
      <c r="I55" s="96"/>
      <c r="J55" s="95" t="s">
        <v>978</v>
      </c>
      <c r="K55" s="96"/>
      <c r="L55" s="95">
        <v>0</v>
      </c>
      <c r="M55" s="96"/>
      <c r="N55" s="95"/>
      <c r="O55" s="96"/>
    </row>
    <row r="56" spans="1:15" ht="30" x14ac:dyDescent="0.25">
      <c r="A56" s="423">
        <v>2</v>
      </c>
      <c r="B56" s="423" t="s">
        <v>204</v>
      </c>
      <c r="C56" s="83" t="s">
        <v>1054</v>
      </c>
      <c r="D56" s="93">
        <v>1029.4181297</v>
      </c>
      <c r="E56" s="94"/>
      <c r="F56" s="93">
        <v>838.84005837999996</v>
      </c>
      <c r="G56" s="94"/>
      <c r="H56" s="93">
        <v>765.92458783999996</v>
      </c>
      <c r="I56" s="94" t="s">
        <v>1007</v>
      </c>
      <c r="J56" s="93">
        <v>1164.0411753999999</v>
      </c>
      <c r="K56" s="94" t="s">
        <v>1007</v>
      </c>
      <c r="L56" s="93">
        <v>912.95278393000001</v>
      </c>
      <c r="M56" s="94" t="s">
        <v>1007</v>
      </c>
      <c r="N56" s="93">
        <v>802.33420825999997</v>
      </c>
      <c r="O56" s="94"/>
    </row>
    <row r="57" spans="1:15" ht="30" x14ac:dyDescent="0.25">
      <c r="A57" s="423">
        <v>3</v>
      </c>
      <c r="B57" s="423" t="s">
        <v>1005</v>
      </c>
      <c r="C57" s="89" t="s">
        <v>1055</v>
      </c>
      <c r="D57" s="95">
        <v>322.46032002999999</v>
      </c>
      <c r="E57" s="96" t="s">
        <v>1007</v>
      </c>
      <c r="F57" s="95">
        <v>221.54665011</v>
      </c>
      <c r="G57" s="96" t="s">
        <v>1007</v>
      </c>
      <c r="H57" s="95">
        <v>167.17298872000001</v>
      </c>
      <c r="I57" s="96" t="s">
        <v>1011</v>
      </c>
      <c r="J57" s="95">
        <v>422.47452896999999</v>
      </c>
      <c r="K57" s="96" t="s">
        <v>1011</v>
      </c>
      <c r="L57" s="95">
        <v>376.69062738000002</v>
      </c>
      <c r="M57" s="96" t="s">
        <v>1007</v>
      </c>
      <c r="N57" s="95">
        <v>263.87802663999997</v>
      </c>
      <c r="O57" s="96" t="s">
        <v>1011</v>
      </c>
    </row>
    <row r="58" spans="1:15" x14ac:dyDescent="0.25">
      <c r="A58" s="423">
        <v>3</v>
      </c>
      <c r="B58" s="423" t="s">
        <v>1005</v>
      </c>
      <c r="C58" s="89" t="s">
        <v>1056</v>
      </c>
      <c r="D58" s="95">
        <v>706.95780969999998</v>
      </c>
      <c r="E58" s="96"/>
      <c r="F58" s="95">
        <v>617.29340827999999</v>
      </c>
      <c r="G58" s="96" t="s">
        <v>1007</v>
      </c>
      <c r="H58" s="95">
        <v>598.75159911000003</v>
      </c>
      <c r="I58" s="96" t="s">
        <v>1007</v>
      </c>
      <c r="J58" s="95">
        <v>741.56664637999995</v>
      </c>
      <c r="K58" s="96"/>
      <c r="L58" s="95">
        <v>536.26215654999999</v>
      </c>
      <c r="M58" s="96" t="s">
        <v>1007</v>
      </c>
      <c r="N58" s="95">
        <v>538.45618162000005</v>
      </c>
      <c r="O58" s="96"/>
    </row>
    <row r="59" spans="1:15" x14ac:dyDescent="0.25">
      <c r="A59" s="423">
        <v>2</v>
      </c>
      <c r="B59" s="423" t="s">
        <v>204</v>
      </c>
      <c r="C59" s="83" t="s">
        <v>1057</v>
      </c>
      <c r="D59" s="93">
        <v>95.586503596</v>
      </c>
      <c r="E59" s="94" t="s">
        <v>1007</v>
      </c>
      <c r="F59" s="93">
        <v>123.32630451999999</v>
      </c>
      <c r="G59" s="94" t="s">
        <v>1007</v>
      </c>
      <c r="H59" s="93">
        <v>121.75944647</v>
      </c>
      <c r="I59" s="94" t="s">
        <v>1011</v>
      </c>
      <c r="J59" s="93">
        <v>104.23595317</v>
      </c>
      <c r="K59" s="94" t="s">
        <v>1011</v>
      </c>
      <c r="L59" s="93">
        <v>69.141405539999994</v>
      </c>
      <c r="M59" s="94" t="s">
        <v>1011</v>
      </c>
      <c r="N59" s="93">
        <v>168.33851808</v>
      </c>
      <c r="O59" s="94" t="s">
        <v>1007</v>
      </c>
    </row>
    <row r="60" spans="1:15" ht="30" x14ac:dyDescent="0.25">
      <c r="A60" s="423">
        <v>3</v>
      </c>
      <c r="B60" s="423" t="s">
        <v>1003</v>
      </c>
      <c r="C60" s="89" t="s">
        <v>1058</v>
      </c>
      <c r="D60" s="95">
        <v>89.960122515999998</v>
      </c>
      <c r="E60" s="96" t="s">
        <v>1007</v>
      </c>
      <c r="F60" s="95">
        <v>105.70022138</v>
      </c>
      <c r="G60" s="96" t="s">
        <v>1007</v>
      </c>
      <c r="H60" s="95">
        <v>104.76533046999999</v>
      </c>
      <c r="I60" s="96" t="s">
        <v>1011</v>
      </c>
      <c r="J60" s="95">
        <v>98.706441515999998</v>
      </c>
      <c r="K60" s="96" t="s">
        <v>1007</v>
      </c>
      <c r="L60" s="95">
        <v>60.087778643999997</v>
      </c>
      <c r="M60" s="96" t="s">
        <v>1011</v>
      </c>
      <c r="N60" s="95">
        <v>161.70338426999999</v>
      </c>
      <c r="O60" s="96" t="s">
        <v>1007</v>
      </c>
    </row>
    <row r="61" spans="1:15" x14ac:dyDescent="0.25">
      <c r="A61" s="423">
        <v>3</v>
      </c>
      <c r="B61" s="423" t="s">
        <v>1003</v>
      </c>
      <c r="C61" s="89" t="s">
        <v>1059</v>
      </c>
      <c r="D61" s="95" t="s">
        <v>978</v>
      </c>
      <c r="E61" s="96"/>
      <c r="F61" s="95" t="s">
        <v>978</v>
      </c>
      <c r="G61" s="96"/>
      <c r="H61" s="95" t="s">
        <v>978</v>
      </c>
      <c r="I61" s="96"/>
      <c r="J61" s="95" t="s">
        <v>978</v>
      </c>
      <c r="K61" s="96"/>
      <c r="L61" s="95" t="s">
        <v>978</v>
      </c>
      <c r="M61" s="96"/>
      <c r="N61" s="95"/>
      <c r="O61" s="96"/>
    </row>
    <row r="62" spans="1:15" x14ac:dyDescent="0.25">
      <c r="A62" s="423">
        <v>2</v>
      </c>
      <c r="B62" s="423" t="s">
        <v>204</v>
      </c>
      <c r="C62" s="83" t="s">
        <v>1060</v>
      </c>
      <c r="D62" s="93">
        <v>673.93899782000005</v>
      </c>
      <c r="E62" s="94"/>
      <c r="F62" s="93">
        <v>963.57836985999995</v>
      </c>
      <c r="G62" s="94"/>
      <c r="H62" s="93">
        <v>867.44990439000003</v>
      </c>
      <c r="I62" s="94"/>
      <c r="J62" s="93">
        <v>852.09331283999995</v>
      </c>
      <c r="K62" s="94"/>
      <c r="L62" s="93">
        <v>757.04426668999997</v>
      </c>
      <c r="M62" s="94"/>
      <c r="N62" s="93">
        <v>597.16507836000005</v>
      </c>
      <c r="O62" s="94"/>
    </row>
    <row r="63" spans="1:15" x14ac:dyDescent="0.25">
      <c r="A63" s="423">
        <v>3</v>
      </c>
      <c r="B63" s="423" t="s">
        <v>1003</v>
      </c>
      <c r="C63" s="89" t="s">
        <v>1061</v>
      </c>
      <c r="D63" s="95">
        <v>156.45418857000001</v>
      </c>
      <c r="E63" s="96"/>
      <c r="F63" s="95">
        <v>393.41197708999999</v>
      </c>
      <c r="G63" s="96"/>
      <c r="H63" s="95">
        <v>319.38177982000002</v>
      </c>
      <c r="I63" s="96" t="s">
        <v>1007</v>
      </c>
      <c r="J63" s="95">
        <v>234.93197013</v>
      </c>
      <c r="K63" s="96"/>
      <c r="L63" s="95">
        <v>221.58664623999999</v>
      </c>
      <c r="M63" s="96"/>
      <c r="N63" s="95">
        <v>197.46084060999999</v>
      </c>
      <c r="O63" s="96"/>
    </row>
    <row r="64" spans="1:15" ht="30" x14ac:dyDescent="0.25">
      <c r="A64" s="423">
        <v>3</v>
      </c>
      <c r="B64" s="423" t="s">
        <v>1005</v>
      </c>
      <c r="C64" s="89" t="s">
        <v>1062</v>
      </c>
      <c r="D64" s="95">
        <v>517.48480925000001</v>
      </c>
      <c r="E64" s="96"/>
      <c r="F64" s="95">
        <v>570.16639276000001</v>
      </c>
      <c r="G64" s="96"/>
      <c r="H64" s="95">
        <v>548.06812457000001</v>
      </c>
      <c r="I64" s="96"/>
      <c r="J64" s="95">
        <v>617.16134270999999</v>
      </c>
      <c r="K64" s="96"/>
      <c r="L64" s="95">
        <v>535.45762046000004</v>
      </c>
      <c r="M64" s="96"/>
      <c r="N64" s="95">
        <v>399.70423775</v>
      </c>
      <c r="O64" s="96"/>
    </row>
    <row r="65" spans="1:15" x14ac:dyDescent="0.25">
      <c r="A65" s="423">
        <v>1</v>
      </c>
      <c r="B65" s="423" t="s">
        <v>204</v>
      </c>
      <c r="C65" s="82" t="s">
        <v>1063</v>
      </c>
      <c r="D65" s="91">
        <v>5097.2989008000004</v>
      </c>
      <c r="E65" s="92"/>
      <c r="F65" s="91">
        <v>5528.1630164999997</v>
      </c>
      <c r="G65" s="92"/>
      <c r="H65" s="91">
        <v>5203.8013774000001</v>
      </c>
      <c r="I65" s="92"/>
      <c r="J65" s="91">
        <v>6252.9280557000002</v>
      </c>
      <c r="K65" s="92"/>
      <c r="L65" s="91">
        <v>5550.7275423999999</v>
      </c>
      <c r="M65" s="92"/>
      <c r="N65" s="91">
        <v>5809.7084144999999</v>
      </c>
      <c r="O65" s="92"/>
    </row>
    <row r="66" spans="1:15" ht="60" x14ac:dyDescent="0.25">
      <c r="A66" s="423">
        <v>1</v>
      </c>
      <c r="B66" s="423" t="s">
        <v>204</v>
      </c>
      <c r="C66" s="82" t="s">
        <v>1064</v>
      </c>
      <c r="D66" s="91">
        <v>1885.5615447</v>
      </c>
      <c r="E66" s="92"/>
      <c r="F66" s="91">
        <v>1746.1604846</v>
      </c>
      <c r="G66" s="92"/>
      <c r="H66" s="91">
        <v>1582.3641795999999</v>
      </c>
      <c r="I66" s="92"/>
      <c r="J66" s="91">
        <v>2123.8956561</v>
      </c>
      <c r="K66" s="92"/>
      <c r="L66" s="91">
        <v>2045.3506511999999</v>
      </c>
      <c r="M66" s="92"/>
      <c r="N66" s="91">
        <v>1921.7092123</v>
      </c>
      <c r="O66" s="92"/>
    </row>
    <row r="67" spans="1:15" ht="45" x14ac:dyDescent="0.25">
      <c r="A67" s="423">
        <v>2</v>
      </c>
      <c r="B67" s="423" t="s">
        <v>204</v>
      </c>
      <c r="C67" s="84" t="s">
        <v>1065</v>
      </c>
      <c r="D67" s="97">
        <v>203.83778803999999</v>
      </c>
      <c r="E67" s="98"/>
      <c r="F67" s="97">
        <v>278.71601843000002</v>
      </c>
      <c r="G67" s="98"/>
      <c r="H67" s="97">
        <v>271.12865855000001</v>
      </c>
      <c r="I67" s="98"/>
      <c r="J67" s="97">
        <v>341.43651149999999</v>
      </c>
      <c r="K67" s="98"/>
      <c r="L67" s="97">
        <v>332.19217492000001</v>
      </c>
      <c r="M67" s="98"/>
      <c r="N67" s="97">
        <v>314.06864747999998</v>
      </c>
      <c r="O67" s="98"/>
    </row>
    <row r="68" spans="1:15" ht="30" x14ac:dyDescent="0.25">
      <c r="A68" s="423">
        <v>2</v>
      </c>
      <c r="B68" s="423" t="s">
        <v>204</v>
      </c>
      <c r="C68" s="84" t="s">
        <v>1066</v>
      </c>
      <c r="D68" s="97">
        <v>1262.7509540999999</v>
      </c>
      <c r="E68" s="98"/>
      <c r="F68" s="97">
        <v>1169.0452863</v>
      </c>
      <c r="G68" s="98"/>
      <c r="H68" s="97">
        <v>1068.5241358000001</v>
      </c>
      <c r="I68" s="98"/>
      <c r="J68" s="97">
        <v>1502.2877332</v>
      </c>
      <c r="K68" s="98"/>
      <c r="L68" s="97">
        <v>1356.3721032000001</v>
      </c>
      <c r="M68" s="98"/>
      <c r="N68" s="97">
        <v>1392.5481795999999</v>
      </c>
      <c r="O68" s="98"/>
    </row>
    <row r="69" spans="1:15" ht="30" x14ac:dyDescent="0.25">
      <c r="A69" s="423">
        <v>2</v>
      </c>
      <c r="B69" s="423" t="s">
        <v>204</v>
      </c>
      <c r="C69" s="84" t="s">
        <v>1067</v>
      </c>
      <c r="D69" s="97" t="s">
        <v>978</v>
      </c>
      <c r="E69" s="98"/>
      <c r="F69" s="97" t="s">
        <v>978</v>
      </c>
      <c r="G69" s="98"/>
      <c r="H69" s="97" t="s">
        <v>978</v>
      </c>
      <c r="I69" s="98"/>
      <c r="J69" s="97" t="s">
        <v>978</v>
      </c>
      <c r="K69" s="98"/>
      <c r="L69" s="97" t="s">
        <v>978</v>
      </c>
      <c r="M69" s="98"/>
      <c r="N69" s="97"/>
      <c r="O69" s="98"/>
    </row>
    <row r="70" spans="1:15" ht="45" x14ac:dyDescent="0.25">
      <c r="A70" s="423">
        <v>2</v>
      </c>
      <c r="B70" s="423" t="s">
        <v>1005</v>
      </c>
      <c r="C70" s="84" t="s">
        <v>1068</v>
      </c>
      <c r="D70" s="97">
        <v>333.49466407</v>
      </c>
      <c r="E70" s="98" t="s">
        <v>1007</v>
      </c>
      <c r="F70" s="97">
        <v>194.66010266000001</v>
      </c>
      <c r="G70" s="98"/>
      <c r="H70" s="97">
        <v>237.87498256999999</v>
      </c>
      <c r="I70" s="98"/>
      <c r="J70" s="97">
        <v>267.30963045999999</v>
      </c>
      <c r="K70" s="98"/>
      <c r="L70" s="97">
        <v>213.81790694</v>
      </c>
      <c r="M70" s="98"/>
      <c r="N70" s="97">
        <v>172.63534756999999</v>
      </c>
      <c r="O70" s="98"/>
    </row>
    <row r="71" spans="1:15" ht="45" x14ac:dyDescent="0.25">
      <c r="A71" s="423">
        <v>1</v>
      </c>
      <c r="B71" s="423" t="s">
        <v>204</v>
      </c>
      <c r="C71" s="85" t="s">
        <v>1069</v>
      </c>
      <c r="D71" s="99">
        <v>602.25182374999997</v>
      </c>
      <c r="E71" s="100"/>
      <c r="F71" s="99">
        <v>601.80919111000003</v>
      </c>
      <c r="G71" s="100" t="s">
        <v>1007</v>
      </c>
      <c r="H71" s="99">
        <v>774.94536515000004</v>
      </c>
      <c r="I71" s="100" t="s">
        <v>1007</v>
      </c>
      <c r="J71" s="99">
        <v>835.24540207999996</v>
      </c>
      <c r="K71" s="100" t="s">
        <v>1007</v>
      </c>
      <c r="L71" s="99">
        <v>785.54020650999996</v>
      </c>
      <c r="M71" s="100" t="s">
        <v>1007</v>
      </c>
      <c r="N71" s="99">
        <v>659.55131872000004</v>
      </c>
      <c r="O71" s="100"/>
    </row>
    <row r="72" spans="1:15" ht="30" x14ac:dyDescent="0.25">
      <c r="A72" s="423">
        <v>2</v>
      </c>
      <c r="B72" s="423" t="s">
        <v>204</v>
      </c>
      <c r="C72" s="84" t="s">
        <v>1070</v>
      </c>
      <c r="D72" s="97">
        <v>466.15255581000002</v>
      </c>
      <c r="E72" s="98" t="s">
        <v>1007</v>
      </c>
      <c r="F72" s="97">
        <v>451.39376356999998</v>
      </c>
      <c r="G72" s="98" t="s">
        <v>1007</v>
      </c>
      <c r="H72" s="97">
        <v>601.15449503000002</v>
      </c>
      <c r="I72" s="98" t="s">
        <v>1007</v>
      </c>
      <c r="J72" s="97">
        <v>687.43162065000001</v>
      </c>
      <c r="K72" s="98" t="s">
        <v>1007</v>
      </c>
      <c r="L72" s="97">
        <v>650.23665704999996</v>
      </c>
      <c r="M72" s="98" t="s">
        <v>1007</v>
      </c>
      <c r="N72" s="97">
        <v>528.54105577999997</v>
      </c>
      <c r="O72" s="98" t="s">
        <v>1007</v>
      </c>
    </row>
    <row r="73" spans="1:15" ht="45" x14ac:dyDescent="0.25">
      <c r="A73" s="423">
        <v>3</v>
      </c>
      <c r="B73" s="423" t="s">
        <v>1003</v>
      </c>
      <c r="C73" s="89" t="s">
        <v>1071</v>
      </c>
      <c r="D73" s="95">
        <v>254.45093782999999</v>
      </c>
      <c r="E73" s="96" t="s">
        <v>1007</v>
      </c>
      <c r="F73" s="95" t="s">
        <v>978</v>
      </c>
      <c r="G73" s="96"/>
      <c r="H73" s="95">
        <v>294.25685937999998</v>
      </c>
      <c r="I73" s="96" t="s">
        <v>1007</v>
      </c>
      <c r="J73" s="95">
        <v>385.13595809999998</v>
      </c>
      <c r="K73" s="96" t="s">
        <v>1011</v>
      </c>
      <c r="L73" s="95">
        <v>415.53676529000001</v>
      </c>
      <c r="M73" s="96" t="s">
        <v>1007</v>
      </c>
      <c r="N73" s="95">
        <v>291.50245242</v>
      </c>
      <c r="O73" s="96"/>
    </row>
    <row r="74" spans="1:15" ht="45" x14ac:dyDescent="0.25">
      <c r="A74" s="423">
        <v>3</v>
      </c>
      <c r="B74" s="423" t="s">
        <v>1003</v>
      </c>
      <c r="C74" s="89" t="s">
        <v>1072</v>
      </c>
      <c r="D74" s="95">
        <v>38.471829522</v>
      </c>
      <c r="E74" s="96" t="s">
        <v>1011</v>
      </c>
      <c r="F74" s="95" t="s">
        <v>978</v>
      </c>
      <c r="G74" s="96"/>
      <c r="H74" s="95" t="s">
        <v>978</v>
      </c>
      <c r="I74" s="96"/>
      <c r="J74" s="95" t="s">
        <v>978</v>
      </c>
      <c r="K74" s="96"/>
      <c r="L74" s="95" t="s">
        <v>978</v>
      </c>
      <c r="M74" s="96"/>
      <c r="N74" s="95"/>
      <c r="O74" s="96"/>
    </row>
    <row r="75" spans="1:15" x14ac:dyDescent="0.25">
      <c r="A75" s="423">
        <v>3</v>
      </c>
      <c r="B75" s="423" t="s">
        <v>204</v>
      </c>
      <c r="C75" s="89" t="s">
        <v>1073</v>
      </c>
      <c r="D75" s="95">
        <v>173.22978845</v>
      </c>
      <c r="E75" s="96" t="s">
        <v>1011</v>
      </c>
      <c r="F75" s="95" t="s">
        <v>978</v>
      </c>
      <c r="G75" s="96"/>
      <c r="H75" s="95" t="s">
        <v>978</v>
      </c>
      <c r="I75" s="96"/>
      <c r="J75" s="95" t="s">
        <v>978</v>
      </c>
      <c r="K75" s="96"/>
      <c r="L75" s="95" t="s">
        <v>978</v>
      </c>
      <c r="M75" s="101"/>
      <c r="N75" s="95"/>
      <c r="O75" s="101"/>
    </row>
    <row r="76" spans="1:15" ht="15.75" thickBot="1" x14ac:dyDescent="0.3">
      <c r="A76" s="423">
        <v>2</v>
      </c>
      <c r="B76" s="423" t="s">
        <v>1003</v>
      </c>
      <c r="C76" s="86" t="s">
        <v>1074</v>
      </c>
      <c r="D76" s="102">
        <v>136.09926794</v>
      </c>
      <c r="E76" s="103" t="s">
        <v>1007</v>
      </c>
      <c r="F76" s="102">
        <v>150.41542754</v>
      </c>
      <c r="G76" s="103" t="s">
        <v>1007</v>
      </c>
      <c r="H76" s="102">
        <v>173.79087011999999</v>
      </c>
      <c r="I76" s="103" t="s">
        <v>1007</v>
      </c>
      <c r="J76" s="102">
        <v>147.81378143000001</v>
      </c>
      <c r="K76" s="103" t="s">
        <v>1007</v>
      </c>
      <c r="L76" s="102">
        <v>135.30354946</v>
      </c>
      <c r="M76" s="96" t="s">
        <v>1007</v>
      </c>
      <c r="N76" s="102">
        <v>131.01026293999999</v>
      </c>
      <c r="O76" s="96"/>
    </row>
    <row r="77" spans="1:15" x14ac:dyDescent="0.25">
      <c r="A77" s="7"/>
      <c r="B77" s="7"/>
      <c r="C77" s="104" t="s">
        <v>1075</v>
      </c>
      <c r="D77" s="105"/>
      <c r="E77" s="105"/>
      <c r="F77" s="105"/>
      <c r="G77" s="105"/>
      <c r="H77" s="105"/>
      <c r="I77" s="105"/>
      <c r="J77" s="105"/>
      <c r="K77" s="105"/>
      <c r="L77" s="105"/>
      <c r="M77" s="105"/>
      <c r="N77" s="7"/>
      <c r="O77" s="7"/>
    </row>
    <row r="78" spans="1:15" x14ac:dyDescent="0.25">
      <c r="C78" s="90" t="s">
        <v>1076</v>
      </c>
      <c r="D78" s="27"/>
      <c r="E78" s="27"/>
      <c r="F78" s="27"/>
      <c r="G78" s="27"/>
      <c r="H78" s="27"/>
      <c r="I78" s="27"/>
      <c r="J78" s="27"/>
      <c r="K78" s="27"/>
      <c r="L78" s="27"/>
      <c r="M78" s="27"/>
    </row>
    <row r="79" spans="1:15" x14ac:dyDescent="0.25">
      <c r="C79" s="90" t="s">
        <v>1077</v>
      </c>
      <c r="D79" s="27"/>
      <c r="E79" s="27"/>
      <c r="F79" s="27"/>
      <c r="G79" s="27"/>
      <c r="H79" s="27"/>
      <c r="I79" s="27"/>
      <c r="J79" s="27"/>
      <c r="K79" s="27"/>
      <c r="L79" s="27"/>
      <c r="M79" s="27"/>
    </row>
    <row r="80" spans="1:15" ht="15" customHeight="1" x14ac:dyDescent="0.25">
      <c r="C80" s="478" t="s">
        <v>1078</v>
      </c>
      <c r="D80" s="478"/>
      <c r="E80" s="478"/>
      <c r="F80" s="478"/>
      <c r="G80" s="478"/>
      <c r="H80" s="478"/>
      <c r="I80" s="478"/>
      <c r="J80" s="478"/>
      <c r="K80" s="478"/>
      <c r="L80" s="478"/>
      <c r="M80" s="478"/>
      <c r="N80" s="478"/>
      <c r="O80" s="478"/>
    </row>
    <row r="81" spans="3:15" ht="15" customHeight="1" x14ac:dyDescent="0.25">
      <c r="C81" s="479" t="s">
        <v>1079</v>
      </c>
      <c r="D81" s="479"/>
      <c r="E81" s="479"/>
      <c r="F81" s="479"/>
      <c r="G81" s="479"/>
      <c r="H81" s="479"/>
      <c r="I81" s="479"/>
      <c r="J81" s="479"/>
      <c r="K81" s="479"/>
      <c r="L81" s="479"/>
      <c r="M81" s="479"/>
      <c r="N81" s="479"/>
      <c r="O81" s="479"/>
    </row>
    <row r="82" spans="3:15" x14ac:dyDescent="0.25">
      <c r="C82" t="s">
        <v>1080</v>
      </c>
      <c r="D82" s="424"/>
      <c r="E82" s="424"/>
      <c r="F82" s="424"/>
      <c r="G82" s="424"/>
      <c r="H82" s="424"/>
      <c r="I82" s="424"/>
      <c r="J82" s="424"/>
      <c r="K82" s="424"/>
      <c r="L82" s="424"/>
      <c r="M82" s="424"/>
    </row>
    <row r="84" spans="3:15" x14ac:dyDescent="0.25">
      <c r="C84" s="418" t="s">
        <v>1081</v>
      </c>
      <c r="D84" s="418"/>
      <c r="E84" s="418"/>
      <c r="F84" s="418"/>
      <c r="G84" s="418"/>
    </row>
  </sheetData>
  <mergeCells count="4">
    <mergeCell ref="A1:O1"/>
    <mergeCell ref="D3:O3"/>
    <mergeCell ref="C80:O80"/>
    <mergeCell ref="C81:O81"/>
  </mergeCells>
  <hyperlinks>
    <hyperlink ref="C81" r:id="rId1"/>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R84"/>
  <sheetViews>
    <sheetView zoomScaleNormal="100" workbookViewId="0">
      <selection activeCell="P6" sqref="P6"/>
    </sheetView>
  </sheetViews>
  <sheetFormatPr baseColWidth="10" defaultColWidth="11.42578125" defaultRowHeight="15" x14ac:dyDescent="0.25"/>
  <cols>
    <col min="3" max="3" width="25.42578125" customWidth="1"/>
  </cols>
  <sheetData>
    <row r="1" spans="1:18" ht="15.75" thickBot="1" x14ac:dyDescent="0.3">
      <c r="A1" s="476" t="s">
        <v>1082</v>
      </c>
      <c r="B1" s="476"/>
      <c r="C1" s="476"/>
      <c r="D1" s="476"/>
      <c r="E1" s="476"/>
      <c r="F1" s="476"/>
      <c r="G1" s="476"/>
      <c r="H1" s="476"/>
      <c r="I1" s="476"/>
      <c r="J1" s="476"/>
      <c r="K1" s="476"/>
      <c r="L1" s="476"/>
      <c r="M1" s="476"/>
      <c r="N1" s="476"/>
      <c r="O1" s="476"/>
    </row>
    <row r="2" spans="1:18" x14ac:dyDescent="0.25">
      <c r="D2" s="87">
        <v>2010</v>
      </c>
      <c r="E2" s="88"/>
      <c r="F2" s="87">
        <v>2011</v>
      </c>
      <c r="G2" s="88"/>
      <c r="H2" s="87">
        <v>2012</v>
      </c>
      <c r="I2" s="88"/>
      <c r="J2" s="87">
        <v>2013</v>
      </c>
      <c r="K2" s="88"/>
      <c r="L2" s="87">
        <v>2014</v>
      </c>
      <c r="M2" s="88"/>
      <c r="N2" s="46">
        <v>2015</v>
      </c>
      <c r="O2" s="46"/>
    </row>
    <row r="3" spans="1:18" x14ac:dyDescent="0.25">
      <c r="A3" s="426" t="s">
        <v>998</v>
      </c>
      <c r="B3" s="426"/>
      <c r="C3" s="46"/>
      <c r="D3" s="477" t="s">
        <v>1000</v>
      </c>
      <c r="E3" s="477"/>
      <c r="F3" s="477"/>
      <c r="G3" s="477"/>
      <c r="H3" s="477"/>
      <c r="I3" s="477"/>
      <c r="J3" s="477"/>
      <c r="K3" s="477"/>
      <c r="L3" s="477"/>
      <c r="M3" s="477"/>
      <c r="N3" s="477"/>
      <c r="O3" s="477"/>
    </row>
    <row r="4" spans="1:18" x14ac:dyDescent="0.25">
      <c r="A4" s="423">
        <v>0</v>
      </c>
      <c r="B4" s="423"/>
      <c r="C4" s="82" t="s">
        <v>445</v>
      </c>
      <c r="D4" s="91">
        <v>64931.643285999999</v>
      </c>
      <c r="E4" s="92"/>
      <c r="F4" s="91">
        <v>69026.130294999995</v>
      </c>
      <c r="G4" s="92"/>
      <c r="H4" s="91">
        <v>69452.296296999994</v>
      </c>
      <c r="I4" s="92"/>
      <c r="J4" s="91">
        <v>70254.186790000007</v>
      </c>
      <c r="K4" s="92"/>
      <c r="L4" s="91">
        <v>73106.048983000001</v>
      </c>
      <c r="M4" s="92"/>
      <c r="N4" s="91">
        <v>73448.575301999997</v>
      </c>
      <c r="O4" s="92"/>
    </row>
    <row r="5" spans="1:18" ht="30" x14ac:dyDescent="0.25">
      <c r="A5" s="423">
        <v>1</v>
      </c>
      <c r="B5" s="423"/>
      <c r="C5" s="82" t="s">
        <v>1001</v>
      </c>
      <c r="D5" s="91">
        <v>50278.802076</v>
      </c>
      <c r="E5" s="92"/>
      <c r="F5" s="91">
        <v>52163.234494999997</v>
      </c>
      <c r="G5" s="92"/>
      <c r="H5" s="91">
        <v>51374.909352000002</v>
      </c>
      <c r="I5" s="92"/>
      <c r="J5" s="91">
        <v>52616.818607000001</v>
      </c>
      <c r="K5" s="92"/>
      <c r="L5" s="91">
        <v>53026.344224</v>
      </c>
      <c r="M5" s="92"/>
      <c r="N5" s="91">
        <v>52602.737571999998</v>
      </c>
      <c r="O5" s="92"/>
    </row>
    <row r="6" spans="1:18" x14ac:dyDescent="0.25">
      <c r="A6" s="423">
        <v>2</v>
      </c>
      <c r="B6" s="423"/>
      <c r="C6" s="83" t="s">
        <v>1002</v>
      </c>
      <c r="D6" s="93">
        <v>8043.7939466999997</v>
      </c>
      <c r="E6" s="94"/>
      <c r="F6" s="93">
        <v>8087.1138208000002</v>
      </c>
      <c r="G6" s="94"/>
      <c r="H6" s="93">
        <v>8697.1634892000002</v>
      </c>
      <c r="I6" s="94"/>
      <c r="J6" s="93">
        <v>8292.9332830999992</v>
      </c>
      <c r="K6" s="94"/>
      <c r="L6" s="93">
        <v>8152.3983256000001</v>
      </c>
      <c r="M6" s="94"/>
      <c r="N6" s="93">
        <v>8427.9085881999999</v>
      </c>
      <c r="O6" s="94"/>
      <c r="P6" s="186">
        <f>N7*0.773+N10+N11+N35+N37+N38+N48+N60+N61+N63+N73+N74+N76</f>
        <v>24101.693718350794</v>
      </c>
      <c r="Q6" s="186">
        <f>N7+N8+N10+N11+N13+N14+N15+N16+N17+N18+N19+N20+N22+N23+N24+N25+N27+N28+N29+N30+N31+N32+N34+N35+N37+N38+N40+N41+N43+N44+N45+N46+N48+N49+N51+N52+N53+N54+N55+N57+N58+N60+N61+N63+N64+N70+N73+N74+N76</f>
        <v>54247.506153560003</v>
      </c>
      <c r="R6" s="418">
        <f>P6/(Q6-(Q6-P6)*0.14975)</f>
        <v>0.48462009075752771</v>
      </c>
    </row>
    <row r="7" spans="1:18" ht="30" x14ac:dyDescent="0.25">
      <c r="A7" s="423">
        <v>3</v>
      </c>
      <c r="B7" s="423"/>
      <c r="C7" s="89" t="s">
        <v>1004</v>
      </c>
      <c r="D7" s="95">
        <v>5854.5770602000002</v>
      </c>
      <c r="E7" s="96"/>
      <c r="F7" s="95">
        <v>5959.5885504999997</v>
      </c>
      <c r="G7" s="96"/>
      <c r="H7" s="95">
        <v>6445.8364178000002</v>
      </c>
      <c r="I7" s="96"/>
      <c r="J7" s="95">
        <v>6266.9386715000001</v>
      </c>
      <c r="K7" s="96"/>
      <c r="L7" s="95">
        <v>6012.7176833000003</v>
      </c>
      <c r="M7" s="96"/>
      <c r="N7" s="95">
        <v>6278.8944626000002</v>
      </c>
      <c r="O7" s="96"/>
    </row>
    <row r="8" spans="1:18" ht="30" x14ac:dyDescent="0.25">
      <c r="A8" s="423">
        <v>3</v>
      </c>
      <c r="B8" s="423"/>
      <c r="C8" s="89" t="s">
        <v>1006</v>
      </c>
      <c r="D8" s="95">
        <v>2189.2168866000002</v>
      </c>
      <c r="E8" s="96"/>
      <c r="F8" s="95">
        <v>2127.5252703000001</v>
      </c>
      <c r="G8" s="96"/>
      <c r="H8" s="95">
        <v>2251.3270714</v>
      </c>
      <c r="I8" s="96"/>
      <c r="J8" s="95">
        <v>2025.9946116000001</v>
      </c>
      <c r="K8" s="96"/>
      <c r="L8" s="95">
        <v>2139.6806424000001</v>
      </c>
      <c r="M8" s="96"/>
      <c r="N8" s="95">
        <v>2149.0141257</v>
      </c>
      <c r="O8" s="96"/>
    </row>
    <row r="9" spans="1:18" x14ac:dyDescent="0.25">
      <c r="A9" s="423">
        <v>2</v>
      </c>
      <c r="B9" s="423"/>
      <c r="C9" s="83" t="s">
        <v>1008</v>
      </c>
      <c r="D9" s="93">
        <v>11358.008231</v>
      </c>
      <c r="E9" s="94"/>
      <c r="F9" s="93">
        <v>11726.189509</v>
      </c>
      <c r="G9" s="94"/>
      <c r="H9" s="93">
        <v>12071.801487999999</v>
      </c>
      <c r="I9" s="94"/>
      <c r="J9" s="93">
        <v>12250.080516</v>
      </c>
      <c r="K9" s="94"/>
      <c r="L9" s="93">
        <v>12731.212702000001</v>
      </c>
      <c r="M9" s="94"/>
      <c r="N9" s="93">
        <v>12918.758400999999</v>
      </c>
      <c r="O9" s="94"/>
    </row>
    <row r="10" spans="1:18" x14ac:dyDescent="0.25">
      <c r="A10" s="423">
        <v>3</v>
      </c>
      <c r="B10" s="423"/>
      <c r="C10" s="89" t="s">
        <v>1009</v>
      </c>
      <c r="D10" s="95">
        <v>10220.924827999999</v>
      </c>
      <c r="E10" s="96"/>
      <c r="F10" s="95">
        <v>10670.309603</v>
      </c>
      <c r="G10" s="96"/>
      <c r="H10" s="95">
        <v>10821.481959999999</v>
      </c>
      <c r="I10" s="96"/>
      <c r="J10" s="95">
        <v>10981.894522000001</v>
      </c>
      <c r="K10" s="96"/>
      <c r="L10" s="95">
        <v>11186.997065</v>
      </c>
      <c r="M10" s="96"/>
      <c r="N10" s="95">
        <v>11698.921004</v>
      </c>
      <c r="O10" s="96"/>
    </row>
    <row r="11" spans="1:18" x14ac:dyDescent="0.25">
      <c r="A11" s="423">
        <v>3</v>
      </c>
      <c r="B11" s="423"/>
      <c r="C11" s="89" t="s">
        <v>1010</v>
      </c>
      <c r="D11" s="95">
        <v>1137.0834029</v>
      </c>
      <c r="E11" s="96" t="s">
        <v>1007</v>
      </c>
      <c r="F11" s="95">
        <v>1055.8799058</v>
      </c>
      <c r="G11" s="96" t="s">
        <v>1007</v>
      </c>
      <c r="H11" s="95">
        <v>1250.3195278999999</v>
      </c>
      <c r="I11" s="96" t="s">
        <v>1007</v>
      </c>
      <c r="J11" s="95">
        <v>1268.1859936999999</v>
      </c>
      <c r="K11" s="96" t="s">
        <v>1007</v>
      </c>
      <c r="L11" s="95">
        <v>1544.2156376</v>
      </c>
      <c r="M11" s="96" t="s">
        <v>1007</v>
      </c>
      <c r="N11" s="95">
        <v>1219.8373976</v>
      </c>
      <c r="O11" s="96"/>
    </row>
    <row r="12" spans="1:18" x14ac:dyDescent="0.25">
      <c r="A12" s="423">
        <v>2</v>
      </c>
      <c r="B12" s="423"/>
      <c r="C12" s="83" t="s">
        <v>1012</v>
      </c>
      <c r="D12" s="93">
        <v>3165.9270731000001</v>
      </c>
      <c r="E12" s="94"/>
      <c r="F12" s="93">
        <v>2962.3553345</v>
      </c>
      <c r="G12" s="94"/>
      <c r="H12" s="93">
        <v>3140.0043381</v>
      </c>
      <c r="I12" s="94"/>
      <c r="J12" s="93">
        <v>3269.6042953000001</v>
      </c>
      <c r="K12" s="94"/>
      <c r="L12" s="93">
        <v>3465.6788652</v>
      </c>
      <c r="M12" s="94"/>
      <c r="N12" s="93">
        <v>3436.4526817999999</v>
      </c>
      <c r="O12" s="94"/>
    </row>
    <row r="13" spans="1:18" x14ac:dyDescent="0.25">
      <c r="A13" s="423">
        <v>3</v>
      </c>
      <c r="B13" s="423"/>
      <c r="C13" s="89" t="s">
        <v>1013</v>
      </c>
      <c r="D13" s="95">
        <v>1310.4043474</v>
      </c>
      <c r="E13" s="96"/>
      <c r="F13" s="95">
        <v>1336.875305</v>
      </c>
      <c r="G13" s="96"/>
      <c r="H13" s="95">
        <v>1417.6888260999999</v>
      </c>
      <c r="I13" s="96"/>
      <c r="J13" s="95">
        <v>1407.2035768999999</v>
      </c>
      <c r="K13" s="96"/>
      <c r="L13" s="95">
        <v>1559.3715500000001</v>
      </c>
      <c r="M13" s="96"/>
      <c r="N13" s="95">
        <v>1549.4996742000001</v>
      </c>
      <c r="O13" s="96"/>
    </row>
    <row r="14" spans="1:18" ht="60" x14ac:dyDescent="0.25">
      <c r="A14" s="423">
        <v>3</v>
      </c>
      <c r="B14" s="423"/>
      <c r="C14" s="89" t="s">
        <v>1014</v>
      </c>
      <c r="D14" s="95">
        <v>238.71946958000001</v>
      </c>
      <c r="E14" s="96" t="s">
        <v>1011</v>
      </c>
      <c r="F14" s="95">
        <v>124.95088613999999</v>
      </c>
      <c r="G14" s="96" t="s">
        <v>1007</v>
      </c>
      <c r="H14" s="95">
        <v>156.90503165999999</v>
      </c>
      <c r="I14" s="96" t="s">
        <v>1011</v>
      </c>
      <c r="J14" s="95">
        <v>131.98677907000001</v>
      </c>
      <c r="K14" s="96" t="s">
        <v>1007</v>
      </c>
      <c r="L14" s="95">
        <v>185.43292880000001</v>
      </c>
      <c r="M14" s="96" t="s">
        <v>1011</v>
      </c>
      <c r="N14" s="95">
        <v>76.466681946999998</v>
      </c>
      <c r="O14" s="96" t="s">
        <v>1007</v>
      </c>
    </row>
    <row r="15" spans="1:18" ht="30" x14ac:dyDescent="0.25">
      <c r="A15" s="423">
        <v>3</v>
      </c>
      <c r="B15" s="423"/>
      <c r="C15" s="89" t="s">
        <v>1015</v>
      </c>
      <c r="D15" s="95" t="s">
        <v>978</v>
      </c>
      <c r="E15" s="96"/>
      <c r="F15" s="95">
        <v>417.29876315000001</v>
      </c>
      <c r="G15" s="96"/>
      <c r="H15" s="95">
        <v>454.58148881</v>
      </c>
      <c r="I15" s="96"/>
      <c r="J15" s="95">
        <v>418.26423978999998</v>
      </c>
      <c r="K15" s="96" t="s">
        <v>1007</v>
      </c>
      <c r="L15" s="95">
        <v>390.01196179999999</v>
      </c>
      <c r="M15" s="96" t="s">
        <v>1007</v>
      </c>
      <c r="N15" s="95">
        <v>429.48245349000001</v>
      </c>
      <c r="O15" s="96" t="s">
        <v>1007</v>
      </c>
    </row>
    <row r="16" spans="1:18" ht="30" x14ac:dyDescent="0.25">
      <c r="A16" s="423">
        <v>3</v>
      </c>
      <c r="B16" s="423"/>
      <c r="C16" s="89" t="s">
        <v>1016</v>
      </c>
      <c r="D16" s="95">
        <v>291.96508004999998</v>
      </c>
      <c r="E16" s="96"/>
      <c r="F16" s="95">
        <v>221.36985085000001</v>
      </c>
      <c r="G16" s="96"/>
      <c r="H16" s="95">
        <v>240.99666725</v>
      </c>
      <c r="I16" s="96" t="s">
        <v>1007</v>
      </c>
      <c r="J16" s="95">
        <v>285.92132041000002</v>
      </c>
      <c r="K16" s="96" t="s">
        <v>1007</v>
      </c>
      <c r="L16" s="95">
        <v>213.38130407</v>
      </c>
      <c r="M16" s="96"/>
      <c r="N16" s="95">
        <v>200.40234477999999</v>
      </c>
      <c r="O16" s="96"/>
    </row>
    <row r="17" spans="1:15" ht="45" x14ac:dyDescent="0.25">
      <c r="A17" s="423">
        <v>3</v>
      </c>
      <c r="B17" s="423"/>
      <c r="C17" s="89" t="s">
        <v>1017</v>
      </c>
      <c r="D17" s="95">
        <v>340.89554149999998</v>
      </c>
      <c r="E17" s="96"/>
      <c r="F17" s="95">
        <v>289.01124019000002</v>
      </c>
      <c r="G17" s="96"/>
      <c r="H17" s="95">
        <v>299.40069240999998</v>
      </c>
      <c r="I17" s="96"/>
      <c r="J17" s="95">
        <v>294.01713902</v>
      </c>
      <c r="K17" s="96"/>
      <c r="L17" s="95">
        <v>324.58234241000002</v>
      </c>
      <c r="M17" s="96"/>
      <c r="N17" s="95">
        <v>442.35163432000002</v>
      </c>
      <c r="O17" s="96"/>
    </row>
    <row r="18" spans="1:15" ht="30" x14ac:dyDescent="0.25">
      <c r="A18" s="423">
        <v>3</v>
      </c>
      <c r="B18" s="423"/>
      <c r="C18" s="89" t="s">
        <v>1018</v>
      </c>
      <c r="D18" s="95">
        <v>265.98114004000001</v>
      </c>
      <c r="E18" s="96" t="s">
        <v>1011</v>
      </c>
      <c r="F18" s="95">
        <v>478.23791625000001</v>
      </c>
      <c r="G18" s="96"/>
      <c r="H18" s="95">
        <v>456.71480471000001</v>
      </c>
      <c r="I18" s="96" t="s">
        <v>1007</v>
      </c>
      <c r="J18" s="95">
        <v>577.50341832000004</v>
      </c>
      <c r="K18" s="96" t="s">
        <v>1007</v>
      </c>
      <c r="L18" s="95">
        <v>645.79642011999999</v>
      </c>
      <c r="M18" s="96" t="s">
        <v>1007</v>
      </c>
      <c r="N18" s="95">
        <v>563.66788085999997</v>
      </c>
      <c r="O18" s="96" t="s">
        <v>1007</v>
      </c>
    </row>
    <row r="19" spans="1:15" ht="30" x14ac:dyDescent="0.25">
      <c r="A19" s="423">
        <v>3</v>
      </c>
      <c r="B19" s="423"/>
      <c r="C19" s="89" t="s">
        <v>1019</v>
      </c>
      <c r="D19" s="95">
        <v>126.46343960999999</v>
      </c>
      <c r="E19" s="96" t="s">
        <v>1007</v>
      </c>
      <c r="F19" s="95">
        <v>94.611372896000006</v>
      </c>
      <c r="G19" s="96" t="s">
        <v>1007</v>
      </c>
      <c r="H19" s="95">
        <v>113.48071469</v>
      </c>
      <c r="I19" s="96" t="s">
        <v>1007</v>
      </c>
      <c r="J19" s="95">
        <v>151.06528323000001</v>
      </c>
      <c r="K19" s="96" t="s">
        <v>1007</v>
      </c>
      <c r="L19" s="95">
        <v>135.23953922000001</v>
      </c>
      <c r="M19" s="96" t="s">
        <v>1007</v>
      </c>
      <c r="N19" s="95">
        <v>132.10487140000001</v>
      </c>
      <c r="O19" s="96" t="s">
        <v>1011</v>
      </c>
    </row>
    <row r="20" spans="1:15" x14ac:dyDescent="0.25">
      <c r="A20" s="423">
        <v>3</v>
      </c>
      <c r="B20" s="423"/>
      <c r="C20" s="89" t="s">
        <v>1020</v>
      </c>
      <c r="D20" s="95" t="s">
        <v>978</v>
      </c>
      <c r="E20" s="96"/>
      <c r="F20" s="95">
        <v>0</v>
      </c>
      <c r="G20" s="96"/>
      <c r="H20" s="95" t="s">
        <v>978</v>
      </c>
      <c r="I20" s="96"/>
      <c r="J20" s="95" t="s">
        <v>978</v>
      </c>
      <c r="K20" s="96"/>
      <c r="L20" s="95" t="s">
        <v>978</v>
      </c>
      <c r="M20" s="96"/>
      <c r="N20" s="95"/>
      <c r="O20" s="96"/>
    </row>
    <row r="21" spans="1:15" ht="30" x14ac:dyDescent="0.25">
      <c r="A21" s="423">
        <v>2</v>
      </c>
      <c r="B21" s="423"/>
      <c r="C21" s="83" t="s">
        <v>1021</v>
      </c>
      <c r="D21" s="93">
        <v>2032.854194</v>
      </c>
      <c r="E21" s="94"/>
      <c r="F21" s="93">
        <v>2217.9698496000001</v>
      </c>
      <c r="G21" s="94"/>
      <c r="H21" s="93">
        <v>2430.9230348999999</v>
      </c>
      <c r="I21" s="94"/>
      <c r="J21" s="93">
        <v>1809.2697510999999</v>
      </c>
      <c r="K21" s="94"/>
      <c r="L21" s="93">
        <v>2125.8255666999999</v>
      </c>
      <c r="M21" s="94"/>
      <c r="N21" s="93">
        <v>2466.5622266</v>
      </c>
      <c r="O21" s="94"/>
    </row>
    <row r="22" spans="1:15" x14ac:dyDescent="0.25">
      <c r="A22" s="423">
        <v>3</v>
      </c>
      <c r="B22" s="423"/>
      <c r="C22" s="89" t="s">
        <v>1022</v>
      </c>
      <c r="D22" s="95">
        <v>916.91116524999995</v>
      </c>
      <c r="E22" s="96"/>
      <c r="F22" s="95">
        <v>980.16425995999998</v>
      </c>
      <c r="G22" s="96"/>
      <c r="H22" s="95">
        <v>1083.5425298</v>
      </c>
      <c r="I22" s="96" t="s">
        <v>1007</v>
      </c>
      <c r="J22" s="95">
        <v>663.33847073000004</v>
      </c>
      <c r="K22" s="96"/>
      <c r="L22" s="95">
        <v>1005.6898708</v>
      </c>
      <c r="M22" s="96" t="s">
        <v>1007</v>
      </c>
      <c r="N22" s="95">
        <v>948.33721696999999</v>
      </c>
      <c r="O22" s="96" t="s">
        <v>1007</v>
      </c>
    </row>
    <row r="23" spans="1:15" x14ac:dyDescent="0.25">
      <c r="A23" s="423">
        <v>3</v>
      </c>
      <c r="B23" s="423"/>
      <c r="C23" s="89" t="s">
        <v>1023</v>
      </c>
      <c r="D23" s="95">
        <v>1024.2785292000001</v>
      </c>
      <c r="E23" s="96"/>
      <c r="F23" s="95">
        <v>1113.3481881</v>
      </c>
      <c r="G23" s="96"/>
      <c r="H23" s="95">
        <v>1249.3637205</v>
      </c>
      <c r="I23" s="96"/>
      <c r="J23" s="95">
        <v>1078.4492071</v>
      </c>
      <c r="K23" s="96"/>
      <c r="L23" s="95">
        <v>975.19735480999998</v>
      </c>
      <c r="M23" s="96"/>
      <c r="N23" s="95">
        <v>1467.9424435999999</v>
      </c>
      <c r="O23" s="96"/>
    </row>
    <row r="24" spans="1:15" ht="45" x14ac:dyDescent="0.25">
      <c r="A24" s="423">
        <v>3</v>
      </c>
      <c r="B24" s="423"/>
      <c r="C24" s="89" t="s">
        <v>1024</v>
      </c>
      <c r="D24" s="95" t="s">
        <v>978</v>
      </c>
      <c r="E24" s="96"/>
      <c r="F24" s="95" t="s">
        <v>978</v>
      </c>
      <c r="G24" s="96"/>
      <c r="H24" s="95" t="s">
        <v>978</v>
      </c>
      <c r="I24" s="96"/>
      <c r="J24" s="95" t="s">
        <v>978</v>
      </c>
      <c r="K24" s="96"/>
      <c r="L24" s="95" t="s">
        <v>978</v>
      </c>
      <c r="M24" s="96"/>
      <c r="N24" s="95"/>
      <c r="O24" s="96"/>
    </row>
    <row r="25" spans="1:15" ht="45" x14ac:dyDescent="0.25">
      <c r="A25" s="423">
        <v>3</v>
      </c>
      <c r="B25" s="423"/>
      <c r="C25" s="89" t="s">
        <v>1025</v>
      </c>
      <c r="D25" s="95">
        <v>61.834996160999999</v>
      </c>
      <c r="E25" s="96" t="s">
        <v>1007</v>
      </c>
      <c r="F25" s="95">
        <v>46.598514844</v>
      </c>
      <c r="G25" s="96"/>
      <c r="H25" s="95">
        <v>48.357746042999999</v>
      </c>
      <c r="I25" s="96"/>
      <c r="J25" s="95">
        <v>52.793155401999996</v>
      </c>
      <c r="K25" s="96"/>
      <c r="L25" s="95">
        <v>58.947976097000002</v>
      </c>
      <c r="M25" s="96"/>
      <c r="N25" s="95">
        <v>49.395964157999998</v>
      </c>
      <c r="O25" s="96"/>
    </row>
    <row r="26" spans="1:15" x14ac:dyDescent="0.25">
      <c r="A26" s="423">
        <v>2</v>
      </c>
      <c r="B26" s="423"/>
      <c r="C26" s="83" t="s">
        <v>1026</v>
      </c>
      <c r="D26" s="93">
        <v>2866.7733632999998</v>
      </c>
      <c r="E26" s="94"/>
      <c r="F26" s="93">
        <v>2693.2182216000001</v>
      </c>
      <c r="G26" s="94"/>
      <c r="H26" s="93">
        <v>2772.0192065000001</v>
      </c>
      <c r="I26" s="94"/>
      <c r="J26" s="93">
        <v>2915.9045182</v>
      </c>
      <c r="K26" s="94"/>
      <c r="L26" s="93">
        <v>2883.0151206999999</v>
      </c>
      <c r="M26" s="94"/>
      <c r="N26" s="93">
        <v>2828.6412043</v>
      </c>
      <c r="O26" s="94"/>
    </row>
    <row r="27" spans="1:15" ht="45" x14ac:dyDescent="0.25">
      <c r="A27" s="423">
        <v>3</v>
      </c>
      <c r="B27" s="423"/>
      <c r="C27" s="89" t="s">
        <v>1027</v>
      </c>
      <c r="D27" s="95">
        <v>1564.1989318000001</v>
      </c>
      <c r="E27" s="96"/>
      <c r="F27" s="95">
        <v>1487.0787777999999</v>
      </c>
      <c r="G27" s="96"/>
      <c r="H27" s="95">
        <v>1500.867534</v>
      </c>
      <c r="I27" s="96"/>
      <c r="J27" s="95">
        <v>1579.7009089000001</v>
      </c>
      <c r="K27" s="96"/>
      <c r="L27" s="95">
        <v>1518.1982725</v>
      </c>
      <c r="M27" s="96"/>
      <c r="N27" s="95">
        <v>1555.7406896</v>
      </c>
      <c r="O27" s="96"/>
    </row>
    <row r="28" spans="1:15" ht="60" x14ac:dyDescent="0.25">
      <c r="A28" s="423">
        <v>3</v>
      </c>
      <c r="B28" s="423"/>
      <c r="C28" s="89" t="s">
        <v>1028</v>
      </c>
      <c r="D28" s="95">
        <v>884.94079808000004</v>
      </c>
      <c r="E28" s="96"/>
      <c r="F28" s="95">
        <v>732.39656241</v>
      </c>
      <c r="G28" s="96"/>
      <c r="H28" s="95">
        <v>837.89983661999997</v>
      </c>
      <c r="I28" s="96"/>
      <c r="J28" s="95">
        <v>904.18720914999994</v>
      </c>
      <c r="K28" s="96"/>
      <c r="L28" s="95">
        <v>931.45463753000001</v>
      </c>
      <c r="M28" s="96"/>
      <c r="N28" s="95">
        <v>850.20992100000001</v>
      </c>
      <c r="O28" s="96"/>
    </row>
    <row r="29" spans="1:15" ht="45" x14ac:dyDescent="0.25">
      <c r="A29" s="423">
        <v>3</v>
      </c>
      <c r="B29" s="423"/>
      <c r="C29" s="89" t="s">
        <v>1029</v>
      </c>
      <c r="D29" s="95">
        <v>0</v>
      </c>
      <c r="E29" s="96"/>
      <c r="F29" s="95">
        <v>0</v>
      </c>
      <c r="G29" s="96"/>
      <c r="H29" s="95">
        <v>0</v>
      </c>
      <c r="I29" s="96"/>
      <c r="J29" s="95">
        <v>0</v>
      </c>
      <c r="K29" s="96"/>
      <c r="L29" s="95">
        <v>0</v>
      </c>
      <c r="M29" s="96"/>
      <c r="N29" s="95">
        <v>0</v>
      </c>
      <c r="O29" s="96"/>
    </row>
    <row r="30" spans="1:15" ht="45" x14ac:dyDescent="0.25">
      <c r="A30" s="423">
        <v>3</v>
      </c>
      <c r="B30" s="423"/>
      <c r="C30" s="89" t="s">
        <v>1030</v>
      </c>
      <c r="D30" s="95">
        <v>364.82655337</v>
      </c>
      <c r="E30" s="96"/>
      <c r="F30" s="95">
        <v>329.64450849000002</v>
      </c>
      <c r="G30" s="96"/>
      <c r="H30" s="95">
        <v>306.10272800000001</v>
      </c>
      <c r="I30" s="96"/>
      <c r="J30" s="95">
        <v>304.36104002000002</v>
      </c>
      <c r="K30" s="96"/>
      <c r="L30" s="95">
        <v>318.91472589</v>
      </c>
      <c r="M30" s="96"/>
      <c r="N30" s="95">
        <v>302.00205627000003</v>
      </c>
      <c r="O30" s="96"/>
    </row>
    <row r="31" spans="1:15" ht="45" x14ac:dyDescent="0.25">
      <c r="A31" s="423">
        <v>3</v>
      </c>
      <c r="B31" s="423"/>
      <c r="C31" s="89" t="s">
        <v>1031</v>
      </c>
      <c r="D31" s="95" t="s">
        <v>978</v>
      </c>
      <c r="E31" s="96"/>
      <c r="F31" s="95" t="s">
        <v>978</v>
      </c>
      <c r="G31" s="96"/>
      <c r="H31" s="95" t="s">
        <v>978</v>
      </c>
      <c r="I31" s="96"/>
      <c r="J31" s="95" t="s">
        <v>978</v>
      </c>
      <c r="K31" s="96"/>
      <c r="L31" s="95" t="s">
        <v>978</v>
      </c>
      <c r="M31" s="96"/>
      <c r="N31" s="95"/>
      <c r="O31" s="96"/>
    </row>
    <row r="32" spans="1:15" x14ac:dyDescent="0.25">
      <c r="A32" s="423">
        <v>3</v>
      </c>
      <c r="B32" s="423"/>
      <c r="C32" s="89" t="s">
        <v>1032</v>
      </c>
      <c r="D32" s="95" t="s">
        <v>978</v>
      </c>
      <c r="E32" s="96"/>
      <c r="F32" s="95">
        <v>132.15518315</v>
      </c>
      <c r="G32" s="96" t="s">
        <v>1007</v>
      </c>
      <c r="H32" s="95">
        <v>86.960731060000001</v>
      </c>
      <c r="I32" s="96" t="s">
        <v>1011</v>
      </c>
      <c r="J32" s="95">
        <v>119.05510513</v>
      </c>
      <c r="K32" s="96" t="s">
        <v>1007</v>
      </c>
      <c r="L32" s="95">
        <v>74.447793541999999</v>
      </c>
      <c r="M32" s="96" t="s">
        <v>1007</v>
      </c>
      <c r="N32" s="95">
        <v>77.369211285000006</v>
      </c>
      <c r="O32" s="96" t="s">
        <v>1007</v>
      </c>
    </row>
    <row r="33" spans="1:15" x14ac:dyDescent="0.25">
      <c r="A33" s="423">
        <v>2</v>
      </c>
      <c r="B33" s="423"/>
      <c r="C33" s="83" t="s">
        <v>1033</v>
      </c>
      <c r="D33" s="93">
        <v>11175.224394000001</v>
      </c>
      <c r="E33" s="94"/>
      <c r="F33" s="93">
        <v>11966.698691</v>
      </c>
      <c r="G33" s="94"/>
      <c r="H33" s="93">
        <v>10288.383180999999</v>
      </c>
      <c r="I33" s="94"/>
      <c r="J33" s="93">
        <v>10809.082934</v>
      </c>
      <c r="K33" s="94"/>
      <c r="L33" s="93">
        <v>11179.932671</v>
      </c>
      <c r="M33" s="94"/>
      <c r="N33" s="93">
        <v>9989.8009643999994</v>
      </c>
      <c r="O33" s="94"/>
    </row>
    <row r="34" spans="1:15" x14ac:dyDescent="0.25">
      <c r="A34" s="423">
        <v>3</v>
      </c>
      <c r="B34" s="423"/>
      <c r="C34" s="89" t="s">
        <v>1034</v>
      </c>
      <c r="D34" s="95">
        <v>10576.295045999999</v>
      </c>
      <c r="E34" s="96"/>
      <c r="F34" s="95">
        <v>11286.871535</v>
      </c>
      <c r="G34" s="96"/>
      <c r="H34" s="95">
        <v>9650.4714619999995</v>
      </c>
      <c r="I34" s="96"/>
      <c r="J34" s="95">
        <v>10130.61923</v>
      </c>
      <c r="K34" s="96"/>
      <c r="L34" s="95">
        <v>10390.306316</v>
      </c>
      <c r="M34" s="96"/>
      <c r="N34" s="95">
        <v>9338.9057269000004</v>
      </c>
      <c r="O34" s="96"/>
    </row>
    <row r="35" spans="1:15" x14ac:dyDescent="0.25">
      <c r="A35" s="423">
        <v>3</v>
      </c>
      <c r="B35" s="423"/>
      <c r="C35" s="89" t="s">
        <v>1035</v>
      </c>
      <c r="D35" s="95">
        <v>598.92934756</v>
      </c>
      <c r="E35" s="96"/>
      <c r="F35" s="95">
        <v>679.82715583000004</v>
      </c>
      <c r="G35" s="96"/>
      <c r="H35" s="95">
        <v>637.9117195</v>
      </c>
      <c r="I35" s="96"/>
      <c r="J35" s="95">
        <v>678.46370405000005</v>
      </c>
      <c r="K35" s="96"/>
      <c r="L35" s="95">
        <v>789.62635489000002</v>
      </c>
      <c r="M35" s="96"/>
      <c r="N35" s="95">
        <v>650.89523746999998</v>
      </c>
      <c r="O35" s="96"/>
    </row>
    <row r="36" spans="1:15" x14ac:dyDescent="0.25">
      <c r="A36" s="423">
        <v>2</v>
      </c>
      <c r="B36" s="423"/>
      <c r="C36" s="83" t="s">
        <v>29</v>
      </c>
      <c r="D36" s="93">
        <v>3209.5120922000001</v>
      </c>
      <c r="E36" s="94"/>
      <c r="F36" s="93">
        <v>3422.5698376999999</v>
      </c>
      <c r="G36" s="94"/>
      <c r="H36" s="93">
        <v>3302.2642867999998</v>
      </c>
      <c r="I36" s="94"/>
      <c r="J36" s="93">
        <v>3404.5662375000002</v>
      </c>
      <c r="K36" s="94"/>
      <c r="L36" s="93">
        <v>3203.0231149000001</v>
      </c>
      <c r="M36" s="94"/>
      <c r="N36" s="93">
        <v>3332.7432543999998</v>
      </c>
      <c r="O36" s="94"/>
    </row>
    <row r="37" spans="1:15" ht="45" x14ac:dyDescent="0.25">
      <c r="A37" s="423">
        <v>3</v>
      </c>
      <c r="B37" s="423"/>
      <c r="C37" s="89" t="s">
        <v>1036</v>
      </c>
      <c r="D37" s="95">
        <v>1982.5631048</v>
      </c>
      <c r="E37" s="96"/>
      <c r="F37" s="95">
        <v>2156.8258036000002</v>
      </c>
      <c r="G37" s="96"/>
      <c r="H37" s="95">
        <v>2103.9776889</v>
      </c>
      <c r="I37" s="96"/>
      <c r="J37" s="95">
        <v>2025.9403695999999</v>
      </c>
      <c r="K37" s="96"/>
      <c r="L37" s="95">
        <v>2112.3470854000002</v>
      </c>
      <c r="M37" s="96"/>
      <c r="N37" s="95">
        <v>2190.8084101999998</v>
      </c>
      <c r="O37" s="96"/>
    </row>
    <row r="38" spans="1:15" ht="30" x14ac:dyDescent="0.25">
      <c r="A38" s="423">
        <v>3</v>
      </c>
      <c r="B38" s="423"/>
      <c r="C38" s="89" t="s">
        <v>1037</v>
      </c>
      <c r="D38" s="95">
        <v>1226.9489874000001</v>
      </c>
      <c r="E38" s="96"/>
      <c r="F38" s="95">
        <v>1265.7440340999999</v>
      </c>
      <c r="G38" s="96"/>
      <c r="H38" s="95">
        <v>1198.2865979000001</v>
      </c>
      <c r="I38" s="96"/>
      <c r="J38" s="95">
        <v>1378.6258679</v>
      </c>
      <c r="K38" s="96"/>
      <c r="L38" s="95">
        <v>1090.6760294999999</v>
      </c>
      <c r="M38" s="96"/>
      <c r="N38" s="95">
        <v>1141.9348442</v>
      </c>
      <c r="O38" s="96"/>
    </row>
    <row r="39" spans="1:15" x14ac:dyDescent="0.25">
      <c r="A39" s="423">
        <v>2</v>
      </c>
      <c r="B39" s="423"/>
      <c r="C39" s="83" t="s">
        <v>1038</v>
      </c>
      <c r="D39" s="93">
        <v>1124.4025810000001</v>
      </c>
      <c r="E39" s="94"/>
      <c r="F39" s="93">
        <v>1308.2068687999999</v>
      </c>
      <c r="G39" s="94"/>
      <c r="H39" s="93">
        <v>1158.4422192</v>
      </c>
      <c r="I39" s="94"/>
      <c r="J39" s="93">
        <v>1406.1386302999999</v>
      </c>
      <c r="K39" s="94"/>
      <c r="L39" s="93">
        <v>1172.3046463000001</v>
      </c>
      <c r="M39" s="94"/>
      <c r="N39" s="93">
        <v>1248.2362902</v>
      </c>
      <c r="O39" s="94"/>
    </row>
    <row r="40" spans="1:15" ht="30" x14ac:dyDescent="0.25">
      <c r="A40" s="423">
        <v>3</v>
      </c>
      <c r="B40" s="423"/>
      <c r="C40" s="89" t="s">
        <v>1039</v>
      </c>
      <c r="D40" s="95">
        <v>682.37188973000002</v>
      </c>
      <c r="E40" s="96"/>
      <c r="F40" s="95">
        <v>812.39073174999999</v>
      </c>
      <c r="G40" s="96"/>
      <c r="H40" s="95">
        <v>571.60627260000001</v>
      </c>
      <c r="I40" s="96" t="s">
        <v>1007</v>
      </c>
      <c r="J40" s="95">
        <v>714.26670379999996</v>
      </c>
      <c r="K40" s="96" t="s">
        <v>1007</v>
      </c>
      <c r="L40" s="95">
        <v>525.06378595000001</v>
      </c>
      <c r="M40" s="96"/>
      <c r="N40" s="95">
        <v>695.52536853000004</v>
      </c>
      <c r="O40" s="96"/>
    </row>
    <row r="41" spans="1:15" ht="30" x14ac:dyDescent="0.25">
      <c r="A41" s="423">
        <v>3</v>
      </c>
      <c r="B41" s="423"/>
      <c r="C41" s="89" t="s">
        <v>1040</v>
      </c>
      <c r="D41" s="95">
        <v>442.03069126999998</v>
      </c>
      <c r="E41" s="96" t="s">
        <v>1007</v>
      </c>
      <c r="F41" s="95">
        <v>495.81613700000003</v>
      </c>
      <c r="G41" s="96"/>
      <c r="H41" s="95">
        <v>586.83594662999997</v>
      </c>
      <c r="I41" s="96"/>
      <c r="J41" s="95">
        <v>691.87192648999996</v>
      </c>
      <c r="K41" s="96"/>
      <c r="L41" s="95">
        <v>647.24086036000006</v>
      </c>
      <c r="M41" s="96"/>
      <c r="N41" s="95">
        <v>552.71092163000003</v>
      </c>
      <c r="O41" s="96"/>
    </row>
    <row r="42" spans="1:15" x14ac:dyDescent="0.25">
      <c r="A42" s="423">
        <v>2</v>
      </c>
      <c r="B42" s="423"/>
      <c r="C42" s="83" t="s">
        <v>1041</v>
      </c>
      <c r="D42" s="93">
        <v>3853.1017671</v>
      </c>
      <c r="E42" s="94"/>
      <c r="F42" s="93">
        <v>3403.450828</v>
      </c>
      <c r="G42" s="94"/>
      <c r="H42" s="93">
        <v>3654.8207452000001</v>
      </c>
      <c r="I42" s="94"/>
      <c r="J42" s="93">
        <v>4393.4512427999998</v>
      </c>
      <c r="K42" s="94"/>
      <c r="L42" s="93">
        <v>3669.9422682999998</v>
      </c>
      <c r="M42" s="94"/>
      <c r="N42" s="93">
        <v>4192.3799572999997</v>
      </c>
      <c r="O42" s="94"/>
    </row>
    <row r="43" spans="1:15" ht="30" x14ac:dyDescent="0.25">
      <c r="A43" s="423">
        <v>3</v>
      </c>
      <c r="B43" s="423"/>
      <c r="C43" s="89" t="s">
        <v>1042</v>
      </c>
      <c r="D43" s="95">
        <v>964.08066685999995</v>
      </c>
      <c r="E43" s="96" t="s">
        <v>1007</v>
      </c>
      <c r="F43" s="95">
        <v>630.94111911000005</v>
      </c>
      <c r="G43" s="96"/>
      <c r="H43" s="95">
        <v>754.57869223</v>
      </c>
      <c r="I43" s="96" t="s">
        <v>1007</v>
      </c>
      <c r="J43" s="95">
        <v>924.60904718999996</v>
      </c>
      <c r="K43" s="96" t="s">
        <v>1007</v>
      </c>
      <c r="L43" s="95">
        <v>596.75392885999997</v>
      </c>
      <c r="M43" s="96" t="s">
        <v>1007</v>
      </c>
      <c r="N43" s="95">
        <v>918.27600072999996</v>
      </c>
      <c r="O43" s="96" t="s">
        <v>1007</v>
      </c>
    </row>
    <row r="44" spans="1:15" ht="30" x14ac:dyDescent="0.25">
      <c r="A44" s="423">
        <v>3</v>
      </c>
      <c r="B44" s="423"/>
      <c r="C44" s="89" t="s">
        <v>1043</v>
      </c>
      <c r="D44" s="95">
        <v>534.67708158999994</v>
      </c>
      <c r="E44" s="96"/>
      <c r="F44" s="95">
        <v>356.88245459000001</v>
      </c>
      <c r="G44" s="96"/>
      <c r="H44" s="95">
        <v>286.3349814</v>
      </c>
      <c r="I44" s="96" t="s">
        <v>1007</v>
      </c>
      <c r="J44" s="95">
        <v>284.00887793999999</v>
      </c>
      <c r="K44" s="96"/>
      <c r="L44" s="95">
        <v>222.75466435999999</v>
      </c>
      <c r="M44" s="96"/>
      <c r="N44" s="95">
        <v>210.36207239000001</v>
      </c>
      <c r="O44" s="96" t="s">
        <v>1007</v>
      </c>
    </row>
    <row r="45" spans="1:15" x14ac:dyDescent="0.25">
      <c r="A45" s="423">
        <v>3</v>
      </c>
      <c r="B45" s="423"/>
      <c r="C45" s="89" t="s">
        <v>1044</v>
      </c>
      <c r="D45" s="95">
        <v>1570.1172389000001</v>
      </c>
      <c r="E45" s="96"/>
      <c r="F45" s="95">
        <v>1759.6400773</v>
      </c>
      <c r="G45" s="96"/>
      <c r="H45" s="95">
        <v>1920.2407509</v>
      </c>
      <c r="I45" s="96"/>
      <c r="J45" s="95">
        <v>2267.9970345000002</v>
      </c>
      <c r="K45" s="96"/>
      <c r="L45" s="95">
        <v>2181.4303183000002</v>
      </c>
      <c r="M45" s="96"/>
      <c r="N45" s="95">
        <v>2255.1133642999998</v>
      </c>
      <c r="O45" s="96"/>
    </row>
    <row r="46" spans="1:15" ht="30" x14ac:dyDescent="0.25">
      <c r="A46" s="423">
        <v>3</v>
      </c>
      <c r="B46" s="423"/>
      <c r="C46" s="89" t="s">
        <v>1045</v>
      </c>
      <c r="D46" s="95">
        <v>784.22677968000005</v>
      </c>
      <c r="E46" s="96" t="s">
        <v>1011</v>
      </c>
      <c r="F46" s="95">
        <v>655.98717705000001</v>
      </c>
      <c r="G46" s="96" t="s">
        <v>1011</v>
      </c>
      <c r="H46" s="95">
        <v>693.66632071000004</v>
      </c>
      <c r="I46" s="96" t="s">
        <v>1011</v>
      </c>
      <c r="J46" s="95">
        <v>916.83628312999997</v>
      </c>
      <c r="K46" s="96" t="s">
        <v>1011</v>
      </c>
      <c r="L46" s="95">
        <v>669.00335680000001</v>
      </c>
      <c r="M46" s="96" t="s">
        <v>1007</v>
      </c>
      <c r="N46" s="95">
        <v>808.62851983999997</v>
      </c>
      <c r="O46" s="96" t="s">
        <v>1011</v>
      </c>
    </row>
    <row r="47" spans="1:15" x14ac:dyDescent="0.25">
      <c r="A47" s="423">
        <v>2</v>
      </c>
      <c r="B47" s="423"/>
      <c r="C47" s="83" t="s">
        <v>1046</v>
      </c>
      <c r="D47" s="93">
        <v>223.74281252</v>
      </c>
      <c r="E47" s="94" t="s">
        <v>1007</v>
      </c>
      <c r="F47" s="93" t="s">
        <v>978</v>
      </c>
      <c r="G47" s="94"/>
      <c r="H47" s="93">
        <v>388.03711678000002</v>
      </c>
      <c r="I47" s="94" t="s">
        <v>1007</v>
      </c>
      <c r="J47" s="93">
        <v>275.89326483999997</v>
      </c>
      <c r="K47" s="94" t="s">
        <v>1007</v>
      </c>
      <c r="L47" s="93">
        <v>300.19281763999999</v>
      </c>
      <c r="M47" s="94" t="s">
        <v>1007</v>
      </c>
      <c r="N47" s="93">
        <v>439.19390843000002</v>
      </c>
      <c r="O47" s="94" t="s">
        <v>1007</v>
      </c>
    </row>
    <row r="48" spans="1:15" x14ac:dyDescent="0.25">
      <c r="A48" s="423">
        <v>3</v>
      </c>
      <c r="B48" s="423"/>
      <c r="C48" s="89" t="s">
        <v>376</v>
      </c>
      <c r="D48" s="95">
        <v>223.63395217999999</v>
      </c>
      <c r="E48" s="96" t="s">
        <v>1007</v>
      </c>
      <c r="F48" s="95">
        <v>293.01325850000001</v>
      </c>
      <c r="G48" s="96" t="s">
        <v>1007</v>
      </c>
      <c r="H48" s="95">
        <v>387.63680061000002</v>
      </c>
      <c r="I48" s="96" t="s">
        <v>1007</v>
      </c>
      <c r="J48" s="95">
        <v>272.32380520999999</v>
      </c>
      <c r="K48" s="96" t="s">
        <v>1007</v>
      </c>
      <c r="L48" s="95">
        <v>267.42566395</v>
      </c>
      <c r="M48" s="96" t="s">
        <v>1007</v>
      </c>
      <c r="N48" s="95">
        <v>405.1998509</v>
      </c>
      <c r="O48" s="96" t="s">
        <v>1007</v>
      </c>
    </row>
    <row r="49" spans="1:15" ht="30" x14ac:dyDescent="0.25">
      <c r="A49" s="423">
        <v>3</v>
      </c>
      <c r="B49" s="423"/>
      <c r="C49" s="89" t="s">
        <v>1047</v>
      </c>
      <c r="D49" s="95" t="s">
        <v>978</v>
      </c>
      <c r="E49" s="96"/>
      <c r="F49" s="95" t="s">
        <v>978</v>
      </c>
      <c r="G49" s="96"/>
      <c r="H49" s="95" t="s">
        <v>978</v>
      </c>
      <c r="I49" s="96"/>
      <c r="J49" s="95" t="s">
        <v>978</v>
      </c>
      <c r="K49" s="96"/>
      <c r="L49" s="95">
        <v>32.767153696999998</v>
      </c>
      <c r="M49" s="96" t="s">
        <v>1007</v>
      </c>
      <c r="N49" s="95">
        <v>33.994057525999999</v>
      </c>
      <c r="O49" s="96" t="s">
        <v>1011</v>
      </c>
    </row>
    <row r="50" spans="1:15" ht="30" x14ac:dyDescent="0.25">
      <c r="A50" s="423">
        <v>2</v>
      </c>
      <c r="B50" s="423"/>
      <c r="C50" s="83" t="s">
        <v>1048</v>
      </c>
      <c r="D50" s="93">
        <v>208.48632868999999</v>
      </c>
      <c r="E50" s="94"/>
      <c r="F50" s="93">
        <v>264.55290378000001</v>
      </c>
      <c r="G50" s="94" t="s">
        <v>1007</v>
      </c>
      <c r="H50" s="93">
        <v>274.66388910000001</v>
      </c>
      <c r="I50" s="94" t="s">
        <v>1011</v>
      </c>
      <c r="J50" s="93">
        <v>319.48244460000001</v>
      </c>
      <c r="K50" s="94" t="s">
        <v>1007</v>
      </c>
      <c r="L50" s="93">
        <v>183.16813529999999</v>
      </c>
      <c r="M50" s="94"/>
      <c r="N50" s="93">
        <v>160.10594019000001</v>
      </c>
      <c r="O50" s="94"/>
    </row>
    <row r="51" spans="1:15" x14ac:dyDescent="0.25">
      <c r="A51" s="423">
        <v>3</v>
      </c>
      <c r="B51" s="423"/>
      <c r="C51" s="89" t="s">
        <v>1049</v>
      </c>
      <c r="D51" s="95">
        <v>47.631933140999998</v>
      </c>
      <c r="E51" s="96" t="s">
        <v>1007</v>
      </c>
      <c r="F51" s="95">
        <v>75.164797883000006</v>
      </c>
      <c r="G51" s="96" t="s">
        <v>1007</v>
      </c>
      <c r="H51" s="95" t="s">
        <v>978</v>
      </c>
      <c r="I51" s="96"/>
      <c r="J51" s="95">
        <v>39.141123688999997</v>
      </c>
      <c r="K51" s="96" t="s">
        <v>1007</v>
      </c>
      <c r="L51" s="95" t="s">
        <v>978</v>
      </c>
      <c r="M51" s="96"/>
      <c r="N51" s="95">
        <v>21.675921825</v>
      </c>
      <c r="O51" s="96" t="s">
        <v>1011</v>
      </c>
    </row>
    <row r="52" spans="1:15" ht="30" x14ac:dyDescent="0.25">
      <c r="A52" s="423">
        <v>3</v>
      </c>
      <c r="B52" s="423"/>
      <c r="C52" s="89" t="s">
        <v>1050</v>
      </c>
      <c r="D52" s="95">
        <v>38.902665802999998</v>
      </c>
      <c r="E52" s="96" t="s">
        <v>1007</v>
      </c>
      <c r="F52" s="95">
        <v>42.152086245</v>
      </c>
      <c r="G52" s="96" t="s">
        <v>1007</v>
      </c>
      <c r="H52" s="95" t="s">
        <v>978</v>
      </c>
      <c r="I52" s="96"/>
      <c r="J52" s="95" t="s">
        <v>978</v>
      </c>
      <c r="K52" s="96"/>
      <c r="L52" s="95">
        <v>18.074095549999999</v>
      </c>
      <c r="M52" s="96" t="s">
        <v>1011</v>
      </c>
      <c r="N52" s="95">
        <v>32.143697803000002</v>
      </c>
      <c r="O52" s="96" t="s">
        <v>1011</v>
      </c>
    </row>
    <row r="53" spans="1:15" ht="45" x14ac:dyDescent="0.25">
      <c r="A53" s="423">
        <v>3</v>
      </c>
      <c r="B53" s="423"/>
      <c r="C53" s="89" t="s">
        <v>1051</v>
      </c>
      <c r="D53" s="95">
        <v>97.209348462999998</v>
      </c>
      <c r="E53" s="96" t="s">
        <v>1007</v>
      </c>
      <c r="F53" s="95">
        <v>133.93354244</v>
      </c>
      <c r="G53" s="96" t="s">
        <v>1007</v>
      </c>
      <c r="H53" s="95" t="s">
        <v>978</v>
      </c>
      <c r="I53" s="96"/>
      <c r="J53" s="95">
        <v>218.17830810000001</v>
      </c>
      <c r="K53" s="96" t="s">
        <v>1007</v>
      </c>
      <c r="L53" s="95">
        <v>115.43492636000001</v>
      </c>
      <c r="M53" s="96"/>
      <c r="N53" s="95">
        <v>84.281701824999999</v>
      </c>
      <c r="O53" s="96"/>
    </row>
    <row r="54" spans="1:15" ht="45" x14ac:dyDescent="0.25">
      <c r="A54" s="423">
        <v>3</v>
      </c>
      <c r="B54" s="423"/>
      <c r="C54" s="89" t="s">
        <v>1052</v>
      </c>
      <c r="D54" s="95" t="s">
        <v>978</v>
      </c>
      <c r="E54" s="96"/>
      <c r="F54" s="95" t="s">
        <v>978</v>
      </c>
      <c r="G54" s="96"/>
      <c r="H54" s="95" t="s">
        <v>978</v>
      </c>
      <c r="I54" s="96"/>
      <c r="J54" s="95" t="s">
        <v>978</v>
      </c>
      <c r="K54" s="96"/>
      <c r="L54" s="95" t="s">
        <v>978</v>
      </c>
      <c r="M54" s="96"/>
      <c r="N54" s="95"/>
      <c r="O54" s="96"/>
    </row>
    <row r="55" spans="1:15" ht="60" x14ac:dyDescent="0.25">
      <c r="A55" s="423">
        <v>3</v>
      </c>
      <c r="B55" s="423"/>
      <c r="C55" s="89" t="s">
        <v>1053</v>
      </c>
      <c r="D55" s="95" t="s">
        <v>978</v>
      </c>
      <c r="E55" s="96"/>
      <c r="F55" s="95" t="s">
        <v>978</v>
      </c>
      <c r="G55" s="96"/>
      <c r="H55" s="95" t="s">
        <v>978</v>
      </c>
      <c r="I55" s="96"/>
      <c r="J55" s="95" t="s">
        <v>978</v>
      </c>
      <c r="K55" s="96"/>
      <c r="L55" s="95" t="s">
        <v>978</v>
      </c>
      <c r="M55" s="96"/>
      <c r="N55" s="95"/>
      <c r="O55" s="96"/>
    </row>
    <row r="56" spans="1:15" ht="30" x14ac:dyDescent="0.25">
      <c r="A56" s="423">
        <v>2</v>
      </c>
      <c r="B56" s="423"/>
      <c r="C56" s="83" t="s">
        <v>1054</v>
      </c>
      <c r="D56" s="93">
        <v>1780.0474156</v>
      </c>
      <c r="E56" s="94"/>
      <c r="F56" s="93">
        <v>1894.9765935999999</v>
      </c>
      <c r="G56" s="94"/>
      <c r="H56" s="93">
        <v>1764.1069683000001</v>
      </c>
      <c r="I56" s="94"/>
      <c r="J56" s="93">
        <v>1864.9015863</v>
      </c>
      <c r="K56" s="94" t="s">
        <v>1007</v>
      </c>
      <c r="L56" s="93">
        <v>1942.1429399000001</v>
      </c>
      <c r="M56" s="94"/>
      <c r="N56" s="93">
        <v>1421.9103861000001</v>
      </c>
      <c r="O56" s="94"/>
    </row>
    <row r="57" spans="1:15" ht="30" x14ac:dyDescent="0.25">
      <c r="A57" s="423">
        <v>3</v>
      </c>
      <c r="B57" s="423"/>
      <c r="C57" s="89" t="s">
        <v>1055</v>
      </c>
      <c r="D57" s="95">
        <v>273.98902469000001</v>
      </c>
      <c r="E57" s="96" t="s">
        <v>1007</v>
      </c>
      <c r="F57" s="95">
        <v>379.34014667000002</v>
      </c>
      <c r="G57" s="96" t="s">
        <v>1007</v>
      </c>
      <c r="H57" s="95">
        <v>359.18759704000001</v>
      </c>
      <c r="I57" s="96" t="s">
        <v>1011</v>
      </c>
      <c r="J57" s="95">
        <v>350.83432758999999</v>
      </c>
      <c r="K57" s="96" t="s">
        <v>1007</v>
      </c>
      <c r="L57" s="95">
        <v>252.57715199</v>
      </c>
      <c r="M57" s="96" t="s">
        <v>1011</v>
      </c>
      <c r="N57" s="95">
        <v>272.26692068</v>
      </c>
      <c r="O57" s="96" t="s">
        <v>1011</v>
      </c>
    </row>
    <row r="58" spans="1:15" x14ac:dyDescent="0.25">
      <c r="A58" s="423">
        <v>3</v>
      </c>
      <c r="B58" s="423"/>
      <c r="C58" s="89" t="s">
        <v>1056</v>
      </c>
      <c r="D58" s="95">
        <v>1506.0583908999999</v>
      </c>
      <c r="E58" s="96" t="s">
        <v>1007</v>
      </c>
      <c r="F58" s="95">
        <v>1515.6364469</v>
      </c>
      <c r="G58" s="96" t="s">
        <v>1007</v>
      </c>
      <c r="H58" s="95">
        <v>1404.9193713</v>
      </c>
      <c r="I58" s="96"/>
      <c r="J58" s="95">
        <v>1514.0672586999999</v>
      </c>
      <c r="K58" s="96" t="s">
        <v>1007</v>
      </c>
      <c r="L58" s="95">
        <v>1689.5657879</v>
      </c>
      <c r="M58" s="96"/>
      <c r="N58" s="95">
        <v>1149.6434654</v>
      </c>
      <c r="O58" s="96"/>
    </row>
    <row r="59" spans="1:15" x14ac:dyDescent="0.25">
      <c r="A59" s="423">
        <v>2</v>
      </c>
      <c r="B59" s="423"/>
      <c r="C59" s="83" t="s">
        <v>1057</v>
      </c>
      <c r="D59" s="93">
        <v>225.18408475000001</v>
      </c>
      <c r="E59" s="94"/>
      <c r="F59" s="93">
        <v>234.83999218</v>
      </c>
      <c r="G59" s="94" t="s">
        <v>1007</v>
      </c>
      <c r="H59" s="93">
        <v>238.47007335999999</v>
      </c>
      <c r="I59" s="94" t="s">
        <v>1011</v>
      </c>
      <c r="J59" s="93">
        <v>180.22276973999999</v>
      </c>
      <c r="K59" s="94" t="s">
        <v>1007</v>
      </c>
      <c r="L59" s="93">
        <v>275.27143778999999</v>
      </c>
      <c r="M59" s="94" t="s">
        <v>1007</v>
      </c>
      <c r="N59" s="93">
        <v>177.43980495</v>
      </c>
      <c r="O59" s="94" t="s">
        <v>1007</v>
      </c>
    </row>
    <row r="60" spans="1:15" ht="30" x14ac:dyDescent="0.25">
      <c r="A60" s="423">
        <v>3</v>
      </c>
      <c r="B60" s="423"/>
      <c r="C60" s="89" t="s">
        <v>1058</v>
      </c>
      <c r="D60" s="95">
        <v>213.44759367</v>
      </c>
      <c r="E60" s="96"/>
      <c r="F60" s="95">
        <v>176.07626232000001</v>
      </c>
      <c r="G60" s="96"/>
      <c r="H60" s="95">
        <v>193.16020197</v>
      </c>
      <c r="I60" s="96" t="s">
        <v>1007</v>
      </c>
      <c r="J60" s="95">
        <v>179.02570466</v>
      </c>
      <c r="K60" s="96" t="s">
        <v>1007</v>
      </c>
      <c r="L60" s="95">
        <v>221.71363882</v>
      </c>
      <c r="M60" s="96" t="s">
        <v>1007</v>
      </c>
      <c r="N60" s="95">
        <v>170.20489008000001</v>
      </c>
      <c r="O60" s="96" t="s">
        <v>1007</v>
      </c>
    </row>
    <row r="61" spans="1:15" x14ac:dyDescent="0.25">
      <c r="A61" s="423">
        <v>3</v>
      </c>
      <c r="B61" s="423"/>
      <c r="C61" s="89" t="s">
        <v>1059</v>
      </c>
      <c r="D61" s="95" t="s">
        <v>978</v>
      </c>
      <c r="E61" s="96"/>
      <c r="F61" s="95" t="s">
        <v>978</v>
      </c>
      <c r="G61" s="96"/>
      <c r="H61" s="95" t="s">
        <v>978</v>
      </c>
      <c r="I61" s="96"/>
      <c r="J61" s="95" t="s">
        <v>978</v>
      </c>
      <c r="K61" s="96"/>
      <c r="L61" s="95" t="s">
        <v>978</v>
      </c>
      <c r="M61" s="96"/>
      <c r="N61" s="95"/>
      <c r="O61" s="96"/>
    </row>
    <row r="62" spans="1:15" x14ac:dyDescent="0.25">
      <c r="A62" s="423">
        <v>2</v>
      </c>
      <c r="B62" s="423"/>
      <c r="C62" s="83" t="s">
        <v>1060</v>
      </c>
      <c r="D62" s="93">
        <v>1011.7437923</v>
      </c>
      <c r="E62" s="94"/>
      <c r="F62" s="93">
        <v>1527.9670741</v>
      </c>
      <c r="G62" s="94"/>
      <c r="H62" s="93">
        <v>1193.8093159</v>
      </c>
      <c r="I62" s="94"/>
      <c r="J62" s="93">
        <v>1425.2871336000001</v>
      </c>
      <c r="K62" s="94"/>
      <c r="L62" s="93">
        <v>1742.2356122000001</v>
      </c>
      <c r="M62" s="94"/>
      <c r="N62" s="93">
        <v>1562.6039642000001</v>
      </c>
      <c r="O62" s="94"/>
    </row>
    <row r="63" spans="1:15" x14ac:dyDescent="0.25">
      <c r="A63" s="423">
        <v>3</v>
      </c>
      <c r="B63" s="423"/>
      <c r="C63" s="89" t="s">
        <v>1061</v>
      </c>
      <c r="D63" s="95">
        <v>330.22820812999998</v>
      </c>
      <c r="E63" s="96"/>
      <c r="F63" s="95">
        <v>619.23786940000002</v>
      </c>
      <c r="G63" s="96"/>
      <c r="H63" s="95">
        <v>573.68840618000002</v>
      </c>
      <c r="I63" s="96"/>
      <c r="J63" s="95">
        <v>567.00269758000002</v>
      </c>
      <c r="K63" s="96" t="s">
        <v>1007</v>
      </c>
      <c r="L63" s="95">
        <v>809.96502776</v>
      </c>
      <c r="M63" s="96" t="s">
        <v>1007</v>
      </c>
      <c r="N63" s="95">
        <v>690.01203471999997</v>
      </c>
      <c r="O63" s="96"/>
    </row>
    <row r="64" spans="1:15" ht="30" x14ac:dyDescent="0.25">
      <c r="A64" s="423">
        <v>3</v>
      </c>
      <c r="B64" s="423"/>
      <c r="C64" s="89" t="s">
        <v>1062</v>
      </c>
      <c r="D64" s="95">
        <v>681.51558417000001</v>
      </c>
      <c r="E64" s="96"/>
      <c r="F64" s="95">
        <v>908.72920474</v>
      </c>
      <c r="G64" s="96" t="s">
        <v>1007</v>
      </c>
      <c r="H64" s="95">
        <v>620.12090968999996</v>
      </c>
      <c r="I64" s="96"/>
      <c r="J64" s="95">
        <v>858.28443604999995</v>
      </c>
      <c r="K64" s="96"/>
      <c r="L64" s="95">
        <v>932.27058448000002</v>
      </c>
      <c r="M64" s="96"/>
      <c r="N64" s="95">
        <v>872.59192945999996</v>
      </c>
      <c r="O64" s="96"/>
    </row>
    <row r="65" spans="1:15" x14ac:dyDescent="0.25">
      <c r="A65" s="423">
        <v>1</v>
      </c>
      <c r="B65" s="423"/>
      <c r="C65" s="82" t="s">
        <v>1063</v>
      </c>
      <c r="D65" s="91">
        <v>10045.22955</v>
      </c>
      <c r="E65" s="92"/>
      <c r="F65" s="91">
        <v>12355.174912</v>
      </c>
      <c r="G65" s="92"/>
      <c r="H65" s="91">
        <v>13028.884135</v>
      </c>
      <c r="I65" s="92"/>
      <c r="J65" s="91">
        <v>12637.835579000001</v>
      </c>
      <c r="K65" s="92"/>
      <c r="L65" s="91">
        <v>14223.048299</v>
      </c>
      <c r="M65" s="92"/>
      <c r="N65" s="91">
        <v>14957.772661000001</v>
      </c>
      <c r="O65" s="92"/>
    </row>
    <row r="66" spans="1:15" ht="60" x14ac:dyDescent="0.25">
      <c r="A66" s="423">
        <v>1</v>
      </c>
      <c r="B66" s="423"/>
      <c r="C66" s="82" t="s">
        <v>1064</v>
      </c>
      <c r="D66" s="91">
        <v>3578.5794504</v>
      </c>
      <c r="E66" s="92"/>
      <c r="F66" s="91">
        <v>3639.2002689000001</v>
      </c>
      <c r="G66" s="92"/>
      <c r="H66" s="91">
        <v>4004.5110537999999</v>
      </c>
      <c r="I66" s="92"/>
      <c r="J66" s="91">
        <v>4024.8899757999998</v>
      </c>
      <c r="K66" s="92"/>
      <c r="L66" s="91">
        <v>4176.3538601</v>
      </c>
      <c r="M66" s="92"/>
      <c r="N66" s="91">
        <v>4718.0330811000003</v>
      </c>
      <c r="O66" s="92"/>
    </row>
    <row r="67" spans="1:15" ht="45" x14ac:dyDescent="0.25">
      <c r="A67" s="423">
        <v>2</v>
      </c>
      <c r="B67" s="423"/>
      <c r="C67" s="84" t="s">
        <v>1065</v>
      </c>
      <c r="D67" s="97">
        <v>386.81602648</v>
      </c>
      <c r="E67" s="98"/>
      <c r="F67" s="97">
        <v>560.12838408000005</v>
      </c>
      <c r="G67" s="98"/>
      <c r="H67" s="97">
        <v>594.41243038000005</v>
      </c>
      <c r="I67" s="98"/>
      <c r="J67" s="97">
        <v>610.85840891999999</v>
      </c>
      <c r="K67" s="98"/>
      <c r="L67" s="97">
        <v>630.06725535999999</v>
      </c>
      <c r="M67" s="98"/>
      <c r="N67" s="97">
        <v>694.40470445000005</v>
      </c>
      <c r="O67" s="98"/>
    </row>
    <row r="68" spans="1:15" ht="30" x14ac:dyDescent="0.25">
      <c r="A68" s="423">
        <v>2</v>
      </c>
      <c r="B68" s="423"/>
      <c r="C68" s="84" t="s">
        <v>1066</v>
      </c>
      <c r="D68" s="97">
        <v>2341.0284431999999</v>
      </c>
      <c r="E68" s="98"/>
      <c r="F68" s="97">
        <v>2328.4195786999999</v>
      </c>
      <c r="G68" s="98"/>
      <c r="H68" s="97">
        <v>2553.1515119000001</v>
      </c>
      <c r="I68" s="98"/>
      <c r="J68" s="97">
        <v>2597.5410345999999</v>
      </c>
      <c r="K68" s="98"/>
      <c r="L68" s="97">
        <v>2700.5407014000002</v>
      </c>
      <c r="M68" s="98"/>
      <c r="N68" s="97">
        <v>3310.3401174999999</v>
      </c>
      <c r="O68" s="98"/>
    </row>
    <row r="69" spans="1:15" ht="30" x14ac:dyDescent="0.25">
      <c r="A69" s="423">
        <v>2</v>
      </c>
      <c r="B69" s="423"/>
      <c r="C69" s="84" t="s">
        <v>1067</v>
      </c>
      <c r="D69" s="97" t="s">
        <v>978</v>
      </c>
      <c r="E69" s="98"/>
      <c r="F69" s="97" t="s">
        <v>978</v>
      </c>
      <c r="G69" s="98"/>
      <c r="H69" s="97" t="s">
        <v>978</v>
      </c>
      <c r="I69" s="98"/>
      <c r="J69" s="97" t="s">
        <v>978</v>
      </c>
      <c r="K69" s="98"/>
      <c r="L69" s="97" t="s">
        <v>978</v>
      </c>
      <c r="M69" s="98"/>
      <c r="N69" s="97"/>
      <c r="O69" s="98"/>
    </row>
    <row r="70" spans="1:15" ht="45" x14ac:dyDescent="0.25">
      <c r="A70" s="423">
        <v>2</v>
      </c>
      <c r="B70" s="423"/>
      <c r="C70" s="84" t="s">
        <v>1068</v>
      </c>
      <c r="D70" s="97">
        <v>754.28313156000002</v>
      </c>
      <c r="E70" s="98"/>
      <c r="F70" s="97">
        <v>572.39211161000003</v>
      </c>
      <c r="G70" s="98"/>
      <c r="H70" s="97">
        <v>820.08721981999997</v>
      </c>
      <c r="I70" s="98"/>
      <c r="J70" s="97">
        <v>758.59305171999995</v>
      </c>
      <c r="K70" s="98"/>
      <c r="L70" s="97">
        <v>738.22280030000002</v>
      </c>
      <c r="M70" s="98"/>
      <c r="N70" s="97">
        <v>680.39655377999998</v>
      </c>
      <c r="O70" s="98"/>
    </row>
    <row r="71" spans="1:15" ht="45" x14ac:dyDescent="0.25">
      <c r="A71" s="423">
        <v>1</v>
      </c>
      <c r="B71" s="423"/>
      <c r="C71" s="85" t="s">
        <v>1069</v>
      </c>
      <c r="D71" s="99">
        <v>1029.0322096</v>
      </c>
      <c r="E71" s="100" t="s">
        <v>1007</v>
      </c>
      <c r="F71" s="99">
        <v>868.52061861000004</v>
      </c>
      <c r="G71" s="100"/>
      <c r="H71" s="99">
        <v>1043.9917551000001</v>
      </c>
      <c r="I71" s="100" t="s">
        <v>1011</v>
      </c>
      <c r="J71" s="99">
        <v>974.64262719999999</v>
      </c>
      <c r="K71" s="100"/>
      <c r="L71" s="99">
        <v>1680.3025998000001</v>
      </c>
      <c r="M71" s="100" t="s">
        <v>1007</v>
      </c>
      <c r="N71" s="99">
        <v>1170.0319872</v>
      </c>
      <c r="O71" s="100"/>
    </row>
    <row r="72" spans="1:15" ht="30" x14ac:dyDescent="0.25">
      <c r="A72" s="423">
        <v>2</v>
      </c>
      <c r="B72" s="423"/>
      <c r="C72" s="84" t="s">
        <v>1070</v>
      </c>
      <c r="D72" s="97">
        <v>752.2818297</v>
      </c>
      <c r="E72" s="98" t="s">
        <v>1007</v>
      </c>
      <c r="F72" s="97">
        <v>522.90647121999996</v>
      </c>
      <c r="G72" s="98" t="s">
        <v>1007</v>
      </c>
      <c r="H72" s="97" t="s">
        <v>978</v>
      </c>
      <c r="I72" s="98"/>
      <c r="J72" s="97">
        <v>692.66848938999999</v>
      </c>
      <c r="K72" s="98" t="s">
        <v>1007</v>
      </c>
      <c r="L72" s="97">
        <v>1372.7457010999999</v>
      </c>
      <c r="M72" s="98" t="s">
        <v>1007</v>
      </c>
      <c r="N72" s="97">
        <v>920.36733618000005</v>
      </c>
      <c r="O72" s="98" t="s">
        <v>1007</v>
      </c>
    </row>
    <row r="73" spans="1:15" ht="45" x14ac:dyDescent="0.25">
      <c r="A73" s="423">
        <v>3</v>
      </c>
      <c r="B73" s="423"/>
      <c r="C73" s="89" t="s">
        <v>1071</v>
      </c>
      <c r="D73" s="95">
        <v>446.67833734999999</v>
      </c>
      <c r="E73" s="96" t="s">
        <v>1007</v>
      </c>
      <c r="F73" s="95">
        <v>386.54059989000001</v>
      </c>
      <c r="G73" s="96" t="s">
        <v>1007</v>
      </c>
      <c r="H73" s="95">
        <v>462.95422537000002</v>
      </c>
      <c r="I73" s="96" t="s">
        <v>1011</v>
      </c>
      <c r="J73" s="95">
        <v>475.04416107999998</v>
      </c>
      <c r="K73" s="96" t="s">
        <v>1007</v>
      </c>
      <c r="L73" s="95">
        <v>988.67718978000005</v>
      </c>
      <c r="M73" s="96" t="s">
        <v>1007</v>
      </c>
      <c r="N73" s="95">
        <v>790.36363690999997</v>
      </c>
      <c r="O73" s="96" t="s">
        <v>1007</v>
      </c>
    </row>
    <row r="74" spans="1:15" ht="45" x14ac:dyDescent="0.25">
      <c r="A74" s="423">
        <v>3</v>
      </c>
      <c r="B74" s="423"/>
      <c r="C74" s="89" t="s">
        <v>1072</v>
      </c>
      <c r="D74" s="95" t="s">
        <v>978</v>
      </c>
      <c r="E74" s="96"/>
      <c r="F74" s="95">
        <v>99.860452107</v>
      </c>
      <c r="G74" s="96" t="s">
        <v>1011</v>
      </c>
      <c r="H74" s="95" t="s">
        <v>978</v>
      </c>
      <c r="I74" s="96"/>
      <c r="J74" s="95">
        <v>92.175620404</v>
      </c>
      <c r="K74" s="96" t="s">
        <v>1011</v>
      </c>
      <c r="L74" s="95">
        <v>91.157156479999998</v>
      </c>
      <c r="M74" s="96" t="s">
        <v>1011</v>
      </c>
      <c r="N74" s="95">
        <v>40.266341631000003</v>
      </c>
      <c r="O74" s="96" t="s">
        <v>1011</v>
      </c>
    </row>
    <row r="75" spans="1:15" x14ac:dyDescent="0.25">
      <c r="A75" s="423">
        <v>3</v>
      </c>
      <c r="B75" s="423"/>
      <c r="C75" s="89" t="s">
        <v>1073</v>
      </c>
      <c r="D75" s="95" t="s">
        <v>978</v>
      </c>
      <c r="E75" s="96"/>
      <c r="F75" s="95" t="s">
        <v>978</v>
      </c>
      <c r="G75" s="96"/>
      <c r="H75" s="95" t="s">
        <v>978</v>
      </c>
      <c r="I75" s="96"/>
      <c r="J75" s="95" t="s">
        <v>978</v>
      </c>
      <c r="K75" s="96"/>
      <c r="L75" s="95">
        <v>292.91135488999998</v>
      </c>
      <c r="M75" s="101" t="s">
        <v>1011</v>
      </c>
      <c r="N75" s="95"/>
      <c r="O75" s="101"/>
    </row>
    <row r="76" spans="1:15" ht="15.75" thickBot="1" x14ac:dyDescent="0.3">
      <c r="A76" s="423">
        <v>2</v>
      </c>
      <c r="B76" s="423"/>
      <c r="C76" s="86" t="s">
        <v>1074</v>
      </c>
      <c r="D76" s="102">
        <v>276.75037989999998</v>
      </c>
      <c r="E76" s="103" t="s">
        <v>1007</v>
      </c>
      <c r="F76" s="102">
        <v>345.61414739000003</v>
      </c>
      <c r="G76" s="103"/>
      <c r="H76" s="102">
        <v>264.34310852999999</v>
      </c>
      <c r="I76" s="103"/>
      <c r="J76" s="102">
        <v>281.97413781</v>
      </c>
      <c r="K76" s="103" t="s">
        <v>1007</v>
      </c>
      <c r="L76" s="102">
        <v>307.55689862000003</v>
      </c>
      <c r="M76" s="96" t="s">
        <v>1007</v>
      </c>
      <c r="N76" s="102">
        <v>249.66465105</v>
      </c>
      <c r="O76" s="96"/>
    </row>
    <row r="77" spans="1:15" x14ac:dyDescent="0.25">
      <c r="A77" s="7"/>
      <c r="B77" s="7"/>
      <c r="C77" s="104" t="s">
        <v>1075</v>
      </c>
      <c r="D77" s="105"/>
      <c r="E77" s="105"/>
      <c r="F77" s="105"/>
      <c r="G77" s="105"/>
      <c r="H77" s="105"/>
      <c r="I77" s="105"/>
      <c r="J77" s="105"/>
      <c r="K77" s="105"/>
      <c r="L77" s="105"/>
      <c r="M77" s="105"/>
      <c r="N77" s="7"/>
      <c r="O77" s="7"/>
    </row>
    <row r="78" spans="1:15" x14ac:dyDescent="0.25">
      <c r="C78" s="90" t="s">
        <v>1076</v>
      </c>
      <c r="D78" s="27"/>
      <c r="E78" s="27"/>
      <c r="F78" s="27"/>
      <c r="G78" s="27"/>
      <c r="H78" s="27"/>
      <c r="I78" s="27"/>
      <c r="J78" s="27"/>
      <c r="K78" s="27"/>
      <c r="L78" s="27"/>
      <c r="M78" s="27"/>
    </row>
    <row r="79" spans="1:15" x14ac:dyDescent="0.25">
      <c r="C79" s="90" t="s">
        <v>1077</v>
      </c>
      <c r="D79" s="27"/>
      <c r="E79" s="27"/>
      <c r="F79" s="27"/>
      <c r="G79" s="27"/>
      <c r="H79" s="27"/>
      <c r="I79" s="27"/>
      <c r="J79" s="27"/>
      <c r="K79" s="27"/>
      <c r="L79" s="27"/>
      <c r="M79" s="27"/>
    </row>
    <row r="80" spans="1:15" x14ac:dyDescent="0.25">
      <c r="C80" s="478" t="s">
        <v>1078</v>
      </c>
      <c r="D80" s="478"/>
      <c r="E80" s="478"/>
      <c r="F80" s="478"/>
      <c r="G80" s="478"/>
      <c r="H80" s="478"/>
      <c r="I80" s="478"/>
      <c r="J80" s="478"/>
      <c r="K80" s="478"/>
      <c r="L80" s="478"/>
      <c r="M80" s="478"/>
      <c r="N80" s="478"/>
      <c r="O80" s="478"/>
    </row>
    <row r="81" spans="3:15" x14ac:dyDescent="0.25">
      <c r="C81" s="479" t="s">
        <v>1079</v>
      </c>
      <c r="D81" s="479"/>
      <c r="E81" s="479"/>
      <c r="F81" s="479"/>
      <c r="G81" s="479"/>
      <c r="H81" s="479"/>
      <c r="I81" s="479"/>
      <c r="J81" s="479"/>
      <c r="K81" s="479"/>
      <c r="L81" s="479"/>
      <c r="M81" s="479"/>
      <c r="N81" s="479"/>
      <c r="O81" s="479"/>
    </row>
    <row r="82" spans="3:15" x14ac:dyDescent="0.25">
      <c r="C82" t="s">
        <v>1080</v>
      </c>
      <c r="D82" s="424"/>
      <c r="E82" s="424"/>
      <c r="F82" s="424"/>
      <c r="G82" s="424"/>
      <c r="H82" s="424"/>
      <c r="I82" s="424"/>
      <c r="J82" s="424"/>
      <c r="K82" s="424"/>
      <c r="L82" s="424"/>
      <c r="M82" s="424"/>
    </row>
    <row r="84" spans="3:15" x14ac:dyDescent="0.25">
      <c r="C84" t="s">
        <v>1083</v>
      </c>
    </row>
  </sheetData>
  <mergeCells count="4">
    <mergeCell ref="A1:O1"/>
    <mergeCell ref="D3:O3"/>
    <mergeCell ref="C80:O80"/>
    <mergeCell ref="C81:O81"/>
  </mergeCells>
  <hyperlinks>
    <hyperlink ref="C81" r:id="rId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R84"/>
  <sheetViews>
    <sheetView topLeftCell="D1" zoomScaleNormal="100" workbookViewId="0">
      <selection activeCell="I67" sqref="I67"/>
    </sheetView>
  </sheetViews>
  <sheetFormatPr baseColWidth="10" defaultColWidth="11.42578125" defaultRowHeight="15" x14ac:dyDescent="0.25"/>
  <cols>
    <col min="3" max="3" width="24.28515625" customWidth="1"/>
  </cols>
  <sheetData>
    <row r="1" spans="1:18" ht="15.75" thickBot="1" x14ac:dyDescent="0.3">
      <c r="A1" s="476" t="s">
        <v>1084</v>
      </c>
      <c r="B1" s="476"/>
      <c r="C1" s="476"/>
      <c r="D1" s="476"/>
      <c r="E1" s="476"/>
      <c r="F1" s="476"/>
      <c r="G1" s="476"/>
      <c r="H1" s="476"/>
      <c r="I1" s="476"/>
      <c r="J1" s="476"/>
      <c r="K1" s="476"/>
      <c r="L1" s="476"/>
      <c r="M1" s="476"/>
      <c r="N1" s="476"/>
      <c r="O1" s="476"/>
    </row>
    <row r="2" spans="1:18" x14ac:dyDescent="0.25">
      <c r="D2" s="87">
        <v>2010</v>
      </c>
      <c r="E2" s="88"/>
      <c r="F2" s="87">
        <v>2011</v>
      </c>
      <c r="G2" s="88"/>
      <c r="H2" s="87">
        <v>2012</v>
      </c>
      <c r="I2" s="88"/>
      <c r="J2" s="87">
        <v>2013</v>
      </c>
      <c r="K2" s="88"/>
      <c r="L2" s="87">
        <v>2014</v>
      </c>
      <c r="M2" s="88"/>
      <c r="N2" s="46">
        <v>2015</v>
      </c>
      <c r="O2" s="46"/>
    </row>
    <row r="3" spans="1:18" x14ac:dyDescent="0.25">
      <c r="A3" s="426" t="s">
        <v>998</v>
      </c>
      <c r="B3" s="426"/>
      <c r="C3" s="46"/>
      <c r="D3" s="477" t="s">
        <v>1000</v>
      </c>
      <c r="E3" s="477"/>
      <c r="F3" s="477"/>
      <c r="G3" s="477"/>
      <c r="H3" s="477"/>
      <c r="I3" s="477"/>
      <c r="J3" s="477"/>
      <c r="K3" s="477"/>
      <c r="L3" s="477"/>
      <c r="M3" s="477"/>
      <c r="N3" s="477"/>
      <c r="O3" s="477"/>
    </row>
    <row r="4" spans="1:18" x14ac:dyDescent="0.25">
      <c r="A4" s="423">
        <v>0</v>
      </c>
      <c r="B4" s="423"/>
      <c r="C4" s="82" t="s">
        <v>445</v>
      </c>
      <c r="D4" s="91">
        <v>97038.811511000007</v>
      </c>
      <c r="E4" s="92"/>
      <c r="F4" s="91">
        <v>94418.435077000002</v>
      </c>
      <c r="G4" s="92"/>
      <c r="H4" s="91">
        <v>97838.888101999997</v>
      </c>
      <c r="I4" s="92"/>
      <c r="J4" s="91">
        <v>104792.38529999999</v>
      </c>
      <c r="K4" s="92"/>
      <c r="L4" s="91">
        <v>107409.61367999999</v>
      </c>
      <c r="M4" s="92"/>
      <c r="N4" s="91">
        <v>102455.26498000001</v>
      </c>
      <c r="O4" s="92"/>
    </row>
    <row r="5" spans="1:18" ht="30" x14ac:dyDescent="0.25">
      <c r="A5" s="423">
        <v>1</v>
      </c>
      <c r="B5" s="423"/>
      <c r="C5" s="82" t="s">
        <v>1001</v>
      </c>
      <c r="D5" s="91">
        <v>71390.287654999993</v>
      </c>
      <c r="E5" s="92"/>
      <c r="F5" s="91">
        <v>70115.119005</v>
      </c>
      <c r="G5" s="92"/>
      <c r="H5" s="91">
        <v>71323.537882000004</v>
      </c>
      <c r="I5" s="92"/>
      <c r="J5" s="91">
        <v>75604.288220999995</v>
      </c>
      <c r="K5" s="92"/>
      <c r="L5" s="91">
        <v>76644.377934000004</v>
      </c>
      <c r="M5" s="92"/>
      <c r="N5" s="91">
        <v>73067.342466000002</v>
      </c>
      <c r="O5" s="92"/>
    </row>
    <row r="6" spans="1:18" x14ac:dyDescent="0.25">
      <c r="A6" s="423">
        <v>2</v>
      </c>
      <c r="B6" s="423"/>
      <c r="C6" s="83" t="s">
        <v>1002</v>
      </c>
      <c r="D6" s="93">
        <v>11193.320252</v>
      </c>
      <c r="E6" s="94"/>
      <c r="F6" s="93">
        <v>10941.934873</v>
      </c>
      <c r="G6" s="94"/>
      <c r="H6" s="93">
        <v>11258.475517000001</v>
      </c>
      <c r="I6" s="94"/>
      <c r="J6" s="93">
        <v>12116.186109</v>
      </c>
      <c r="K6" s="94"/>
      <c r="L6" s="93">
        <v>12424.954755999999</v>
      </c>
      <c r="M6" s="94"/>
      <c r="N6" s="93">
        <v>11982.027819999999</v>
      </c>
      <c r="O6" s="94"/>
      <c r="P6" s="186">
        <f>N7*0.773+N10+N11+N35+N37+N38+N48+N60+N61+N63+N73+N74+N76</f>
        <v>33293.092693251499</v>
      </c>
      <c r="Q6" s="186">
        <f>N7+N8+N10+N11+N13+N14+N15+N16+N17+N18+N19+N20+N22+N23+N24+N25+N27+N28+N29+N30+N31+N32+N34+N35+N37+N38+N40+N41+N43+N44+N45+N46+N48+N49+N51+N52+N53+N54+N55+N57+N58+N60+N61+N63+N64+N70+N73+N74+N76</f>
        <v>74165.628631998014</v>
      </c>
      <c r="R6" s="418">
        <f>P6/(Q6-(Q6-P6)*0.14975)</f>
        <v>0.48928075751684086</v>
      </c>
    </row>
    <row r="7" spans="1:18" ht="30" x14ac:dyDescent="0.25">
      <c r="A7" s="423">
        <v>3</v>
      </c>
      <c r="B7" s="423"/>
      <c r="C7" s="89" t="s">
        <v>1004</v>
      </c>
      <c r="D7" s="95">
        <v>8690.2672280999996</v>
      </c>
      <c r="E7" s="96"/>
      <c r="F7" s="95">
        <v>8230.9481354</v>
      </c>
      <c r="G7" s="96"/>
      <c r="H7" s="95">
        <v>8544.6776525000005</v>
      </c>
      <c r="I7" s="96"/>
      <c r="J7" s="95">
        <v>9248.4621048000008</v>
      </c>
      <c r="K7" s="96"/>
      <c r="L7" s="95">
        <v>9650.3961113000005</v>
      </c>
      <c r="M7" s="96"/>
      <c r="N7" s="95">
        <v>9398.7195434999994</v>
      </c>
      <c r="O7" s="96"/>
    </row>
    <row r="8" spans="1:18" ht="30" x14ac:dyDescent="0.25">
      <c r="A8" s="423">
        <v>3</v>
      </c>
      <c r="B8" s="423"/>
      <c r="C8" s="89" t="s">
        <v>1006</v>
      </c>
      <c r="D8" s="95">
        <v>2503.0530233999998</v>
      </c>
      <c r="E8" s="96"/>
      <c r="F8" s="95">
        <v>2710.9867371</v>
      </c>
      <c r="G8" s="96"/>
      <c r="H8" s="95">
        <v>2713.7978643000001</v>
      </c>
      <c r="I8" s="96"/>
      <c r="J8" s="95">
        <v>2867.7240044</v>
      </c>
      <c r="K8" s="96"/>
      <c r="L8" s="95">
        <v>2774.5586447999999</v>
      </c>
      <c r="M8" s="96"/>
      <c r="N8" s="95">
        <v>2583.3082764000001</v>
      </c>
      <c r="O8" s="96"/>
    </row>
    <row r="9" spans="1:18" x14ac:dyDescent="0.25">
      <c r="A9" s="423">
        <v>2</v>
      </c>
      <c r="B9" s="423"/>
      <c r="C9" s="83" t="s">
        <v>1008</v>
      </c>
      <c r="D9" s="93">
        <v>15869.433053999999</v>
      </c>
      <c r="E9" s="94"/>
      <c r="F9" s="93">
        <v>15726.976542</v>
      </c>
      <c r="G9" s="94"/>
      <c r="H9" s="93">
        <v>17000.105743</v>
      </c>
      <c r="I9" s="94"/>
      <c r="J9" s="93">
        <v>17119.021848</v>
      </c>
      <c r="K9" s="94"/>
      <c r="L9" s="93">
        <v>18622.696777000001</v>
      </c>
      <c r="M9" s="94"/>
      <c r="N9" s="93">
        <v>18524.721851999999</v>
      </c>
      <c r="O9" s="94"/>
    </row>
    <row r="10" spans="1:18" x14ac:dyDescent="0.25">
      <c r="A10" s="423">
        <v>3</v>
      </c>
      <c r="B10" s="423"/>
      <c r="C10" s="89" t="s">
        <v>1009</v>
      </c>
      <c r="D10" s="95">
        <v>14649.677530999999</v>
      </c>
      <c r="E10" s="96"/>
      <c r="F10" s="95">
        <v>14354.063082000001</v>
      </c>
      <c r="G10" s="96"/>
      <c r="H10" s="95">
        <v>15728.73992</v>
      </c>
      <c r="I10" s="96"/>
      <c r="J10" s="95">
        <v>15498.62565</v>
      </c>
      <c r="K10" s="96"/>
      <c r="L10" s="95">
        <v>16560.433989000001</v>
      </c>
      <c r="M10" s="96"/>
      <c r="N10" s="95">
        <v>16832.454859000001</v>
      </c>
      <c r="O10" s="96"/>
    </row>
    <row r="11" spans="1:18" x14ac:dyDescent="0.25">
      <c r="A11" s="423">
        <v>3</v>
      </c>
      <c r="B11" s="423"/>
      <c r="C11" s="89" t="s">
        <v>1010</v>
      </c>
      <c r="D11" s="95">
        <v>1219.7555229</v>
      </c>
      <c r="E11" s="96" t="s">
        <v>1007</v>
      </c>
      <c r="F11" s="95">
        <v>1372.9134603</v>
      </c>
      <c r="G11" s="96" t="s">
        <v>1007</v>
      </c>
      <c r="H11" s="95">
        <v>1271.3658230999999</v>
      </c>
      <c r="I11" s="96"/>
      <c r="J11" s="95">
        <v>1620.3961982999999</v>
      </c>
      <c r="K11" s="96"/>
      <c r="L11" s="95">
        <v>2062.2627874999998</v>
      </c>
      <c r="M11" s="96" t="s">
        <v>1007</v>
      </c>
      <c r="N11" s="95">
        <v>1692.2669933</v>
      </c>
      <c r="O11" s="96"/>
    </row>
    <row r="12" spans="1:18" x14ac:dyDescent="0.25">
      <c r="A12" s="423">
        <v>2</v>
      </c>
      <c r="B12" s="423"/>
      <c r="C12" s="83" t="s">
        <v>1012</v>
      </c>
      <c r="D12" s="93">
        <v>5308.7517125000004</v>
      </c>
      <c r="E12" s="94"/>
      <c r="F12" s="93">
        <v>5519.8423775000001</v>
      </c>
      <c r="G12" s="94"/>
      <c r="H12" s="93">
        <v>5820.0114795</v>
      </c>
      <c r="I12" s="94"/>
      <c r="J12" s="93">
        <v>5664.7477160999997</v>
      </c>
      <c r="K12" s="94"/>
      <c r="L12" s="93">
        <v>5859.1412192999996</v>
      </c>
      <c r="M12" s="94"/>
      <c r="N12" s="93">
        <v>6038.6779693999997</v>
      </c>
      <c r="O12" s="94"/>
    </row>
    <row r="13" spans="1:18" x14ac:dyDescent="0.25">
      <c r="A13" s="423">
        <v>3</v>
      </c>
      <c r="B13" s="423"/>
      <c r="C13" s="89" t="s">
        <v>1013</v>
      </c>
      <c r="D13" s="95">
        <v>1784.840627</v>
      </c>
      <c r="E13" s="96"/>
      <c r="F13" s="95">
        <v>1879.7165557000001</v>
      </c>
      <c r="G13" s="96"/>
      <c r="H13" s="95">
        <v>1958.2258224</v>
      </c>
      <c r="I13" s="96"/>
      <c r="J13" s="95">
        <v>2147.8597405</v>
      </c>
      <c r="K13" s="96"/>
      <c r="L13" s="95">
        <v>2270.8234127999999</v>
      </c>
      <c r="M13" s="96"/>
      <c r="N13" s="95">
        <v>2241.2624516000001</v>
      </c>
      <c r="O13" s="96"/>
    </row>
    <row r="14" spans="1:18" ht="60" x14ac:dyDescent="0.25">
      <c r="A14" s="423">
        <v>3</v>
      </c>
      <c r="B14" s="423"/>
      <c r="C14" s="89" t="s">
        <v>1014</v>
      </c>
      <c r="D14" s="95">
        <v>432.60044842000002</v>
      </c>
      <c r="E14" s="96" t="s">
        <v>1007</v>
      </c>
      <c r="F14" s="95" t="s">
        <v>978</v>
      </c>
      <c r="G14" s="96"/>
      <c r="H14" s="95">
        <v>249.27975022999999</v>
      </c>
      <c r="I14" s="96" t="s">
        <v>1007</v>
      </c>
      <c r="J14" s="95">
        <v>255.48259777000001</v>
      </c>
      <c r="K14" s="96" t="s">
        <v>1007</v>
      </c>
      <c r="L14" s="95">
        <v>296.52942438999997</v>
      </c>
      <c r="M14" s="96" t="s">
        <v>1007</v>
      </c>
      <c r="N14" s="95">
        <v>177.96973819999999</v>
      </c>
      <c r="O14" s="96" t="s">
        <v>1007</v>
      </c>
    </row>
    <row r="15" spans="1:18" ht="30" x14ac:dyDescent="0.25">
      <c r="A15" s="423">
        <v>3</v>
      </c>
      <c r="B15" s="423"/>
      <c r="C15" s="89" t="s">
        <v>1015</v>
      </c>
      <c r="D15" s="95">
        <v>469.07486619000002</v>
      </c>
      <c r="E15" s="96" t="s">
        <v>1007</v>
      </c>
      <c r="F15" s="95">
        <v>583.37541644999999</v>
      </c>
      <c r="G15" s="96"/>
      <c r="H15" s="95">
        <v>406.26355790999997</v>
      </c>
      <c r="I15" s="96" t="s">
        <v>1007</v>
      </c>
      <c r="J15" s="95">
        <v>464.27549148000003</v>
      </c>
      <c r="K15" s="96" t="s">
        <v>1007</v>
      </c>
      <c r="L15" s="95">
        <v>483.06538024000002</v>
      </c>
      <c r="M15" s="96" t="s">
        <v>1007</v>
      </c>
      <c r="N15" s="95">
        <v>422.00250784000002</v>
      </c>
      <c r="O15" s="96" t="s">
        <v>1007</v>
      </c>
    </row>
    <row r="16" spans="1:18" ht="30" x14ac:dyDescent="0.25">
      <c r="A16" s="423">
        <v>3</v>
      </c>
      <c r="B16" s="423"/>
      <c r="C16" s="89" t="s">
        <v>1016</v>
      </c>
      <c r="D16" s="95">
        <v>333.04289474000001</v>
      </c>
      <c r="E16" s="96"/>
      <c r="F16" s="95">
        <v>314.48274501999998</v>
      </c>
      <c r="G16" s="96"/>
      <c r="H16" s="95">
        <v>278.42803149999997</v>
      </c>
      <c r="I16" s="96" t="s">
        <v>1007</v>
      </c>
      <c r="J16" s="95">
        <v>244.5754609</v>
      </c>
      <c r="K16" s="96"/>
      <c r="L16" s="95">
        <v>290.05126368999998</v>
      </c>
      <c r="M16" s="96"/>
      <c r="N16" s="95">
        <v>292.94120746999999</v>
      </c>
      <c r="O16" s="96"/>
    </row>
    <row r="17" spans="1:15" ht="45" x14ac:dyDescent="0.25">
      <c r="A17" s="423">
        <v>3</v>
      </c>
      <c r="B17" s="423"/>
      <c r="C17" s="89" t="s">
        <v>1017</v>
      </c>
      <c r="D17" s="95">
        <v>498.42451696000001</v>
      </c>
      <c r="E17" s="96"/>
      <c r="F17" s="95">
        <v>372.36947248000001</v>
      </c>
      <c r="G17" s="96"/>
      <c r="H17" s="95">
        <v>352.92236574999998</v>
      </c>
      <c r="I17" s="96"/>
      <c r="J17" s="95">
        <v>365.54969281000001</v>
      </c>
      <c r="K17" s="96"/>
      <c r="L17" s="95">
        <v>479.95093147</v>
      </c>
      <c r="M17" s="96"/>
      <c r="N17" s="95">
        <v>428.69525657999998</v>
      </c>
      <c r="O17" s="96"/>
    </row>
    <row r="18" spans="1:15" ht="30" x14ac:dyDescent="0.25">
      <c r="A18" s="423">
        <v>3</v>
      </c>
      <c r="B18" s="423"/>
      <c r="C18" s="89" t="s">
        <v>1018</v>
      </c>
      <c r="D18" s="95" t="s">
        <v>978</v>
      </c>
      <c r="E18" s="96"/>
      <c r="F18" s="95">
        <v>499.93622791000001</v>
      </c>
      <c r="G18" s="96" t="s">
        <v>1007</v>
      </c>
      <c r="H18" s="95">
        <v>433.32942680999997</v>
      </c>
      <c r="I18" s="96" t="s">
        <v>1007</v>
      </c>
      <c r="J18" s="95">
        <v>553.87492199999997</v>
      </c>
      <c r="K18" s="96" t="s">
        <v>1007</v>
      </c>
      <c r="L18" s="95">
        <v>468.38859163000001</v>
      </c>
      <c r="M18" s="96" t="s">
        <v>1007</v>
      </c>
      <c r="N18" s="95">
        <v>643.58239394999998</v>
      </c>
      <c r="O18" s="96" t="s">
        <v>1007</v>
      </c>
    </row>
    <row r="19" spans="1:15" ht="30" x14ac:dyDescent="0.25">
      <c r="A19" s="423">
        <v>3</v>
      </c>
      <c r="B19" s="423"/>
      <c r="C19" s="89" t="s">
        <v>1019</v>
      </c>
      <c r="D19" s="95">
        <v>135.26579641000001</v>
      </c>
      <c r="E19" s="96" t="s">
        <v>1007</v>
      </c>
      <c r="F19" s="95">
        <v>107.74954816</v>
      </c>
      <c r="G19" s="96" t="s">
        <v>1007</v>
      </c>
      <c r="H19" s="95">
        <v>104.85739631</v>
      </c>
      <c r="I19" s="96" t="s">
        <v>1007</v>
      </c>
      <c r="J19" s="95">
        <v>168.28448899</v>
      </c>
      <c r="K19" s="96" t="s">
        <v>1011</v>
      </c>
      <c r="L19" s="95" t="s">
        <v>978</v>
      </c>
      <c r="M19" s="96"/>
      <c r="N19" s="95">
        <v>130.64540643999999</v>
      </c>
      <c r="O19" s="96" t="s">
        <v>1007</v>
      </c>
    </row>
    <row r="20" spans="1:15" x14ac:dyDescent="0.25">
      <c r="A20" s="423">
        <v>3</v>
      </c>
      <c r="B20" s="423"/>
      <c r="C20" s="89" t="s">
        <v>1020</v>
      </c>
      <c r="D20" s="95">
        <v>1385.2257162999999</v>
      </c>
      <c r="E20" s="96" t="s">
        <v>1007</v>
      </c>
      <c r="F20" s="95">
        <v>1520.7554391000001</v>
      </c>
      <c r="G20" s="96"/>
      <c r="H20" s="95">
        <v>2036.7051286000001</v>
      </c>
      <c r="I20" s="96" t="s">
        <v>1007</v>
      </c>
      <c r="J20" s="95">
        <v>1464.8453217000001</v>
      </c>
      <c r="K20" s="96"/>
      <c r="L20" s="95">
        <v>1328.4416065</v>
      </c>
      <c r="M20" s="96"/>
      <c r="N20" s="95">
        <v>1701.5790072</v>
      </c>
      <c r="O20" s="96"/>
    </row>
    <row r="21" spans="1:15" ht="30" x14ac:dyDescent="0.25">
      <c r="A21" s="423">
        <v>2</v>
      </c>
      <c r="B21" s="423"/>
      <c r="C21" s="83" t="s">
        <v>1021</v>
      </c>
      <c r="D21" s="93">
        <v>2315.4291601</v>
      </c>
      <c r="E21" s="94"/>
      <c r="F21" s="93">
        <v>2593.8459613</v>
      </c>
      <c r="G21" s="94"/>
      <c r="H21" s="93">
        <v>2429.9942206000001</v>
      </c>
      <c r="I21" s="94"/>
      <c r="J21" s="93">
        <v>2159.3973341999999</v>
      </c>
      <c r="K21" s="94"/>
      <c r="L21" s="93">
        <v>2380.7555351999999</v>
      </c>
      <c r="M21" s="94"/>
      <c r="N21" s="93">
        <v>2453.2723787999998</v>
      </c>
      <c r="O21" s="94"/>
    </row>
    <row r="22" spans="1:15" x14ac:dyDescent="0.25">
      <c r="A22" s="423">
        <v>3</v>
      </c>
      <c r="B22" s="423"/>
      <c r="C22" s="89" t="s">
        <v>1022</v>
      </c>
      <c r="D22" s="95">
        <v>1058.1790453000001</v>
      </c>
      <c r="E22" s="96"/>
      <c r="F22" s="95">
        <v>1117.6431736</v>
      </c>
      <c r="G22" s="96"/>
      <c r="H22" s="95">
        <v>1029.9463912000001</v>
      </c>
      <c r="I22" s="96"/>
      <c r="J22" s="95">
        <v>900.36090664999995</v>
      </c>
      <c r="K22" s="96"/>
      <c r="L22" s="95">
        <v>901.32357797999998</v>
      </c>
      <c r="M22" s="96"/>
      <c r="N22" s="95">
        <v>1005.0170036</v>
      </c>
      <c r="O22" s="96"/>
    </row>
    <row r="23" spans="1:15" x14ac:dyDescent="0.25">
      <c r="A23" s="423">
        <v>3</v>
      </c>
      <c r="B23" s="423"/>
      <c r="C23" s="89" t="s">
        <v>1023</v>
      </c>
      <c r="D23" s="95">
        <v>1203.0461863999999</v>
      </c>
      <c r="E23" s="96"/>
      <c r="F23" s="95">
        <v>1394.8055606</v>
      </c>
      <c r="G23" s="96"/>
      <c r="H23" s="95">
        <v>1332.0981652999999</v>
      </c>
      <c r="I23" s="96"/>
      <c r="J23" s="95">
        <v>1163.8651953000001</v>
      </c>
      <c r="K23" s="96"/>
      <c r="L23" s="95">
        <v>1390.6086565000001</v>
      </c>
      <c r="M23" s="96"/>
      <c r="N23" s="95">
        <v>1329.5217622</v>
      </c>
      <c r="O23" s="96"/>
    </row>
    <row r="24" spans="1:15" ht="45" x14ac:dyDescent="0.25">
      <c r="A24" s="423">
        <v>3</v>
      </c>
      <c r="B24" s="423"/>
      <c r="C24" s="89" t="s">
        <v>1024</v>
      </c>
      <c r="D24" s="95" t="s">
        <v>978</v>
      </c>
      <c r="E24" s="96"/>
      <c r="F24" s="95" t="s">
        <v>978</v>
      </c>
      <c r="G24" s="96"/>
      <c r="H24" s="95" t="s">
        <v>978</v>
      </c>
      <c r="I24" s="96"/>
      <c r="J24" s="95" t="s">
        <v>978</v>
      </c>
      <c r="K24" s="96"/>
      <c r="L24" s="95" t="s">
        <v>978</v>
      </c>
      <c r="M24" s="96"/>
      <c r="N24" s="95"/>
      <c r="O24" s="96"/>
    </row>
    <row r="25" spans="1:15" ht="45" x14ac:dyDescent="0.25">
      <c r="A25" s="423">
        <v>3</v>
      </c>
      <c r="B25" s="423"/>
      <c r="C25" s="89" t="s">
        <v>1025</v>
      </c>
      <c r="D25" s="95">
        <v>48.086749357999999</v>
      </c>
      <c r="E25" s="96"/>
      <c r="F25" s="95">
        <v>56.771430152999997</v>
      </c>
      <c r="G25" s="96"/>
      <c r="H25" s="95">
        <v>67.158257273000004</v>
      </c>
      <c r="I25" s="96"/>
      <c r="J25" s="95">
        <v>70.659824377999996</v>
      </c>
      <c r="K25" s="96"/>
      <c r="L25" s="95">
        <v>86.520272524000006</v>
      </c>
      <c r="M25" s="96"/>
      <c r="N25" s="95">
        <v>70.903165259999994</v>
      </c>
      <c r="O25" s="96"/>
    </row>
    <row r="26" spans="1:15" x14ac:dyDescent="0.25">
      <c r="A26" s="423">
        <v>2</v>
      </c>
      <c r="B26" s="423"/>
      <c r="C26" s="83" t="s">
        <v>1026</v>
      </c>
      <c r="D26" s="93">
        <v>5615.3447495999999</v>
      </c>
      <c r="E26" s="94"/>
      <c r="F26" s="93">
        <v>4848.3819247000001</v>
      </c>
      <c r="G26" s="94"/>
      <c r="H26" s="93">
        <v>5088.6585942000002</v>
      </c>
      <c r="I26" s="94"/>
      <c r="J26" s="93">
        <v>5017.9185538000002</v>
      </c>
      <c r="K26" s="94"/>
      <c r="L26" s="93">
        <v>5033.2143397</v>
      </c>
      <c r="M26" s="94"/>
      <c r="N26" s="93">
        <v>4644.8198916000001</v>
      </c>
      <c r="O26" s="94"/>
    </row>
    <row r="27" spans="1:15" ht="60" x14ac:dyDescent="0.25">
      <c r="A27" s="423">
        <v>3</v>
      </c>
      <c r="B27" s="423"/>
      <c r="C27" s="89" t="s">
        <v>1027</v>
      </c>
      <c r="D27" s="95">
        <v>2867.9812790000001</v>
      </c>
      <c r="E27" s="96"/>
      <c r="F27" s="95">
        <v>2465.4910798999999</v>
      </c>
      <c r="G27" s="96"/>
      <c r="H27" s="95">
        <v>2489.9353111999999</v>
      </c>
      <c r="I27" s="96"/>
      <c r="J27" s="95">
        <v>2637.3461781999999</v>
      </c>
      <c r="K27" s="96"/>
      <c r="L27" s="95">
        <v>2666.1944410000001</v>
      </c>
      <c r="M27" s="96"/>
      <c r="N27" s="95">
        <v>2386.1232372999998</v>
      </c>
      <c r="O27" s="96"/>
    </row>
    <row r="28" spans="1:15" ht="60" x14ac:dyDescent="0.25">
      <c r="A28" s="423">
        <v>3</v>
      </c>
      <c r="B28" s="423"/>
      <c r="C28" s="89" t="s">
        <v>1028</v>
      </c>
      <c r="D28" s="95">
        <v>2066.3873033999998</v>
      </c>
      <c r="E28" s="96"/>
      <c r="F28" s="95">
        <v>1810.487807</v>
      </c>
      <c r="G28" s="96"/>
      <c r="H28" s="95">
        <v>1946.2170185</v>
      </c>
      <c r="I28" s="96"/>
      <c r="J28" s="95">
        <v>1738.5488092000001</v>
      </c>
      <c r="K28" s="96"/>
      <c r="L28" s="95">
        <v>1807.8007147000001</v>
      </c>
      <c r="M28" s="96"/>
      <c r="N28" s="95">
        <v>1707.4817145</v>
      </c>
      <c r="O28" s="96"/>
    </row>
    <row r="29" spans="1:15" ht="45" x14ac:dyDescent="0.25">
      <c r="A29" s="423">
        <v>3</v>
      </c>
      <c r="B29" s="423"/>
      <c r="C29" s="89" t="s">
        <v>1029</v>
      </c>
      <c r="D29" s="95">
        <v>284.17760611</v>
      </c>
      <c r="E29" s="96" t="s">
        <v>1007</v>
      </c>
      <c r="F29" s="95">
        <v>257.69136543000002</v>
      </c>
      <c r="G29" s="96"/>
      <c r="H29" s="95">
        <v>263.56435551999999</v>
      </c>
      <c r="I29" s="96"/>
      <c r="J29" s="95">
        <v>255.25491074999999</v>
      </c>
      <c r="K29" s="96"/>
      <c r="L29" s="95">
        <v>218.05586385000001</v>
      </c>
      <c r="M29" s="96"/>
      <c r="N29" s="95">
        <v>247.66702276000001</v>
      </c>
      <c r="O29" s="96"/>
    </row>
    <row r="30" spans="1:15" ht="60" x14ac:dyDescent="0.25">
      <c r="A30" s="423">
        <v>3</v>
      </c>
      <c r="B30" s="423"/>
      <c r="C30" s="89" t="s">
        <v>1030</v>
      </c>
      <c r="D30" s="95">
        <v>307.38647098000001</v>
      </c>
      <c r="E30" s="96" t="s">
        <v>1007</v>
      </c>
      <c r="F30" s="95">
        <v>194.49129027000001</v>
      </c>
      <c r="G30" s="96"/>
      <c r="H30" s="95">
        <v>275.54451329</v>
      </c>
      <c r="I30" s="96" t="s">
        <v>1007</v>
      </c>
      <c r="J30" s="95">
        <v>265.36180042000001</v>
      </c>
      <c r="K30" s="96"/>
      <c r="L30" s="95">
        <v>227.75972938000001</v>
      </c>
      <c r="M30" s="96"/>
      <c r="N30" s="95">
        <v>165.20398990999999</v>
      </c>
      <c r="O30" s="96"/>
    </row>
    <row r="31" spans="1:15" ht="60" x14ac:dyDescent="0.25">
      <c r="A31" s="423">
        <v>3</v>
      </c>
      <c r="B31" s="423"/>
      <c r="C31" s="89" t="s">
        <v>1031</v>
      </c>
      <c r="D31" s="95" t="s">
        <v>978</v>
      </c>
      <c r="E31" s="96"/>
      <c r="F31" s="95" t="s">
        <v>978</v>
      </c>
      <c r="G31" s="96"/>
      <c r="H31" s="95" t="s">
        <v>978</v>
      </c>
      <c r="I31" s="96"/>
      <c r="J31" s="95" t="s">
        <v>978</v>
      </c>
      <c r="K31" s="96"/>
      <c r="L31" s="95" t="s">
        <v>978</v>
      </c>
      <c r="M31" s="96"/>
      <c r="N31" s="95"/>
      <c r="O31" s="96"/>
    </row>
    <row r="32" spans="1:15" x14ac:dyDescent="0.25">
      <c r="A32" s="423">
        <v>3</v>
      </c>
      <c r="B32" s="423"/>
      <c r="C32" s="89" t="s">
        <v>1032</v>
      </c>
      <c r="D32" s="95" t="s">
        <v>978</v>
      </c>
      <c r="E32" s="96"/>
      <c r="F32" s="95">
        <v>104.28537066</v>
      </c>
      <c r="G32" s="96" t="s">
        <v>1007</v>
      </c>
      <c r="H32" s="95">
        <v>101.43526957</v>
      </c>
      <c r="I32" s="96" t="s">
        <v>1007</v>
      </c>
      <c r="J32" s="95">
        <v>92.112900961999998</v>
      </c>
      <c r="K32" s="96" t="s">
        <v>1007</v>
      </c>
      <c r="L32" s="95">
        <v>101.64187977</v>
      </c>
      <c r="M32" s="96" t="s">
        <v>1007</v>
      </c>
      <c r="N32" s="95">
        <v>90.339739241999993</v>
      </c>
      <c r="O32" s="96" t="s">
        <v>1007</v>
      </c>
    </row>
    <row r="33" spans="1:15" x14ac:dyDescent="0.25">
      <c r="A33" s="423">
        <v>2</v>
      </c>
      <c r="B33" s="423"/>
      <c r="C33" s="83" t="s">
        <v>1033</v>
      </c>
      <c r="D33" s="93">
        <v>16297.389633999999</v>
      </c>
      <c r="E33" s="94"/>
      <c r="F33" s="93">
        <v>15631.154576000001</v>
      </c>
      <c r="G33" s="94"/>
      <c r="H33" s="93">
        <v>15206.768873999999</v>
      </c>
      <c r="I33" s="94"/>
      <c r="J33" s="93">
        <v>17768.975992</v>
      </c>
      <c r="K33" s="94"/>
      <c r="L33" s="93">
        <v>16554.744010999999</v>
      </c>
      <c r="M33" s="94"/>
      <c r="N33" s="93">
        <v>13286.169183</v>
      </c>
      <c r="O33" s="94"/>
    </row>
    <row r="34" spans="1:15" x14ac:dyDescent="0.25">
      <c r="A34" s="423">
        <v>3</v>
      </c>
      <c r="B34" s="423"/>
      <c r="C34" s="89" t="s">
        <v>1034</v>
      </c>
      <c r="D34" s="95">
        <v>15193.375792000001</v>
      </c>
      <c r="E34" s="96"/>
      <c r="F34" s="95">
        <v>14837.136637</v>
      </c>
      <c r="G34" s="96"/>
      <c r="H34" s="95">
        <v>14110.797466</v>
      </c>
      <c r="I34" s="96"/>
      <c r="J34" s="95">
        <v>16693.610717</v>
      </c>
      <c r="K34" s="96"/>
      <c r="L34" s="95">
        <v>15467.094582</v>
      </c>
      <c r="M34" s="96"/>
      <c r="N34" s="95">
        <v>12080.492832</v>
      </c>
      <c r="O34" s="96"/>
    </row>
    <row r="35" spans="1:15" x14ac:dyDescent="0.25">
      <c r="A35" s="423">
        <v>3</v>
      </c>
      <c r="B35" s="423"/>
      <c r="C35" s="89" t="s">
        <v>1035</v>
      </c>
      <c r="D35" s="95">
        <v>1104.0138419</v>
      </c>
      <c r="E35" s="96"/>
      <c r="F35" s="95">
        <v>794.01793916999998</v>
      </c>
      <c r="G35" s="96"/>
      <c r="H35" s="95">
        <v>1095.9714082999999</v>
      </c>
      <c r="I35" s="96"/>
      <c r="J35" s="95">
        <v>1075.3652751</v>
      </c>
      <c r="K35" s="96"/>
      <c r="L35" s="95">
        <v>1087.6494292</v>
      </c>
      <c r="M35" s="96"/>
      <c r="N35" s="95">
        <v>1205.6763510000001</v>
      </c>
      <c r="O35" s="96"/>
    </row>
    <row r="36" spans="1:15" x14ac:dyDescent="0.25">
      <c r="A36" s="423">
        <v>2</v>
      </c>
      <c r="B36" s="423"/>
      <c r="C36" s="83" t="s">
        <v>29</v>
      </c>
      <c r="D36" s="93">
        <v>3314.3024731999999</v>
      </c>
      <c r="E36" s="94"/>
      <c r="F36" s="93">
        <v>2939.5159392</v>
      </c>
      <c r="G36" s="94"/>
      <c r="H36" s="93">
        <v>3071.7430076000001</v>
      </c>
      <c r="I36" s="94"/>
      <c r="J36" s="93">
        <v>3449.5905161999999</v>
      </c>
      <c r="K36" s="94"/>
      <c r="L36" s="93">
        <v>3400.1551018</v>
      </c>
      <c r="M36" s="94"/>
      <c r="N36" s="93">
        <v>3266.8656940999999</v>
      </c>
      <c r="O36" s="94"/>
    </row>
    <row r="37" spans="1:15" ht="45" x14ac:dyDescent="0.25">
      <c r="A37" s="423">
        <v>3</v>
      </c>
      <c r="B37" s="423"/>
      <c r="C37" s="89" t="s">
        <v>1036</v>
      </c>
      <c r="D37" s="95">
        <v>2169.1114736999998</v>
      </c>
      <c r="E37" s="96"/>
      <c r="F37" s="95">
        <v>1654.7605624</v>
      </c>
      <c r="G37" s="96"/>
      <c r="H37" s="95">
        <v>1864.2884574</v>
      </c>
      <c r="I37" s="96"/>
      <c r="J37" s="95">
        <v>2004.5649811999999</v>
      </c>
      <c r="K37" s="96"/>
      <c r="L37" s="95">
        <v>1750.9781078999999</v>
      </c>
      <c r="M37" s="96"/>
      <c r="N37" s="95">
        <v>1747.2828708</v>
      </c>
      <c r="O37" s="96"/>
    </row>
    <row r="38" spans="1:15" ht="30" x14ac:dyDescent="0.25">
      <c r="A38" s="423">
        <v>3</v>
      </c>
      <c r="B38" s="423"/>
      <c r="C38" s="89" t="s">
        <v>1037</v>
      </c>
      <c r="D38" s="95">
        <v>1145.1909995000001</v>
      </c>
      <c r="E38" s="96"/>
      <c r="F38" s="95">
        <v>1284.7553768</v>
      </c>
      <c r="G38" s="96"/>
      <c r="H38" s="95">
        <v>1207.4545502000001</v>
      </c>
      <c r="I38" s="96"/>
      <c r="J38" s="95">
        <v>1445.025535</v>
      </c>
      <c r="K38" s="96"/>
      <c r="L38" s="95">
        <v>1649.1769939000001</v>
      </c>
      <c r="M38" s="96"/>
      <c r="N38" s="95">
        <v>1519.5828233</v>
      </c>
      <c r="O38" s="96"/>
    </row>
    <row r="39" spans="1:15" x14ac:dyDescent="0.25">
      <c r="A39" s="423">
        <v>2</v>
      </c>
      <c r="B39" s="423"/>
      <c r="C39" s="83" t="s">
        <v>1038</v>
      </c>
      <c r="D39" s="93">
        <v>1506.9122580999999</v>
      </c>
      <c r="E39" s="94"/>
      <c r="F39" s="93">
        <v>1457.7115941</v>
      </c>
      <c r="G39" s="94"/>
      <c r="H39" s="93">
        <v>1572.4457676</v>
      </c>
      <c r="I39" s="94"/>
      <c r="J39" s="93">
        <v>1539.8124596</v>
      </c>
      <c r="K39" s="94"/>
      <c r="L39" s="93">
        <v>1624.3993459000001</v>
      </c>
      <c r="M39" s="94"/>
      <c r="N39" s="93">
        <v>1623.2561232999999</v>
      </c>
      <c r="O39" s="94"/>
    </row>
    <row r="40" spans="1:15" ht="30" x14ac:dyDescent="0.25">
      <c r="A40" s="423">
        <v>3</v>
      </c>
      <c r="B40" s="423"/>
      <c r="C40" s="89" t="s">
        <v>1039</v>
      </c>
      <c r="D40" s="95">
        <v>1119.5493412000001</v>
      </c>
      <c r="E40" s="96"/>
      <c r="F40" s="95">
        <v>946.96348109999997</v>
      </c>
      <c r="G40" s="96"/>
      <c r="H40" s="95">
        <v>878.60069553999995</v>
      </c>
      <c r="I40" s="96"/>
      <c r="J40" s="95">
        <v>912.44407670999999</v>
      </c>
      <c r="K40" s="96"/>
      <c r="L40" s="95">
        <v>856.67254341</v>
      </c>
      <c r="M40" s="96"/>
      <c r="N40" s="95">
        <v>958.94095898</v>
      </c>
      <c r="O40" s="96"/>
    </row>
    <row r="41" spans="1:15" ht="30" x14ac:dyDescent="0.25">
      <c r="A41" s="423">
        <v>3</v>
      </c>
      <c r="B41" s="423"/>
      <c r="C41" s="89" t="s">
        <v>1040</v>
      </c>
      <c r="D41" s="95">
        <v>387.36291693999999</v>
      </c>
      <c r="E41" s="96"/>
      <c r="F41" s="95">
        <v>510.74811304999997</v>
      </c>
      <c r="G41" s="96" t="s">
        <v>1007</v>
      </c>
      <c r="H41" s="95">
        <v>693.84507207000001</v>
      </c>
      <c r="I41" s="96"/>
      <c r="J41" s="95">
        <v>627.36838289000002</v>
      </c>
      <c r="K41" s="96"/>
      <c r="L41" s="95">
        <v>767.72680247000005</v>
      </c>
      <c r="M41" s="96"/>
      <c r="N41" s="95">
        <v>664.31516437000005</v>
      </c>
      <c r="O41" s="96"/>
    </row>
    <row r="42" spans="1:15" x14ac:dyDescent="0.25">
      <c r="A42" s="423">
        <v>2</v>
      </c>
      <c r="B42" s="423"/>
      <c r="C42" s="83" t="s">
        <v>1041</v>
      </c>
      <c r="D42" s="93">
        <v>4849.9337229000002</v>
      </c>
      <c r="E42" s="94"/>
      <c r="F42" s="93">
        <v>5120.6864193000001</v>
      </c>
      <c r="G42" s="94"/>
      <c r="H42" s="93">
        <v>4953.7185112999996</v>
      </c>
      <c r="I42" s="94"/>
      <c r="J42" s="93">
        <v>4841.1851475000003</v>
      </c>
      <c r="K42" s="94"/>
      <c r="L42" s="93">
        <v>5221.5939324999999</v>
      </c>
      <c r="M42" s="94"/>
      <c r="N42" s="93">
        <v>5216.2416703999997</v>
      </c>
      <c r="O42" s="94"/>
    </row>
    <row r="43" spans="1:15" ht="30" x14ac:dyDescent="0.25">
      <c r="A43" s="423">
        <v>3</v>
      </c>
      <c r="B43" s="423"/>
      <c r="C43" s="89" t="s">
        <v>1042</v>
      </c>
      <c r="D43" s="95">
        <v>1392.5687369</v>
      </c>
      <c r="E43" s="96"/>
      <c r="F43" s="95">
        <v>1429.388674</v>
      </c>
      <c r="G43" s="96"/>
      <c r="H43" s="95">
        <v>1223.4877508</v>
      </c>
      <c r="I43" s="96"/>
      <c r="J43" s="95">
        <v>1470.7116143999999</v>
      </c>
      <c r="K43" s="96"/>
      <c r="L43" s="95">
        <v>1142.7404765000001</v>
      </c>
      <c r="M43" s="96"/>
      <c r="N43" s="95">
        <v>1454.7255918000001</v>
      </c>
      <c r="O43" s="96" t="s">
        <v>1007</v>
      </c>
    </row>
    <row r="44" spans="1:15" ht="30" x14ac:dyDescent="0.25">
      <c r="A44" s="423">
        <v>3</v>
      </c>
      <c r="B44" s="423"/>
      <c r="C44" s="89" t="s">
        <v>1043</v>
      </c>
      <c r="D44" s="95">
        <v>635.01894692999997</v>
      </c>
      <c r="E44" s="96"/>
      <c r="F44" s="95">
        <v>492.36525513999999</v>
      </c>
      <c r="G44" s="96"/>
      <c r="H44" s="95">
        <v>367.62632121000001</v>
      </c>
      <c r="I44" s="96"/>
      <c r="J44" s="95">
        <v>416.21463287</v>
      </c>
      <c r="K44" s="96"/>
      <c r="L44" s="95">
        <v>280.50933966999997</v>
      </c>
      <c r="M44" s="96"/>
      <c r="N44" s="95">
        <v>284.26622667999999</v>
      </c>
      <c r="O44" s="96"/>
    </row>
    <row r="45" spans="1:15" x14ac:dyDescent="0.25">
      <c r="A45" s="423">
        <v>3</v>
      </c>
      <c r="B45" s="423"/>
      <c r="C45" s="89" t="s">
        <v>1044</v>
      </c>
      <c r="D45" s="95">
        <v>1950.8675079</v>
      </c>
      <c r="E45" s="96"/>
      <c r="F45" s="95">
        <v>2150.3526919999999</v>
      </c>
      <c r="G45" s="96"/>
      <c r="H45" s="95">
        <v>2388.3812419999999</v>
      </c>
      <c r="I45" s="96"/>
      <c r="J45" s="95">
        <v>2073.5797358999998</v>
      </c>
      <c r="K45" s="96"/>
      <c r="L45" s="95">
        <v>2478.7930787999999</v>
      </c>
      <c r="M45" s="96"/>
      <c r="N45" s="95">
        <v>2522.1417473000001</v>
      </c>
      <c r="O45" s="96"/>
    </row>
    <row r="46" spans="1:15" ht="30" x14ac:dyDescent="0.25">
      <c r="A46" s="423">
        <v>3</v>
      </c>
      <c r="B46" s="423"/>
      <c r="C46" s="89" t="s">
        <v>1045</v>
      </c>
      <c r="D46" s="95">
        <v>871.47853112999996</v>
      </c>
      <c r="E46" s="96" t="s">
        <v>1007</v>
      </c>
      <c r="F46" s="95">
        <v>1048.5797983</v>
      </c>
      <c r="G46" s="96" t="s">
        <v>1007</v>
      </c>
      <c r="H46" s="95">
        <v>974.22319731000005</v>
      </c>
      <c r="I46" s="96" t="s">
        <v>1007</v>
      </c>
      <c r="J46" s="95">
        <v>880.67916441</v>
      </c>
      <c r="K46" s="96" t="s">
        <v>1011</v>
      </c>
      <c r="L46" s="95">
        <v>1319.5510374999999</v>
      </c>
      <c r="M46" s="96" t="s">
        <v>1007</v>
      </c>
      <c r="N46" s="95">
        <v>955.10810459000004</v>
      </c>
      <c r="O46" s="96" t="s">
        <v>1011</v>
      </c>
    </row>
    <row r="47" spans="1:15" x14ac:dyDescent="0.25">
      <c r="A47" s="423">
        <v>2</v>
      </c>
      <c r="B47" s="423"/>
      <c r="C47" s="83" t="s">
        <v>1046</v>
      </c>
      <c r="D47" s="93">
        <v>1565.8374878</v>
      </c>
      <c r="E47" s="94"/>
      <c r="F47" s="93">
        <v>1633.5913965</v>
      </c>
      <c r="G47" s="94"/>
      <c r="H47" s="93">
        <v>1514.9530723</v>
      </c>
      <c r="I47" s="94"/>
      <c r="J47" s="93">
        <v>1831.5339398000001</v>
      </c>
      <c r="K47" s="94"/>
      <c r="L47" s="93">
        <v>2123.7006586000002</v>
      </c>
      <c r="M47" s="94"/>
      <c r="N47" s="93">
        <v>2004.5885633</v>
      </c>
      <c r="O47" s="94"/>
    </row>
    <row r="48" spans="1:15" x14ac:dyDescent="0.25">
      <c r="A48" s="423">
        <v>3</v>
      </c>
      <c r="B48" s="423"/>
      <c r="C48" s="89" t="s">
        <v>376</v>
      </c>
      <c r="D48" s="95">
        <v>1472.0097816</v>
      </c>
      <c r="E48" s="96"/>
      <c r="F48" s="95">
        <v>1594.8162170000001</v>
      </c>
      <c r="G48" s="96"/>
      <c r="H48" s="95">
        <v>1427.2376726</v>
      </c>
      <c r="I48" s="96"/>
      <c r="J48" s="95">
        <v>1756.9470409</v>
      </c>
      <c r="K48" s="96"/>
      <c r="L48" s="95">
        <v>1830.7611727999999</v>
      </c>
      <c r="M48" s="96"/>
      <c r="N48" s="95">
        <v>1719.2600133999999</v>
      </c>
      <c r="O48" s="96"/>
    </row>
    <row r="49" spans="1:15" ht="30" x14ac:dyDescent="0.25">
      <c r="A49" s="423">
        <v>3</v>
      </c>
      <c r="B49" s="423"/>
      <c r="C49" s="89" t="s">
        <v>1047</v>
      </c>
      <c r="D49" s="95" t="s">
        <v>978</v>
      </c>
      <c r="E49" s="96"/>
      <c r="F49" s="95" t="s">
        <v>978</v>
      </c>
      <c r="G49" s="96"/>
      <c r="H49" s="95" t="s">
        <v>978</v>
      </c>
      <c r="I49" s="96"/>
      <c r="J49" s="95" t="s">
        <v>978</v>
      </c>
      <c r="K49" s="96"/>
      <c r="L49" s="95">
        <v>292.93948583000002</v>
      </c>
      <c r="M49" s="96" t="s">
        <v>1007</v>
      </c>
      <c r="N49" s="95">
        <v>285.32854990999999</v>
      </c>
      <c r="O49" s="96"/>
    </row>
    <row r="50" spans="1:15" ht="30" x14ac:dyDescent="0.25">
      <c r="A50" s="423">
        <v>2</v>
      </c>
      <c r="B50" s="423"/>
      <c r="C50" s="83" t="s">
        <v>1048</v>
      </c>
      <c r="D50" s="93">
        <v>271.41956456999998</v>
      </c>
      <c r="E50" s="94" t="s">
        <v>1007</v>
      </c>
      <c r="F50" s="93">
        <v>272.10891731999999</v>
      </c>
      <c r="G50" s="94"/>
      <c r="H50" s="93">
        <v>252.14661321</v>
      </c>
      <c r="I50" s="94" t="s">
        <v>1007</v>
      </c>
      <c r="J50" s="93">
        <v>181.34556683</v>
      </c>
      <c r="K50" s="94" t="s">
        <v>1011</v>
      </c>
      <c r="L50" s="93">
        <v>151.69439627</v>
      </c>
      <c r="M50" s="94"/>
      <c r="N50" s="93">
        <v>183.83463243</v>
      </c>
      <c r="O50" s="94"/>
    </row>
    <row r="51" spans="1:15" x14ac:dyDescent="0.25">
      <c r="A51" s="423">
        <v>3</v>
      </c>
      <c r="B51" s="423"/>
      <c r="C51" s="89" t="s">
        <v>1049</v>
      </c>
      <c r="D51" s="95" t="s">
        <v>978</v>
      </c>
      <c r="E51" s="96"/>
      <c r="F51" s="95">
        <v>18.767381833999998</v>
      </c>
      <c r="G51" s="96" t="s">
        <v>1007</v>
      </c>
      <c r="H51" s="95" t="s">
        <v>978</v>
      </c>
      <c r="I51" s="96"/>
      <c r="J51" s="95" t="s">
        <v>978</v>
      </c>
      <c r="K51" s="96"/>
      <c r="L51" s="95" t="s">
        <v>978</v>
      </c>
      <c r="M51" s="96"/>
      <c r="N51" s="95"/>
      <c r="O51" s="96"/>
    </row>
    <row r="52" spans="1:15" ht="30" x14ac:dyDescent="0.25">
      <c r="A52" s="423">
        <v>3</v>
      </c>
      <c r="B52" s="423"/>
      <c r="C52" s="89" t="s">
        <v>1050</v>
      </c>
      <c r="D52" s="95" t="s">
        <v>978</v>
      </c>
      <c r="E52" s="96"/>
      <c r="F52" s="95">
        <v>26.833616190000001</v>
      </c>
      <c r="G52" s="96" t="s">
        <v>1011</v>
      </c>
      <c r="H52" s="95" t="s">
        <v>978</v>
      </c>
      <c r="I52" s="96"/>
      <c r="J52" s="95" t="s">
        <v>978</v>
      </c>
      <c r="K52" s="96"/>
      <c r="L52" s="95" t="s">
        <v>978</v>
      </c>
      <c r="M52" s="96"/>
      <c r="N52" s="95"/>
      <c r="O52" s="96"/>
    </row>
    <row r="53" spans="1:15" ht="45" x14ac:dyDescent="0.25">
      <c r="A53" s="423">
        <v>3</v>
      </c>
      <c r="B53" s="423"/>
      <c r="C53" s="89" t="s">
        <v>1051</v>
      </c>
      <c r="D53" s="95">
        <v>130.81180179</v>
      </c>
      <c r="E53" s="96" t="s">
        <v>1007</v>
      </c>
      <c r="F53" s="95">
        <v>209.11791787999999</v>
      </c>
      <c r="G53" s="96" t="s">
        <v>1007</v>
      </c>
      <c r="H53" s="95">
        <v>196.36694410999999</v>
      </c>
      <c r="I53" s="96" t="s">
        <v>1011</v>
      </c>
      <c r="J53" s="95" t="s">
        <v>978</v>
      </c>
      <c r="K53" s="96"/>
      <c r="L53" s="95">
        <v>118.61763628999999</v>
      </c>
      <c r="M53" s="96"/>
      <c r="N53" s="95">
        <v>106.25281153</v>
      </c>
      <c r="O53" s="96"/>
    </row>
    <row r="54" spans="1:15" ht="60" x14ac:dyDescent="0.25">
      <c r="A54" s="423">
        <v>3</v>
      </c>
      <c r="B54" s="423"/>
      <c r="C54" s="89" t="s">
        <v>1052</v>
      </c>
      <c r="D54" s="95" t="s">
        <v>978</v>
      </c>
      <c r="E54" s="96"/>
      <c r="F54" s="95" t="s">
        <v>978</v>
      </c>
      <c r="G54" s="96"/>
      <c r="H54" s="95" t="s">
        <v>978</v>
      </c>
      <c r="I54" s="96"/>
      <c r="J54" s="95" t="s">
        <v>978</v>
      </c>
      <c r="K54" s="96"/>
      <c r="L54" s="95" t="s">
        <v>978</v>
      </c>
      <c r="M54" s="96"/>
      <c r="N54" s="95"/>
      <c r="O54" s="96"/>
    </row>
    <row r="55" spans="1:15" ht="60" x14ac:dyDescent="0.25">
      <c r="A55" s="423">
        <v>3</v>
      </c>
      <c r="B55" s="423"/>
      <c r="C55" s="89" t="s">
        <v>1053</v>
      </c>
      <c r="D55" s="95" t="s">
        <v>978</v>
      </c>
      <c r="E55" s="96"/>
      <c r="F55" s="95" t="s">
        <v>978</v>
      </c>
      <c r="G55" s="96"/>
      <c r="H55" s="95" t="s">
        <v>978</v>
      </c>
      <c r="I55" s="96"/>
      <c r="J55" s="95" t="s">
        <v>978</v>
      </c>
      <c r="K55" s="96"/>
      <c r="L55" s="95" t="s">
        <v>978</v>
      </c>
      <c r="M55" s="96"/>
      <c r="N55" s="95"/>
      <c r="O55" s="96"/>
    </row>
    <row r="56" spans="1:15" ht="30" x14ac:dyDescent="0.25">
      <c r="A56" s="423">
        <v>2</v>
      </c>
      <c r="B56" s="423"/>
      <c r="C56" s="83" t="s">
        <v>1054</v>
      </c>
      <c r="D56" s="93">
        <v>1647.5282516</v>
      </c>
      <c r="E56" s="94"/>
      <c r="F56" s="93">
        <v>1752.1376107000001</v>
      </c>
      <c r="G56" s="94"/>
      <c r="H56" s="93">
        <v>1505.7901512000001</v>
      </c>
      <c r="I56" s="94"/>
      <c r="J56" s="93">
        <v>1874.7324861</v>
      </c>
      <c r="K56" s="94"/>
      <c r="L56" s="93">
        <v>1437.4864636</v>
      </c>
      <c r="M56" s="94"/>
      <c r="N56" s="93">
        <v>2091.0591387999998</v>
      </c>
      <c r="O56" s="94"/>
    </row>
    <row r="57" spans="1:15" ht="30" x14ac:dyDescent="0.25">
      <c r="A57" s="423">
        <v>3</v>
      </c>
      <c r="B57" s="423"/>
      <c r="C57" s="89" t="s">
        <v>1055</v>
      </c>
      <c r="D57" s="95">
        <v>283.14693155999998</v>
      </c>
      <c r="E57" s="96" t="s">
        <v>1007</v>
      </c>
      <c r="F57" s="95">
        <v>361.79001588</v>
      </c>
      <c r="G57" s="96"/>
      <c r="H57" s="95">
        <v>318.48724837999998</v>
      </c>
      <c r="I57" s="96" t="s">
        <v>1007</v>
      </c>
      <c r="J57" s="95">
        <v>286.77096566</v>
      </c>
      <c r="K57" s="96" t="s">
        <v>1011</v>
      </c>
      <c r="L57" s="95" t="s">
        <v>978</v>
      </c>
      <c r="M57" s="96"/>
      <c r="N57" s="95"/>
      <c r="O57" s="96"/>
    </row>
    <row r="58" spans="1:15" x14ac:dyDescent="0.25">
      <c r="A58" s="423">
        <v>3</v>
      </c>
      <c r="B58" s="423"/>
      <c r="C58" s="89" t="s">
        <v>1056</v>
      </c>
      <c r="D58" s="95">
        <v>1364.38132</v>
      </c>
      <c r="E58" s="96"/>
      <c r="F58" s="95">
        <v>1390.3475948</v>
      </c>
      <c r="G58" s="96"/>
      <c r="H58" s="95">
        <v>1187.3029028000001</v>
      </c>
      <c r="I58" s="96"/>
      <c r="J58" s="95">
        <v>1587.9615205</v>
      </c>
      <c r="K58" s="96"/>
      <c r="L58" s="95">
        <v>1272.9005886</v>
      </c>
      <c r="M58" s="96"/>
      <c r="N58" s="95">
        <v>1825.1375466</v>
      </c>
      <c r="O58" s="96"/>
    </row>
    <row r="59" spans="1:15" x14ac:dyDescent="0.25">
      <c r="A59" s="423">
        <v>2</v>
      </c>
      <c r="B59" s="423"/>
      <c r="C59" s="83" t="s">
        <v>1057</v>
      </c>
      <c r="D59" s="93">
        <v>161.08349865</v>
      </c>
      <c r="E59" s="94" t="s">
        <v>1007</v>
      </c>
      <c r="F59" s="93">
        <v>128.16865942999999</v>
      </c>
      <c r="G59" s="94"/>
      <c r="H59" s="93">
        <v>143.31751025</v>
      </c>
      <c r="I59" s="94" t="s">
        <v>1007</v>
      </c>
      <c r="J59" s="93">
        <v>106.94551284000001</v>
      </c>
      <c r="K59" s="94" t="s">
        <v>1011</v>
      </c>
      <c r="L59" s="93">
        <v>145.25735105999999</v>
      </c>
      <c r="M59" s="94" t="s">
        <v>1007</v>
      </c>
      <c r="N59" s="93">
        <v>92.090509686000004</v>
      </c>
      <c r="O59" s="94" t="s">
        <v>1011</v>
      </c>
    </row>
    <row r="60" spans="1:15" ht="30" x14ac:dyDescent="0.25">
      <c r="A60" s="423">
        <v>3</v>
      </c>
      <c r="B60" s="423"/>
      <c r="C60" s="89" t="s">
        <v>1058</v>
      </c>
      <c r="D60" s="95">
        <v>120.71410159</v>
      </c>
      <c r="E60" s="96" t="s">
        <v>1007</v>
      </c>
      <c r="F60" s="95">
        <v>121.06846641999999</v>
      </c>
      <c r="G60" s="96"/>
      <c r="H60" s="95">
        <v>141.58204988</v>
      </c>
      <c r="I60" s="96" t="s">
        <v>1007</v>
      </c>
      <c r="J60" s="95">
        <v>95.601664001000003</v>
      </c>
      <c r="K60" s="96" t="s">
        <v>1011</v>
      </c>
      <c r="L60" s="95">
        <v>131.25773817000001</v>
      </c>
      <c r="M60" s="96" t="s">
        <v>1007</v>
      </c>
      <c r="N60" s="95">
        <v>89.619604436000003</v>
      </c>
      <c r="O60" s="96" t="s">
        <v>1011</v>
      </c>
    </row>
    <row r="61" spans="1:15" x14ac:dyDescent="0.25">
      <c r="A61" s="423">
        <v>3</v>
      </c>
      <c r="B61" s="423"/>
      <c r="C61" s="89" t="s">
        <v>1059</v>
      </c>
      <c r="D61" s="95" t="s">
        <v>978</v>
      </c>
      <c r="E61" s="96"/>
      <c r="F61" s="95" t="s">
        <v>978</v>
      </c>
      <c r="G61" s="96"/>
      <c r="H61" s="95" t="s">
        <v>978</v>
      </c>
      <c r="I61" s="96"/>
      <c r="J61" s="95" t="s">
        <v>978</v>
      </c>
      <c r="K61" s="96"/>
      <c r="L61" s="95" t="s">
        <v>978</v>
      </c>
      <c r="M61" s="96"/>
      <c r="N61" s="95"/>
      <c r="O61" s="96"/>
    </row>
    <row r="62" spans="1:15" x14ac:dyDescent="0.25">
      <c r="A62" s="423">
        <v>2</v>
      </c>
      <c r="B62" s="423"/>
      <c r="C62" s="83" t="s">
        <v>1060</v>
      </c>
      <c r="D62" s="93">
        <v>1473.6018363999999</v>
      </c>
      <c r="E62" s="94"/>
      <c r="F62" s="93">
        <v>1549.0622138000001</v>
      </c>
      <c r="G62" s="94"/>
      <c r="H62" s="93">
        <v>1505.4088205999999</v>
      </c>
      <c r="I62" s="94"/>
      <c r="J62" s="93">
        <v>1932.8950394000001</v>
      </c>
      <c r="K62" s="94"/>
      <c r="L62" s="93">
        <v>1664.5840463</v>
      </c>
      <c r="M62" s="94"/>
      <c r="N62" s="93">
        <v>1659.7170386</v>
      </c>
      <c r="O62" s="94"/>
    </row>
    <row r="63" spans="1:15" x14ac:dyDescent="0.25">
      <c r="A63" s="423">
        <v>3</v>
      </c>
      <c r="B63" s="423"/>
      <c r="C63" s="89" t="s">
        <v>1061</v>
      </c>
      <c r="D63" s="95">
        <v>362.05159737999998</v>
      </c>
      <c r="E63" s="96"/>
      <c r="F63" s="95">
        <v>646.90163086999996</v>
      </c>
      <c r="G63" s="96"/>
      <c r="H63" s="95">
        <v>456.34305065000001</v>
      </c>
      <c r="I63" s="96"/>
      <c r="J63" s="95">
        <v>829.50754147999999</v>
      </c>
      <c r="K63" s="96"/>
      <c r="L63" s="95">
        <v>529.81655599999999</v>
      </c>
      <c r="M63" s="96"/>
      <c r="N63" s="95">
        <v>584.10482329000001</v>
      </c>
      <c r="O63" s="96"/>
    </row>
    <row r="64" spans="1:15" ht="30" x14ac:dyDescent="0.25">
      <c r="A64" s="423">
        <v>3</v>
      </c>
      <c r="B64" s="423"/>
      <c r="C64" s="89" t="s">
        <v>1062</v>
      </c>
      <c r="D64" s="95">
        <v>1111.5502389999999</v>
      </c>
      <c r="E64" s="96"/>
      <c r="F64" s="95">
        <v>902.16058296000006</v>
      </c>
      <c r="G64" s="96"/>
      <c r="H64" s="95">
        <v>1049.0657699999999</v>
      </c>
      <c r="I64" s="96" t="s">
        <v>1007</v>
      </c>
      <c r="J64" s="95">
        <v>1103.3874979</v>
      </c>
      <c r="K64" s="96"/>
      <c r="L64" s="95">
        <v>1134.7674903</v>
      </c>
      <c r="M64" s="96"/>
      <c r="N64" s="95">
        <v>1075.6122152999999</v>
      </c>
      <c r="O64" s="96"/>
    </row>
    <row r="65" spans="1:15" x14ac:dyDescent="0.25">
      <c r="A65" s="423">
        <v>1</v>
      </c>
      <c r="B65" s="423"/>
      <c r="C65" s="82" t="s">
        <v>1063</v>
      </c>
      <c r="D65" s="91">
        <v>18711.953765999999</v>
      </c>
      <c r="E65" s="92"/>
      <c r="F65" s="91">
        <v>16956.237988000001</v>
      </c>
      <c r="G65" s="92"/>
      <c r="H65" s="91">
        <v>18321.199780999999</v>
      </c>
      <c r="I65" s="92"/>
      <c r="J65" s="91">
        <v>20703.419903000002</v>
      </c>
      <c r="K65" s="92"/>
      <c r="L65" s="91">
        <v>21938.338204</v>
      </c>
      <c r="M65" s="92"/>
      <c r="N65" s="91">
        <v>20064.243571999999</v>
      </c>
      <c r="O65" s="92"/>
    </row>
    <row r="66" spans="1:15" ht="60" x14ac:dyDescent="0.25">
      <c r="A66" s="423">
        <v>1</v>
      </c>
      <c r="B66" s="423"/>
      <c r="C66" s="82" t="s">
        <v>1064</v>
      </c>
      <c r="D66" s="91">
        <v>6204.7934316000001</v>
      </c>
      <c r="E66" s="92"/>
      <c r="F66" s="91">
        <v>6742.4525862999999</v>
      </c>
      <c r="G66" s="92"/>
      <c r="H66" s="91">
        <v>7366.6183007999998</v>
      </c>
      <c r="I66" s="92"/>
      <c r="J66" s="91">
        <v>7607.3571374000003</v>
      </c>
      <c r="K66" s="92"/>
      <c r="L66" s="91">
        <v>7992.3247644000003</v>
      </c>
      <c r="M66" s="92"/>
      <c r="N66" s="91">
        <v>8483.8594377000009</v>
      </c>
      <c r="O66" s="92"/>
    </row>
    <row r="67" spans="1:15" ht="45" x14ac:dyDescent="0.25">
      <c r="A67" s="423">
        <v>2</v>
      </c>
      <c r="B67" s="423"/>
      <c r="C67" s="84" t="s">
        <v>1065</v>
      </c>
      <c r="D67" s="97">
        <v>705.09893753999995</v>
      </c>
      <c r="E67" s="98"/>
      <c r="F67" s="97">
        <v>1078.7667051000001</v>
      </c>
      <c r="G67" s="98"/>
      <c r="H67" s="97">
        <v>1143.5377484999999</v>
      </c>
      <c r="I67" s="98"/>
      <c r="J67" s="97">
        <v>1254.572866</v>
      </c>
      <c r="K67" s="98"/>
      <c r="L67" s="97">
        <v>1327.7803727999999</v>
      </c>
      <c r="M67" s="98"/>
      <c r="N67" s="97">
        <v>1275.89651</v>
      </c>
      <c r="O67" s="98"/>
    </row>
    <row r="68" spans="1:15" ht="30" x14ac:dyDescent="0.25">
      <c r="A68" s="423">
        <v>2</v>
      </c>
      <c r="B68" s="423"/>
      <c r="C68" s="84" t="s">
        <v>1066</v>
      </c>
      <c r="D68" s="97">
        <v>4576.8861655999999</v>
      </c>
      <c r="E68" s="98"/>
      <c r="F68" s="97">
        <v>4726.9710101000001</v>
      </c>
      <c r="G68" s="98"/>
      <c r="H68" s="97">
        <v>5215.4568654000004</v>
      </c>
      <c r="I68" s="98"/>
      <c r="J68" s="97">
        <v>5262.5566042</v>
      </c>
      <c r="K68" s="98"/>
      <c r="L68" s="97">
        <v>5799.0312253000002</v>
      </c>
      <c r="M68" s="98"/>
      <c r="N68" s="97">
        <v>6302.2022806000004</v>
      </c>
      <c r="O68" s="98"/>
    </row>
    <row r="69" spans="1:15" ht="45" x14ac:dyDescent="0.25">
      <c r="A69" s="423">
        <v>2</v>
      </c>
      <c r="B69" s="423"/>
      <c r="C69" s="84" t="s">
        <v>1067</v>
      </c>
      <c r="D69" s="97" t="s">
        <v>978</v>
      </c>
      <c r="E69" s="98"/>
      <c r="F69" s="97" t="s">
        <v>978</v>
      </c>
      <c r="G69" s="98"/>
      <c r="H69" s="97" t="s">
        <v>978</v>
      </c>
      <c r="I69" s="98"/>
      <c r="J69" s="97" t="s">
        <v>978</v>
      </c>
      <c r="K69" s="98"/>
      <c r="L69" s="97" t="s">
        <v>978</v>
      </c>
      <c r="M69" s="98"/>
      <c r="N69" s="97"/>
      <c r="O69" s="98"/>
    </row>
    <row r="70" spans="1:15" ht="45" x14ac:dyDescent="0.25">
      <c r="A70" s="423">
        <v>2</v>
      </c>
      <c r="B70" s="423"/>
      <c r="C70" s="84" t="s">
        <v>1068</v>
      </c>
      <c r="D70" s="97">
        <v>831.89088054000001</v>
      </c>
      <c r="E70" s="98"/>
      <c r="F70" s="97">
        <v>894.66367341</v>
      </c>
      <c r="G70" s="98"/>
      <c r="H70" s="97">
        <v>950.53471563000005</v>
      </c>
      <c r="I70" s="98"/>
      <c r="J70" s="97">
        <v>1070.1895832</v>
      </c>
      <c r="K70" s="98"/>
      <c r="L70" s="97">
        <v>857.00880176999999</v>
      </c>
      <c r="M70" s="98"/>
      <c r="N70" s="97">
        <v>902.46097285999997</v>
      </c>
      <c r="O70" s="98"/>
    </row>
    <row r="71" spans="1:15" ht="45" x14ac:dyDescent="0.25">
      <c r="A71" s="423">
        <v>1</v>
      </c>
      <c r="B71" s="423"/>
      <c r="C71" s="85" t="s">
        <v>1069</v>
      </c>
      <c r="D71" s="99">
        <v>731.77665817000002</v>
      </c>
      <c r="E71" s="100" t="s">
        <v>1011</v>
      </c>
      <c r="F71" s="99">
        <v>604.62549754999998</v>
      </c>
      <c r="G71" s="100" t="s">
        <v>1007</v>
      </c>
      <c r="H71" s="99">
        <v>827.53213829000003</v>
      </c>
      <c r="I71" s="100" t="s">
        <v>1007</v>
      </c>
      <c r="J71" s="99">
        <v>877.32003466000003</v>
      </c>
      <c r="K71" s="100" t="s">
        <v>1007</v>
      </c>
      <c r="L71" s="99">
        <v>834.57278121000002</v>
      </c>
      <c r="M71" s="100"/>
      <c r="N71" s="99">
        <v>839.81950261999998</v>
      </c>
      <c r="O71" s="100" t="s">
        <v>1007</v>
      </c>
    </row>
    <row r="72" spans="1:15" ht="30" x14ac:dyDescent="0.25">
      <c r="A72" s="423">
        <v>2</v>
      </c>
      <c r="B72" s="423"/>
      <c r="C72" s="84" t="s">
        <v>1070</v>
      </c>
      <c r="D72" s="97">
        <v>293.51897585</v>
      </c>
      <c r="E72" s="98" t="s">
        <v>1007</v>
      </c>
      <c r="F72" s="97">
        <v>399.73855766000003</v>
      </c>
      <c r="G72" s="98" t="s">
        <v>1011</v>
      </c>
      <c r="H72" s="97" t="s">
        <v>978</v>
      </c>
      <c r="I72" s="98"/>
      <c r="J72" s="97">
        <v>565.96167238999999</v>
      </c>
      <c r="K72" s="98" t="s">
        <v>1011</v>
      </c>
      <c r="L72" s="97">
        <v>515.60217320000004</v>
      </c>
      <c r="M72" s="98" t="s">
        <v>1007</v>
      </c>
      <c r="N72" s="97">
        <v>519.99664168000004</v>
      </c>
      <c r="O72" s="98" t="s">
        <v>1007</v>
      </c>
    </row>
    <row r="73" spans="1:15" ht="45" x14ac:dyDescent="0.25">
      <c r="A73" s="423">
        <v>3</v>
      </c>
      <c r="B73" s="423"/>
      <c r="C73" s="89" t="s">
        <v>1071</v>
      </c>
      <c r="D73" s="95">
        <v>99.804495482999997</v>
      </c>
      <c r="E73" s="96" t="s">
        <v>1011</v>
      </c>
      <c r="F73" s="95">
        <v>80.236818775000003</v>
      </c>
      <c r="G73" s="96" t="s">
        <v>1007</v>
      </c>
      <c r="H73" s="95">
        <v>155.85528790000001</v>
      </c>
      <c r="I73" s="96" t="s">
        <v>1011</v>
      </c>
      <c r="J73" s="95" t="s">
        <v>978</v>
      </c>
      <c r="K73" s="96"/>
      <c r="L73" s="95">
        <v>203.58867645000001</v>
      </c>
      <c r="M73" s="96" t="s">
        <v>1007</v>
      </c>
      <c r="N73" s="95">
        <v>317.81128666000001</v>
      </c>
      <c r="O73" s="96" t="s">
        <v>1011</v>
      </c>
    </row>
    <row r="74" spans="1:15" ht="45" x14ac:dyDescent="0.25">
      <c r="A74" s="423">
        <v>3</v>
      </c>
      <c r="B74" s="423"/>
      <c r="C74" s="89" t="s">
        <v>1072</v>
      </c>
      <c r="D74" s="95">
        <v>74.152574959999995</v>
      </c>
      <c r="E74" s="96" t="s">
        <v>1011</v>
      </c>
      <c r="F74" s="95">
        <v>49.741385647000001</v>
      </c>
      <c r="G74" s="96" t="s">
        <v>1011</v>
      </c>
      <c r="H74" s="95" t="s">
        <v>978</v>
      </c>
      <c r="I74" s="96"/>
      <c r="J74" s="95">
        <v>98.016704181999998</v>
      </c>
      <c r="K74" s="96" t="s">
        <v>1011</v>
      </c>
      <c r="L74" s="95">
        <v>57.691315975000002</v>
      </c>
      <c r="M74" s="96" t="s">
        <v>1007</v>
      </c>
      <c r="N74" s="95"/>
      <c r="O74" s="96"/>
    </row>
    <row r="75" spans="1:15" x14ac:dyDescent="0.25">
      <c r="A75" s="423">
        <v>3</v>
      </c>
      <c r="B75" s="423"/>
      <c r="C75" s="89" t="s">
        <v>1073</v>
      </c>
      <c r="D75" s="95" t="s">
        <v>978</v>
      </c>
      <c r="E75" s="96"/>
      <c r="F75" s="95" t="s">
        <v>978</v>
      </c>
      <c r="G75" s="96"/>
      <c r="H75" s="95" t="s">
        <v>978</v>
      </c>
      <c r="I75" s="96"/>
      <c r="J75" s="95" t="s">
        <v>978</v>
      </c>
      <c r="K75" s="96"/>
      <c r="L75" s="95" t="s">
        <v>978</v>
      </c>
      <c r="M75" s="101"/>
      <c r="N75" s="95"/>
      <c r="O75" s="101"/>
    </row>
    <row r="76" spans="1:15" ht="15.75" thickBot="1" x14ac:dyDescent="0.3">
      <c r="A76" s="423">
        <v>2</v>
      </c>
      <c r="B76" s="423"/>
      <c r="C76" s="86" t="s">
        <v>1074</v>
      </c>
      <c r="D76" s="102" t="s">
        <v>978</v>
      </c>
      <c r="E76" s="103"/>
      <c r="F76" s="102">
        <v>204.88693989000001</v>
      </c>
      <c r="G76" s="103" t="s">
        <v>1007</v>
      </c>
      <c r="H76" s="102">
        <v>277.60595000000001</v>
      </c>
      <c r="I76" s="103" t="s">
        <v>1007</v>
      </c>
      <c r="J76" s="102">
        <v>311.35836226999999</v>
      </c>
      <c r="K76" s="103" t="s">
        <v>1007</v>
      </c>
      <c r="L76" s="102">
        <v>318.97060801999999</v>
      </c>
      <c r="M76" s="96" t="s">
        <v>1007</v>
      </c>
      <c r="N76" s="102">
        <v>319.82286094</v>
      </c>
      <c r="O76" s="96" t="s">
        <v>1011</v>
      </c>
    </row>
    <row r="77" spans="1:15" x14ac:dyDescent="0.25">
      <c r="A77" s="7"/>
      <c r="B77" s="7"/>
      <c r="C77" s="104" t="s">
        <v>1075</v>
      </c>
      <c r="D77" s="105"/>
      <c r="E77" s="105"/>
      <c r="F77" s="105"/>
      <c r="G77" s="105"/>
      <c r="H77" s="105"/>
      <c r="I77" s="105"/>
      <c r="J77" s="105"/>
      <c r="K77" s="105"/>
      <c r="L77" s="105"/>
      <c r="M77" s="105"/>
      <c r="N77" s="7"/>
      <c r="O77" s="7"/>
    </row>
    <row r="78" spans="1:15" x14ac:dyDescent="0.25">
      <c r="C78" s="90" t="s">
        <v>1076</v>
      </c>
      <c r="D78" s="27"/>
      <c r="E78" s="27"/>
      <c r="F78" s="27"/>
      <c r="G78" s="27"/>
      <c r="H78" s="27"/>
      <c r="I78" s="27"/>
      <c r="J78" s="27"/>
      <c r="K78" s="27"/>
      <c r="L78" s="27"/>
      <c r="M78" s="27"/>
    </row>
    <row r="79" spans="1:15" x14ac:dyDescent="0.25">
      <c r="C79" s="90" t="s">
        <v>1077</v>
      </c>
      <c r="D79" s="27"/>
      <c r="E79" s="27"/>
      <c r="F79" s="27"/>
      <c r="G79" s="27"/>
      <c r="H79" s="27"/>
      <c r="I79" s="27"/>
      <c r="J79" s="27"/>
      <c r="K79" s="27"/>
      <c r="L79" s="27"/>
      <c r="M79" s="27"/>
    </row>
    <row r="80" spans="1:15" x14ac:dyDescent="0.25">
      <c r="C80" s="478" t="s">
        <v>1078</v>
      </c>
      <c r="D80" s="478"/>
      <c r="E80" s="478"/>
      <c r="F80" s="478"/>
      <c r="G80" s="478"/>
      <c r="H80" s="478"/>
      <c r="I80" s="478"/>
      <c r="J80" s="478"/>
      <c r="K80" s="478"/>
      <c r="L80" s="478"/>
      <c r="M80" s="478"/>
      <c r="N80" s="478"/>
      <c r="O80" s="478"/>
    </row>
    <row r="81" spans="3:15" x14ac:dyDescent="0.25">
      <c r="C81" s="479" t="s">
        <v>1079</v>
      </c>
      <c r="D81" s="479"/>
      <c r="E81" s="479"/>
      <c r="F81" s="479"/>
      <c r="G81" s="479"/>
      <c r="H81" s="479"/>
      <c r="I81" s="479"/>
      <c r="J81" s="479"/>
      <c r="K81" s="479"/>
      <c r="L81" s="479"/>
      <c r="M81" s="479"/>
      <c r="N81" s="479"/>
      <c r="O81" s="479"/>
    </row>
    <row r="82" spans="3:15" x14ac:dyDescent="0.25">
      <c r="C82" t="s">
        <v>1080</v>
      </c>
      <c r="D82" s="424"/>
      <c r="E82" s="424"/>
      <c r="F82" s="424"/>
      <c r="G82" s="424"/>
      <c r="H82" s="424"/>
      <c r="I82" s="424"/>
      <c r="J82" s="424"/>
      <c r="K82" s="424"/>
      <c r="L82" s="424"/>
      <c r="M82" s="424"/>
    </row>
    <row r="84" spans="3:15" x14ac:dyDescent="0.25">
      <c r="C84" t="s">
        <v>1085</v>
      </c>
    </row>
  </sheetData>
  <mergeCells count="4">
    <mergeCell ref="A1:O1"/>
    <mergeCell ref="D3:O3"/>
    <mergeCell ref="C80:O80"/>
    <mergeCell ref="C81:O81"/>
  </mergeCells>
  <hyperlinks>
    <hyperlink ref="C81" r:id="rId1"/>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S84"/>
  <sheetViews>
    <sheetView topLeftCell="A71" zoomScaleNormal="100" workbookViewId="0">
      <selection activeCell="P6" sqref="P6:R6"/>
    </sheetView>
  </sheetViews>
  <sheetFormatPr baseColWidth="10" defaultColWidth="11.42578125" defaultRowHeight="15" x14ac:dyDescent="0.25"/>
  <cols>
    <col min="3" max="3" width="22.28515625" customWidth="1"/>
  </cols>
  <sheetData>
    <row r="1" spans="1:19" ht="15.75" thickBot="1" x14ac:dyDescent="0.3">
      <c r="A1" s="476" t="s">
        <v>1086</v>
      </c>
      <c r="B1" s="476"/>
      <c r="C1" s="476"/>
      <c r="D1" s="476"/>
      <c r="E1" s="476"/>
      <c r="F1" s="476"/>
      <c r="G1" s="476"/>
      <c r="H1" s="476"/>
      <c r="I1" s="476"/>
      <c r="J1" s="476"/>
      <c r="K1" s="476"/>
      <c r="L1" s="476"/>
      <c r="M1" s="476"/>
      <c r="N1" s="476"/>
      <c r="O1" s="476"/>
    </row>
    <row r="2" spans="1:19" x14ac:dyDescent="0.25">
      <c r="D2" s="87">
        <v>2010</v>
      </c>
      <c r="E2" s="88"/>
      <c r="F2" s="87">
        <v>2011</v>
      </c>
      <c r="G2" s="88"/>
      <c r="H2" s="87">
        <v>2012</v>
      </c>
      <c r="I2" s="88"/>
      <c r="J2" s="87">
        <v>2013</v>
      </c>
      <c r="K2" s="88"/>
      <c r="L2" s="87">
        <v>2014</v>
      </c>
      <c r="M2" s="88"/>
      <c r="N2" s="46">
        <v>2015</v>
      </c>
      <c r="O2" s="46"/>
    </row>
    <row r="3" spans="1:19" x14ac:dyDescent="0.25">
      <c r="A3" s="426" t="s">
        <v>998</v>
      </c>
      <c r="B3" s="426"/>
      <c r="C3" s="46"/>
      <c r="D3" s="477" t="s">
        <v>1000</v>
      </c>
      <c r="E3" s="477"/>
      <c r="F3" s="477"/>
      <c r="G3" s="477"/>
      <c r="H3" s="477"/>
      <c r="I3" s="477"/>
      <c r="J3" s="477"/>
      <c r="K3" s="477"/>
      <c r="L3" s="477"/>
      <c r="M3" s="477"/>
      <c r="N3" s="477"/>
      <c r="O3" s="477"/>
    </row>
    <row r="4" spans="1:19" x14ac:dyDescent="0.25">
      <c r="A4" s="423">
        <v>0</v>
      </c>
      <c r="B4" s="423"/>
      <c r="C4" s="82" t="s">
        <v>445</v>
      </c>
      <c r="D4" s="91">
        <v>47289.598542</v>
      </c>
      <c r="E4" s="92"/>
      <c r="F4" s="91">
        <v>55380.473775999999</v>
      </c>
      <c r="G4" s="92"/>
      <c r="H4" s="91">
        <v>60076.617956000002</v>
      </c>
      <c r="I4" s="92"/>
      <c r="J4" s="91">
        <v>61446.245009999999</v>
      </c>
      <c r="K4" s="92"/>
      <c r="L4" s="91">
        <v>61537.183938000002</v>
      </c>
      <c r="M4" s="92"/>
      <c r="N4" s="91">
        <v>65620.091144999999</v>
      </c>
      <c r="O4" s="92"/>
    </row>
    <row r="5" spans="1:19" ht="30" x14ac:dyDescent="0.25">
      <c r="A5" s="423">
        <v>1</v>
      </c>
      <c r="B5" s="423"/>
      <c r="C5" s="82" t="s">
        <v>1001</v>
      </c>
      <c r="D5" s="91">
        <v>40347.855838000003</v>
      </c>
      <c r="E5" s="92"/>
      <c r="F5" s="91">
        <v>44405.058132999999</v>
      </c>
      <c r="G5" s="92"/>
      <c r="H5" s="91">
        <v>48445.765962999998</v>
      </c>
      <c r="I5" s="92"/>
      <c r="J5" s="91">
        <v>47964.533441</v>
      </c>
      <c r="K5" s="92"/>
      <c r="L5" s="91">
        <v>45416.384256999998</v>
      </c>
      <c r="M5" s="92"/>
      <c r="N5" s="91">
        <v>50772.731881</v>
      </c>
      <c r="O5" s="92"/>
    </row>
    <row r="6" spans="1:19" x14ac:dyDescent="0.25">
      <c r="A6" s="423">
        <v>2</v>
      </c>
      <c r="B6" s="423"/>
      <c r="C6" s="83" t="s">
        <v>1002</v>
      </c>
      <c r="D6" s="93">
        <v>6106.9991470000004</v>
      </c>
      <c r="E6" s="94"/>
      <c r="F6" s="93">
        <v>6677.1226190999996</v>
      </c>
      <c r="G6" s="94"/>
      <c r="H6" s="93">
        <v>7066.6422519999996</v>
      </c>
      <c r="I6" s="94"/>
      <c r="J6" s="93">
        <v>7654.6715072999996</v>
      </c>
      <c r="K6" s="94"/>
      <c r="L6" s="93">
        <v>7102.5906644999995</v>
      </c>
      <c r="M6" s="94"/>
      <c r="N6" s="93">
        <v>8477.6956480999997</v>
      </c>
      <c r="O6" s="94"/>
      <c r="P6" s="186">
        <f>N7*0.773+N10+N11+N35+N37+N38+N48+N60+N61+N63+N73+N74+N76</f>
        <v>22014.451623454501</v>
      </c>
      <c r="Q6" s="186">
        <f>N7+N8+N10+N11+N13+N14+N15+N16+N17+N18+N19+N20+N22+N23+N24+N25+N27+N28+N29+N30+N31+N32+N34+N35+N37+N38+N40+N41+N43+N44+N45+N46+N48+N49+N51+N52+N53+N54+N55+N57+N58+N60+N61+N63+N64+N70+N73+N74+N76</f>
        <v>43141.066943505</v>
      </c>
      <c r="R6" s="418">
        <f>P6/(Q6-(Q6-P6)*0.14975)</f>
        <v>0.55067302246359051</v>
      </c>
      <c r="S6" s="63"/>
    </row>
    <row r="7" spans="1:19" ht="30" x14ac:dyDescent="0.25">
      <c r="A7" s="423">
        <v>3</v>
      </c>
      <c r="B7" s="423"/>
      <c r="C7" s="89" t="s">
        <v>1004</v>
      </c>
      <c r="D7" s="95">
        <v>4811.8351485000003</v>
      </c>
      <c r="E7" s="96"/>
      <c r="F7" s="95">
        <v>5023.4634286</v>
      </c>
      <c r="G7" s="96"/>
      <c r="H7" s="95">
        <v>5347.9719353</v>
      </c>
      <c r="I7" s="96"/>
      <c r="J7" s="95">
        <v>5805.6124453000002</v>
      </c>
      <c r="K7" s="96"/>
      <c r="L7" s="95">
        <v>6053.5357346000001</v>
      </c>
      <c r="M7" s="96" t="s">
        <v>1007</v>
      </c>
      <c r="N7" s="95">
        <v>6876.7519764999997</v>
      </c>
      <c r="O7" s="96"/>
    </row>
    <row r="8" spans="1:19" ht="30" x14ac:dyDescent="0.25">
      <c r="A8" s="423">
        <v>3</v>
      </c>
      <c r="B8" s="423"/>
      <c r="C8" s="89" t="s">
        <v>1006</v>
      </c>
      <c r="D8" s="95">
        <v>1295.1639984000001</v>
      </c>
      <c r="E8" s="96"/>
      <c r="F8" s="95">
        <v>1653.6591905</v>
      </c>
      <c r="G8" s="96" t="s">
        <v>1007</v>
      </c>
      <c r="H8" s="95">
        <v>1718.6703167000001</v>
      </c>
      <c r="I8" s="96" t="s">
        <v>1007</v>
      </c>
      <c r="J8" s="95">
        <v>1849.059062</v>
      </c>
      <c r="K8" s="96" t="s">
        <v>1007</v>
      </c>
      <c r="L8" s="95" t="s">
        <v>978</v>
      </c>
      <c r="M8" s="96"/>
      <c r="N8" s="95">
        <v>1600.9436716</v>
      </c>
      <c r="O8" s="96" t="s">
        <v>1007</v>
      </c>
    </row>
    <row r="9" spans="1:19" x14ac:dyDescent="0.25">
      <c r="A9" s="423">
        <v>2</v>
      </c>
      <c r="B9" s="423"/>
      <c r="C9" s="83" t="s">
        <v>1008</v>
      </c>
      <c r="D9" s="93">
        <v>11425.583751</v>
      </c>
      <c r="E9" s="94"/>
      <c r="F9" s="93">
        <v>11024.535179</v>
      </c>
      <c r="G9" s="94"/>
      <c r="H9" s="93">
        <v>12838.284682</v>
      </c>
      <c r="I9" s="94"/>
      <c r="J9" s="93">
        <v>12868.004158</v>
      </c>
      <c r="K9" s="94"/>
      <c r="L9" s="93">
        <v>11445.271954</v>
      </c>
      <c r="M9" s="94"/>
      <c r="N9" s="93">
        <v>13619.679561000001</v>
      </c>
      <c r="O9" s="94"/>
    </row>
    <row r="10" spans="1:19" x14ac:dyDescent="0.25">
      <c r="A10" s="423">
        <v>3</v>
      </c>
      <c r="B10" s="423"/>
      <c r="C10" s="89" t="s">
        <v>1009</v>
      </c>
      <c r="D10" s="95">
        <v>11094.471028</v>
      </c>
      <c r="E10" s="96"/>
      <c r="F10" s="95">
        <v>10789.870971</v>
      </c>
      <c r="G10" s="96"/>
      <c r="H10" s="95">
        <v>12336.222471999999</v>
      </c>
      <c r="I10" s="96"/>
      <c r="J10" s="95">
        <v>12001.818823</v>
      </c>
      <c r="K10" s="96"/>
      <c r="L10" s="95">
        <v>10890.523574000001</v>
      </c>
      <c r="M10" s="96"/>
      <c r="N10" s="95">
        <v>12500.691441000001</v>
      </c>
      <c r="O10" s="96"/>
    </row>
    <row r="11" spans="1:19" x14ac:dyDescent="0.25">
      <c r="A11" s="423">
        <v>3</v>
      </c>
      <c r="B11" s="423"/>
      <c r="C11" s="89" t="s">
        <v>1010</v>
      </c>
      <c r="D11" s="95">
        <v>331.11272227000001</v>
      </c>
      <c r="E11" s="96" t="s">
        <v>1011</v>
      </c>
      <c r="F11" s="95" t="s">
        <v>978</v>
      </c>
      <c r="G11" s="96"/>
      <c r="H11" s="95">
        <v>502.06220967000002</v>
      </c>
      <c r="I11" s="96" t="s">
        <v>1011</v>
      </c>
      <c r="J11" s="95" t="s">
        <v>978</v>
      </c>
      <c r="K11" s="96"/>
      <c r="L11" s="95" t="s">
        <v>978</v>
      </c>
      <c r="M11" s="96"/>
      <c r="N11" s="95"/>
      <c r="O11" s="96"/>
    </row>
    <row r="12" spans="1:19" x14ac:dyDescent="0.25">
      <c r="A12" s="423">
        <v>2</v>
      </c>
      <c r="B12" s="423"/>
      <c r="C12" s="83" t="s">
        <v>1012</v>
      </c>
      <c r="D12" s="93">
        <v>4008.2233357</v>
      </c>
      <c r="E12" s="94"/>
      <c r="F12" s="93">
        <v>4131.6625907999996</v>
      </c>
      <c r="G12" s="94"/>
      <c r="H12" s="93">
        <v>4002.1385719</v>
      </c>
      <c r="I12" s="94"/>
      <c r="J12" s="93">
        <v>3797.5648366999999</v>
      </c>
      <c r="K12" s="94"/>
      <c r="L12" s="93">
        <v>3949.7319054</v>
      </c>
      <c r="M12" s="94"/>
      <c r="N12" s="93">
        <v>4081.2481576</v>
      </c>
      <c r="O12" s="94"/>
    </row>
    <row r="13" spans="1:19" x14ac:dyDescent="0.25">
      <c r="A13" s="423">
        <v>3</v>
      </c>
      <c r="B13" s="423"/>
      <c r="C13" s="89" t="s">
        <v>1013</v>
      </c>
      <c r="D13" s="95">
        <v>1658.8765784</v>
      </c>
      <c r="E13" s="96"/>
      <c r="F13" s="95">
        <v>1566.5783392000001</v>
      </c>
      <c r="G13" s="96"/>
      <c r="H13" s="95">
        <v>1518.4244199</v>
      </c>
      <c r="I13" s="96"/>
      <c r="J13" s="95">
        <v>1817.6005950000001</v>
      </c>
      <c r="K13" s="96"/>
      <c r="L13" s="95">
        <v>2025.9627505999999</v>
      </c>
      <c r="M13" s="96"/>
      <c r="N13" s="95">
        <v>1878.6501053</v>
      </c>
      <c r="O13" s="96"/>
    </row>
    <row r="14" spans="1:19" ht="75" x14ac:dyDescent="0.25">
      <c r="A14" s="423">
        <v>3</v>
      </c>
      <c r="B14" s="423"/>
      <c r="C14" s="89" t="s">
        <v>1014</v>
      </c>
      <c r="D14" s="95" t="s">
        <v>978</v>
      </c>
      <c r="E14" s="96"/>
      <c r="F14" s="95" t="s">
        <v>978</v>
      </c>
      <c r="G14" s="96"/>
      <c r="H14" s="95" t="s">
        <v>978</v>
      </c>
      <c r="I14" s="96"/>
      <c r="J14" s="95" t="s">
        <v>978</v>
      </c>
      <c r="K14" s="96"/>
      <c r="L14" s="95" t="s">
        <v>978</v>
      </c>
      <c r="M14" s="96"/>
      <c r="N14" s="95"/>
      <c r="O14" s="96"/>
    </row>
    <row r="15" spans="1:19" ht="30" x14ac:dyDescent="0.25">
      <c r="A15" s="423">
        <v>3</v>
      </c>
      <c r="B15" s="423"/>
      <c r="C15" s="89" t="s">
        <v>1015</v>
      </c>
      <c r="D15" s="95" t="s">
        <v>978</v>
      </c>
      <c r="E15" s="96"/>
      <c r="F15" s="95">
        <v>598.38340728000003</v>
      </c>
      <c r="G15" s="96" t="s">
        <v>1011</v>
      </c>
      <c r="H15" s="95">
        <v>399.62980690000001</v>
      </c>
      <c r="I15" s="96" t="s">
        <v>1007</v>
      </c>
      <c r="J15" s="95">
        <v>215.91870711999999</v>
      </c>
      <c r="K15" s="96" t="s">
        <v>1011</v>
      </c>
      <c r="L15" s="95" t="s">
        <v>978</v>
      </c>
      <c r="M15" s="96"/>
      <c r="N15" s="95"/>
      <c r="O15" s="96"/>
    </row>
    <row r="16" spans="1:19" ht="45" x14ac:dyDescent="0.25">
      <c r="A16" s="423">
        <v>3</v>
      </c>
      <c r="B16" s="423"/>
      <c r="C16" s="89" t="s">
        <v>1016</v>
      </c>
      <c r="D16" s="95">
        <v>279.03912585</v>
      </c>
      <c r="E16" s="96" t="s">
        <v>1007</v>
      </c>
      <c r="F16" s="95">
        <v>174.33716996999999</v>
      </c>
      <c r="G16" s="96" t="s">
        <v>1007</v>
      </c>
      <c r="H16" s="95" t="s">
        <v>978</v>
      </c>
      <c r="I16" s="96"/>
      <c r="J16" s="95">
        <v>299.30525519999998</v>
      </c>
      <c r="K16" s="96" t="s">
        <v>1011</v>
      </c>
      <c r="L16" s="95" t="s">
        <v>978</v>
      </c>
      <c r="M16" s="96"/>
      <c r="N16" s="95"/>
      <c r="O16" s="96"/>
    </row>
    <row r="17" spans="1:15" ht="45" x14ac:dyDescent="0.25">
      <c r="A17" s="423">
        <v>3</v>
      </c>
      <c r="B17" s="423"/>
      <c r="C17" s="89" t="s">
        <v>1017</v>
      </c>
      <c r="D17" s="95">
        <v>341.65384986999999</v>
      </c>
      <c r="E17" s="96" t="s">
        <v>1007</v>
      </c>
      <c r="F17" s="95">
        <v>280.24562947999999</v>
      </c>
      <c r="G17" s="96" t="s">
        <v>1007</v>
      </c>
      <c r="H17" s="95">
        <v>314.52335349999998</v>
      </c>
      <c r="I17" s="96" t="s">
        <v>1007</v>
      </c>
      <c r="J17" s="95">
        <v>262.84041389999999</v>
      </c>
      <c r="K17" s="96" t="s">
        <v>1007</v>
      </c>
      <c r="L17" s="95">
        <v>269.36053405000001</v>
      </c>
      <c r="M17" s="96" t="s">
        <v>1011</v>
      </c>
      <c r="N17" s="95"/>
      <c r="O17" s="96"/>
    </row>
    <row r="18" spans="1:15" ht="45" x14ac:dyDescent="0.25">
      <c r="A18" s="423">
        <v>3</v>
      </c>
      <c r="B18" s="423"/>
      <c r="C18" s="89" t="s">
        <v>1018</v>
      </c>
      <c r="D18" s="95" t="s">
        <v>978</v>
      </c>
      <c r="E18" s="96"/>
      <c r="F18" s="95">
        <v>316.27248659000003</v>
      </c>
      <c r="G18" s="96" t="s">
        <v>1011</v>
      </c>
      <c r="H18" s="95">
        <v>424.99293495000001</v>
      </c>
      <c r="I18" s="96" t="s">
        <v>1011</v>
      </c>
      <c r="J18" s="95">
        <v>524.71932262999997</v>
      </c>
      <c r="K18" s="96" t="s">
        <v>1011</v>
      </c>
      <c r="L18" s="95" t="s">
        <v>978</v>
      </c>
      <c r="M18" s="96"/>
      <c r="N18" s="95">
        <v>530.26015188999997</v>
      </c>
      <c r="O18" s="96" t="s">
        <v>1011</v>
      </c>
    </row>
    <row r="19" spans="1:15" ht="30" x14ac:dyDescent="0.25">
      <c r="A19" s="423">
        <v>3</v>
      </c>
      <c r="B19" s="423"/>
      <c r="C19" s="89" t="s">
        <v>1019</v>
      </c>
      <c r="D19" s="95">
        <v>60.047042015000002</v>
      </c>
      <c r="E19" s="96" t="s">
        <v>1011</v>
      </c>
      <c r="F19" s="95" t="s">
        <v>978</v>
      </c>
      <c r="G19" s="96"/>
      <c r="H19" s="95" t="s">
        <v>978</v>
      </c>
      <c r="I19" s="96"/>
      <c r="J19" s="95" t="s">
        <v>978</v>
      </c>
      <c r="K19" s="96"/>
      <c r="L19" s="95" t="s">
        <v>978</v>
      </c>
      <c r="M19" s="96"/>
      <c r="N19" s="95"/>
      <c r="O19" s="96"/>
    </row>
    <row r="20" spans="1:15" x14ac:dyDescent="0.25">
      <c r="A20" s="423">
        <v>3</v>
      </c>
      <c r="B20" s="423"/>
      <c r="C20" s="89" t="s">
        <v>1020</v>
      </c>
      <c r="D20" s="95" t="s">
        <v>978</v>
      </c>
      <c r="E20" s="96"/>
      <c r="F20" s="95" t="s">
        <v>978</v>
      </c>
      <c r="G20" s="96"/>
      <c r="H20" s="95" t="s">
        <v>978</v>
      </c>
      <c r="I20" s="96"/>
      <c r="J20" s="95">
        <v>423.27603669000001</v>
      </c>
      <c r="K20" s="96" t="s">
        <v>1011</v>
      </c>
      <c r="L20" s="95" t="s">
        <v>978</v>
      </c>
      <c r="M20" s="96"/>
      <c r="N20" s="95"/>
      <c r="O20" s="96"/>
    </row>
    <row r="21" spans="1:15" ht="30" x14ac:dyDescent="0.25">
      <c r="A21" s="423">
        <v>2</v>
      </c>
      <c r="B21" s="423"/>
      <c r="C21" s="83" t="s">
        <v>1021</v>
      </c>
      <c r="D21" s="93">
        <v>953.73688001000005</v>
      </c>
      <c r="E21" s="94" t="s">
        <v>1007</v>
      </c>
      <c r="F21" s="93">
        <v>1366.0953317999999</v>
      </c>
      <c r="G21" s="94" t="s">
        <v>1007</v>
      </c>
      <c r="H21" s="93">
        <v>2464.02817</v>
      </c>
      <c r="I21" s="94" t="s">
        <v>1011</v>
      </c>
      <c r="J21" s="93">
        <v>1806.4090590000001</v>
      </c>
      <c r="K21" s="94" t="s">
        <v>1007</v>
      </c>
      <c r="L21" s="93">
        <v>1577.8000271000001</v>
      </c>
      <c r="M21" s="94" t="s">
        <v>1007</v>
      </c>
      <c r="N21" s="93">
        <v>1241.1167005</v>
      </c>
      <c r="O21" s="94" t="s">
        <v>1007</v>
      </c>
    </row>
    <row r="22" spans="1:15" ht="30" x14ac:dyDescent="0.25">
      <c r="A22" s="423">
        <v>3</v>
      </c>
      <c r="B22" s="423"/>
      <c r="C22" s="89" t="s">
        <v>1022</v>
      </c>
      <c r="D22" s="95">
        <v>387.00607081999999</v>
      </c>
      <c r="E22" s="96" t="s">
        <v>1007</v>
      </c>
      <c r="F22" s="95">
        <v>389.71347132</v>
      </c>
      <c r="G22" s="96" t="s">
        <v>1007</v>
      </c>
      <c r="H22" s="95">
        <v>808.35325404000002</v>
      </c>
      <c r="I22" s="96" t="s">
        <v>1011</v>
      </c>
      <c r="J22" s="95">
        <v>787.75690829999996</v>
      </c>
      <c r="K22" s="96" t="s">
        <v>1011</v>
      </c>
      <c r="L22" s="95">
        <v>794.90566561000003</v>
      </c>
      <c r="M22" s="96" t="s">
        <v>1007</v>
      </c>
      <c r="N22" s="95">
        <v>350.10356284</v>
      </c>
      <c r="O22" s="96" t="s">
        <v>1011</v>
      </c>
    </row>
    <row r="23" spans="1:15" x14ac:dyDescent="0.25">
      <c r="A23" s="423">
        <v>3</v>
      </c>
      <c r="B23" s="423"/>
      <c r="C23" s="89" t="s">
        <v>1023</v>
      </c>
      <c r="D23" s="95">
        <v>527.99121095999999</v>
      </c>
      <c r="E23" s="96" t="s">
        <v>1011</v>
      </c>
      <c r="F23" s="95">
        <v>868.54425332999995</v>
      </c>
      <c r="G23" s="96" t="s">
        <v>1011</v>
      </c>
      <c r="H23" s="95">
        <v>1613.2863159999999</v>
      </c>
      <c r="I23" s="96" t="s">
        <v>1011</v>
      </c>
      <c r="J23" s="95">
        <v>970.51564788999997</v>
      </c>
      <c r="K23" s="96" t="s">
        <v>1007</v>
      </c>
      <c r="L23" s="95">
        <v>696.89709846999995</v>
      </c>
      <c r="M23" s="96" t="s">
        <v>1007</v>
      </c>
      <c r="N23" s="95">
        <v>851.44052052999996</v>
      </c>
      <c r="O23" s="96" t="s">
        <v>1011</v>
      </c>
    </row>
    <row r="24" spans="1:15" ht="75" x14ac:dyDescent="0.25">
      <c r="A24" s="423">
        <v>3</v>
      </c>
      <c r="B24" s="423"/>
      <c r="C24" s="89" t="s">
        <v>1024</v>
      </c>
      <c r="D24" s="95" t="s">
        <v>978</v>
      </c>
      <c r="E24" s="96"/>
      <c r="F24" s="95" t="s">
        <v>978</v>
      </c>
      <c r="G24" s="96"/>
      <c r="H24" s="95">
        <v>0</v>
      </c>
      <c r="I24" s="96"/>
      <c r="J24" s="95">
        <v>0</v>
      </c>
      <c r="K24" s="96"/>
      <c r="L24" s="95" t="s">
        <v>978</v>
      </c>
      <c r="M24" s="96"/>
      <c r="N24" s="95">
        <v>0</v>
      </c>
      <c r="O24" s="96"/>
    </row>
    <row r="25" spans="1:15" ht="60" x14ac:dyDescent="0.25">
      <c r="A25" s="423">
        <v>3</v>
      </c>
      <c r="B25" s="423"/>
      <c r="C25" s="89" t="s">
        <v>1025</v>
      </c>
      <c r="D25" s="95">
        <v>37.024355702000001</v>
      </c>
      <c r="E25" s="96" t="s">
        <v>1011</v>
      </c>
      <c r="F25" s="95">
        <v>32.160660020999998</v>
      </c>
      <c r="G25" s="96" t="s">
        <v>1011</v>
      </c>
      <c r="H25" s="95">
        <v>42.388600007000001</v>
      </c>
      <c r="I25" s="96" t="s">
        <v>1011</v>
      </c>
      <c r="J25" s="95">
        <v>48.136502765000003</v>
      </c>
      <c r="K25" s="96" t="s">
        <v>1011</v>
      </c>
      <c r="L25" s="95" t="s">
        <v>978</v>
      </c>
      <c r="M25" s="96"/>
      <c r="N25" s="95"/>
      <c r="O25" s="96"/>
    </row>
    <row r="26" spans="1:15" ht="30" x14ac:dyDescent="0.25">
      <c r="A26" s="423">
        <v>2</v>
      </c>
      <c r="B26" s="423"/>
      <c r="C26" s="83" t="s">
        <v>1026</v>
      </c>
      <c r="D26" s="93">
        <v>2965.6964551000001</v>
      </c>
      <c r="E26" s="94"/>
      <c r="F26" s="93">
        <v>2785.3198652000001</v>
      </c>
      <c r="G26" s="94"/>
      <c r="H26" s="93">
        <v>3246.7718101999999</v>
      </c>
      <c r="I26" s="94"/>
      <c r="J26" s="93">
        <v>3293.4145506</v>
      </c>
      <c r="K26" s="94"/>
      <c r="L26" s="93">
        <v>3288.6276753000002</v>
      </c>
      <c r="M26" s="94" t="s">
        <v>1007</v>
      </c>
      <c r="N26" s="93">
        <v>2913.8145565999998</v>
      </c>
      <c r="O26" s="94"/>
    </row>
    <row r="27" spans="1:15" ht="60" x14ac:dyDescent="0.25">
      <c r="A27" s="423">
        <v>3</v>
      </c>
      <c r="B27" s="423"/>
      <c r="C27" s="89" t="s">
        <v>1027</v>
      </c>
      <c r="D27" s="95">
        <v>1951.711976</v>
      </c>
      <c r="E27" s="96" t="s">
        <v>1007</v>
      </c>
      <c r="F27" s="95">
        <v>1582.3019102000001</v>
      </c>
      <c r="G27" s="96"/>
      <c r="H27" s="95">
        <v>1924.4474286</v>
      </c>
      <c r="I27" s="96"/>
      <c r="J27" s="95">
        <v>2124.2306213000002</v>
      </c>
      <c r="K27" s="96"/>
      <c r="L27" s="95">
        <v>1886.7174405999999</v>
      </c>
      <c r="M27" s="96" t="s">
        <v>1007</v>
      </c>
      <c r="N27" s="95">
        <v>1227.4996454</v>
      </c>
      <c r="O27" s="96" t="s">
        <v>1007</v>
      </c>
    </row>
    <row r="28" spans="1:15" ht="60" x14ac:dyDescent="0.25">
      <c r="A28" s="423">
        <v>3</v>
      </c>
      <c r="B28" s="423"/>
      <c r="C28" s="89" t="s">
        <v>1028</v>
      </c>
      <c r="D28" s="95">
        <v>845.47706717999995</v>
      </c>
      <c r="E28" s="96"/>
      <c r="F28" s="95">
        <v>953.93380930000001</v>
      </c>
      <c r="G28" s="96"/>
      <c r="H28" s="95">
        <v>858.05318842999998</v>
      </c>
      <c r="I28" s="96" t="s">
        <v>1007</v>
      </c>
      <c r="J28" s="95">
        <v>894.63525375999996</v>
      </c>
      <c r="K28" s="96"/>
      <c r="L28" s="95" t="s">
        <v>978</v>
      </c>
      <c r="M28" s="96"/>
      <c r="N28" s="95">
        <v>1403.3485502000001</v>
      </c>
      <c r="O28" s="96" t="s">
        <v>1007</v>
      </c>
    </row>
    <row r="29" spans="1:15" ht="45" x14ac:dyDescent="0.25">
      <c r="A29" s="423">
        <v>3</v>
      </c>
      <c r="B29" s="423"/>
      <c r="C29" s="89" t="s">
        <v>1029</v>
      </c>
      <c r="D29" s="95" t="s">
        <v>978</v>
      </c>
      <c r="E29" s="96"/>
      <c r="F29" s="95" t="s">
        <v>978</v>
      </c>
      <c r="G29" s="96"/>
      <c r="H29" s="95" t="s">
        <v>978</v>
      </c>
      <c r="I29" s="96"/>
      <c r="J29" s="95" t="s">
        <v>978</v>
      </c>
      <c r="K29" s="96"/>
      <c r="L29" s="95" t="s">
        <v>978</v>
      </c>
      <c r="M29" s="96"/>
      <c r="N29" s="95"/>
      <c r="O29" s="96"/>
    </row>
    <row r="30" spans="1:15" ht="75" x14ac:dyDescent="0.25">
      <c r="A30" s="423">
        <v>3</v>
      </c>
      <c r="B30" s="423"/>
      <c r="C30" s="89" t="s">
        <v>1030</v>
      </c>
      <c r="D30" s="95">
        <v>112.69043920999999</v>
      </c>
      <c r="E30" s="96" t="s">
        <v>1011</v>
      </c>
      <c r="F30" s="95">
        <v>141.61240659000001</v>
      </c>
      <c r="G30" s="96" t="s">
        <v>1011</v>
      </c>
      <c r="H30" s="95">
        <v>159.98193187999999</v>
      </c>
      <c r="I30" s="96" t="s">
        <v>1007</v>
      </c>
      <c r="J30" s="95">
        <v>159.46871590000001</v>
      </c>
      <c r="K30" s="96" t="s">
        <v>1011</v>
      </c>
      <c r="L30" s="95" t="s">
        <v>978</v>
      </c>
      <c r="M30" s="96"/>
      <c r="N30" s="95"/>
      <c r="O30" s="96"/>
    </row>
    <row r="31" spans="1:15" ht="60" x14ac:dyDescent="0.25">
      <c r="A31" s="423">
        <v>3</v>
      </c>
      <c r="B31" s="423"/>
      <c r="C31" s="89" t="s">
        <v>1031</v>
      </c>
      <c r="D31" s="95" t="s">
        <v>978</v>
      </c>
      <c r="E31" s="96"/>
      <c r="F31" s="95" t="s">
        <v>978</v>
      </c>
      <c r="G31" s="96"/>
      <c r="H31" s="95" t="s">
        <v>978</v>
      </c>
      <c r="I31" s="96"/>
      <c r="J31" s="95" t="s">
        <v>978</v>
      </c>
      <c r="K31" s="96"/>
      <c r="L31" s="95">
        <v>0</v>
      </c>
      <c r="M31" s="96"/>
      <c r="N31" s="95">
        <v>0</v>
      </c>
      <c r="O31" s="96"/>
    </row>
    <row r="32" spans="1:15" ht="30" x14ac:dyDescent="0.25">
      <c r="A32" s="423">
        <v>3</v>
      </c>
      <c r="B32" s="423"/>
      <c r="C32" s="89" t="s">
        <v>1032</v>
      </c>
      <c r="D32" s="95" t="s">
        <v>978</v>
      </c>
      <c r="E32" s="96"/>
      <c r="F32" s="95" t="s">
        <v>978</v>
      </c>
      <c r="G32" s="96"/>
      <c r="H32" s="95" t="s">
        <v>978</v>
      </c>
      <c r="I32" s="96"/>
      <c r="J32" s="95" t="s">
        <v>978</v>
      </c>
      <c r="K32" s="96"/>
      <c r="L32" s="95" t="s">
        <v>978</v>
      </c>
      <c r="M32" s="96"/>
      <c r="N32" s="95"/>
      <c r="O32" s="96"/>
    </row>
    <row r="33" spans="1:15" x14ac:dyDescent="0.25">
      <c r="A33" s="423">
        <v>2</v>
      </c>
      <c r="B33" s="423"/>
      <c r="C33" s="83" t="s">
        <v>1033</v>
      </c>
      <c r="D33" s="93">
        <v>6315.9417645000003</v>
      </c>
      <c r="E33" s="94"/>
      <c r="F33" s="93">
        <v>8141.3633839000004</v>
      </c>
      <c r="G33" s="94"/>
      <c r="H33" s="93">
        <v>8920.3270616000009</v>
      </c>
      <c r="I33" s="94" t="s">
        <v>1007</v>
      </c>
      <c r="J33" s="93">
        <v>8128.9133561999997</v>
      </c>
      <c r="K33" s="94"/>
      <c r="L33" s="93">
        <v>8648.9063105000005</v>
      </c>
      <c r="M33" s="94" t="s">
        <v>1007</v>
      </c>
      <c r="N33" s="93">
        <v>9993.7799837000002</v>
      </c>
      <c r="O33" s="94" t="s">
        <v>1007</v>
      </c>
    </row>
    <row r="34" spans="1:15" x14ac:dyDescent="0.25">
      <c r="A34" s="423">
        <v>3</v>
      </c>
      <c r="B34" s="423"/>
      <c r="C34" s="89" t="s">
        <v>1034</v>
      </c>
      <c r="D34" s="95">
        <v>5722.3690720000004</v>
      </c>
      <c r="E34" s="96"/>
      <c r="F34" s="95">
        <v>7561.0030227999996</v>
      </c>
      <c r="G34" s="96"/>
      <c r="H34" s="95">
        <v>8107.8413958000001</v>
      </c>
      <c r="I34" s="96" t="s">
        <v>1007</v>
      </c>
      <c r="J34" s="95">
        <v>7092.0371772999997</v>
      </c>
      <c r="K34" s="96"/>
      <c r="L34" s="95">
        <v>7730.9060172</v>
      </c>
      <c r="M34" s="96" t="s">
        <v>1007</v>
      </c>
      <c r="N34" s="95">
        <v>9092.3642541000008</v>
      </c>
      <c r="O34" s="96" t="s">
        <v>1007</v>
      </c>
    </row>
    <row r="35" spans="1:15" x14ac:dyDescent="0.25">
      <c r="A35" s="423">
        <v>3</v>
      </c>
      <c r="B35" s="423"/>
      <c r="C35" s="89" t="s">
        <v>1035</v>
      </c>
      <c r="D35" s="95">
        <v>593.57269245999998</v>
      </c>
      <c r="E35" s="96" t="s">
        <v>1007</v>
      </c>
      <c r="F35" s="95">
        <v>580.36036107999996</v>
      </c>
      <c r="G35" s="96" t="s">
        <v>1007</v>
      </c>
      <c r="H35" s="95">
        <v>812.48566574999995</v>
      </c>
      <c r="I35" s="96" t="s">
        <v>1007</v>
      </c>
      <c r="J35" s="95">
        <v>1036.8761789</v>
      </c>
      <c r="K35" s="96" t="s">
        <v>1007</v>
      </c>
      <c r="L35" s="95">
        <v>918.00029328000005</v>
      </c>
      <c r="M35" s="96" t="s">
        <v>1007</v>
      </c>
      <c r="N35" s="95"/>
      <c r="O35" s="96"/>
    </row>
    <row r="36" spans="1:15" x14ac:dyDescent="0.25">
      <c r="A36" s="423">
        <v>2</v>
      </c>
      <c r="B36" s="423"/>
      <c r="C36" s="83" t="s">
        <v>29</v>
      </c>
      <c r="D36" s="93">
        <v>2558.5771451999999</v>
      </c>
      <c r="E36" s="94" t="s">
        <v>1007</v>
      </c>
      <c r="F36" s="93">
        <v>2039.9986057000001</v>
      </c>
      <c r="G36" s="94"/>
      <c r="H36" s="93">
        <v>2145.0750756000002</v>
      </c>
      <c r="I36" s="94"/>
      <c r="J36" s="93">
        <v>2344.1511329999998</v>
      </c>
      <c r="K36" s="94"/>
      <c r="L36" s="93">
        <v>2619.2877027999998</v>
      </c>
      <c r="M36" s="94"/>
      <c r="N36" s="93">
        <v>2399.9538077000002</v>
      </c>
      <c r="O36" s="94"/>
    </row>
    <row r="37" spans="1:15" ht="45" x14ac:dyDescent="0.25">
      <c r="A37" s="423">
        <v>3</v>
      </c>
      <c r="B37" s="423"/>
      <c r="C37" s="89" t="s">
        <v>1036</v>
      </c>
      <c r="D37" s="95">
        <v>1934.0237440000001</v>
      </c>
      <c r="E37" s="96" t="s">
        <v>1011</v>
      </c>
      <c r="F37" s="95">
        <v>1177.5739343</v>
      </c>
      <c r="G37" s="96" t="s">
        <v>1007</v>
      </c>
      <c r="H37" s="95">
        <v>1227.9894663</v>
      </c>
      <c r="I37" s="96"/>
      <c r="J37" s="95">
        <v>1296.4176566000001</v>
      </c>
      <c r="K37" s="96"/>
      <c r="L37" s="95">
        <v>1640.1228240999999</v>
      </c>
      <c r="M37" s="96" t="s">
        <v>1007</v>
      </c>
      <c r="N37" s="95">
        <v>1598.1179626000001</v>
      </c>
      <c r="O37" s="96" t="s">
        <v>1007</v>
      </c>
    </row>
    <row r="38" spans="1:15" ht="30" x14ac:dyDescent="0.25">
      <c r="A38" s="423">
        <v>3</v>
      </c>
      <c r="B38" s="423"/>
      <c r="C38" s="89" t="s">
        <v>1037</v>
      </c>
      <c r="D38" s="95">
        <v>624.55340121999996</v>
      </c>
      <c r="E38" s="96"/>
      <c r="F38" s="95">
        <v>862.42467137000006</v>
      </c>
      <c r="G38" s="96"/>
      <c r="H38" s="95">
        <v>917.08560928999998</v>
      </c>
      <c r="I38" s="96"/>
      <c r="J38" s="95">
        <v>1047.7334764</v>
      </c>
      <c r="K38" s="96"/>
      <c r="L38" s="95">
        <v>979.16487871000004</v>
      </c>
      <c r="M38" s="96" t="s">
        <v>1007</v>
      </c>
      <c r="N38" s="95">
        <v>801.83584514999995</v>
      </c>
      <c r="O38" s="96" t="s">
        <v>1007</v>
      </c>
    </row>
    <row r="39" spans="1:15" x14ac:dyDescent="0.25">
      <c r="A39" s="423">
        <v>2</v>
      </c>
      <c r="B39" s="423"/>
      <c r="C39" s="83" t="s">
        <v>1038</v>
      </c>
      <c r="D39" s="93">
        <v>811.26993026000002</v>
      </c>
      <c r="E39" s="94" t="s">
        <v>1007</v>
      </c>
      <c r="F39" s="93">
        <v>1182.9903181</v>
      </c>
      <c r="G39" s="94" t="s">
        <v>1011</v>
      </c>
      <c r="H39" s="93">
        <v>1065.4338368000001</v>
      </c>
      <c r="I39" s="94" t="s">
        <v>1007</v>
      </c>
      <c r="J39" s="93">
        <v>1154.8392488</v>
      </c>
      <c r="K39" s="94" t="s">
        <v>1007</v>
      </c>
      <c r="L39" s="93">
        <v>894.39030547000004</v>
      </c>
      <c r="M39" s="94"/>
      <c r="N39" s="93">
        <v>959.91361686000005</v>
      </c>
      <c r="O39" s="94" t="s">
        <v>1007</v>
      </c>
    </row>
    <row r="40" spans="1:15" ht="30" x14ac:dyDescent="0.25">
      <c r="A40" s="423">
        <v>3</v>
      </c>
      <c r="B40" s="423"/>
      <c r="C40" s="89" t="s">
        <v>1039</v>
      </c>
      <c r="D40" s="95">
        <v>509.90088888999998</v>
      </c>
      <c r="E40" s="96" t="s">
        <v>1007</v>
      </c>
      <c r="F40" s="95" t="s">
        <v>978</v>
      </c>
      <c r="G40" s="96"/>
      <c r="H40" s="95">
        <v>511.43781505999999</v>
      </c>
      <c r="I40" s="96" t="s">
        <v>1011</v>
      </c>
      <c r="J40" s="95">
        <v>665.29323158</v>
      </c>
      <c r="K40" s="96" t="s">
        <v>1011</v>
      </c>
      <c r="L40" s="95">
        <v>362.03555828999998</v>
      </c>
      <c r="M40" s="96" t="s">
        <v>1011</v>
      </c>
      <c r="N40" s="95"/>
      <c r="O40" s="96"/>
    </row>
    <row r="41" spans="1:15" ht="30" x14ac:dyDescent="0.25">
      <c r="A41" s="423">
        <v>3</v>
      </c>
      <c r="B41" s="423"/>
      <c r="C41" s="89" t="s">
        <v>1040</v>
      </c>
      <c r="D41" s="95" t="s">
        <v>978</v>
      </c>
      <c r="E41" s="96"/>
      <c r="F41" s="95">
        <v>424.73717376000002</v>
      </c>
      <c r="G41" s="96" t="s">
        <v>1011</v>
      </c>
      <c r="H41" s="95">
        <v>553.99602169000002</v>
      </c>
      <c r="I41" s="96"/>
      <c r="J41" s="95">
        <v>489.54601718999999</v>
      </c>
      <c r="K41" s="96"/>
      <c r="L41" s="95">
        <v>532.35474718</v>
      </c>
      <c r="M41" s="96" t="s">
        <v>1007</v>
      </c>
      <c r="N41" s="95">
        <v>506.43779819000002</v>
      </c>
      <c r="O41" s="96" t="s">
        <v>1007</v>
      </c>
    </row>
    <row r="42" spans="1:15" x14ac:dyDescent="0.25">
      <c r="A42" s="423">
        <v>2</v>
      </c>
      <c r="B42" s="423"/>
      <c r="C42" s="83" t="s">
        <v>1041</v>
      </c>
      <c r="D42" s="93">
        <v>2261.4104130999999</v>
      </c>
      <c r="E42" s="94" t="s">
        <v>1007</v>
      </c>
      <c r="F42" s="93">
        <v>2396.4179297999999</v>
      </c>
      <c r="G42" s="94"/>
      <c r="H42" s="93">
        <v>3142.4956023</v>
      </c>
      <c r="I42" s="94" t="s">
        <v>1007</v>
      </c>
      <c r="J42" s="93">
        <v>2421.6316999000001</v>
      </c>
      <c r="K42" s="94"/>
      <c r="L42" s="93">
        <v>2380.9620243999998</v>
      </c>
      <c r="M42" s="94" t="s">
        <v>1007</v>
      </c>
      <c r="N42" s="93">
        <v>2549.5898001</v>
      </c>
      <c r="O42" s="94" t="s">
        <v>1007</v>
      </c>
    </row>
    <row r="43" spans="1:15" ht="30" x14ac:dyDescent="0.25">
      <c r="A43" s="423">
        <v>3</v>
      </c>
      <c r="B43" s="423"/>
      <c r="C43" s="89" t="s">
        <v>1042</v>
      </c>
      <c r="D43" s="95" t="s">
        <v>978</v>
      </c>
      <c r="E43" s="96"/>
      <c r="F43" s="95">
        <v>547.00725326999998</v>
      </c>
      <c r="G43" s="96" t="s">
        <v>1007</v>
      </c>
      <c r="H43" s="95" t="s">
        <v>978</v>
      </c>
      <c r="I43" s="96"/>
      <c r="J43" s="95">
        <v>529.09252019999997</v>
      </c>
      <c r="K43" s="96" t="s">
        <v>1011</v>
      </c>
      <c r="L43" s="95">
        <v>371.58048239999999</v>
      </c>
      <c r="M43" s="96" t="s">
        <v>1011</v>
      </c>
      <c r="N43" s="95"/>
      <c r="O43" s="96"/>
    </row>
    <row r="44" spans="1:15" ht="45" x14ac:dyDescent="0.25">
      <c r="A44" s="423">
        <v>3</v>
      </c>
      <c r="B44" s="423"/>
      <c r="C44" s="89" t="s">
        <v>1043</v>
      </c>
      <c r="D44" s="95">
        <v>374.44962599000002</v>
      </c>
      <c r="E44" s="96" t="s">
        <v>1007</v>
      </c>
      <c r="F44" s="95">
        <v>241.37575013</v>
      </c>
      <c r="G44" s="96" t="s">
        <v>1007</v>
      </c>
      <c r="H44" s="95" t="s">
        <v>978</v>
      </c>
      <c r="I44" s="96"/>
      <c r="J44" s="95">
        <v>212.85685107</v>
      </c>
      <c r="K44" s="96" t="s">
        <v>1007</v>
      </c>
      <c r="L44" s="95" t="s">
        <v>978</v>
      </c>
      <c r="M44" s="96"/>
      <c r="N44" s="95"/>
      <c r="O44" s="96"/>
    </row>
    <row r="45" spans="1:15" x14ac:dyDescent="0.25">
      <c r="A45" s="423">
        <v>3</v>
      </c>
      <c r="B45" s="423"/>
      <c r="C45" s="89" t="s">
        <v>1044</v>
      </c>
      <c r="D45" s="95">
        <v>1131.5846222</v>
      </c>
      <c r="E45" s="96"/>
      <c r="F45" s="95">
        <v>1115.233839</v>
      </c>
      <c r="G45" s="96"/>
      <c r="H45" s="95">
        <v>1069.8014481</v>
      </c>
      <c r="I45" s="96" t="s">
        <v>1007</v>
      </c>
      <c r="J45" s="95">
        <v>1531.1157888</v>
      </c>
      <c r="K45" s="96"/>
      <c r="L45" s="95">
        <v>1340.8215183</v>
      </c>
      <c r="M45" s="96" t="s">
        <v>1007</v>
      </c>
      <c r="N45" s="95">
        <v>1327.7264680000001</v>
      </c>
      <c r="O45" s="96"/>
    </row>
    <row r="46" spans="1:15" ht="30" x14ac:dyDescent="0.25">
      <c r="A46" s="423">
        <v>3</v>
      </c>
      <c r="B46" s="423"/>
      <c r="C46" s="89" t="s">
        <v>1045</v>
      </c>
      <c r="D46" s="95">
        <v>134.76194516000001</v>
      </c>
      <c r="E46" s="96" t="s">
        <v>1011</v>
      </c>
      <c r="F46" s="95" t="s">
        <v>978</v>
      </c>
      <c r="G46" s="96"/>
      <c r="H46" s="95" t="s">
        <v>978</v>
      </c>
      <c r="I46" s="96"/>
      <c r="J46" s="95" t="s">
        <v>978</v>
      </c>
      <c r="K46" s="96"/>
      <c r="L46" s="95" t="s">
        <v>978</v>
      </c>
      <c r="M46" s="96"/>
      <c r="N46" s="95"/>
      <c r="O46" s="96"/>
    </row>
    <row r="47" spans="1:15" x14ac:dyDescent="0.25">
      <c r="A47" s="423">
        <v>2</v>
      </c>
      <c r="B47" s="423"/>
      <c r="C47" s="83" t="s">
        <v>1046</v>
      </c>
      <c r="D47" s="93">
        <v>707.64470061999998</v>
      </c>
      <c r="E47" s="94" t="s">
        <v>1007</v>
      </c>
      <c r="F47" s="93">
        <v>1105.7081114</v>
      </c>
      <c r="G47" s="94" t="s">
        <v>1007</v>
      </c>
      <c r="H47" s="93">
        <v>926.89602950999995</v>
      </c>
      <c r="I47" s="94" t="s">
        <v>1007</v>
      </c>
      <c r="J47" s="93">
        <v>911.62406672999998</v>
      </c>
      <c r="K47" s="94" t="s">
        <v>1007</v>
      </c>
      <c r="L47" s="93">
        <v>1041.2665297000001</v>
      </c>
      <c r="M47" s="94" t="s">
        <v>1007</v>
      </c>
      <c r="N47" s="93">
        <v>1319.8425689000001</v>
      </c>
      <c r="O47" s="94" t="s">
        <v>1011</v>
      </c>
    </row>
    <row r="48" spans="1:15" x14ac:dyDescent="0.25">
      <c r="A48" s="423">
        <v>3</v>
      </c>
      <c r="B48" s="423"/>
      <c r="C48" s="89" t="s">
        <v>376</v>
      </c>
      <c r="D48" s="95">
        <v>687.19871135000005</v>
      </c>
      <c r="E48" s="96" t="s">
        <v>1007</v>
      </c>
      <c r="F48" s="95">
        <v>1073.7730907</v>
      </c>
      <c r="G48" s="96" t="s">
        <v>1007</v>
      </c>
      <c r="H48" s="95">
        <v>859.14921087000005</v>
      </c>
      <c r="I48" s="96" t="s">
        <v>1007</v>
      </c>
      <c r="J48" s="95">
        <v>903.80420914000001</v>
      </c>
      <c r="K48" s="96" t="s">
        <v>1007</v>
      </c>
      <c r="L48" s="95">
        <v>727.44527212000003</v>
      </c>
      <c r="M48" s="96" t="s">
        <v>1011</v>
      </c>
      <c r="N48" s="95">
        <v>1062.6307684999999</v>
      </c>
      <c r="O48" s="96" t="s">
        <v>1011</v>
      </c>
    </row>
    <row r="49" spans="1:15" ht="30" x14ac:dyDescent="0.25">
      <c r="A49" s="423">
        <v>3</v>
      </c>
      <c r="B49" s="423"/>
      <c r="C49" s="89" t="s">
        <v>1047</v>
      </c>
      <c r="D49" s="95" t="s">
        <v>978</v>
      </c>
      <c r="E49" s="96"/>
      <c r="F49" s="95" t="s">
        <v>978</v>
      </c>
      <c r="G49" s="96"/>
      <c r="H49" s="95" t="s">
        <v>978</v>
      </c>
      <c r="I49" s="96"/>
      <c r="J49" s="95" t="s">
        <v>978</v>
      </c>
      <c r="K49" s="96"/>
      <c r="L49" s="95">
        <v>313.82125758000001</v>
      </c>
      <c r="M49" s="96" t="s">
        <v>1011</v>
      </c>
      <c r="N49" s="95">
        <v>257.21180041000002</v>
      </c>
      <c r="O49" s="96" t="s">
        <v>1011</v>
      </c>
    </row>
    <row r="50" spans="1:15" ht="30" x14ac:dyDescent="0.25">
      <c r="A50" s="423">
        <v>2</v>
      </c>
      <c r="B50" s="423"/>
      <c r="C50" s="83" t="s">
        <v>1048</v>
      </c>
      <c r="D50" s="93" t="s">
        <v>978</v>
      </c>
      <c r="E50" s="94"/>
      <c r="F50" s="93">
        <v>317.98519814000002</v>
      </c>
      <c r="G50" s="94" t="s">
        <v>1011</v>
      </c>
      <c r="H50" s="93" t="s">
        <v>978</v>
      </c>
      <c r="I50" s="94"/>
      <c r="J50" s="93" t="s">
        <v>978</v>
      </c>
      <c r="K50" s="94"/>
      <c r="L50" s="93" t="s">
        <v>978</v>
      </c>
      <c r="M50" s="94"/>
      <c r="N50" s="93"/>
      <c r="O50" s="94"/>
    </row>
    <row r="51" spans="1:15" x14ac:dyDescent="0.25">
      <c r="A51" s="423">
        <v>3</v>
      </c>
      <c r="B51" s="423"/>
      <c r="C51" s="89" t="s">
        <v>1049</v>
      </c>
      <c r="D51" s="95" t="s">
        <v>978</v>
      </c>
      <c r="E51" s="96"/>
      <c r="F51" s="95" t="s">
        <v>978</v>
      </c>
      <c r="G51" s="96"/>
      <c r="H51" s="95" t="s">
        <v>978</v>
      </c>
      <c r="I51" s="96"/>
      <c r="J51" s="95" t="s">
        <v>978</v>
      </c>
      <c r="K51" s="96"/>
      <c r="L51" s="95">
        <v>0</v>
      </c>
      <c r="M51" s="96"/>
      <c r="N51" s="95"/>
      <c r="O51" s="96"/>
    </row>
    <row r="52" spans="1:15" ht="45" x14ac:dyDescent="0.25">
      <c r="A52" s="423">
        <v>3</v>
      </c>
      <c r="B52" s="423"/>
      <c r="C52" s="89" t="s">
        <v>1050</v>
      </c>
      <c r="D52" s="95" t="s">
        <v>978</v>
      </c>
      <c r="E52" s="96"/>
      <c r="F52" s="95" t="s">
        <v>978</v>
      </c>
      <c r="G52" s="96"/>
      <c r="H52" s="95" t="s">
        <v>978</v>
      </c>
      <c r="I52" s="96"/>
      <c r="J52" s="95" t="s">
        <v>978</v>
      </c>
      <c r="K52" s="96"/>
      <c r="L52" s="95">
        <v>0</v>
      </c>
      <c r="M52" s="96"/>
      <c r="N52" s="95"/>
      <c r="O52" s="96"/>
    </row>
    <row r="53" spans="1:15" ht="45" x14ac:dyDescent="0.25">
      <c r="A53" s="423">
        <v>3</v>
      </c>
      <c r="B53" s="423"/>
      <c r="C53" s="89" t="s">
        <v>1051</v>
      </c>
      <c r="D53" s="95" t="s">
        <v>978</v>
      </c>
      <c r="E53" s="96"/>
      <c r="F53" s="95" t="s">
        <v>978</v>
      </c>
      <c r="G53" s="96"/>
      <c r="H53" s="95" t="s">
        <v>978</v>
      </c>
      <c r="I53" s="96"/>
      <c r="J53" s="95" t="s">
        <v>978</v>
      </c>
      <c r="K53" s="96"/>
      <c r="L53" s="95">
        <v>48.984111480999999</v>
      </c>
      <c r="M53" s="96" t="s">
        <v>1011</v>
      </c>
      <c r="N53" s="95">
        <v>75.082597475</v>
      </c>
      <c r="O53" s="96" t="s">
        <v>1011</v>
      </c>
    </row>
    <row r="54" spans="1:15" ht="60" x14ac:dyDescent="0.25">
      <c r="A54" s="423">
        <v>3</v>
      </c>
      <c r="B54" s="423"/>
      <c r="C54" s="89" t="s">
        <v>1052</v>
      </c>
      <c r="D54" s="95" t="s">
        <v>978</v>
      </c>
      <c r="E54" s="96"/>
      <c r="F54" s="95" t="s">
        <v>978</v>
      </c>
      <c r="G54" s="96"/>
      <c r="H54" s="95" t="s">
        <v>978</v>
      </c>
      <c r="I54" s="96"/>
      <c r="J54" s="95">
        <v>0</v>
      </c>
      <c r="K54" s="96"/>
      <c r="L54" s="95" t="s">
        <v>978</v>
      </c>
      <c r="M54" s="96"/>
      <c r="N54" s="95"/>
      <c r="O54" s="96"/>
    </row>
    <row r="55" spans="1:15" ht="60" x14ac:dyDescent="0.25">
      <c r="A55" s="423">
        <v>3</v>
      </c>
      <c r="B55" s="423"/>
      <c r="C55" s="89" t="s">
        <v>1053</v>
      </c>
      <c r="D55" s="95" t="s">
        <v>978</v>
      </c>
      <c r="E55" s="96"/>
      <c r="F55" s="95" t="s">
        <v>978</v>
      </c>
      <c r="G55" s="96"/>
      <c r="H55" s="95">
        <v>0</v>
      </c>
      <c r="I55" s="96"/>
      <c r="J55" s="95" t="s">
        <v>978</v>
      </c>
      <c r="K55" s="96"/>
      <c r="L55" s="95" t="s">
        <v>978</v>
      </c>
      <c r="M55" s="96"/>
      <c r="N55" s="95"/>
      <c r="O55" s="96"/>
    </row>
    <row r="56" spans="1:15" ht="30" x14ac:dyDescent="0.25">
      <c r="A56" s="423">
        <v>2</v>
      </c>
      <c r="B56" s="423"/>
      <c r="C56" s="83" t="s">
        <v>1054</v>
      </c>
      <c r="D56" s="93">
        <v>840.37863517999995</v>
      </c>
      <c r="E56" s="94" t="s">
        <v>1007</v>
      </c>
      <c r="F56" s="93">
        <v>1342.2490193000001</v>
      </c>
      <c r="G56" s="94" t="s">
        <v>1007</v>
      </c>
      <c r="H56" s="93">
        <v>1400.7835113000001</v>
      </c>
      <c r="I56" s="94" t="s">
        <v>1007</v>
      </c>
      <c r="J56" s="93">
        <v>1366.2456473</v>
      </c>
      <c r="K56" s="94" t="s">
        <v>1011</v>
      </c>
      <c r="L56" s="93" t="s">
        <v>978</v>
      </c>
      <c r="M56" s="94"/>
      <c r="N56" s="93">
        <v>1107.4834321000001</v>
      </c>
      <c r="O56" s="94" t="s">
        <v>1007</v>
      </c>
    </row>
    <row r="57" spans="1:15" ht="30" x14ac:dyDescent="0.25">
      <c r="A57" s="423">
        <v>3</v>
      </c>
      <c r="B57" s="423"/>
      <c r="C57" s="89" t="s">
        <v>1055</v>
      </c>
      <c r="D57" s="95">
        <v>294.75694357999998</v>
      </c>
      <c r="E57" s="96" t="s">
        <v>1007</v>
      </c>
      <c r="F57" s="95">
        <v>266.00878884000002</v>
      </c>
      <c r="G57" s="96" t="s">
        <v>1011</v>
      </c>
      <c r="H57" s="95" t="s">
        <v>978</v>
      </c>
      <c r="I57" s="96"/>
      <c r="J57" s="95" t="s">
        <v>978</v>
      </c>
      <c r="K57" s="96"/>
      <c r="L57" s="95" t="s">
        <v>978</v>
      </c>
      <c r="M57" s="96"/>
      <c r="N57" s="95"/>
      <c r="O57" s="96"/>
    </row>
    <row r="58" spans="1:15" x14ac:dyDescent="0.25">
      <c r="A58" s="423">
        <v>3</v>
      </c>
      <c r="B58" s="423"/>
      <c r="C58" s="89" t="s">
        <v>1056</v>
      </c>
      <c r="D58" s="95">
        <v>545.62169159999996</v>
      </c>
      <c r="E58" s="96" t="s">
        <v>1007</v>
      </c>
      <c r="F58" s="95">
        <v>1076.2402305000001</v>
      </c>
      <c r="G58" s="96" t="s">
        <v>1011</v>
      </c>
      <c r="H58" s="95">
        <v>1062.5827819000001</v>
      </c>
      <c r="I58" s="96" t="s">
        <v>1007</v>
      </c>
      <c r="J58" s="95">
        <v>986.33936140000003</v>
      </c>
      <c r="K58" s="96" t="s">
        <v>1011</v>
      </c>
      <c r="L58" s="95" t="s">
        <v>978</v>
      </c>
      <c r="M58" s="96"/>
      <c r="N58" s="95"/>
      <c r="O58" s="96"/>
    </row>
    <row r="59" spans="1:15" x14ac:dyDescent="0.25">
      <c r="A59" s="423">
        <v>2</v>
      </c>
      <c r="B59" s="423"/>
      <c r="C59" s="83" t="s">
        <v>1057</v>
      </c>
      <c r="D59" s="93">
        <v>67.035549270000004</v>
      </c>
      <c r="E59" s="94" t="s">
        <v>1011</v>
      </c>
      <c r="F59" s="93" t="s">
        <v>978</v>
      </c>
      <c r="G59" s="94"/>
      <c r="H59" s="93" t="s">
        <v>978</v>
      </c>
      <c r="I59" s="94"/>
      <c r="J59" s="93" t="s">
        <v>978</v>
      </c>
      <c r="K59" s="94"/>
      <c r="L59" s="93" t="s">
        <v>978</v>
      </c>
      <c r="M59" s="94"/>
      <c r="N59" s="93"/>
      <c r="O59" s="94"/>
    </row>
    <row r="60" spans="1:15" ht="45" x14ac:dyDescent="0.25">
      <c r="A60" s="423">
        <v>3</v>
      </c>
      <c r="B60" s="423"/>
      <c r="C60" s="89" t="s">
        <v>1058</v>
      </c>
      <c r="D60" s="95">
        <v>57.291117673000002</v>
      </c>
      <c r="E60" s="96" t="s">
        <v>1011</v>
      </c>
      <c r="F60" s="95" t="s">
        <v>978</v>
      </c>
      <c r="G60" s="96"/>
      <c r="H60" s="95" t="s">
        <v>978</v>
      </c>
      <c r="I60" s="96"/>
      <c r="J60" s="95" t="s">
        <v>978</v>
      </c>
      <c r="K60" s="96"/>
      <c r="L60" s="95" t="s">
        <v>978</v>
      </c>
      <c r="M60" s="96"/>
      <c r="N60" s="95"/>
      <c r="O60" s="96"/>
    </row>
    <row r="61" spans="1:15" x14ac:dyDescent="0.25">
      <c r="A61" s="423">
        <v>3</v>
      </c>
      <c r="B61" s="423"/>
      <c r="C61" s="89" t="s">
        <v>1059</v>
      </c>
      <c r="D61" s="95" t="s">
        <v>978</v>
      </c>
      <c r="E61" s="96"/>
      <c r="F61" s="95">
        <v>0</v>
      </c>
      <c r="G61" s="96"/>
      <c r="H61" s="95">
        <v>0</v>
      </c>
      <c r="I61" s="96"/>
      <c r="J61" s="95">
        <v>0</v>
      </c>
      <c r="K61" s="96"/>
      <c r="L61" s="95">
        <v>0</v>
      </c>
      <c r="M61" s="96"/>
      <c r="N61" s="95">
        <v>0</v>
      </c>
      <c r="O61" s="96"/>
    </row>
    <row r="62" spans="1:15" x14ac:dyDescent="0.25">
      <c r="A62" s="423">
        <v>2</v>
      </c>
      <c r="B62" s="423"/>
      <c r="C62" s="83" t="s">
        <v>1060</v>
      </c>
      <c r="D62" s="93">
        <v>1086.7911177000001</v>
      </c>
      <c r="E62" s="94" t="s">
        <v>1007</v>
      </c>
      <c r="F62" s="93">
        <v>1803.3266655</v>
      </c>
      <c r="G62" s="94" t="s">
        <v>1007</v>
      </c>
      <c r="H62" s="93">
        <v>990.51304791999996</v>
      </c>
      <c r="I62" s="94"/>
      <c r="J62" s="93">
        <v>1874.6309163999999</v>
      </c>
      <c r="K62" s="94" t="s">
        <v>1007</v>
      </c>
      <c r="L62" s="93">
        <v>1324.2285253</v>
      </c>
      <c r="M62" s="94" t="s">
        <v>1007</v>
      </c>
      <c r="N62" s="93">
        <v>1897.8785212</v>
      </c>
      <c r="O62" s="94" t="s">
        <v>1011</v>
      </c>
    </row>
    <row r="63" spans="1:15" x14ac:dyDescent="0.25">
      <c r="A63" s="423">
        <v>3</v>
      </c>
      <c r="B63" s="423"/>
      <c r="C63" s="89" t="s">
        <v>1061</v>
      </c>
      <c r="D63" s="95">
        <v>220.30767478000001</v>
      </c>
      <c r="E63" s="96" t="s">
        <v>1011</v>
      </c>
      <c r="F63" s="95" t="s">
        <v>978</v>
      </c>
      <c r="G63" s="96"/>
      <c r="H63" s="95">
        <v>268.28605264999999</v>
      </c>
      <c r="I63" s="96"/>
      <c r="J63" s="95">
        <v>619.16956765999998</v>
      </c>
      <c r="K63" s="96" t="s">
        <v>1007</v>
      </c>
      <c r="L63" s="95">
        <v>390.09130988999999</v>
      </c>
      <c r="M63" s="96" t="s">
        <v>1007</v>
      </c>
      <c r="N63" s="95">
        <v>557.02002801000003</v>
      </c>
      <c r="O63" s="96" t="s">
        <v>1011</v>
      </c>
    </row>
    <row r="64" spans="1:15" ht="30" x14ac:dyDescent="0.25">
      <c r="A64" s="423">
        <v>3</v>
      </c>
      <c r="B64" s="423"/>
      <c r="C64" s="89" t="s">
        <v>1062</v>
      </c>
      <c r="D64" s="95">
        <v>866.48344297000006</v>
      </c>
      <c r="E64" s="96" t="s">
        <v>1011</v>
      </c>
      <c r="F64" s="95">
        <v>1273.8227703</v>
      </c>
      <c r="G64" s="96" t="s">
        <v>1011</v>
      </c>
      <c r="H64" s="95">
        <v>722.22699525999997</v>
      </c>
      <c r="I64" s="96" t="s">
        <v>1007</v>
      </c>
      <c r="J64" s="95">
        <v>1255.4613488</v>
      </c>
      <c r="K64" s="96" t="s">
        <v>1007</v>
      </c>
      <c r="L64" s="95">
        <v>934.13721543999998</v>
      </c>
      <c r="M64" s="96" t="s">
        <v>1011</v>
      </c>
      <c r="N64" s="95"/>
      <c r="O64" s="96"/>
    </row>
    <row r="65" spans="1:15" x14ac:dyDescent="0.25">
      <c r="A65" s="423">
        <v>1</v>
      </c>
      <c r="B65" s="423"/>
      <c r="C65" s="82" t="s">
        <v>1063</v>
      </c>
      <c r="D65" s="91">
        <v>4143.8699587000001</v>
      </c>
      <c r="E65" s="92"/>
      <c r="F65" s="91">
        <v>6917.1706749000004</v>
      </c>
      <c r="G65" s="92" t="s">
        <v>1007</v>
      </c>
      <c r="H65" s="91">
        <v>7379.2386741</v>
      </c>
      <c r="I65" s="92"/>
      <c r="J65" s="91">
        <v>9079.1008082000008</v>
      </c>
      <c r="K65" s="92" t="s">
        <v>1007</v>
      </c>
      <c r="L65" s="91">
        <v>11738.067338999999</v>
      </c>
      <c r="M65" s="92" t="s">
        <v>1011</v>
      </c>
      <c r="N65" s="91">
        <v>9498.2513849000006</v>
      </c>
      <c r="O65" s="92" t="s">
        <v>1007</v>
      </c>
    </row>
    <row r="66" spans="1:15" ht="75" x14ac:dyDescent="0.25">
      <c r="A66" s="423">
        <v>1</v>
      </c>
      <c r="B66" s="423"/>
      <c r="C66" s="82" t="s">
        <v>1064</v>
      </c>
      <c r="D66" s="91">
        <v>2502.7922419000001</v>
      </c>
      <c r="E66" s="92"/>
      <c r="F66" s="91">
        <v>3378.9784396</v>
      </c>
      <c r="G66" s="92"/>
      <c r="H66" s="91">
        <v>3707.4634341999999</v>
      </c>
      <c r="I66" s="92"/>
      <c r="J66" s="91">
        <v>4032.5026498000002</v>
      </c>
      <c r="K66" s="92"/>
      <c r="L66" s="91">
        <v>3446.6056023000001</v>
      </c>
      <c r="M66" s="92"/>
      <c r="N66" s="91">
        <v>4788.4940144000002</v>
      </c>
      <c r="O66" s="92"/>
    </row>
    <row r="67" spans="1:15" ht="45" x14ac:dyDescent="0.25">
      <c r="A67" s="423">
        <v>2</v>
      </c>
      <c r="B67" s="423"/>
      <c r="C67" s="84" t="s">
        <v>1065</v>
      </c>
      <c r="D67" s="97">
        <v>332.37386801000002</v>
      </c>
      <c r="E67" s="98"/>
      <c r="F67" s="97">
        <v>565.94587376000004</v>
      </c>
      <c r="G67" s="98"/>
      <c r="H67" s="97">
        <v>654.82630978999998</v>
      </c>
      <c r="I67" s="98"/>
      <c r="J67" s="97">
        <v>657.27966598</v>
      </c>
      <c r="K67" s="98"/>
      <c r="L67" s="97">
        <v>632.19744963999995</v>
      </c>
      <c r="M67" s="98"/>
      <c r="N67" s="97">
        <v>740.49007358999995</v>
      </c>
      <c r="O67" s="98"/>
    </row>
    <row r="68" spans="1:15" ht="45" x14ac:dyDescent="0.25">
      <c r="A68" s="423">
        <v>2</v>
      </c>
      <c r="B68" s="423"/>
      <c r="C68" s="84" t="s">
        <v>1066</v>
      </c>
      <c r="D68" s="97">
        <v>1748.5540338999999</v>
      </c>
      <c r="E68" s="98"/>
      <c r="F68" s="97">
        <v>2269.3735127999998</v>
      </c>
      <c r="G68" s="98"/>
      <c r="H68" s="97">
        <v>2709.9426294999998</v>
      </c>
      <c r="I68" s="98"/>
      <c r="J68" s="97">
        <v>2626.8112408000002</v>
      </c>
      <c r="K68" s="98"/>
      <c r="L68" s="97">
        <v>2450.9192272</v>
      </c>
      <c r="M68" s="98"/>
      <c r="N68" s="97">
        <v>3499.3400492000001</v>
      </c>
      <c r="O68" s="98"/>
    </row>
    <row r="69" spans="1:15" ht="45" x14ac:dyDescent="0.25">
      <c r="A69" s="423">
        <v>2</v>
      </c>
      <c r="B69" s="423"/>
      <c r="C69" s="84" t="s">
        <v>1067</v>
      </c>
      <c r="D69" s="97" t="s">
        <v>978</v>
      </c>
      <c r="E69" s="98"/>
      <c r="F69" s="97" t="s">
        <v>978</v>
      </c>
      <c r="G69" s="98"/>
      <c r="H69" s="97" t="s">
        <v>978</v>
      </c>
      <c r="I69" s="98"/>
      <c r="J69" s="97" t="s">
        <v>978</v>
      </c>
      <c r="K69" s="98"/>
      <c r="L69" s="97" t="s">
        <v>978</v>
      </c>
      <c r="M69" s="98"/>
      <c r="N69" s="97"/>
      <c r="O69" s="98"/>
    </row>
    <row r="70" spans="1:15" ht="60" x14ac:dyDescent="0.25">
      <c r="A70" s="423">
        <v>2</v>
      </c>
      <c r="B70" s="423"/>
      <c r="C70" s="84" t="s">
        <v>1068</v>
      </c>
      <c r="D70" s="97">
        <v>337.39625611000002</v>
      </c>
      <c r="E70" s="98" t="s">
        <v>1007</v>
      </c>
      <c r="F70" s="97">
        <v>475.7137462</v>
      </c>
      <c r="G70" s="98" t="s">
        <v>1007</v>
      </c>
      <c r="H70" s="97">
        <v>318.60252439999999</v>
      </c>
      <c r="I70" s="98" t="s">
        <v>1007</v>
      </c>
      <c r="J70" s="97">
        <v>742.03655430000003</v>
      </c>
      <c r="K70" s="98" t="s">
        <v>1007</v>
      </c>
      <c r="L70" s="97">
        <v>349.45246567999999</v>
      </c>
      <c r="M70" s="98" t="s">
        <v>1007</v>
      </c>
      <c r="N70" s="97">
        <v>464.52349544999998</v>
      </c>
      <c r="O70" s="98" t="s">
        <v>1007</v>
      </c>
    </row>
    <row r="71" spans="1:15" ht="45" x14ac:dyDescent="0.25">
      <c r="A71" s="423">
        <v>1</v>
      </c>
      <c r="B71" s="423"/>
      <c r="C71" s="85" t="s">
        <v>1069</v>
      </c>
      <c r="D71" s="99">
        <v>295.08050362</v>
      </c>
      <c r="E71" s="100" t="s">
        <v>1007</v>
      </c>
      <c r="F71" s="99" t="s">
        <v>978</v>
      </c>
      <c r="G71" s="100"/>
      <c r="H71" s="99">
        <v>544.14988466</v>
      </c>
      <c r="I71" s="100" t="s">
        <v>1011</v>
      </c>
      <c r="J71" s="99">
        <v>370.10811079000001</v>
      </c>
      <c r="K71" s="100" t="s">
        <v>1011</v>
      </c>
      <c r="L71" s="99" t="s">
        <v>978</v>
      </c>
      <c r="M71" s="100"/>
      <c r="N71" s="99">
        <v>560.61386483000001</v>
      </c>
      <c r="O71" s="100" t="s">
        <v>1011</v>
      </c>
    </row>
    <row r="72" spans="1:15" ht="30" x14ac:dyDescent="0.25">
      <c r="A72" s="423">
        <v>2</v>
      </c>
      <c r="B72" s="423"/>
      <c r="C72" s="84" t="s">
        <v>1070</v>
      </c>
      <c r="D72" s="97">
        <v>172.07828766</v>
      </c>
      <c r="E72" s="98" t="s">
        <v>1011</v>
      </c>
      <c r="F72" s="97" t="s">
        <v>978</v>
      </c>
      <c r="G72" s="98"/>
      <c r="H72" s="97" t="s">
        <v>978</v>
      </c>
      <c r="I72" s="98"/>
      <c r="J72" s="97" t="s">
        <v>978</v>
      </c>
      <c r="K72" s="98"/>
      <c r="L72" s="97" t="s">
        <v>978</v>
      </c>
      <c r="M72" s="98"/>
      <c r="N72" s="97">
        <v>448.33243856000001</v>
      </c>
      <c r="O72" s="98" t="s">
        <v>1011</v>
      </c>
    </row>
    <row r="73" spans="1:15" ht="45" x14ac:dyDescent="0.25">
      <c r="A73" s="423">
        <v>3</v>
      </c>
      <c r="B73" s="423"/>
      <c r="C73" s="89" t="s">
        <v>1071</v>
      </c>
      <c r="D73" s="95">
        <v>97.428191561000006</v>
      </c>
      <c r="E73" s="96" t="s">
        <v>1011</v>
      </c>
      <c r="F73" s="95" t="s">
        <v>978</v>
      </c>
      <c r="G73" s="96"/>
      <c r="H73" s="95" t="s">
        <v>978</v>
      </c>
      <c r="I73" s="96"/>
      <c r="J73" s="95" t="s">
        <v>978</v>
      </c>
      <c r="K73" s="96"/>
      <c r="L73" s="95" t="s">
        <v>978</v>
      </c>
      <c r="M73" s="96"/>
      <c r="N73" s="95">
        <v>178.42630036</v>
      </c>
      <c r="O73" s="96" t="s">
        <v>1007</v>
      </c>
    </row>
    <row r="74" spans="1:15" ht="60" x14ac:dyDescent="0.25">
      <c r="A74" s="423">
        <v>3</v>
      </c>
      <c r="B74" s="423"/>
      <c r="C74" s="89" t="s">
        <v>1072</v>
      </c>
      <c r="D74" s="95" t="s">
        <v>978</v>
      </c>
      <c r="E74" s="96"/>
      <c r="F74" s="95" t="s">
        <v>978</v>
      </c>
      <c r="G74" s="96"/>
      <c r="H74" s="95" t="s">
        <v>978</v>
      </c>
      <c r="I74" s="96"/>
      <c r="J74" s="95" t="s">
        <v>978</v>
      </c>
      <c r="K74" s="96"/>
      <c r="L74" s="95" t="s">
        <v>978</v>
      </c>
      <c r="M74" s="96"/>
      <c r="N74" s="95"/>
      <c r="O74" s="96"/>
    </row>
    <row r="75" spans="1:15" x14ac:dyDescent="0.25">
      <c r="A75" s="423">
        <v>3</v>
      </c>
      <c r="B75" s="423"/>
      <c r="C75" s="89" t="s">
        <v>1073</v>
      </c>
      <c r="D75" s="95" t="s">
        <v>978</v>
      </c>
      <c r="E75" s="96"/>
      <c r="F75" s="95" t="s">
        <v>978</v>
      </c>
      <c r="G75" s="96"/>
      <c r="H75" s="95" t="s">
        <v>978</v>
      </c>
      <c r="I75" s="96"/>
      <c r="J75" s="95" t="s">
        <v>978</v>
      </c>
      <c r="K75" s="96"/>
      <c r="L75" s="95" t="s">
        <v>978</v>
      </c>
      <c r="M75" s="101"/>
      <c r="N75" s="95"/>
      <c r="O75" s="101"/>
    </row>
    <row r="76" spans="1:15" ht="15.75" thickBot="1" x14ac:dyDescent="0.3">
      <c r="A76" s="423">
        <v>2</v>
      </c>
      <c r="B76" s="423"/>
      <c r="C76" s="86" t="s">
        <v>1074</v>
      </c>
      <c r="D76" s="102">
        <v>123.00221596</v>
      </c>
      <c r="E76" s="103" t="s">
        <v>1011</v>
      </c>
      <c r="F76" s="102">
        <v>87.681372400000001</v>
      </c>
      <c r="G76" s="103" t="s">
        <v>1007</v>
      </c>
      <c r="H76" s="102">
        <v>111.87319307999999</v>
      </c>
      <c r="I76" s="103" t="s">
        <v>1007</v>
      </c>
      <c r="J76" s="102" t="s">
        <v>978</v>
      </c>
      <c r="K76" s="103"/>
      <c r="L76" s="102" t="s">
        <v>978</v>
      </c>
      <c r="M76" s="96"/>
      <c r="N76" s="102"/>
      <c r="O76" s="96"/>
    </row>
    <row r="77" spans="1:15" x14ac:dyDescent="0.25">
      <c r="A77" s="7"/>
      <c r="B77" s="7"/>
      <c r="C77" s="104" t="s">
        <v>1075</v>
      </c>
      <c r="D77" s="105"/>
      <c r="E77" s="105"/>
      <c r="F77" s="105"/>
      <c r="G77" s="105"/>
      <c r="H77" s="105"/>
      <c r="I77" s="105"/>
      <c r="J77" s="105"/>
      <c r="K77" s="105"/>
      <c r="L77" s="105"/>
      <c r="M77" s="105"/>
      <c r="N77" s="7"/>
      <c r="O77" s="7"/>
    </row>
    <row r="78" spans="1:15" x14ac:dyDescent="0.25">
      <c r="C78" s="90" t="s">
        <v>1076</v>
      </c>
      <c r="D78" s="27"/>
      <c r="E78" s="27"/>
      <c r="F78" s="27"/>
      <c r="G78" s="27"/>
      <c r="H78" s="27"/>
      <c r="I78" s="27"/>
      <c r="J78" s="27"/>
      <c r="K78" s="27"/>
      <c r="L78" s="27"/>
      <c r="M78" s="27"/>
    </row>
    <row r="79" spans="1:15" x14ac:dyDescent="0.25">
      <c r="C79" s="90" t="s">
        <v>1077</v>
      </c>
      <c r="D79" s="27"/>
      <c r="E79" s="27"/>
      <c r="F79" s="27"/>
      <c r="G79" s="27"/>
      <c r="H79" s="27"/>
      <c r="I79" s="27"/>
      <c r="J79" s="27"/>
      <c r="K79" s="27"/>
      <c r="L79" s="27"/>
      <c r="M79" s="27"/>
    </row>
    <row r="80" spans="1:15" x14ac:dyDescent="0.25">
      <c r="C80" s="478" t="s">
        <v>1078</v>
      </c>
      <c r="D80" s="478"/>
      <c r="E80" s="478"/>
      <c r="F80" s="478"/>
      <c r="G80" s="478"/>
      <c r="H80" s="478"/>
      <c r="I80" s="478"/>
      <c r="J80" s="478"/>
      <c r="K80" s="478"/>
      <c r="L80" s="478"/>
      <c r="M80" s="478"/>
      <c r="N80" s="478"/>
      <c r="O80" s="478"/>
    </row>
    <row r="81" spans="3:15" x14ac:dyDescent="0.25">
      <c r="C81" s="479" t="s">
        <v>1079</v>
      </c>
      <c r="D81" s="479"/>
      <c r="E81" s="479"/>
      <c r="F81" s="479"/>
      <c r="G81" s="479"/>
      <c r="H81" s="479"/>
      <c r="I81" s="479"/>
      <c r="J81" s="479"/>
      <c r="K81" s="479"/>
      <c r="L81" s="479"/>
      <c r="M81" s="479"/>
      <c r="N81" s="479"/>
      <c r="O81" s="479"/>
    </row>
    <row r="82" spans="3:15" x14ac:dyDescent="0.25">
      <c r="C82" t="s">
        <v>1080</v>
      </c>
      <c r="D82" s="424"/>
      <c r="E82" s="424"/>
      <c r="F82" s="424"/>
      <c r="G82" s="424"/>
      <c r="H82" s="424"/>
      <c r="I82" s="424"/>
      <c r="J82" s="424"/>
      <c r="K82" s="424"/>
      <c r="L82" s="424"/>
      <c r="M82" s="424"/>
    </row>
    <row r="84" spans="3:15" x14ac:dyDescent="0.25">
      <c r="C84" t="s">
        <v>1087</v>
      </c>
    </row>
  </sheetData>
  <mergeCells count="4">
    <mergeCell ref="A1:O1"/>
    <mergeCell ref="D3:O3"/>
    <mergeCell ref="C80:O80"/>
    <mergeCell ref="C81:O81"/>
  </mergeCells>
  <hyperlinks>
    <hyperlink ref="C81" r:id="rId1"/>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59999389629810485"/>
  </sheetPr>
  <dimension ref="A1:T82"/>
  <sheetViews>
    <sheetView workbookViewId="0">
      <selection activeCell="B31" sqref="B31"/>
    </sheetView>
  </sheetViews>
  <sheetFormatPr baseColWidth="10" defaultColWidth="11.42578125" defaultRowHeight="15" x14ac:dyDescent="0.25"/>
  <cols>
    <col min="1" max="2" width="9.42578125" customWidth="1"/>
    <col min="3" max="3" width="77.140625" customWidth="1"/>
    <col min="4" max="4" width="7.85546875" style="198" customWidth="1"/>
    <col min="5" max="5" width="2.140625" style="199" customWidth="1"/>
    <col min="6" max="6" width="7.85546875" style="198" customWidth="1"/>
    <col min="7" max="7" width="2.140625" style="199" customWidth="1"/>
    <col min="8" max="8" width="7.85546875" style="198" customWidth="1"/>
    <col min="9" max="9" width="2.140625" style="199" customWidth="1"/>
    <col min="10" max="10" width="7.85546875" style="198" customWidth="1"/>
    <col min="11" max="11" width="2.140625" style="199" customWidth="1"/>
    <col min="12" max="12" width="7.85546875" style="198" customWidth="1"/>
    <col min="13" max="13" width="2.140625" style="199" customWidth="1"/>
    <col min="14" max="14" width="7.85546875" customWidth="1"/>
    <col min="15" max="15" width="2.140625" customWidth="1"/>
    <col min="16" max="16" width="7.85546875" customWidth="1"/>
    <col min="17" max="17" width="2.140625" customWidth="1"/>
  </cols>
  <sheetData>
    <row r="1" spans="1:20" ht="18" customHeight="1" thickBot="1" x14ac:dyDescent="0.3">
      <c r="A1" s="476" t="s">
        <v>1088</v>
      </c>
      <c r="B1" s="476"/>
      <c r="C1" s="476"/>
      <c r="D1" s="476"/>
      <c r="E1" s="476"/>
      <c r="F1" s="476"/>
      <c r="G1" s="476"/>
      <c r="H1" s="476"/>
      <c r="I1" s="476"/>
      <c r="J1" s="476"/>
      <c r="K1" s="476"/>
      <c r="L1" s="476"/>
      <c r="M1" s="476"/>
      <c r="N1" s="476"/>
      <c r="O1" s="476"/>
      <c r="P1" s="476"/>
      <c r="Q1" s="476"/>
    </row>
    <row r="2" spans="1:20" x14ac:dyDescent="0.25">
      <c r="D2" s="87">
        <v>2010</v>
      </c>
      <c r="E2" s="88"/>
      <c r="F2" s="87">
        <v>2011</v>
      </c>
      <c r="G2" s="88"/>
      <c r="H2" s="87">
        <v>2012</v>
      </c>
      <c r="I2" s="88"/>
      <c r="J2" s="87">
        <v>2013</v>
      </c>
      <c r="K2" s="88"/>
      <c r="L2" s="87">
        <v>2014</v>
      </c>
      <c r="M2" s="88"/>
      <c r="N2" s="46">
        <v>2015</v>
      </c>
      <c r="O2" s="194"/>
      <c r="P2" s="194">
        <v>2016</v>
      </c>
      <c r="Q2" s="194"/>
    </row>
    <row r="3" spans="1:20" x14ac:dyDescent="0.25">
      <c r="A3" s="426" t="s">
        <v>998</v>
      </c>
      <c r="B3" s="426"/>
      <c r="C3" s="46"/>
      <c r="D3" s="477" t="s">
        <v>1000</v>
      </c>
      <c r="E3" s="477"/>
      <c r="F3" s="477"/>
      <c r="G3" s="477"/>
      <c r="H3" s="477"/>
      <c r="I3" s="477"/>
      <c r="J3" s="477"/>
      <c r="K3" s="477"/>
      <c r="L3" s="477"/>
      <c r="M3" s="477"/>
      <c r="N3" s="477"/>
      <c r="O3" s="477"/>
      <c r="P3" s="477"/>
      <c r="Q3" s="477"/>
    </row>
    <row r="4" spans="1:20" s="17" customFormat="1" ht="15" customHeight="1" x14ac:dyDescent="0.25">
      <c r="A4" s="423">
        <v>0</v>
      </c>
      <c r="B4" s="423"/>
      <c r="C4" s="82" t="s">
        <v>445</v>
      </c>
      <c r="D4" s="91">
        <v>51171.732758999999</v>
      </c>
      <c r="E4" s="92"/>
      <c r="F4" s="91">
        <v>56392.770525</v>
      </c>
      <c r="G4" s="92"/>
      <c r="H4" s="91">
        <v>54355.914413999999</v>
      </c>
      <c r="I4" s="92"/>
      <c r="J4" s="91">
        <v>58240.955274</v>
      </c>
      <c r="K4" s="92"/>
      <c r="L4" s="91">
        <v>58311.028843</v>
      </c>
      <c r="M4" s="92"/>
      <c r="N4" s="91">
        <v>56735.682557</v>
      </c>
      <c r="O4" s="92"/>
      <c r="P4" s="195">
        <v>58795</v>
      </c>
      <c r="Q4" s="196"/>
    </row>
    <row r="5" spans="1:20" ht="15" customHeight="1" x14ac:dyDescent="0.25">
      <c r="A5" s="423">
        <v>1</v>
      </c>
      <c r="B5" s="423"/>
      <c r="C5" s="82" t="s">
        <v>1001</v>
      </c>
      <c r="D5" s="91">
        <v>42928.507647999999</v>
      </c>
      <c r="E5" s="92"/>
      <c r="F5" s="91">
        <v>46805.991204999998</v>
      </c>
      <c r="G5" s="92"/>
      <c r="H5" s="91">
        <v>44645.944241999998</v>
      </c>
      <c r="I5" s="92"/>
      <c r="J5" s="91">
        <v>47852.437315000003</v>
      </c>
      <c r="K5" s="92"/>
      <c r="L5" s="91">
        <v>47451.209384000002</v>
      </c>
      <c r="M5" s="92"/>
      <c r="N5" s="91">
        <v>46150.285719</v>
      </c>
      <c r="O5" s="92"/>
      <c r="P5" s="91">
        <v>47722</v>
      </c>
      <c r="Q5" s="92"/>
    </row>
    <row r="6" spans="1:20" ht="15" customHeight="1" x14ac:dyDescent="0.25">
      <c r="A6" s="423">
        <v>2</v>
      </c>
      <c r="B6" s="423"/>
      <c r="C6" s="83" t="s">
        <v>1002</v>
      </c>
      <c r="D6" s="93">
        <v>6949.3449954999996</v>
      </c>
      <c r="E6" s="94"/>
      <c r="F6" s="93">
        <v>7252.8668962000002</v>
      </c>
      <c r="G6" s="94"/>
      <c r="H6" s="93">
        <v>7336.7818928999995</v>
      </c>
      <c r="I6" s="94"/>
      <c r="J6" s="93">
        <v>7611.0254011999996</v>
      </c>
      <c r="K6" s="94"/>
      <c r="L6" s="93">
        <v>7880.3810998999998</v>
      </c>
      <c r="M6" s="94"/>
      <c r="N6" s="93">
        <v>7593.0689266999998</v>
      </c>
      <c r="O6" s="94"/>
      <c r="P6" s="93">
        <v>8273</v>
      </c>
      <c r="Q6" s="94"/>
      <c r="R6">
        <f>P7*0.773+P10+P11+P35+P37+P38+P48+P60+P61+P63+P73+P74+P76</f>
        <v>22231.231</v>
      </c>
      <c r="S6">
        <f>P7+P8+P10+P11+P13+P14+P15+P16+P17+P18+P19+P20+P22+P23+P24+P25+P27+P28+P29+P30+P31+P32+P34+P35+P37+P38+P40+P41+P43+P44+P45+P46+P48+P49+P51+P52+P53+P54+P55+P57+P58+P60+P61+P63+P64+P70+P73+P74+P76</f>
        <v>48639</v>
      </c>
      <c r="T6">
        <f>R6/(S6-(S6-R6)*0.14975)</f>
        <v>0.49751619792954377</v>
      </c>
    </row>
    <row r="7" spans="1:20" ht="15" customHeight="1" x14ac:dyDescent="0.25">
      <c r="A7" s="423">
        <v>3</v>
      </c>
      <c r="B7" s="423"/>
      <c r="C7" s="89" t="s">
        <v>1004</v>
      </c>
      <c r="D7" s="95">
        <v>5321.0619286000001</v>
      </c>
      <c r="E7" s="96"/>
      <c r="F7" s="95">
        <v>5494.3103510000001</v>
      </c>
      <c r="G7" s="96"/>
      <c r="H7" s="95">
        <v>5875.9607634000004</v>
      </c>
      <c r="I7" s="96"/>
      <c r="J7" s="95">
        <v>5739.5792201000004</v>
      </c>
      <c r="K7" s="96"/>
      <c r="L7" s="95">
        <v>6068.6085943999997</v>
      </c>
      <c r="M7" s="96"/>
      <c r="N7" s="95">
        <v>5809.5804280000002</v>
      </c>
      <c r="O7" s="96"/>
      <c r="P7" s="95">
        <v>6347</v>
      </c>
      <c r="Q7" s="96"/>
    </row>
    <row r="8" spans="1:20" ht="15" customHeight="1" x14ac:dyDescent="0.25">
      <c r="A8" s="423">
        <v>3</v>
      </c>
      <c r="B8" s="423"/>
      <c r="C8" s="89" t="s">
        <v>1006</v>
      </c>
      <c r="D8" s="95">
        <v>1628.2830669</v>
      </c>
      <c r="E8" s="96"/>
      <c r="F8" s="95">
        <v>1758.5565452000001</v>
      </c>
      <c r="G8" s="96"/>
      <c r="H8" s="95">
        <v>1460.8211295000001</v>
      </c>
      <c r="I8" s="96"/>
      <c r="J8" s="95">
        <v>1871.4461811000001</v>
      </c>
      <c r="K8" s="96"/>
      <c r="L8" s="95">
        <v>1811.7725055000001</v>
      </c>
      <c r="M8" s="96" t="s">
        <v>1007</v>
      </c>
      <c r="N8" s="95">
        <v>1783.4884987</v>
      </c>
      <c r="O8" s="96"/>
      <c r="P8" s="95">
        <v>1926</v>
      </c>
      <c r="Q8" s="96"/>
    </row>
    <row r="9" spans="1:20" ht="15" customHeight="1" x14ac:dyDescent="0.25">
      <c r="A9" s="423">
        <v>2</v>
      </c>
      <c r="B9" s="423"/>
      <c r="C9" s="83" t="s">
        <v>1008</v>
      </c>
      <c r="D9" s="93">
        <v>10661.732759</v>
      </c>
      <c r="E9" s="94"/>
      <c r="F9" s="93">
        <v>11791.724588999999</v>
      </c>
      <c r="G9" s="94"/>
      <c r="H9" s="93">
        <v>11397.592224</v>
      </c>
      <c r="I9" s="94"/>
      <c r="J9" s="93">
        <v>12051.816529</v>
      </c>
      <c r="K9" s="94"/>
      <c r="L9" s="93">
        <v>12322.890412999999</v>
      </c>
      <c r="M9" s="94"/>
      <c r="N9" s="93">
        <v>12317.615766000001</v>
      </c>
      <c r="O9" s="94"/>
      <c r="P9" s="93">
        <v>12310</v>
      </c>
      <c r="Q9" s="94"/>
    </row>
    <row r="10" spans="1:20" ht="15" customHeight="1" x14ac:dyDescent="0.25">
      <c r="A10" s="423">
        <v>3</v>
      </c>
      <c r="B10" s="423"/>
      <c r="C10" s="89" t="s">
        <v>1009</v>
      </c>
      <c r="D10" s="95">
        <v>9973.5869349999994</v>
      </c>
      <c r="E10" s="96"/>
      <c r="F10" s="95">
        <v>11184.212653000001</v>
      </c>
      <c r="G10" s="96"/>
      <c r="H10" s="95">
        <v>10986.421071999999</v>
      </c>
      <c r="I10" s="96"/>
      <c r="J10" s="95">
        <v>11278.252855000001</v>
      </c>
      <c r="K10" s="96"/>
      <c r="L10" s="95">
        <v>11348.384312</v>
      </c>
      <c r="M10" s="96"/>
      <c r="N10" s="95">
        <v>11783.841318000001</v>
      </c>
      <c r="O10" s="96"/>
      <c r="P10" s="95">
        <v>11230</v>
      </c>
      <c r="Q10" s="96"/>
    </row>
    <row r="11" spans="1:20" ht="15" customHeight="1" x14ac:dyDescent="0.25">
      <c r="A11" s="423">
        <v>3</v>
      </c>
      <c r="B11" s="423"/>
      <c r="C11" s="89" t="s">
        <v>1010</v>
      </c>
      <c r="D11" s="95" t="s">
        <v>978</v>
      </c>
      <c r="E11" s="96"/>
      <c r="F11" s="95">
        <v>607.51193583999998</v>
      </c>
      <c r="G11" s="96" t="s">
        <v>1007</v>
      </c>
      <c r="H11" s="95">
        <v>411.17115185</v>
      </c>
      <c r="I11" s="96" t="s">
        <v>1007</v>
      </c>
      <c r="J11" s="95">
        <v>773.56367422000005</v>
      </c>
      <c r="K11" s="96" t="s">
        <v>1007</v>
      </c>
      <c r="L11" s="95">
        <v>974.50610132999998</v>
      </c>
      <c r="M11" s="96" t="s">
        <v>1007</v>
      </c>
      <c r="N11" s="95">
        <v>533.77444775000004</v>
      </c>
      <c r="O11" s="96" t="s">
        <v>1007</v>
      </c>
      <c r="P11" s="95">
        <v>1080</v>
      </c>
      <c r="Q11" s="96" t="s">
        <v>1007</v>
      </c>
    </row>
    <row r="12" spans="1:20" ht="15" customHeight="1" x14ac:dyDescent="0.25">
      <c r="A12" s="423">
        <v>2</v>
      </c>
      <c r="B12" s="423"/>
      <c r="C12" s="83" t="s">
        <v>1012</v>
      </c>
      <c r="D12" s="93">
        <v>3150.7225797000001</v>
      </c>
      <c r="E12" s="94"/>
      <c r="F12" s="93">
        <v>3243.6157567</v>
      </c>
      <c r="G12" s="94"/>
      <c r="H12" s="93">
        <v>3103.7949002</v>
      </c>
      <c r="I12" s="94"/>
      <c r="J12" s="93">
        <v>3600.9990625999999</v>
      </c>
      <c r="K12" s="94"/>
      <c r="L12" s="93">
        <v>3423.2500361000002</v>
      </c>
      <c r="M12" s="94"/>
      <c r="N12" s="93">
        <v>3371.386884</v>
      </c>
      <c r="O12" s="94"/>
      <c r="P12" s="93">
        <v>3777</v>
      </c>
      <c r="Q12" s="94"/>
    </row>
    <row r="13" spans="1:20" ht="15" customHeight="1" x14ac:dyDescent="0.25">
      <c r="A13" s="423">
        <v>3</v>
      </c>
      <c r="B13" s="423"/>
      <c r="C13" s="89" t="s">
        <v>1013</v>
      </c>
      <c r="D13" s="95">
        <v>1324.4007204</v>
      </c>
      <c r="E13" s="96"/>
      <c r="F13" s="95">
        <v>1490.9373126</v>
      </c>
      <c r="G13" s="96"/>
      <c r="H13" s="95">
        <v>1485.1419045</v>
      </c>
      <c r="I13" s="96"/>
      <c r="J13" s="95">
        <v>1629.8948068</v>
      </c>
      <c r="K13" s="96"/>
      <c r="L13" s="95">
        <v>1697.8647572</v>
      </c>
      <c r="M13" s="96"/>
      <c r="N13" s="95">
        <v>1624.8535970999999</v>
      </c>
      <c r="O13" s="96"/>
      <c r="P13" s="95">
        <v>1760</v>
      </c>
      <c r="Q13" s="96"/>
    </row>
    <row r="14" spans="1:20" ht="15" customHeight="1" x14ac:dyDescent="0.25">
      <c r="A14" s="423">
        <v>3</v>
      </c>
      <c r="B14" s="423"/>
      <c r="C14" s="89" t="s">
        <v>1014</v>
      </c>
      <c r="D14" s="95">
        <v>106.75513802</v>
      </c>
      <c r="E14" s="96" t="s">
        <v>1007</v>
      </c>
      <c r="F14" s="95">
        <v>56.198637750000003</v>
      </c>
      <c r="G14" s="96" t="s">
        <v>1011</v>
      </c>
      <c r="H14" s="95">
        <v>78.964922922</v>
      </c>
      <c r="I14" s="96" t="s">
        <v>1011</v>
      </c>
      <c r="J14" s="95">
        <v>205.35024892999999</v>
      </c>
      <c r="K14" s="96" t="s">
        <v>1011</v>
      </c>
      <c r="L14" s="95">
        <v>79.607798247000005</v>
      </c>
      <c r="M14" s="96" t="s">
        <v>1011</v>
      </c>
      <c r="N14" s="95" t="s">
        <v>978</v>
      </c>
      <c r="O14" s="96"/>
      <c r="P14" s="95">
        <v>115</v>
      </c>
      <c r="Q14" s="96" t="s">
        <v>1011</v>
      </c>
    </row>
    <row r="15" spans="1:20" ht="15" customHeight="1" x14ac:dyDescent="0.25">
      <c r="A15" s="423">
        <v>3</v>
      </c>
      <c r="B15" s="423"/>
      <c r="C15" s="89" t="s">
        <v>1015</v>
      </c>
      <c r="D15" s="95" t="s">
        <v>978</v>
      </c>
      <c r="E15" s="96"/>
      <c r="F15" s="95">
        <v>387.15797020999997</v>
      </c>
      <c r="G15" s="96"/>
      <c r="H15" s="95">
        <v>292.80324999999999</v>
      </c>
      <c r="I15" s="96" t="s">
        <v>1011</v>
      </c>
      <c r="J15" s="95">
        <v>250.17262138999999</v>
      </c>
      <c r="K15" s="96" t="s">
        <v>1011</v>
      </c>
      <c r="L15" s="95">
        <v>338.98248032999999</v>
      </c>
      <c r="M15" s="96" t="s">
        <v>1011</v>
      </c>
      <c r="N15" s="95">
        <v>457.99899379999999</v>
      </c>
      <c r="O15" s="96" t="s">
        <v>1011</v>
      </c>
      <c r="P15" s="95">
        <v>588</v>
      </c>
      <c r="Q15" s="96" t="s">
        <v>1011</v>
      </c>
    </row>
    <row r="16" spans="1:20" ht="15" customHeight="1" x14ac:dyDescent="0.25">
      <c r="A16" s="423">
        <v>3</v>
      </c>
      <c r="B16" s="423"/>
      <c r="C16" s="89" t="s">
        <v>1016</v>
      </c>
      <c r="D16" s="95">
        <v>258.83924052999998</v>
      </c>
      <c r="E16" s="96" t="s">
        <v>1007</v>
      </c>
      <c r="F16" s="95">
        <v>165.83654365000001</v>
      </c>
      <c r="G16" s="96"/>
      <c r="H16" s="95">
        <v>204.93877764999999</v>
      </c>
      <c r="I16" s="96" t="s">
        <v>1007</v>
      </c>
      <c r="J16" s="95">
        <v>267.69977599999999</v>
      </c>
      <c r="K16" s="96" t="s">
        <v>1007</v>
      </c>
      <c r="L16" s="95">
        <v>211.09750292000001</v>
      </c>
      <c r="M16" s="96" t="s">
        <v>1007</v>
      </c>
      <c r="N16" s="95">
        <v>217.57295282999999</v>
      </c>
      <c r="O16" s="96" t="s">
        <v>1007</v>
      </c>
      <c r="P16" s="95">
        <v>251</v>
      </c>
      <c r="Q16" s="96" t="s">
        <v>1007</v>
      </c>
    </row>
    <row r="17" spans="1:17" ht="15" customHeight="1" x14ac:dyDescent="0.25">
      <c r="A17" s="423">
        <v>3</v>
      </c>
      <c r="B17" s="423"/>
      <c r="C17" s="89" t="s">
        <v>1017</v>
      </c>
      <c r="D17" s="95">
        <v>317.09432380999999</v>
      </c>
      <c r="E17" s="96"/>
      <c r="F17" s="95">
        <v>301.45209032999998</v>
      </c>
      <c r="G17" s="96"/>
      <c r="H17" s="95">
        <v>236.32940861</v>
      </c>
      <c r="I17" s="96" t="s">
        <v>1007</v>
      </c>
      <c r="J17" s="95">
        <v>272.39642613000001</v>
      </c>
      <c r="K17" s="96" t="s">
        <v>1007</v>
      </c>
      <c r="L17" s="95">
        <v>285.86129671999998</v>
      </c>
      <c r="M17" s="96" t="s">
        <v>1007</v>
      </c>
      <c r="N17" s="95">
        <v>317.03983692999998</v>
      </c>
      <c r="O17" s="96" t="s">
        <v>1007</v>
      </c>
      <c r="P17" s="95">
        <v>261</v>
      </c>
      <c r="Q17" s="96" t="s">
        <v>1007</v>
      </c>
    </row>
    <row r="18" spans="1:17" ht="15" customHeight="1" x14ac:dyDescent="0.25">
      <c r="A18" s="423">
        <v>3</v>
      </c>
      <c r="B18" s="423"/>
      <c r="C18" s="89" t="s">
        <v>1018</v>
      </c>
      <c r="D18" s="95">
        <v>170.86992511</v>
      </c>
      <c r="E18" s="96" t="s">
        <v>1011</v>
      </c>
      <c r="F18" s="95">
        <v>309.52395292</v>
      </c>
      <c r="G18" s="96" t="s">
        <v>1007</v>
      </c>
      <c r="H18" s="95">
        <v>246.44704146999999</v>
      </c>
      <c r="I18" s="96" t="s">
        <v>1007</v>
      </c>
      <c r="J18" s="95">
        <v>411.51045852999999</v>
      </c>
      <c r="K18" s="96" t="s">
        <v>1007</v>
      </c>
      <c r="L18" s="95">
        <v>333.31959906999998</v>
      </c>
      <c r="M18" s="96" t="s">
        <v>1011</v>
      </c>
      <c r="N18" s="95">
        <v>222.38627256000001</v>
      </c>
      <c r="O18" s="96" t="s">
        <v>1007</v>
      </c>
      <c r="P18" s="95">
        <v>263</v>
      </c>
      <c r="Q18" s="96" t="s">
        <v>1007</v>
      </c>
    </row>
    <row r="19" spans="1:17" ht="15" customHeight="1" x14ac:dyDescent="0.25">
      <c r="A19" s="423">
        <v>3</v>
      </c>
      <c r="B19" s="423"/>
      <c r="C19" s="89" t="s">
        <v>1019</v>
      </c>
      <c r="D19" s="95">
        <v>111.1263412</v>
      </c>
      <c r="E19" s="96" t="s">
        <v>1007</v>
      </c>
      <c r="F19" s="95">
        <v>91.392153180999998</v>
      </c>
      <c r="G19" s="96" t="s">
        <v>1007</v>
      </c>
      <c r="H19" s="95">
        <v>76.503409720999997</v>
      </c>
      <c r="I19" s="96" t="s">
        <v>1011</v>
      </c>
      <c r="J19" s="95">
        <v>91.134215514999994</v>
      </c>
      <c r="K19" s="96" t="s">
        <v>1007</v>
      </c>
      <c r="L19" s="95">
        <v>69.598696505000007</v>
      </c>
      <c r="M19" s="96" t="s">
        <v>1011</v>
      </c>
      <c r="N19" s="95">
        <v>66.278608778000006</v>
      </c>
      <c r="O19" s="96" t="s">
        <v>1011</v>
      </c>
      <c r="P19" s="95"/>
      <c r="Q19" s="96"/>
    </row>
    <row r="20" spans="1:17" ht="15" customHeight="1" x14ac:dyDescent="0.25">
      <c r="A20" s="423">
        <v>3</v>
      </c>
      <c r="B20" s="423"/>
      <c r="C20" s="89" t="s">
        <v>1020</v>
      </c>
      <c r="D20" s="95">
        <v>368.09046935999999</v>
      </c>
      <c r="E20" s="96" t="s">
        <v>1011</v>
      </c>
      <c r="F20" s="95">
        <v>441.11709603999998</v>
      </c>
      <c r="G20" s="96" t="s">
        <v>1007</v>
      </c>
      <c r="H20" s="95">
        <v>482.66618527000003</v>
      </c>
      <c r="I20" s="96" t="s">
        <v>1011</v>
      </c>
      <c r="J20" s="95">
        <v>472.84050934999999</v>
      </c>
      <c r="K20" s="96" t="s">
        <v>1007</v>
      </c>
      <c r="L20" s="95">
        <v>406.91790515999998</v>
      </c>
      <c r="M20" s="96" t="s">
        <v>1007</v>
      </c>
      <c r="N20" s="95">
        <v>407.82894862000001</v>
      </c>
      <c r="O20" s="96" t="s">
        <v>1011</v>
      </c>
      <c r="P20" s="95">
        <v>440</v>
      </c>
      <c r="Q20" s="96" t="s">
        <v>1007</v>
      </c>
    </row>
    <row r="21" spans="1:17" ht="15" customHeight="1" x14ac:dyDescent="0.25">
      <c r="A21" s="423">
        <v>2</v>
      </c>
      <c r="B21" s="423"/>
      <c r="C21" s="83" t="s">
        <v>1021</v>
      </c>
      <c r="D21" s="93">
        <v>1593.7501013000001</v>
      </c>
      <c r="E21" s="94"/>
      <c r="F21" s="93">
        <v>1429.2185945000001</v>
      </c>
      <c r="G21" s="94"/>
      <c r="H21" s="93">
        <v>1494.9330462999999</v>
      </c>
      <c r="I21" s="94"/>
      <c r="J21" s="93">
        <v>1626.9416613000001</v>
      </c>
      <c r="K21" s="94"/>
      <c r="L21" s="93">
        <v>1490.2140554</v>
      </c>
      <c r="M21" s="94"/>
      <c r="N21" s="93">
        <v>1796.6221416000001</v>
      </c>
      <c r="O21" s="94"/>
      <c r="P21" s="93">
        <v>1615</v>
      </c>
      <c r="Q21" s="94"/>
    </row>
    <row r="22" spans="1:17" ht="15" customHeight="1" x14ac:dyDescent="0.25">
      <c r="A22" s="423">
        <v>3</v>
      </c>
      <c r="B22" s="423"/>
      <c r="C22" s="89" t="s">
        <v>1022</v>
      </c>
      <c r="D22" s="95">
        <v>654.90832884999998</v>
      </c>
      <c r="E22" s="96" t="s">
        <v>1007</v>
      </c>
      <c r="F22" s="95">
        <v>598.24211793999996</v>
      </c>
      <c r="G22" s="96" t="s">
        <v>1007</v>
      </c>
      <c r="H22" s="95">
        <v>598.09548127000005</v>
      </c>
      <c r="I22" s="96" t="s">
        <v>1007</v>
      </c>
      <c r="J22" s="95">
        <v>723.76174606999996</v>
      </c>
      <c r="K22" s="96" t="s">
        <v>1007</v>
      </c>
      <c r="L22" s="95">
        <v>692.47508109</v>
      </c>
      <c r="M22" s="96" t="s">
        <v>1007</v>
      </c>
      <c r="N22" s="95">
        <v>738.94946952999999</v>
      </c>
      <c r="O22" s="96" t="s">
        <v>1007</v>
      </c>
      <c r="P22" s="95">
        <v>633</v>
      </c>
      <c r="Q22" s="96" t="s">
        <v>1007</v>
      </c>
    </row>
    <row r="23" spans="1:17" ht="15" customHeight="1" x14ac:dyDescent="0.25">
      <c r="A23" s="423">
        <v>3</v>
      </c>
      <c r="B23" s="423"/>
      <c r="C23" s="89" t="s">
        <v>1023</v>
      </c>
      <c r="D23" s="95">
        <v>864.27737205000005</v>
      </c>
      <c r="E23" s="96"/>
      <c r="F23" s="95">
        <v>795.68288462999999</v>
      </c>
      <c r="G23" s="96"/>
      <c r="H23" s="95">
        <v>817.81121774999997</v>
      </c>
      <c r="I23" s="96"/>
      <c r="J23" s="95">
        <v>861.70128531</v>
      </c>
      <c r="K23" s="96"/>
      <c r="L23" s="95">
        <v>729.67957349000005</v>
      </c>
      <c r="M23" s="96"/>
      <c r="N23" s="95">
        <v>1014.5197518</v>
      </c>
      <c r="O23" s="96"/>
      <c r="P23" s="95">
        <v>920</v>
      </c>
      <c r="Q23" s="96"/>
    </row>
    <row r="24" spans="1:17" ht="15" customHeight="1" x14ac:dyDescent="0.25">
      <c r="A24" s="423">
        <v>3</v>
      </c>
      <c r="B24" s="423"/>
      <c r="C24" s="89" t="s">
        <v>1024</v>
      </c>
      <c r="D24" s="95" t="s">
        <v>978</v>
      </c>
      <c r="E24" s="96"/>
      <c r="F24" s="95">
        <v>0</v>
      </c>
      <c r="G24" s="96"/>
      <c r="H24" s="95" t="s">
        <v>978</v>
      </c>
      <c r="I24" s="96"/>
      <c r="J24" s="95">
        <v>0</v>
      </c>
      <c r="K24" s="96"/>
      <c r="L24" s="95" t="s">
        <v>978</v>
      </c>
      <c r="M24" s="96"/>
      <c r="N24" s="95" t="s">
        <v>978</v>
      </c>
      <c r="O24" s="96"/>
      <c r="P24" s="95"/>
      <c r="Q24" s="96"/>
    </row>
    <row r="25" spans="1:17" ht="15" customHeight="1" x14ac:dyDescent="0.25">
      <c r="A25" s="423">
        <v>3</v>
      </c>
      <c r="B25" s="423"/>
      <c r="C25" s="89" t="s">
        <v>1025</v>
      </c>
      <c r="D25" s="95">
        <v>35.849402552999997</v>
      </c>
      <c r="E25" s="96" t="s">
        <v>1007</v>
      </c>
      <c r="F25" s="95">
        <v>35.293591906000003</v>
      </c>
      <c r="G25" s="96" t="s">
        <v>1007</v>
      </c>
      <c r="H25" s="95">
        <v>37.624938057999998</v>
      </c>
      <c r="I25" s="96" t="s">
        <v>1007</v>
      </c>
      <c r="J25" s="95">
        <v>41.478629906000002</v>
      </c>
      <c r="K25" s="96" t="s">
        <v>1007</v>
      </c>
      <c r="L25" s="95">
        <v>38.956574324999998</v>
      </c>
      <c r="M25" s="96" t="s">
        <v>1007</v>
      </c>
      <c r="N25" s="95">
        <v>37.768146950000002</v>
      </c>
      <c r="O25" s="96" t="s">
        <v>1007</v>
      </c>
      <c r="P25" s="95">
        <v>47</v>
      </c>
      <c r="Q25" s="96" t="s">
        <v>1007</v>
      </c>
    </row>
    <row r="26" spans="1:17" ht="15" customHeight="1" x14ac:dyDescent="0.25">
      <c r="A26" s="423">
        <v>2</v>
      </c>
      <c r="B26" s="423"/>
      <c r="C26" s="83" t="s">
        <v>1026</v>
      </c>
      <c r="D26" s="93">
        <v>2538.0598859000002</v>
      </c>
      <c r="E26" s="94"/>
      <c r="F26" s="93">
        <v>2869.9341930999999</v>
      </c>
      <c r="G26" s="94"/>
      <c r="H26" s="93">
        <v>3220.1325486000001</v>
      </c>
      <c r="I26" s="94"/>
      <c r="J26" s="93">
        <v>2944.7326161999999</v>
      </c>
      <c r="K26" s="94"/>
      <c r="L26" s="93">
        <v>2936.5892336000002</v>
      </c>
      <c r="M26" s="94"/>
      <c r="N26" s="93">
        <v>2635.2483579</v>
      </c>
      <c r="O26" s="94"/>
      <c r="P26" s="93">
        <v>2741</v>
      </c>
      <c r="Q26" s="94"/>
    </row>
    <row r="27" spans="1:17" ht="15" customHeight="1" x14ac:dyDescent="0.25">
      <c r="A27" s="423">
        <v>3</v>
      </c>
      <c r="B27" s="423"/>
      <c r="C27" s="89" t="s">
        <v>1027</v>
      </c>
      <c r="D27" s="95">
        <v>1327.4324062000001</v>
      </c>
      <c r="E27" s="96"/>
      <c r="F27" s="95">
        <v>1499.8527916999999</v>
      </c>
      <c r="G27" s="96"/>
      <c r="H27" s="95">
        <v>1576.7317102</v>
      </c>
      <c r="I27" s="96"/>
      <c r="J27" s="95">
        <v>1583.9769517</v>
      </c>
      <c r="K27" s="96"/>
      <c r="L27" s="95">
        <v>1539.6196150000001</v>
      </c>
      <c r="M27" s="96"/>
      <c r="N27" s="95">
        <v>1315.7041649</v>
      </c>
      <c r="O27" s="96"/>
      <c r="P27" s="95">
        <v>1352</v>
      </c>
      <c r="Q27" s="96"/>
    </row>
    <row r="28" spans="1:17" ht="15" customHeight="1" x14ac:dyDescent="0.25">
      <c r="A28" s="423">
        <v>3</v>
      </c>
      <c r="B28" s="423"/>
      <c r="C28" s="89" t="s">
        <v>1028</v>
      </c>
      <c r="D28" s="95">
        <v>839.79200862000005</v>
      </c>
      <c r="E28" s="96"/>
      <c r="F28" s="95">
        <v>886.64063552000005</v>
      </c>
      <c r="G28" s="96"/>
      <c r="H28" s="95">
        <v>1117.8150840999999</v>
      </c>
      <c r="I28" s="96"/>
      <c r="J28" s="95">
        <v>909.76243561000001</v>
      </c>
      <c r="K28" s="96"/>
      <c r="L28" s="95">
        <v>936.66106113000001</v>
      </c>
      <c r="M28" s="96" t="s">
        <v>1007</v>
      </c>
      <c r="N28" s="95">
        <v>976.65607036999995</v>
      </c>
      <c r="O28" s="96"/>
      <c r="P28" s="95">
        <v>966</v>
      </c>
      <c r="Q28" s="96"/>
    </row>
    <row r="29" spans="1:17" ht="15" customHeight="1" x14ac:dyDescent="0.25">
      <c r="A29" s="423">
        <v>3</v>
      </c>
      <c r="B29" s="423"/>
      <c r="C29" s="89" t="s">
        <v>1029</v>
      </c>
      <c r="D29" s="95" t="s">
        <v>978</v>
      </c>
      <c r="E29" s="96"/>
      <c r="F29" s="95" t="s">
        <v>978</v>
      </c>
      <c r="G29" s="96"/>
      <c r="H29" s="95">
        <v>111.95698197</v>
      </c>
      <c r="I29" s="96" t="s">
        <v>1007</v>
      </c>
      <c r="J29" s="95">
        <v>77.514864133000003</v>
      </c>
      <c r="K29" s="96" t="s">
        <v>1007</v>
      </c>
      <c r="L29" s="95">
        <v>83.785740903000004</v>
      </c>
      <c r="M29" s="96" t="s">
        <v>1011</v>
      </c>
      <c r="N29" s="95" t="s">
        <v>978</v>
      </c>
      <c r="O29" s="96"/>
      <c r="P29" s="95">
        <v>93</v>
      </c>
      <c r="Q29" s="96" t="s">
        <v>1011</v>
      </c>
    </row>
    <row r="30" spans="1:17" ht="15" customHeight="1" x14ac:dyDescent="0.25">
      <c r="A30" s="423">
        <v>3</v>
      </c>
      <c r="B30" s="423"/>
      <c r="C30" s="89" t="s">
        <v>1030</v>
      </c>
      <c r="D30" s="95">
        <v>240.09250388999999</v>
      </c>
      <c r="E30" s="96"/>
      <c r="F30" s="95">
        <v>288.99427928</v>
      </c>
      <c r="G30" s="96" t="s">
        <v>1007</v>
      </c>
      <c r="H30" s="95">
        <v>337.79378794000002</v>
      </c>
      <c r="I30" s="96"/>
      <c r="J30" s="95">
        <v>250.52589574999999</v>
      </c>
      <c r="K30" s="96" t="s">
        <v>1007</v>
      </c>
      <c r="L30" s="95">
        <v>291.95195221</v>
      </c>
      <c r="M30" s="96" t="s">
        <v>1007</v>
      </c>
      <c r="N30" s="95">
        <v>219.38857487999999</v>
      </c>
      <c r="O30" s="96" t="s">
        <v>1007</v>
      </c>
      <c r="P30" s="95">
        <v>228</v>
      </c>
      <c r="Q30" s="96" t="s">
        <v>1007</v>
      </c>
    </row>
    <row r="31" spans="1:17" ht="15" customHeight="1" x14ac:dyDescent="0.25">
      <c r="A31" s="423">
        <v>3</v>
      </c>
      <c r="B31" s="423"/>
      <c r="C31" s="89" t="s">
        <v>1031</v>
      </c>
      <c r="D31" s="95" t="s">
        <v>978</v>
      </c>
      <c r="E31" s="96"/>
      <c r="F31" s="95" t="s">
        <v>978</v>
      </c>
      <c r="G31" s="96"/>
      <c r="H31" s="95" t="s">
        <v>978</v>
      </c>
      <c r="I31" s="96"/>
      <c r="J31" s="95" t="s">
        <v>978</v>
      </c>
      <c r="K31" s="96"/>
      <c r="L31" s="95" t="s">
        <v>978</v>
      </c>
      <c r="M31" s="96"/>
      <c r="N31" s="95" t="s">
        <v>978</v>
      </c>
      <c r="O31" s="96"/>
      <c r="P31" s="95"/>
      <c r="Q31" s="96"/>
    </row>
    <row r="32" spans="1:17" ht="15" customHeight="1" x14ac:dyDescent="0.25">
      <c r="A32" s="423">
        <v>3</v>
      </c>
      <c r="B32" s="423"/>
      <c r="C32" s="89" t="s">
        <v>1032</v>
      </c>
      <c r="D32" s="95" t="s">
        <v>978</v>
      </c>
      <c r="E32" s="96"/>
      <c r="F32" s="95">
        <v>93.712295557999994</v>
      </c>
      <c r="G32" s="96" t="s">
        <v>1007</v>
      </c>
      <c r="H32" s="95">
        <v>58.388360331000001</v>
      </c>
      <c r="I32" s="96" t="s">
        <v>1011</v>
      </c>
      <c r="J32" s="95" t="s">
        <v>978</v>
      </c>
      <c r="K32" s="96"/>
      <c r="L32" s="95">
        <v>71.605206742999997</v>
      </c>
      <c r="M32" s="96" t="s">
        <v>1007</v>
      </c>
      <c r="N32" s="95">
        <v>56.090067957000002</v>
      </c>
      <c r="O32" s="96" t="s">
        <v>1007</v>
      </c>
      <c r="P32" s="95">
        <v>41</v>
      </c>
      <c r="Q32" s="96" t="s">
        <v>1011</v>
      </c>
    </row>
    <row r="33" spans="1:17" ht="15" customHeight="1" x14ac:dyDescent="0.25">
      <c r="A33" s="423">
        <v>2</v>
      </c>
      <c r="B33" s="423"/>
      <c r="C33" s="83" t="s">
        <v>1033</v>
      </c>
      <c r="D33" s="93">
        <v>9143.4027922000005</v>
      </c>
      <c r="E33" s="94"/>
      <c r="F33" s="93">
        <v>9525.0433575999996</v>
      </c>
      <c r="G33" s="94"/>
      <c r="H33" s="93">
        <v>9267.6034866000009</v>
      </c>
      <c r="I33" s="94"/>
      <c r="J33" s="93">
        <v>9314.4855613</v>
      </c>
      <c r="K33" s="94"/>
      <c r="L33" s="93">
        <v>9182.0617481999998</v>
      </c>
      <c r="M33" s="94"/>
      <c r="N33" s="93">
        <v>8828.7889116000006</v>
      </c>
      <c r="O33" s="94"/>
      <c r="P33" s="93">
        <v>9532</v>
      </c>
      <c r="Q33" s="94"/>
    </row>
    <row r="34" spans="1:17" ht="15" customHeight="1" x14ac:dyDescent="0.25">
      <c r="A34" s="423">
        <v>3</v>
      </c>
      <c r="B34" s="423"/>
      <c r="C34" s="89" t="s">
        <v>1034</v>
      </c>
      <c r="D34" s="95">
        <v>8445.5808104999996</v>
      </c>
      <c r="E34" s="96"/>
      <c r="F34" s="95">
        <v>8872.4735679999994</v>
      </c>
      <c r="G34" s="96"/>
      <c r="H34" s="95">
        <v>8665.9979977999992</v>
      </c>
      <c r="I34" s="96"/>
      <c r="J34" s="95">
        <v>8604.3329713999992</v>
      </c>
      <c r="K34" s="96"/>
      <c r="L34" s="95">
        <v>8470.0724633999998</v>
      </c>
      <c r="M34" s="96"/>
      <c r="N34" s="95">
        <v>8145.1562459999996</v>
      </c>
      <c r="O34" s="96"/>
      <c r="P34" s="95">
        <v>8882</v>
      </c>
      <c r="Q34" s="96"/>
    </row>
    <row r="35" spans="1:17" ht="15" customHeight="1" x14ac:dyDescent="0.25">
      <c r="A35" s="423">
        <v>3</v>
      </c>
      <c r="B35" s="423"/>
      <c r="C35" s="89" t="s">
        <v>1035</v>
      </c>
      <c r="D35" s="95">
        <v>697.82198167000001</v>
      </c>
      <c r="E35" s="96"/>
      <c r="F35" s="95">
        <v>652.56978957000001</v>
      </c>
      <c r="G35" s="96"/>
      <c r="H35" s="95">
        <v>601.60548884000002</v>
      </c>
      <c r="I35" s="96"/>
      <c r="J35" s="95">
        <v>710.15258983000001</v>
      </c>
      <c r="K35" s="96"/>
      <c r="L35" s="95">
        <v>711.98928480999996</v>
      </c>
      <c r="M35" s="96"/>
      <c r="N35" s="95">
        <v>683.63266552000005</v>
      </c>
      <c r="O35" s="96" t="s">
        <v>1007</v>
      </c>
      <c r="P35" s="95">
        <v>650</v>
      </c>
      <c r="Q35" s="96"/>
    </row>
    <row r="36" spans="1:17" ht="15" customHeight="1" x14ac:dyDescent="0.25">
      <c r="A36" s="423">
        <v>2</v>
      </c>
      <c r="B36" s="423"/>
      <c r="C36" s="83" t="s">
        <v>29</v>
      </c>
      <c r="D36" s="93">
        <v>2477.4401690999998</v>
      </c>
      <c r="E36" s="94"/>
      <c r="F36" s="93">
        <v>2751.5853455000001</v>
      </c>
      <c r="G36" s="94"/>
      <c r="H36" s="93">
        <v>2793.4356891000002</v>
      </c>
      <c r="I36" s="94"/>
      <c r="J36" s="93">
        <v>2867.0539874000001</v>
      </c>
      <c r="K36" s="94"/>
      <c r="L36" s="93">
        <v>2816.7036761999998</v>
      </c>
      <c r="M36" s="94"/>
      <c r="N36" s="93">
        <v>2620.5952732999999</v>
      </c>
      <c r="O36" s="94"/>
      <c r="P36" s="93">
        <v>2619</v>
      </c>
      <c r="Q36" s="94"/>
    </row>
    <row r="37" spans="1:17" ht="15" customHeight="1" x14ac:dyDescent="0.25">
      <c r="A37" s="423">
        <v>3</v>
      </c>
      <c r="B37" s="423"/>
      <c r="C37" s="89" t="s">
        <v>1036</v>
      </c>
      <c r="D37" s="95">
        <v>1600.682628</v>
      </c>
      <c r="E37" s="96"/>
      <c r="F37" s="95">
        <v>1600.0968882</v>
      </c>
      <c r="G37" s="96"/>
      <c r="H37" s="95">
        <v>1808.1236021</v>
      </c>
      <c r="I37" s="96"/>
      <c r="J37" s="95">
        <v>1740.5825339999999</v>
      </c>
      <c r="K37" s="96"/>
      <c r="L37" s="95">
        <v>1809.1942249000001</v>
      </c>
      <c r="M37" s="96"/>
      <c r="N37" s="95">
        <v>1671.267544</v>
      </c>
      <c r="O37" s="96"/>
      <c r="P37" s="95">
        <v>1713</v>
      </c>
      <c r="Q37" s="96"/>
    </row>
    <row r="38" spans="1:17" ht="15" customHeight="1" x14ac:dyDescent="0.25">
      <c r="A38" s="423">
        <v>3</v>
      </c>
      <c r="B38" s="423"/>
      <c r="C38" s="89" t="s">
        <v>1037</v>
      </c>
      <c r="D38" s="95">
        <v>876.75754111000003</v>
      </c>
      <c r="E38" s="96"/>
      <c r="F38" s="95">
        <v>1151.4884572999999</v>
      </c>
      <c r="G38" s="96"/>
      <c r="H38" s="95">
        <v>985.31208694999998</v>
      </c>
      <c r="I38" s="96"/>
      <c r="J38" s="95">
        <v>1126.4714534</v>
      </c>
      <c r="K38" s="96"/>
      <c r="L38" s="95">
        <v>1007.5094513</v>
      </c>
      <c r="M38" s="96"/>
      <c r="N38" s="95">
        <v>949.32772932</v>
      </c>
      <c r="O38" s="96"/>
      <c r="P38" s="95">
        <v>906</v>
      </c>
      <c r="Q38" s="96"/>
    </row>
    <row r="39" spans="1:17" ht="15" customHeight="1" x14ac:dyDescent="0.25">
      <c r="A39" s="423">
        <v>2</v>
      </c>
      <c r="B39" s="423"/>
      <c r="C39" s="83" t="s">
        <v>1038</v>
      </c>
      <c r="D39" s="93">
        <v>986.25280635000001</v>
      </c>
      <c r="E39" s="94" t="s">
        <v>1007</v>
      </c>
      <c r="F39" s="93">
        <v>997.61858655000003</v>
      </c>
      <c r="G39" s="94"/>
      <c r="H39" s="93">
        <v>824.46906746000002</v>
      </c>
      <c r="I39" s="94"/>
      <c r="J39" s="93">
        <v>1249.5501280000001</v>
      </c>
      <c r="K39" s="94"/>
      <c r="L39" s="93">
        <v>1004.2407133</v>
      </c>
      <c r="M39" s="94"/>
      <c r="N39" s="93">
        <v>1007.2373906</v>
      </c>
      <c r="O39" s="94"/>
      <c r="P39" s="93">
        <v>1185</v>
      </c>
      <c r="Q39" s="94"/>
    </row>
    <row r="40" spans="1:17" ht="15" customHeight="1" x14ac:dyDescent="0.25">
      <c r="A40" s="423">
        <v>3</v>
      </c>
      <c r="B40" s="423"/>
      <c r="C40" s="89" t="s">
        <v>1039</v>
      </c>
      <c r="D40" s="95">
        <v>635.99779878000004</v>
      </c>
      <c r="E40" s="96" t="s">
        <v>1007</v>
      </c>
      <c r="F40" s="95">
        <v>656.31421403000002</v>
      </c>
      <c r="G40" s="96" t="s">
        <v>1007</v>
      </c>
      <c r="H40" s="95">
        <v>384.25482232000002</v>
      </c>
      <c r="I40" s="96" t="s">
        <v>1007</v>
      </c>
      <c r="J40" s="95">
        <v>783.18916879999995</v>
      </c>
      <c r="K40" s="96" t="s">
        <v>1007</v>
      </c>
      <c r="L40" s="95">
        <v>472.39217606</v>
      </c>
      <c r="M40" s="96" t="s">
        <v>1007</v>
      </c>
      <c r="N40" s="95">
        <v>615.04276479999999</v>
      </c>
      <c r="O40" s="96"/>
      <c r="P40" s="95">
        <v>724</v>
      </c>
      <c r="Q40" s="96" t="s">
        <v>1007</v>
      </c>
    </row>
    <row r="41" spans="1:17" ht="15" customHeight="1" x14ac:dyDescent="0.25">
      <c r="A41" s="423">
        <v>3</v>
      </c>
      <c r="B41" s="423"/>
      <c r="C41" s="89" t="s">
        <v>1040</v>
      </c>
      <c r="D41" s="95">
        <v>350.25500757999998</v>
      </c>
      <c r="E41" s="96" t="s">
        <v>1007</v>
      </c>
      <c r="F41" s="95">
        <v>341.30437251000001</v>
      </c>
      <c r="G41" s="96" t="s">
        <v>1007</v>
      </c>
      <c r="H41" s="95">
        <v>440.21424514</v>
      </c>
      <c r="I41" s="96"/>
      <c r="J41" s="95">
        <v>466.36095915999999</v>
      </c>
      <c r="K41" s="96"/>
      <c r="L41" s="95">
        <v>531.84853726999995</v>
      </c>
      <c r="M41" s="96"/>
      <c r="N41" s="95">
        <v>392.19462576000001</v>
      </c>
      <c r="O41" s="96"/>
      <c r="P41" s="95">
        <v>461</v>
      </c>
      <c r="Q41" s="96"/>
    </row>
    <row r="42" spans="1:17" ht="15" customHeight="1" x14ac:dyDescent="0.25">
      <c r="A42" s="423">
        <v>2</v>
      </c>
      <c r="B42" s="423"/>
      <c r="C42" s="83" t="s">
        <v>1041</v>
      </c>
      <c r="D42" s="93">
        <v>2590.9932681</v>
      </c>
      <c r="E42" s="94"/>
      <c r="F42" s="93">
        <v>3114.4401248999998</v>
      </c>
      <c r="G42" s="94"/>
      <c r="H42" s="93">
        <v>2193.0786778000002</v>
      </c>
      <c r="I42" s="94"/>
      <c r="J42" s="93">
        <v>2962.9015027</v>
      </c>
      <c r="K42" s="94"/>
      <c r="L42" s="93">
        <v>2789.844658</v>
      </c>
      <c r="M42" s="94"/>
      <c r="N42" s="93">
        <v>2863.2857457</v>
      </c>
      <c r="O42" s="94" t="s">
        <v>1007</v>
      </c>
      <c r="P42" s="93">
        <v>2892</v>
      </c>
      <c r="Q42" s="94"/>
    </row>
    <row r="43" spans="1:17" ht="15" customHeight="1" x14ac:dyDescent="0.25">
      <c r="A43" s="423">
        <v>3</v>
      </c>
      <c r="B43" s="423"/>
      <c r="C43" s="89" t="s">
        <v>1042</v>
      </c>
      <c r="D43" s="95">
        <v>613.46414172000004</v>
      </c>
      <c r="E43" s="96" t="s">
        <v>1007</v>
      </c>
      <c r="F43" s="95">
        <v>700.04689341999995</v>
      </c>
      <c r="G43" s="96"/>
      <c r="H43" s="95">
        <v>479.32262436000002</v>
      </c>
      <c r="I43" s="96" t="s">
        <v>1007</v>
      </c>
      <c r="J43" s="95">
        <v>771.76569874999996</v>
      </c>
      <c r="K43" s="96" t="s">
        <v>1007</v>
      </c>
      <c r="L43" s="95">
        <v>629.21964489000004</v>
      </c>
      <c r="M43" s="96" t="s">
        <v>1007</v>
      </c>
      <c r="N43" s="95" t="s">
        <v>978</v>
      </c>
      <c r="O43" s="96"/>
      <c r="P43" s="95">
        <v>650</v>
      </c>
      <c r="Q43" s="96" t="s">
        <v>1011</v>
      </c>
    </row>
    <row r="44" spans="1:17" ht="15" customHeight="1" x14ac:dyDescent="0.25">
      <c r="A44" s="423">
        <v>3</v>
      </c>
      <c r="B44" s="423"/>
      <c r="C44" s="89" t="s">
        <v>1043</v>
      </c>
      <c r="D44" s="95">
        <v>426.25233752000003</v>
      </c>
      <c r="E44" s="96"/>
      <c r="F44" s="95">
        <v>283.18864095999999</v>
      </c>
      <c r="G44" s="96"/>
      <c r="H44" s="95">
        <v>229.24760641</v>
      </c>
      <c r="I44" s="96" t="s">
        <v>1007</v>
      </c>
      <c r="J44" s="95">
        <v>231.33840498999999</v>
      </c>
      <c r="K44" s="96"/>
      <c r="L44" s="95">
        <v>253.44388759</v>
      </c>
      <c r="M44" s="96" t="s">
        <v>1007</v>
      </c>
      <c r="N44" s="95">
        <v>267.96919988000002</v>
      </c>
      <c r="O44" s="96" t="s">
        <v>1007</v>
      </c>
      <c r="P44" s="95">
        <v>131</v>
      </c>
      <c r="Q44" s="96" t="s">
        <v>1007</v>
      </c>
    </row>
    <row r="45" spans="1:17" ht="15" customHeight="1" x14ac:dyDescent="0.25">
      <c r="A45" s="423">
        <v>3</v>
      </c>
      <c r="B45" s="423"/>
      <c r="C45" s="89" t="s">
        <v>1044</v>
      </c>
      <c r="D45" s="95">
        <v>1168.2406321999999</v>
      </c>
      <c r="E45" s="96"/>
      <c r="F45" s="95">
        <v>1360.6715815</v>
      </c>
      <c r="G45" s="96"/>
      <c r="H45" s="95">
        <v>1232.7977128</v>
      </c>
      <c r="I45" s="96"/>
      <c r="J45" s="95">
        <v>1610.3982441999999</v>
      </c>
      <c r="K45" s="96"/>
      <c r="L45" s="95">
        <v>1368.2737668</v>
      </c>
      <c r="M45" s="96"/>
      <c r="N45" s="95">
        <v>1233.6892419000001</v>
      </c>
      <c r="O45" s="96"/>
      <c r="P45" s="95">
        <v>1461</v>
      </c>
      <c r="Q45" s="96"/>
    </row>
    <row r="46" spans="1:17" ht="15" customHeight="1" x14ac:dyDescent="0.25">
      <c r="A46" s="423">
        <v>3</v>
      </c>
      <c r="B46" s="423"/>
      <c r="C46" s="89" t="s">
        <v>1045</v>
      </c>
      <c r="D46" s="95">
        <v>383.03615667000003</v>
      </c>
      <c r="E46" s="96" t="s">
        <v>1011</v>
      </c>
      <c r="F46" s="95">
        <v>770.53300896999997</v>
      </c>
      <c r="G46" s="96" t="s">
        <v>1007</v>
      </c>
      <c r="H46" s="95">
        <v>251.71073426000001</v>
      </c>
      <c r="I46" s="96" t="s">
        <v>1007</v>
      </c>
      <c r="J46" s="95" t="s">
        <v>978</v>
      </c>
      <c r="K46" s="96"/>
      <c r="L46" s="95">
        <v>538.90735873999995</v>
      </c>
      <c r="M46" s="96" t="s">
        <v>1011</v>
      </c>
      <c r="N46" s="95" t="s">
        <v>978</v>
      </c>
      <c r="O46" s="96"/>
      <c r="P46" s="95">
        <v>649</v>
      </c>
      <c r="Q46" s="96" t="s">
        <v>1011</v>
      </c>
    </row>
    <row r="47" spans="1:17" ht="15" customHeight="1" x14ac:dyDescent="0.25">
      <c r="A47" s="423">
        <v>2</v>
      </c>
      <c r="B47" s="423"/>
      <c r="C47" s="83" t="s">
        <v>1046</v>
      </c>
      <c r="D47" s="93">
        <v>401.00979654999998</v>
      </c>
      <c r="E47" s="94" t="s">
        <v>1007</v>
      </c>
      <c r="F47" s="93">
        <v>645.63953058000004</v>
      </c>
      <c r="G47" s="94" t="s">
        <v>1007</v>
      </c>
      <c r="H47" s="93">
        <v>635.01235896000003</v>
      </c>
      <c r="I47" s="94" t="s">
        <v>1007</v>
      </c>
      <c r="J47" s="93">
        <v>738.15838887999996</v>
      </c>
      <c r="K47" s="94" t="s">
        <v>1007</v>
      </c>
      <c r="L47" s="93">
        <v>734.27004947</v>
      </c>
      <c r="M47" s="94" t="s">
        <v>1011</v>
      </c>
      <c r="N47" s="93">
        <v>567.13789543999997</v>
      </c>
      <c r="O47" s="94" t="s">
        <v>1007</v>
      </c>
      <c r="P47" s="93">
        <v>584</v>
      </c>
      <c r="Q47" s="94" t="s">
        <v>1007</v>
      </c>
    </row>
    <row r="48" spans="1:17" ht="15" customHeight="1" x14ac:dyDescent="0.25">
      <c r="A48" s="423">
        <v>3</v>
      </c>
      <c r="B48" s="423"/>
      <c r="C48" s="89" t="s">
        <v>376</v>
      </c>
      <c r="D48" s="95">
        <v>383.11890376999997</v>
      </c>
      <c r="E48" s="96" t="s">
        <v>1007</v>
      </c>
      <c r="F48" s="95">
        <v>613.96513913000001</v>
      </c>
      <c r="G48" s="96" t="s">
        <v>1007</v>
      </c>
      <c r="H48" s="95">
        <v>621.77884958000004</v>
      </c>
      <c r="I48" s="96" t="s">
        <v>1007</v>
      </c>
      <c r="J48" s="95">
        <v>696.99607586000002</v>
      </c>
      <c r="K48" s="96" t="s">
        <v>1007</v>
      </c>
      <c r="L48" s="95">
        <v>641.81117443000005</v>
      </c>
      <c r="M48" s="96" t="s">
        <v>1011</v>
      </c>
      <c r="N48" s="95">
        <v>469.74245289999999</v>
      </c>
      <c r="O48" s="96" t="s">
        <v>1007</v>
      </c>
      <c r="P48" s="95">
        <v>519</v>
      </c>
      <c r="Q48" s="96" t="s">
        <v>1007</v>
      </c>
    </row>
    <row r="49" spans="1:17" ht="15" customHeight="1" x14ac:dyDescent="0.25">
      <c r="A49" s="423">
        <v>3</v>
      </c>
      <c r="B49" s="423"/>
      <c r="C49" s="89" t="s">
        <v>1047</v>
      </c>
      <c r="D49" s="95" t="s">
        <v>978</v>
      </c>
      <c r="E49" s="96"/>
      <c r="F49" s="95" t="s">
        <v>978</v>
      </c>
      <c r="G49" s="96"/>
      <c r="H49" s="95" t="s">
        <v>978</v>
      </c>
      <c r="I49" s="96"/>
      <c r="J49" s="95" t="s">
        <v>978</v>
      </c>
      <c r="K49" s="96"/>
      <c r="L49" s="95">
        <v>92.458875039999995</v>
      </c>
      <c r="M49" s="96" t="s">
        <v>1011</v>
      </c>
      <c r="N49" s="95">
        <v>97.395442547000002</v>
      </c>
      <c r="O49" s="96" t="s">
        <v>1011</v>
      </c>
      <c r="P49" s="95"/>
      <c r="Q49" s="96"/>
    </row>
    <row r="50" spans="1:17" ht="15" customHeight="1" x14ac:dyDescent="0.25">
      <c r="A50" s="423">
        <v>2</v>
      </c>
      <c r="B50" s="423"/>
      <c r="C50" s="83" t="s">
        <v>1048</v>
      </c>
      <c r="D50" s="93">
        <v>144.64185942</v>
      </c>
      <c r="E50" s="94" t="s">
        <v>1007</v>
      </c>
      <c r="F50" s="93">
        <v>186.93928833000001</v>
      </c>
      <c r="G50" s="94" t="s">
        <v>1007</v>
      </c>
      <c r="H50" s="93" t="s">
        <v>978</v>
      </c>
      <c r="I50" s="94"/>
      <c r="J50" s="93">
        <v>182.80384273000001</v>
      </c>
      <c r="K50" s="94" t="s">
        <v>1011</v>
      </c>
      <c r="L50" s="93">
        <v>128.97190093</v>
      </c>
      <c r="M50" s="94" t="s">
        <v>1007</v>
      </c>
      <c r="N50" s="93">
        <v>157.63474785</v>
      </c>
      <c r="O50" s="94" t="s">
        <v>1007</v>
      </c>
      <c r="P50" s="93">
        <v>115</v>
      </c>
      <c r="Q50" s="94" t="s">
        <v>1011</v>
      </c>
    </row>
    <row r="51" spans="1:17" ht="15" customHeight="1" x14ac:dyDescent="0.25">
      <c r="A51" s="423">
        <v>3</v>
      </c>
      <c r="B51" s="423"/>
      <c r="C51" s="89" t="s">
        <v>1049</v>
      </c>
      <c r="D51" s="95">
        <v>23.161842243999999</v>
      </c>
      <c r="E51" s="96" t="s">
        <v>1011</v>
      </c>
      <c r="F51" s="95" t="s">
        <v>978</v>
      </c>
      <c r="G51" s="96"/>
      <c r="H51" s="95" t="s">
        <v>978</v>
      </c>
      <c r="I51" s="96"/>
      <c r="J51" s="95" t="s">
        <v>978</v>
      </c>
      <c r="K51" s="96"/>
      <c r="L51" s="95" t="s">
        <v>978</v>
      </c>
      <c r="M51" s="96"/>
      <c r="N51" s="95" t="s">
        <v>978</v>
      </c>
      <c r="O51" s="96"/>
      <c r="P51" s="95"/>
      <c r="Q51" s="96"/>
    </row>
    <row r="52" spans="1:17" ht="15" customHeight="1" x14ac:dyDescent="0.25">
      <c r="A52" s="423">
        <v>3</v>
      </c>
      <c r="B52" s="423"/>
      <c r="C52" s="89" t="s">
        <v>1050</v>
      </c>
      <c r="D52" s="95">
        <v>30.030015219999999</v>
      </c>
      <c r="E52" s="96" t="s">
        <v>1011</v>
      </c>
      <c r="F52" s="95">
        <v>20.664452991000001</v>
      </c>
      <c r="G52" s="96" t="s">
        <v>1011</v>
      </c>
      <c r="H52" s="95" t="s">
        <v>978</v>
      </c>
      <c r="I52" s="96"/>
      <c r="J52" s="95" t="s">
        <v>978</v>
      </c>
      <c r="K52" s="96"/>
      <c r="L52" s="95" t="s">
        <v>978</v>
      </c>
      <c r="M52" s="96"/>
      <c r="N52" s="95" t="s">
        <v>978</v>
      </c>
      <c r="O52" s="96"/>
      <c r="P52" s="95"/>
      <c r="Q52" s="96"/>
    </row>
    <row r="53" spans="1:17" ht="15" customHeight="1" x14ac:dyDescent="0.25">
      <c r="A53" s="423">
        <v>3</v>
      </c>
      <c r="B53" s="423"/>
      <c r="C53" s="89" t="s">
        <v>1051</v>
      </c>
      <c r="D53" s="95">
        <v>82.592190024000004</v>
      </c>
      <c r="E53" s="96" t="s">
        <v>1007</v>
      </c>
      <c r="F53" s="95">
        <v>90.381936890000006</v>
      </c>
      <c r="G53" s="96" t="s">
        <v>1011</v>
      </c>
      <c r="H53" s="95" t="s">
        <v>978</v>
      </c>
      <c r="I53" s="96"/>
      <c r="J53" s="95" t="s">
        <v>978</v>
      </c>
      <c r="K53" s="96"/>
      <c r="L53" s="95">
        <v>71.145781327999998</v>
      </c>
      <c r="M53" s="96"/>
      <c r="N53" s="95">
        <v>74.318203308999998</v>
      </c>
      <c r="O53" s="96" t="s">
        <v>1007</v>
      </c>
      <c r="P53" s="95">
        <v>72</v>
      </c>
      <c r="Q53" s="96" t="s">
        <v>1011</v>
      </c>
    </row>
    <row r="54" spans="1:17" ht="15" customHeight="1" x14ac:dyDescent="0.25">
      <c r="A54" s="423">
        <v>3</v>
      </c>
      <c r="B54" s="423"/>
      <c r="C54" s="89" t="s">
        <v>1052</v>
      </c>
      <c r="D54" s="95" t="s">
        <v>978</v>
      </c>
      <c r="E54" s="96"/>
      <c r="F54" s="95" t="s">
        <v>978</v>
      </c>
      <c r="G54" s="96"/>
      <c r="H54" s="95" t="s">
        <v>978</v>
      </c>
      <c r="I54" s="96"/>
      <c r="J54" s="95" t="s">
        <v>978</v>
      </c>
      <c r="K54" s="96"/>
      <c r="L54" s="95" t="s">
        <v>978</v>
      </c>
      <c r="M54" s="96"/>
      <c r="N54" s="95" t="s">
        <v>978</v>
      </c>
      <c r="O54" s="96"/>
      <c r="P54" s="95"/>
      <c r="Q54" s="96"/>
    </row>
    <row r="55" spans="1:17" ht="15" customHeight="1" x14ac:dyDescent="0.25">
      <c r="A55" s="423">
        <v>3</v>
      </c>
      <c r="B55" s="423"/>
      <c r="C55" s="89" t="s">
        <v>1053</v>
      </c>
      <c r="D55" s="95" t="s">
        <v>978</v>
      </c>
      <c r="E55" s="96"/>
      <c r="F55" s="95" t="s">
        <v>978</v>
      </c>
      <c r="G55" s="96"/>
      <c r="H55" s="95" t="s">
        <v>978</v>
      </c>
      <c r="I55" s="96"/>
      <c r="J55" s="95" t="s">
        <v>978</v>
      </c>
      <c r="K55" s="96"/>
      <c r="L55" s="95" t="s">
        <v>978</v>
      </c>
      <c r="M55" s="96"/>
      <c r="N55" s="95" t="s">
        <v>978</v>
      </c>
      <c r="O55" s="96"/>
      <c r="P55" s="95"/>
      <c r="Q55" s="96"/>
    </row>
    <row r="56" spans="1:17" ht="15" customHeight="1" x14ac:dyDescent="0.25">
      <c r="A56" s="423">
        <v>2</v>
      </c>
      <c r="B56" s="423"/>
      <c r="C56" s="83" t="s">
        <v>1054</v>
      </c>
      <c r="D56" s="93">
        <v>1223.0871522</v>
      </c>
      <c r="E56" s="94"/>
      <c r="F56" s="93">
        <v>1681.2469318999999</v>
      </c>
      <c r="G56" s="94"/>
      <c r="H56" s="93">
        <v>1173.607491</v>
      </c>
      <c r="I56" s="94" t="s">
        <v>1007</v>
      </c>
      <c r="J56" s="93">
        <v>1412.8691971000001</v>
      </c>
      <c r="K56" s="94"/>
      <c r="L56" s="93">
        <v>1261.2903577</v>
      </c>
      <c r="M56" s="94"/>
      <c r="N56" s="93">
        <v>1210.2400654</v>
      </c>
      <c r="O56" s="94"/>
      <c r="P56" s="93">
        <v>886</v>
      </c>
      <c r="Q56" s="94" t="s">
        <v>1007</v>
      </c>
    </row>
    <row r="57" spans="1:17" ht="15" customHeight="1" x14ac:dyDescent="0.25">
      <c r="A57" s="423">
        <v>3</v>
      </c>
      <c r="B57" s="423"/>
      <c r="C57" s="89" t="s">
        <v>1055</v>
      </c>
      <c r="D57" s="95">
        <v>329.09439046</v>
      </c>
      <c r="E57" s="96" t="s">
        <v>1007</v>
      </c>
      <c r="F57" s="95">
        <v>494.53367334000001</v>
      </c>
      <c r="G57" s="96" t="s">
        <v>1007</v>
      </c>
      <c r="H57" s="95">
        <v>327.15349466999999</v>
      </c>
      <c r="I57" s="96" t="s">
        <v>1011</v>
      </c>
      <c r="J57" s="95">
        <v>359.33978562999999</v>
      </c>
      <c r="K57" s="96" t="s">
        <v>1011</v>
      </c>
      <c r="L57" s="95">
        <v>402.44033114000001</v>
      </c>
      <c r="M57" s="96" t="s">
        <v>1011</v>
      </c>
      <c r="N57" s="95">
        <v>302.44831042999999</v>
      </c>
      <c r="O57" s="96" t="s">
        <v>1011</v>
      </c>
      <c r="P57" s="95">
        <v>244</v>
      </c>
      <c r="Q57" s="96" t="s">
        <v>1011</v>
      </c>
    </row>
    <row r="58" spans="1:17" ht="15" customHeight="1" x14ac:dyDescent="0.25">
      <c r="A58" s="423">
        <v>3</v>
      </c>
      <c r="B58" s="423"/>
      <c r="C58" s="89" t="s">
        <v>1056</v>
      </c>
      <c r="D58" s="95">
        <v>893.99276168999995</v>
      </c>
      <c r="E58" s="96" t="s">
        <v>1007</v>
      </c>
      <c r="F58" s="95">
        <v>1186.7132586</v>
      </c>
      <c r="G58" s="96" t="s">
        <v>1007</v>
      </c>
      <c r="H58" s="95">
        <v>846.45399631999999</v>
      </c>
      <c r="I58" s="96" t="s">
        <v>1007</v>
      </c>
      <c r="J58" s="95">
        <v>1053.5294114999999</v>
      </c>
      <c r="K58" s="96" t="s">
        <v>1007</v>
      </c>
      <c r="L58" s="95">
        <v>858.85002657999996</v>
      </c>
      <c r="M58" s="96"/>
      <c r="N58" s="95">
        <v>907.79175492000002</v>
      </c>
      <c r="O58" s="96" t="s">
        <v>1007</v>
      </c>
      <c r="P58" s="95">
        <v>642</v>
      </c>
      <c r="Q58" s="96" t="s">
        <v>1007</v>
      </c>
    </row>
    <row r="59" spans="1:17" ht="15" customHeight="1" x14ac:dyDescent="0.25">
      <c r="A59" s="423">
        <v>2</v>
      </c>
      <c r="B59" s="423"/>
      <c r="C59" s="83" t="s">
        <v>1057</v>
      </c>
      <c r="D59" s="93">
        <v>175.87938001000001</v>
      </c>
      <c r="E59" s="94" t="s">
        <v>1007</v>
      </c>
      <c r="F59" s="93">
        <v>129.46858441000001</v>
      </c>
      <c r="G59" s="94" t="s">
        <v>1007</v>
      </c>
      <c r="H59" s="93">
        <v>130.72007163000001</v>
      </c>
      <c r="I59" s="94" t="s">
        <v>1007</v>
      </c>
      <c r="J59" s="93">
        <v>156.46992431999999</v>
      </c>
      <c r="K59" s="94" t="s">
        <v>1007</v>
      </c>
      <c r="L59" s="93">
        <v>218.62196304</v>
      </c>
      <c r="M59" s="94" t="s">
        <v>1007</v>
      </c>
      <c r="N59" s="93">
        <v>153.91846514</v>
      </c>
      <c r="O59" s="94" t="s">
        <v>1011</v>
      </c>
      <c r="P59" s="93">
        <v>79</v>
      </c>
      <c r="Q59" s="94" t="s">
        <v>1007</v>
      </c>
    </row>
    <row r="60" spans="1:17" ht="15" customHeight="1" x14ac:dyDescent="0.25">
      <c r="A60" s="423">
        <v>3</v>
      </c>
      <c r="B60" s="423"/>
      <c r="C60" s="89" t="s">
        <v>1058</v>
      </c>
      <c r="D60" s="95">
        <v>130.40549339</v>
      </c>
      <c r="E60" s="96" t="s">
        <v>1007</v>
      </c>
      <c r="F60" s="95">
        <v>124.47955944</v>
      </c>
      <c r="G60" s="96" t="s">
        <v>1007</v>
      </c>
      <c r="H60" s="95">
        <v>130.72007163000001</v>
      </c>
      <c r="I60" s="96" t="s">
        <v>1007</v>
      </c>
      <c r="J60" s="95">
        <v>155.53913027999999</v>
      </c>
      <c r="K60" s="96" t="s">
        <v>1007</v>
      </c>
      <c r="L60" s="95">
        <v>178.46250101000001</v>
      </c>
      <c r="M60" s="96" t="s">
        <v>1007</v>
      </c>
      <c r="N60" s="95">
        <v>143.27649417999999</v>
      </c>
      <c r="O60" s="96" t="s">
        <v>1011</v>
      </c>
      <c r="P60" s="95">
        <v>66</v>
      </c>
      <c r="Q60" s="96" t="s">
        <v>1007</v>
      </c>
    </row>
    <row r="61" spans="1:17" ht="15" customHeight="1" x14ac:dyDescent="0.25">
      <c r="A61" s="423">
        <v>3</v>
      </c>
      <c r="B61" s="423"/>
      <c r="C61" s="89" t="s">
        <v>1059</v>
      </c>
      <c r="D61" s="95" t="s">
        <v>978</v>
      </c>
      <c r="E61" s="96"/>
      <c r="F61" s="95" t="s">
        <v>978</v>
      </c>
      <c r="G61" s="96"/>
      <c r="H61" s="95">
        <v>0</v>
      </c>
      <c r="I61" s="96"/>
      <c r="J61" s="95" t="s">
        <v>978</v>
      </c>
      <c r="K61" s="96"/>
      <c r="L61" s="95" t="s">
        <v>978</v>
      </c>
      <c r="M61" s="96"/>
      <c r="N61" s="95" t="s">
        <v>978</v>
      </c>
      <c r="O61" s="96"/>
      <c r="P61" s="95"/>
      <c r="Q61" s="96"/>
    </row>
    <row r="62" spans="1:17" ht="15" customHeight="1" x14ac:dyDescent="0.25">
      <c r="A62" s="423">
        <v>2</v>
      </c>
      <c r="B62" s="423"/>
      <c r="C62" s="83" t="s">
        <v>1060</v>
      </c>
      <c r="D62" s="93">
        <v>892.19010209999999</v>
      </c>
      <c r="E62" s="94" t="s">
        <v>1007</v>
      </c>
      <c r="F62" s="93">
        <v>1186.6494256000001</v>
      </c>
      <c r="G62" s="94"/>
      <c r="H62" s="93">
        <v>928.98879227999998</v>
      </c>
      <c r="I62" s="94"/>
      <c r="J62" s="93">
        <v>1132.6295126</v>
      </c>
      <c r="K62" s="94"/>
      <c r="L62" s="93">
        <v>1261.8794794999999</v>
      </c>
      <c r="M62" s="94"/>
      <c r="N62" s="93">
        <v>1027.5051481999999</v>
      </c>
      <c r="O62" s="94"/>
      <c r="P62" s="93">
        <v>1114</v>
      </c>
      <c r="Q62" s="94"/>
    </row>
    <row r="63" spans="1:17" ht="15" customHeight="1" x14ac:dyDescent="0.25">
      <c r="A63" s="423">
        <v>3</v>
      </c>
      <c r="B63" s="423"/>
      <c r="C63" s="89" t="s">
        <v>1061</v>
      </c>
      <c r="D63" s="95">
        <v>186.59390603</v>
      </c>
      <c r="E63" s="96"/>
      <c r="F63" s="95">
        <v>533.45455956000001</v>
      </c>
      <c r="G63" s="96"/>
      <c r="H63" s="95">
        <v>394.60792272999998</v>
      </c>
      <c r="I63" s="96"/>
      <c r="J63" s="95">
        <v>465.45007201999999</v>
      </c>
      <c r="K63" s="96" t="s">
        <v>1007</v>
      </c>
      <c r="L63" s="95">
        <v>504.45217996999997</v>
      </c>
      <c r="M63" s="96" t="s">
        <v>1007</v>
      </c>
      <c r="N63" s="95">
        <v>363.63459267000002</v>
      </c>
      <c r="O63" s="96" t="s">
        <v>1007</v>
      </c>
      <c r="P63" s="95">
        <v>481</v>
      </c>
      <c r="Q63" s="96" t="s">
        <v>1007</v>
      </c>
    </row>
    <row r="64" spans="1:17" ht="15" customHeight="1" x14ac:dyDescent="0.25">
      <c r="A64" s="423">
        <v>3</v>
      </c>
      <c r="B64" s="423"/>
      <c r="C64" s="89" t="s">
        <v>1062</v>
      </c>
      <c r="D64" s="95">
        <v>705.59619608000003</v>
      </c>
      <c r="E64" s="96" t="s">
        <v>1007</v>
      </c>
      <c r="F64" s="95">
        <v>653.19486603999997</v>
      </c>
      <c r="G64" s="96"/>
      <c r="H64" s="95">
        <v>534.38086955000006</v>
      </c>
      <c r="I64" s="96"/>
      <c r="J64" s="95">
        <v>667.17944060000002</v>
      </c>
      <c r="K64" s="96"/>
      <c r="L64" s="95">
        <v>757.42729953000003</v>
      </c>
      <c r="M64" s="96"/>
      <c r="N64" s="95">
        <v>663.87055554000005</v>
      </c>
      <c r="O64" s="96"/>
      <c r="P64" s="95">
        <v>633</v>
      </c>
      <c r="Q64" s="96"/>
    </row>
    <row r="65" spans="1:17" ht="15" customHeight="1" x14ac:dyDescent="0.25">
      <c r="A65" s="423">
        <v>1</v>
      </c>
      <c r="B65" s="423"/>
      <c r="C65" s="82" t="s">
        <v>1063</v>
      </c>
      <c r="D65" s="91">
        <v>4931.7826733000002</v>
      </c>
      <c r="E65" s="92"/>
      <c r="F65" s="91">
        <v>5546.0031251</v>
      </c>
      <c r="G65" s="92"/>
      <c r="H65" s="91">
        <v>5998.4298313999998</v>
      </c>
      <c r="I65" s="92"/>
      <c r="J65" s="91">
        <v>6509.1879349999999</v>
      </c>
      <c r="K65" s="92"/>
      <c r="L65" s="91">
        <v>6500.0915978000003</v>
      </c>
      <c r="M65" s="92"/>
      <c r="N65" s="91">
        <v>6375.1646988000002</v>
      </c>
      <c r="O65" s="92"/>
      <c r="P65" s="91">
        <v>6904</v>
      </c>
      <c r="Q65" s="92"/>
    </row>
    <row r="66" spans="1:17" ht="15" customHeight="1" x14ac:dyDescent="0.25">
      <c r="A66" s="423">
        <v>1</v>
      </c>
      <c r="B66" s="423"/>
      <c r="C66" s="82" t="s">
        <v>1064</v>
      </c>
      <c r="D66" s="91">
        <v>2821.7834324</v>
      </c>
      <c r="E66" s="92"/>
      <c r="F66" s="91">
        <v>3253.9712067</v>
      </c>
      <c r="G66" s="92"/>
      <c r="H66" s="91">
        <v>3097.9834552000002</v>
      </c>
      <c r="I66" s="92"/>
      <c r="J66" s="91">
        <v>3298.5913132000001</v>
      </c>
      <c r="K66" s="92"/>
      <c r="L66" s="91">
        <v>3372.8586854</v>
      </c>
      <c r="M66" s="92"/>
      <c r="N66" s="91">
        <v>3443.6635216999998</v>
      </c>
      <c r="O66" s="92"/>
      <c r="P66" s="91">
        <v>3273</v>
      </c>
      <c r="Q66" s="92"/>
    </row>
    <row r="67" spans="1:17" ht="15" customHeight="1" x14ac:dyDescent="0.25">
      <c r="A67" s="423">
        <v>2</v>
      </c>
      <c r="B67" s="423"/>
      <c r="C67" s="84" t="s">
        <v>1065</v>
      </c>
      <c r="D67" s="97">
        <v>370.88952882000001</v>
      </c>
      <c r="E67" s="98"/>
      <c r="F67" s="97">
        <v>556.51174120999997</v>
      </c>
      <c r="G67" s="98"/>
      <c r="H67" s="97">
        <v>564.70876028999999</v>
      </c>
      <c r="I67" s="98"/>
      <c r="J67" s="97">
        <v>595.28375621999999</v>
      </c>
      <c r="K67" s="98"/>
      <c r="L67" s="97">
        <v>581.53657211999996</v>
      </c>
      <c r="M67" s="98"/>
      <c r="N67" s="97">
        <v>633.83542938000005</v>
      </c>
      <c r="O67" s="98"/>
      <c r="P67" s="97">
        <v>593</v>
      </c>
      <c r="Q67" s="98"/>
    </row>
    <row r="68" spans="1:17" ht="15" customHeight="1" x14ac:dyDescent="0.25">
      <c r="A68" s="423">
        <v>2</v>
      </c>
      <c r="B68" s="423"/>
      <c r="C68" s="84" t="s">
        <v>1066</v>
      </c>
      <c r="D68" s="97">
        <v>1881.3263752</v>
      </c>
      <c r="E68" s="98"/>
      <c r="F68" s="97">
        <v>1897.6479035</v>
      </c>
      <c r="G68" s="98"/>
      <c r="H68" s="97">
        <v>1938.2824301999999</v>
      </c>
      <c r="I68" s="98"/>
      <c r="J68" s="97">
        <v>2139.6873740999999</v>
      </c>
      <c r="K68" s="98"/>
      <c r="L68" s="97">
        <v>2108.3461763999999</v>
      </c>
      <c r="M68" s="98"/>
      <c r="N68" s="97">
        <v>2306.3772801</v>
      </c>
      <c r="O68" s="98"/>
      <c r="P68" s="97">
        <v>2127</v>
      </c>
      <c r="Q68" s="98"/>
    </row>
    <row r="69" spans="1:17" ht="15" customHeight="1" x14ac:dyDescent="0.25">
      <c r="A69" s="423">
        <v>2</v>
      </c>
      <c r="B69" s="423"/>
      <c r="C69" s="84" t="s">
        <v>1067</v>
      </c>
      <c r="D69" s="97" t="s">
        <v>978</v>
      </c>
      <c r="E69" s="98"/>
      <c r="F69" s="97" t="s">
        <v>978</v>
      </c>
      <c r="G69" s="98"/>
      <c r="H69" s="97" t="s">
        <v>978</v>
      </c>
      <c r="I69" s="98"/>
      <c r="J69" s="97" t="s">
        <v>978</v>
      </c>
      <c r="K69" s="98"/>
      <c r="L69" s="97" t="s">
        <v>978</v>
      </c>
      <c r="M69" s="98"/>
      <c r="N69" s="97" t="s">
        <v>978</v>
      </c>
      <c r="O69" s="98"/>
      <c r="P69" s="97"/>
      <c r="Q69" s="98"/>
    </row>
    <row r="70" spans="1:17" ht="15" customHeight="1" x14ac:dyDescent="0.25">
      <c r="A70" s="423">
        <v>2</v>
      </c>
      <c r="B70" s="423"/>
      <c r="C70" s="84" t="s">
        <v>1068</v>
      </c>
      <c r="D70" s="97">
        <v>527.09169685999996</v>
      </c>
      <c r="E70" s="98"/>
      <c r="F70" s="97">
        <v>614.68589786999996</v>
      </c>
      <c r="G70" s="98"/>
      <c r="H70" s="97">
        <v>527.03614766999999</v>
      </c>
      <c r="I70" s="98"/>
      <c r="J70" s="97">
        <v>521.10733873000004</v>
      </c>
      <c r="K70" s="98"/>
      <c r="L70" s="97">
        <v>506.12850342000002</v>
      </c>
      <c r="M70" s="98"/>
      <c r="N70" s="97">
        <v>420.57762527</v>
      </c>
      <c r="O70" s="98"/>
      <c r="P70" s="97">
        <v>534</v>
      </c>
      <c r="Q70" s="98"/>
    </row>
    <row r="71" spans="1:17" ht="15" customHeight="1" x14ac:dyDescent="0.25">
      <c r="A71" s="423">
        <v>1</v>
      </c>
      <c r="B71" s="423"/>
      <c r="C71" s="85" t="s">
        <v>1069</v>
      </c>
      <c r="D71" s="99">
        <v>489.65900564999998</v>
      </c>
      <c r="E71" s="100"/>
      <c r="F71" s="99">
        <v>786.8049886</v>
      </c>
      <c r="G71" s="100" t="s">
        <v>1007</v>
      </c>
      <c r="H71" s="99">
        <v>613.55688583999995</v>
      </c>
      <c r="I71" s="100"/>
      <c r="J71" s="99">
        <v>580.73871038000004</v>
      </c>
      <c r="K71" s="100" t="s">
        <v>1007</v>
      </c>
      <c r="L71" s="99">
        <v>986.86917573000005</v>
      </c>
      <c r="M71" s="100"/>
      <c r="N71" s="99">
        <v>766.56861746000004</v>
      </c>
      <c r="O71" s="100" t="s">
        <v>1007</v>
      </c>
      <c r="P71" s="99">
        <v>897</v>
      </c>
      <c r="Q71" s="100" t="s">
        <v>1007</v>
      </c>
    </row>
    <row r="72" spans="1:17" ht="15" customHeight="1" x14ac:dyDescent="0.25">
      <c r="A72" s="423">
        <v>2</v>
      </c>
      <c r="B72" s="423"/>
      <c r="C72" s="84" t="s">
        <v>1070</v>
      </c>
      <c r="D72" s="97">
        <v>361.29428947000002</v>
      </c>
      <c r="E72" s="98" t="s">
        <v>1007</v>
      </c>
      <c r="F72" s="97">
        <v>564.38998962999995</v>
      </c>
      <c r="G72" s="98" t="s">
        <v>1007</v>
      </c>
      <c r="H72" s="97">
        <v>461.82962637999998</v>
      </c>
      <c r="I72" s="98" t="s">
        <v>1007</v>
      </c>
      <c r="J72" s="97">
        <v>416.92826018</v>
      </c>
      <c r="K72" s="98" t="s">
        <v>1011</v>
      </c>
      <c r="L72" s="97">
        <v>804.11553341000001</v>
      </c>
      <c r="M72" s="98"/>
      <c r="N72" s="97">
        <v>632.99445459000003</v>
      </c>
      <c r="O72" s="98" t="s">
        <v>1007</v>
      </c>
      <c r="P72" s="97">
        <v>765</v>
      </c>
      <c r="Q72" s="98" t="s">
        <v>1007</v>
      </c>
    </row>
    <row r="73" spans="1:17" ht="15" customHeight="1" x14ac:dyDescent="0.25">
      <c r="A73" s="423">
        <v>3</v>
      </c>
      <c r="B73" s="423"/>
      <c r="C73" s="89" t="s">
        <v>1071</v>
      </c>
      <c r="D73" s="95">
        <v>221.30429441000001</v>
      </c>
      <c r="E73" s="96" t="s">
        <v>1007</v>
      </c>
      <c r="F73" s="95">
        <v>154.65758657000001</v>
      </c>
      <c r="G73" s="96" t="s">
        <v>1007</v>
      </c>
      <c r="H73" s="95">
        <v>237.90681254</v>
      </c>
      <c r="I73" s="96" t="s">
        <v>1007</v>
      </c>
      <c r="J73" s="95" t="s">
        <v>978</v>
      </c>
      <c r="K73" s="96"/>
      <c r="L73" s="95">
        <v>480.23742523999999</v>
      </c>
      <c r="M73" s="96" t="s">
        <v>1007</v>
      </c>
      <c r="N73" s="95">
        <v>365.29209897999999</v>
      </c>
      <c r="O73" s="96" t="s">
        <v>1007</v>
      </c>
      <c r="P73" s="95">
        <v>548</v>
      </c>
      <c r="Q73" s="96" t="s">
        <v>1007</v>
      </c>
    </row>
    <row r="74" spans="1:17" ht="15" customHeight="1" x14ac:dyDescent="0.25">
      <c r="A74" s="423">
        <v>3</v>
      </c>
      <c r="B74" s="423"/>
      <c r="C74" s="89" t="s">
        <v>1072</v>
      </c>
      <c r="D74" s="95" t="s">
        <v>978</v>
      </c>
      <c r="E74" s="96"/>
      <c r="F74" s="95">
        <v>75.708585291000006</v>
      </c>
      <c r="G74" s="96" t="s">
        <v>1011</v>
      </c>
      <c r="H74" s="95" t="s">
        <v>978</v>
      </c>
      <c r="I74" s="96"/>
      <c r="J74" s="95">
        <v>98.436707665</v>
      </c>
      <c r="K74" s="96" t="s">
        <v>1011</v>
      </c>
      <c r="L74" s="95" t="s">
        <v>978</v>
      </c>
      <c r="M74" s="96"/>
      <c r="N74" s="95" t="s">
        <v>978</v>
      </c>
      <c r="O74" s="96"/>
      <c r="P74" s="95"/>
      <c r="Q74" s="96"/>
    </row>
    <row r="75" spans="1:17" ht="15" customHeight="1" x14ac:dyDescent="0.25">
      <c r="A75" s="423">
        <v>3</v>
      </c>
      <c r="B75" s="423"/>
      <c r="C75" s="89" t="s">
        <v>1073</v>
      </c>
      <c r="D75" s="95" t="s">
        <v>978</v>
      </c>
      <c r="E75" s="96"/>
      <c r="F75" s="95" t="s">
        <v>978</v>
      </c>
      <c r="G75" s="96"/>
      <c r="H75" s="95" t="s">
        <v>978</v>
      </c>
      <c r="I75" s="96"/>
      <c r="J75" s="95" t="s">
        <v>978</v>
      </c>
      <c r="K75" s="96"/>
      <c r="L75" s="95" t="s">
        <v>978</v>
      </c>
      <c r="M75" s="101"/>
      <c r="N75" s="95" t="s">
        <v>978</v>
      </c>
      <c r="O75" s="101"/>
      <c r="P75" s="197"/>
      <c r="Q75" s="101"/>
    </row>
    <row r="76" spans="1:17" ht="15" customHeight="1" thickBot="1" x14ac:dyDescent="0.3">
      <c r="A76" s="423">
        <v>2</v>
      </c>
      <c r="B76" s="423"/>
      <c r="C76" s="86" t="s">
        <v>1074</v>
      </c>
      <c r="D76" s="102">
        <v>128.36471617000001</v>
      </c>
      <c r="E76" s="103"/>
      <c r="F76" s="102">
        <v>222.41499897</v>
      </c>
      <c r="G76" s="103" t="s">
        <v>1007</v>
      </c>
      <c r="H76" s="102">
        <v>151.72725947000001</v>
      </c>
      <c r="I76" s="103"/>
      <c r="J76" s="102">
        <v>163.81045019999999</v>
      </c>
      <c r="K76" s="103"/>
      <c r="L76" s="102">
        <v>182.75364232000001</v>
      </c>
      <c r="M76" s="96"/>
      <c r="N76" s="102">
        <v>133.57416287000001</v>
      </c>
      <c r="O76" s="96"/>
      <c r="P76" s="95">
        <v>132</v>
      </c>
      <c r="Q76" s="96"/>
    </row>
    <row r="77" spans="1:17" ht="15" customHeight="1" x14ac:dyDescent="0.25">
      <c r="A77" s="7"/>
      <c r="B77" s="7"/>
      <c r="C77" s="104" t="s">
        <v>1075</v>
      </c>
      <c r="D77" s="105"/>
      <c r="E77" s="105"/>
      <c r="F77" s="105"/>
      <c r="G77" s="105"/>
      <c r="H77" s="105"/>
      <c r="I77" s="105"/>
      <c r="J77" s="105"/>
      <c r="K77" s="105"/>
      <c r="L77" s="105"/>
      <c r="M77" s="105"/>
      <c r="N77" s="7"/>
      <c r="O77" s="7"/>
      <c r="P77" s="7"/>
      <c r="Q77" s="7"/>
    </row>
    <row r="78" spans="1:17" ht="15" customHeight="1" x14ac:dyDescent="0.25">
      <c r="C78" s="90" t="s">
        <v>1076</v>
      </c>
      <c r="D78" s="27"/>
      <c r="E78" s="27"/>
      <c r="F78" s="27"/>
      <c r="G78" s="27"/>
      <c r="H78" s="27"/>
      <c r="I78" s="27"/>
      <c r="J78" s="27"/>
      <c r="K78" s="27"/>
      <c r="L78" s="27"/>
      <c r="M78" s="27"/>
    </row>
    <row r="79" spans="1:17" ht="15" customHeight="1" x14ac:dyDescent="0.25">
      <c r="C79" s="90" t="s">
        <v>1077</v>
      </c>
      <c r="D79" s="27"/>
      <c r="E79" s="27"/>
      <c r="F79" s="27"/>
      <c r="G79" s="27"/>
      <c r="H79" s="27"/>
      <c r="I79" s="27"/>
      <c r="J79" s="27"/>
      <c r="K79" s="27"/>
      <c r="L79" s="27"/>
      <c r="M79" s="27"/>
    </row>
    <row r="80" spans="1:17" ht="15" customHeight="1" x14ac:dyDescent="0.25">
      <c r="C80" s="478" t="s">
        <v>1078</v>
      </c>
      <c r="D80" s="478"/>
      <c r="E80" s="478"/>
      <c r="F80" s="478"/>
      <c r="G80" s="478"/>
      <c r="H80" s="478"/>
      <c r="I80" s="478"/>
      <c r="J80" s="478"/>
      <c r="K80" s="478"/>
      <c r="L80" s="478"/>
      <c r="M80" s="478"/>
      <c r="N80" s="478"/>
      <c r="O80" s="478"/>
      <c r="P80" s="478"/>
      <c r="Q80" s="478"/>
    </row>
    <row r="81" spans="3:17" ht="30" customHeight="1" x14ac:dyDescent="0.25">
      <c r="C81" s="479" t="s">
        <v>1079</v>
      </c>
      <c r="D81" s="479"/>
      <c r="E81" s="479"/>
      <c r="F81" s="479"/>
      <c r="G81" s="479"/>
      <c r="H81" s="479"/>
      <c r="I81" s="479"/>
      <c r="J81" s="479"/>
      <c r="K81" s="479"/>
      <c r="L81" s="479"/>
      <c r="M81" s="479"/>
      <c r="N81" s="479"/>
      <c r="O81" s="479"/>
      <c r="P81" s="479"/>
      <c r="Q81" s="479"/>
    </row>
    <row r="82" spans="3:17" ht="45" customHeight="1" x14ac:dyDescent="0.25">
      <c r="C82" s="480" t="s">
        <v>1089</v>
      </c>
      <c r="D82" s="480"/>
      <c r="E82" s="480"/>
      <c r="F82" s="480"/>
      <c r="G82" s="480"/>
      <c r="H82" s="480"/>
      <c r="I82" s="480"/>
      <c r="J82" s="480"/>
      <c r="K82" s="480"/>
      <c r="L82" s="480"/>
      <c r="M82" s="480"/>
      <c r="N82" s="480"/>
      <c r="O82" s="480"/>
      <c r="P82" s="480"/>
      <c r="Q82" s="480"/>
    </row>
  </sheetData>
  <mergeCells count="5">
    <mergeCell ref="A1:Q1"/>
    <mergeCell ref="D3:Q3"/>
    <mergeCell ref="C80:Q80"/>
    <mergeCell ref="C81:Q81"/>
    <mergeCell ref="C82:Q82"/>
  </mergeCells>
  <hyperlinks>
    <hyperlink ref="C81" r:id="rId1"/>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B2:AH201"/>
  <sheetViews>
    <sheetView topLeftCell="A35" zoomScale="70" zoomScaleNormal="70" workbookViewId="0">
      <selection activeCell="X75" sqref="X75"/>
    </sheetView>
  </sheetViews>
  <sheetFormatPr baseColWidth="10" defaultColWidth="9.140625" defaultRowHeight="15" x14ac:dyDescent="0.25"/>
  <cols>
    <col min="2" max="2" width="2.85546875" customWidth="1"/>
    <col min="3" max="3" width="11.7109375" customWidth="1"/>
    <col min="4" max="4" width="11" customWidth="1"/>
    <col min="6" max="6" width="62.42578125" customWidth="1"/>
    <col min="7" max="7" width="14.28515625" style="14" customWidth="1"/>
    <col min="8" max="8" width="37.140625" style="14" customWidth="1"/>
    <col min="9" max="9" width="14.5703125" customWidth="1"/>
    <col min="10" max="10" width="9.85546875" customWidth="1"/>
    <col min="11" max="14" width="9.28515625" bestFit="1" customWidth="1"/>
    <col min="15" max="16" width="10.140625" bestFit="1" customWidth="1"/>
    <col min="17" max="17" width="12.5703125" bestFit="1" customWidth="1"/>
    <col min="18" max="19" width="10.140625" bestFit="1" customWidth="1"/>
    <col min="20" max="20" width="12.140625" customWidth="1"/>
    <col min="22" max="22" width="16.7109375" customWidth="1"/>
    <col min="23" max="23" width="16.140625" customWidth="1"/>
    <col min="24" max="24" width="15.42578125" style="5" customWidth="1"/>
    <col min="25" max="25" width="15.7109375" customWidth="1"/>
    <col min="26" max="26" width="13.85546875" customWidth="1"/>
    <col min="27" max="27" width="12.140625" customWidth="1"/>
    <col min="28" max="28" width="12.42578125" customWidth="1"/>
    <col min="29" max="29" width="12.5703125" customWidth="1"/>
  </cols>
  <sheetData>
    <row r="2" spans="2:28" x14ac:dyDescent="0.25">
      <c r="B2" s="17" t="s">
        <v>102</v>
      </c>
      <c r="G2" s="425" t="s">
        <v>103</v>
      </c>
      <c r="H2" s="425" t="s">
        <v>104</v>
      </c>
      <c r="J2" s="17" t="s">
        <v>105</v>
      </c>
      <c r="X2" s="5" t="s">
        <v>106</v>
      </c>
    </row>
    <row r="3" spans="2:28" x14ac:dyDescent="0.25">
      <c r="B3" s="17" t="s">
        <v>107</v>
      </c>
      <c r="G3" s="425">
        <v>7268</v>
      </c>
      <c r="H3" s="423" t="s">
        <v>108</v>
      </c>
      <c r="J3" t="s">
        <v>109</v>
      </c>
      <c r="K3" t="s">
        <v>110</v>
      </c>
      <c r="X3" s="41">
        <f>G3/('Paramètres Indexation'!F26/100)</f>
        <v>7529.356580593425</v>
      </c>
    </row>
    <row r="4" spans="2:28" x14ac:dyDescent="0.25">
      <c r="B4" s="4" t="s">
        <v>111</v>
      </c>
      <c r="G4" s="423"/>
      <c r="H4" s="423"/>
      <c r="J4" t="s">
        <v>112</v>
      </c>
      <c r="P4" s="39" t="s">
        <v>113</v>
      </c>
    </row>
    <row r="5" spans="2:28" x14ac:dyDescent="0.25">
      <c r="B5" s="4" t="s">
        <v>114</v>
      </c>
      <c r="G5" s="423"/>
      <c r="H5" s="423"/>
      <c r="J5" t="s">
        <v>115</v>
      </c>
      <c r="AB5" t="s">
        <v>116</v>
      </c>
    </row>
    <row r="6" spans="2:28" x14ac:dyDescent="0.25">
      <c r="B6" s="4" t="s">
        <v>117</v>
      </c>
      <c r="G6" s="423"/>
      <c r="H6" s="423"/>
      <c r="J6" s="68" t="s">
        <v>118</v>
      </c>
      <c r="P6" s="39"/>
    </row>
    <row r="7" spans="2:28" x14ac:dyDescent="0.25">
      <c r="B7" s="17" t="s">
        <v>119</v>
      </c>
      <c r="G7" s="423">
        <v>370</v>
      </c>
      <c r="H7" s="423"/>
      <c r="J7" t="s">
        <v>120</v>
      </c>
      <c r="X7" s="5">
        <f>G7</f>
        <v>370</v>
      </c>
    </row>
    <row r="8" spans="2:28" x14ac:dyDescent="0.25">
      <c r="B8" s="17"/>
      <c r="C8" t="s">
        <v>121</v>
      </c>
      <c r="G8" s="423">
        <f>4538+2861*2</f>
        <v>10260</v>
      </c>
      <c r="H8" s="423"/>
    </row>
    <row r="9" spans="2:28" x14ac:dyDescent="0.25">
      <c r="C9" s="27" t="s">
        <v>122</v>
      </c>
      <c r="G9" s="423">
        <f>G7</f>
        <v>370</v>
      </c>
      <c r="H9" s="423"/>
      <c r="J9" t="s">
        <v>123</v>
      </c>
    </row>
    <row r="10" spans="2:28" x14ac:dyDescent="0.25">
      <c r="C10" s="27" t="s">
        <v>124</v>
      </c>
      <c r="G10" s="423">
        <f>G7</f>
        <v>370</v>
      </c>
      <c r="H10" s="423"/>
      <c r="J10" t="s">
        <v>125</v>
      </c>
    </row>
    <row r="11" spans="2:28" x14ac:dyDescent="0.25">
      <c r="B11" t="s">
        <v>126</v>
      </c>
      <c r="G11" s="423"/>
      <c r="H11" s="423"/>
      <c r="J11" t="s">
        <v>127</v>
      </c>
    </row>
    <row r="12" spans="2:28" x14ac:dyDescent="0.25">
      <c r="B12" t="s">
        <v>128</v>
      </c>
      <c r="G12" s="423">
        <v>295</v>
      </c>
      <c r="H12" s="423">
        <v>2016</v>
      </c>
      <c r="J12" t="s">
        <v>129</v>
      </c>
      <c r="K12" t="s">
        <v>130</v>
      </c>
      <c r="M12" t="s">
        <v>131</v>
      </c>
      <c r="X12" s="5">
        <f>G12/('Paramètres Indexation'!F27/100)</f>
        <v>303.41830414012736</v>
      </c>
    </row>
    <row r="13" spans="2:28" x14ac:dyDescent="0.25">
      <c r="B13" t="s">
        <v>132</v>
      </c>
      <c r="G13" s="34">
        <f>'B.P. Soins de santé'!H7</f>
        <v>1610.3626863033749</v>
      </c>
      <c r="H13" s="423">
        <f>'B.P. Soins de santé'!A7</f>
        <v>2015</v>
      </c>
      <c r="J13" t="s">
        <v>133</v>
      </c>
      <c r="L13" t="s">
        <v>134</v>
      </c>
      <c r="X13" s="42">
        <f>G13/('Paramètres Indexation'!F26/100)</f>
        <v>1668.2711735361063</v>
      </c>
    </row>
    <row r="16" spans="2:28" x14ac:dyDescent="0.25">
      <c r="B16" t="s">
        <v>135</v>
      </c>
      <c r="G16" s="423">
        <v>6119</v>
      </c>
      <c r="H16" s="423" t="s">
        <v>136</v>
      </c>
      <c r="J16" t="s">
        <v>129</v>
      </c>
      <c r="K16" t="s">
        <v>137</v>
      </c>
    </row>
    <row r="17" spans="2:24" x14ac:dyDescent="0.25">
      <c r="B17" t="s">
        <v>138</v>
      </c>
      <c r="G17" s="423"/>
      <c r="H17" s="423"/>
    </row>
    <row r="18" spans="2:24" x14ac:dyDescent="0.25">
      <c r="G18" s="423"/>
      <c r="H18" s="423"/>
      <c r="K18" s="26" t="s">
        <v>139</v>
      </c>
    </row>
    <row r="19" spans="2:24" x14ac:dyDescent="0.25">
      <c r="B19" t="s">
        <v>140</v>
      </c>
      <c r="G19" s="423">
        <v>0</v>
      </c>
      <c r="H19" s="423"/>
    </row>
    <row r="20" spans="2:24" x14ac:dyDescent="0.25">
      <c r="C20" t="s">
        <v>141</v>
      </c>
      <c r="G20" s="423"/>
      <c r="H20" s="423"/>
    </row>
    <row r="23" spans="2:24" x14ac:dyDescent="0.25">
      <c r="B23" s="17" t="s">
        <v>142</v>
      </c>
      <c r="G23" s="423"/>
      <c r="H23" s="423"/>
    </row>
    <row r="24" spans="2:24" x14ac:dyDescent="0.25">
      <c r="B24" t="s">
        <v>143</v>
      </c>
      <c r="G24" s="423"/>
      <c r="H24" s="423"/>
    </row>
    <row r="25" spans="2:24" x14ac:dyDescent="0.25">
      <c r="B25" t="s">
        <v>144</v>
      </c>
      <c r="G25" s="423"/>
      <c r="H25" s="423"/>
    </row>
    <row r="26" spans="2:24" x14ac:dyDescent="0.25">
      <c r="B26" t="s">
        <v>145</v>
      </c>
      <c r="G26" s="423">
        <v>87</v>
      </c>
      <c r="H26" s="423">
        <v>2017</v>
      </c>
    </row>
    <row r="27" spans="2:24" x14ac:dyDescent="0.25">
      <c r="B27" t="s">
        <v>146</v>
      </c>
      <c r="G27" s="423"/>
      <c r="H27" s="423"/>
    </row>
    <row r="28" spans="2:24" x14ac:dyDescent="0.25">
      <c r="B28" t="s">
        <v>147</v>
      </c>
      <c r="G28" s="423">
        <v>45110</v>
      </c>
      <c r="H28" s="423">
        <v>2017</v>
      </c>
      <c r="J28" t="s">
        <v>148</v>
      </c>
      <c r="X28" s="5">
        <f>G28/('Paramètres Indexation'!F28/100)</f>
        <v>45921.98</v>
      </c>
    </row>
    <row r="29" spans="2:24" x14ac:dyDescent="0.25">
      <c r="G29" s="423">
        <v>37095</v>
      </c>
      <c r="H29" s="423">
        <v>2017</v>
      </c>
      <c r="J29" t="s">
        <v>149</v>
      </c>
      <c r="X29" s="5">
        <f>G29/('Paramètres Indexation'!F28/100)</f>
        <v>37762.71</v>
      </c>
    </row>
    <row r="30" spans="2:24" x14ac:dyDescent="0.25">
      <c r="G30" s="423">
        <v>45771</v>
      </c>
      <c r="H30" s="423">
        <v>2017</v>
      </c>
      <c r="X30" s="5">
        <f>G30/('Paramètres Indexation'!F28/100)</f>
        <v>46594.877999999997</v>
      </c>
    </row>
    <row r="31" spans="2:24" x14ac:dyDescent="0.25">
      <c r="C31" t="s">
        <v>150</v>
      </c>
      <c r="G31" s="423"/>
      <c r="H31" s="423"/>
    </row>
    <row r="32" spans="2:24" x14ac:dyDescent="0.25">
      <c r="C32" s="17" t="s">
        <v>151</v>
      </c>
      <c r="D32" s="17"/>
      <c r="E32" s="17"/>
      <c r="F32" s="17"/>
      <c r="G32" s="425"/>
      <c r="H32" s="425">
        <v>2018</v>
      </c>
      <c r="J32" s="26" t="s">
        <v>152</v>
      </c>
    </row>
    <row r="35" spans="2:24" x14ac:dyDescent="0.25">
      <c r="B35" t="s">
        <v>153</v>
      </c>
      <c r="G35" s="40">
        <v>1.2999999999999999E-2</v>
      </c>
      <c r="H35" s="423">
        <v>2018</v>
      </c>
      <c r="J35" s="26" t="s">
        <v>154</v>
      </c>
    </row>
    <row r="36" spans="2:24" x14ac:dyDescent="0.25">
      <c r="G36" s="423"/>
      <c r="H36" s="423"/>
      <c r="J36" t="s">
        <v>155</v>
      </c>
    </row>
    <row r="38" spans="2:24" x14ac:dyDescent="0.25">
      <c r="B38" t="s">
        <v>156</v>
      </c>
      <c r="G38" s="423"/>
      <c r="H38" s="423"/>
    </row>
    <row r="39" spans="2:24" x14ac:dyDescent="0.25">
      <c r="E39" t="s">
        <v>157</v>
      </c>
      <c r="G39" s="423">
        <f>688634601/1402494</f>
        <v>491.00716366701033</v>
      </c>
      <c r="H39" s="423">
        <v>2016</v>
      </c>
      <c r="J39" t="s">
        <v>129</v>
      </c>
      <c r="K39" t="s">
        <v>130</v>
      </c>
      <c r="M39" t="s">
        <v>131</v>
      </c>
      <c r="X39" s="5">
        <f>G39/('Paramètres Indexation'!F27/100)</f>
        <v>505.01885057796011</v>
      </c>
    </row>
    <row r="40" spans="2:24" x14ac:dyDescent="0.25">
      <c r="E40" t="s">
        <v>158</v>
      </c>
      <c r="G40" s="185">
        <f>985632890/738836</f>
        <v>1334.0347384263896</v>
      </c>
      <c r="H40" s="423">
        <v>2016</v>
      </c>
      <c r="J40" t="s">
        <v>129</v>
      </c>
      <c r="K40" t="s">
        <v>130</v>
      </c>
      <c r="M40" t="s">
        <v>131</v>
      </c>
      <c r="X40" s="5">
        <f>G40/('Paramètres Indexation'!F27/100)</f>
        <v>1372.1035864317068</v>
      </c>
    </row>
    <row r="41" spans="2:24" x14ac:dyDescent="0.25">
      <c r="B41" t="s">
        <v>132</v>
      </c>
      <c r="G41" s="425"/>
      <c r="H41" s="423"/>
    </row>
    <row r="42" spans="2:24" x14ac:dyDescent="0.25">
      <c r="E42" s="423" t="s">
        <v>159</v>
      </c>
      <c r="G42" s="34">
        <f>'B.P. Soins de santé'!H8</f>
        <v>1877.0564726733492</v>
      </c>
      <c r="H42" s="423">
        <f>'B.P. Soins de santé'!A8</f>
        <v>2015</v>
      </c>
      <c r="X42" s="5">
        <f>G42/('Paramètres Indexation'!$F$26/100)</f>
        <v>1944.5552427997472</v>
      </c>
    </row>
    <row r="43" spans="2:24" x14ac:dyDescent="0.25">
      <c r="E43" s="423" t="s">
        <v>160</v>
      </c>
      <c r="G43" s="34">
        <f>'B.P. Soins de santé'!H9</f>
        <v>2611.8360770228587</v>
      </c>
      <c r="H43" s="423">
        <f>'B.P. Soins de santé'!A9</f>
        <v>2015</v>
      </c>
      <c r="X43" s="5">
        <f>G43/('Paramètres Indexation'!$F$26/100)</f>
        <v>2705.7574510131226</v>
      </c>
    </row>
    <row r="44" spans="2:24" x14ac:dyDescent="0.25">
      <c r="E44" s="423" t="s">
        <v>161</v>
      </c>
      <c r="G44" s="34">
        <f>'B.P. Soins de santé'!H10</f>
        <v>2784.3277366552034</v>
      </c>
      <c r="H44" s="423">
        <f>'B.P. Soins de santé'!A10</f>
        <v>2015</v>
      </c>
      <c r="X44" s="5">
        <f>G44/('Paramètres Indexation'!$F$26/100)</f>
        <v>2884.4518941268093</v>
      </c>
    </row>
    <row r="45" spans="2:24" x14ac:dyDescent="0.25">
      <c r="E45" s="423" t="s">
        <v>162</v>
      </c>
      <c r="G45" s="34">
        <f>'B.P. Soins de santé'!H11</f>
        <v>2451.7688366555599</v>
      </c>
      <c r="H45" s="423">
        <f>'B.P. Soins de santé'!A11</f>
        <v>2015</v>
      </c>
      <c r="X45" s="5">
        <f>G45/('Paramètres Indexation'!$F$26/100)</f>
        <v>2539.9342080856391</v>
      </c>
    </row>
    <row r="46" spans="2:24" x14ac:dyDescent="0.25">
      <c r="E46" s="423" t="s">
        <v>163</v>
      </c>
      <c r="G46" s="34">
        <f>'B.P. Soins de santé'!H12</f>
        <v>2216.8958383221084</v>
      </c>
      <c r="H46" s="423">
        <f>'B.P. Soins de santé'!A12</f>
        <v>2015</v>
      </c>
      <c r="X46" s="5">
        <f>G46/('Paramètres Indexation'!$F$26/100)</f>
        <v>2296.6151993341696</v>
      </c>
    </row>
    <row r="47" spans="2:24" x14ac:dyDescent="0.25">
      <c r="E47" s="423" t="s">
        <v>164</v>
      </c>
      <c r="G47" s="34">
        <f>'B.P. Soins de santé'!H13</f>
        <v>2442.9761764987547</v>
      </c>
      <c r="H47" s="423">
        <f>'B.P. Soins de santé'!A13</f>
        <v>2015</v>
      </c>
      <c r="X47" s="5">
        <f>G47/('Paramètres Indexation'!$F$26/100)</f>
        <v>2530.8253647157212</v>
      </c>
    </row>
    <row r="48" spans="2:24" x14ac:dyDescent="0.25">
      <c r="E48" s="423" t="s">
        <v>165</v>
      </c>
      <c r="G48" s="34">
        <f>'B.P. Soins de santé'!H14</f>
        <v>2809.4106102980154</v>
      </c>
      <c r="H48" s="423">
        <f>'B.P. Soins de santé'!A14</f>
        <v>2015</v>
      </c>
      <c r="X48" s="5">
        <f>G48/('Paramètres Indexation'!$F$26/100)</f>
        <v>2910.436745492068</v>
      </c>
    </row>
    <row r="49" spans="2:34" x14ac:dyDescent="0.25">
      <c r="E49" s="423" t="s">
        <v>166</v>
      </c>
      <c r="G49" s="34">
        <f>'B.P. Soins de santé'!H15</f>
        <v>3331.7585306643068</v>
      </c>
      <c r="H49" s="423">
        <f>'B.P. Soins de santé'!A15</f>
        <v>2015</v>
      </c>
      <c r="X49" s="5">
        <f>G49/('Paramètres Indexation'!$F$26/100)</f>
        <v>3451.5682468086925</v>
      </c>
    </row>
    <row r="50" spans="2:34" x14ac:dyDescent="0.25">
      <c r="E50" s="423" t="s">
        <v>167</v>
      </c>
      <c r="G50" s="34">
        <f>'B.P. Soins de santé'!H16</f>
        <v>4183.0307897719294</v>
      </c>
      <c r="H50" s="423">
        <f>'B.P. Soins de santé'!A16</f>
        <v>2015</v>
      </c>
      <c r="X50" s="5">
        <f>G50/('Paramètres Indexation'!$F$26/100)</f>
        <v>4333.4521744350832</v>
      </c>
    </row>
    <row r="51" spans="2:34" x14ac:dyDescent="0.25">
      <c r="E51" s="423" t="s">
        <v>168</v>
      </c>
      <c r="G51" s="34">
        <f>'B.P. Soins de santé'!H17</f>
        <v>5767.8664891557219</v>
      </c>
      <c r="H51" s="423">
        <f>'B.P. Soins de santé'!A17</f>
        <v>2015</v>
      </c>
      <c r="X51" s="5">
        <f>G51/('Paramètres Indexation'!$F$26/100)</f>
        <v>5975.278413058465</v>
      </c>
    </row>
    <row r="52" spans="2:34" x14ac:dyDescent="0.25">
      <c r="E52" s="423" t="s">
        <v>169</v>
      </c>
      <c r="G52" s="34">
        <f>'B.P. Soins de santé'!H18</f>
        <v>7436.6218230814939</v>
      </c>
      <c r="H52" s="423">
        <f>'B.P. Soins de santé'!A18</f>
        <v>2015</v>
      </c>
      <c r="X52" s="5">
        <f>G52/('Paramètres Indexation'!$F$26/100)</f>
        <v>7704.0420282062896</v>
      </c>
    </row>
    <row r="53" spans="2:34" x14ac:dyDescent="0.25">
      <c r="E53" s="423" t="s">
        <v>170</v>
      </c>
      <c r="G53" s="34">
        <f>'B.P. Soins de santé'!H19</f>
        <v>10742.500483762235</v>
      </c>
      <c r="H53" s="423">
        <f>'B.P. Soins de santé'!A19</f>
        <v>2015</v>
      </c>
      <c r="X53" s="5">
        <f>G53/('Paramètres Indexation'!$F$26/100)</f>
        <v>11128.799767397251</v>
      </c>
    </row>
    <row r="54" spans="2:34" x14ac:dyDescent="0.25">
      <c r="E54" s="423" t="s">
        <v>171</v>
      </c>
      <c r="G54" s="34">
        <f>'B.P. Soins de santé'!H20</f>
        <v>16199.690364796515</v>
      </c>
      <c r="H54" s="423">
        <f>'B.P. Soins de santé'!A20</f>
        <v>2015</v>
      </c>
      <c r="X54" s="5">
        <f>G54/('Paramètres Indexation'!$F$26/100)</f>
        <v>16782.229671402936</v>
      </c>
    </row>
    <row r="55" spans="2:34" x14ac:dyDescent="0.25">
      <c r="E55" s="423" t="s">
        <v>172</v>
      </c>
      <c r="G55" s="34">
        <f>'B.P. Soins de santé'!H21</f>
        <v>27166.349543102944</v>
      </c>
      <c r="H55" s="423">
        <f>'B.P. Soins de santé'!A21</f>
        <v>2015</v>
      </c>
      <c r="X55" s="5">
        <f>G55/('Paramètres Indexation'!$F$26/100)</f>
        <v>28143.248858429186</v>
      </c>
    </row>
    <row r="56" spans="2:34" x14ac:dyDescent="0.25">
      <c r="G56" s="423"/>
      <c r="H56" s="27"/>
    </row>
    <row r="57" spans="2:34" x14ac:dyDescent="0.25">
      <c r="G57" s="423"/>
      <c r="H57" s="423"/>
      <c r="AG57">
        <v>2011</v>
      </c>
      <c r="AH57" s="17" t="s">
        <v>173</v>
      </c>
    </row>
    <row r="58" spans="2:34" x14ac:dyDescent="0.25">
      <c r="B58" s="17" t="s">
        <v>174</v>
      </c>
      <c r="G58" s="423"/>
      <c r="H58" s="423"/>
      <c r="AG58" s="17" t="s">
        <v>175</v>
      </c>
    </row>
    <row r="59" spans="2:34" x14ac:dyDescent="0.25">
      <c r="B59" t="s">
        <v>176</v>
      </c>
      <c r="G59" s="423"/>
      <c r="H59" s="423"/>
    </row>
    <row r="60" spans="2:34" x14ac:dyDescent="0.25">
      <c r="B60" t="s">
        <v>177</v>
      </c>
      <c r="F60" t="s">
        <v>178</v>
      </c>
      <c r="G60" s="423"/>
      <c r="H60"/>
      <c r="J60" s="81" t="s">
        <v>179</v>
      </c>
    </row>
    <row r="61" spans="2:34" x14ac:dyDescent="0.25">
      <c r="B61" t="s">
        <v>180</v>
      </c>
      <c r="F61" t="s">
        <v>181</v>
      </c>
      <c r="G61" s="423">
        <v>56403</v>
      </c>
      <c r="H61" s="423">
        <v>2017</v>
      </c>
    </row>
    <row r="62" spans="2:34" x14ac:dyDescent="0.25">
      <c r="B62" s="43"/>
      <c r="G62" s="423"/>
      <c r="H62" s="423"/>
    </row>
    <row r="63" spans="2:34" x14ac:dyDescent="0.25">
      <c r="D63" t="s">
        <v>182</v>
      </c>
      <c r="G63" s="423">
        <f>G61</f>
        <v>56403</v>
      </c>
      <c r="H63" s="423">
        <v>2017</v>
      </c>
      <c r="X63">
        <f>G63/('Paramètres Indexation'!F28/100)</f>
        <v>57418.254000000001</v>
      </c>
    </row>
    <row r="64" spans="2:34" x14ac:dyDescent="0.25">
      <c r="F64" t="s">
        <v>183</v>
      </c>
      <c r="G64" s="423">
        <v>40707</v>
      </c>
      <c r="H64" s="423">
        <v>2017</v>
      </c>
      <c r="X64">
        <f>G64/('Paramètres Indexation'!F28/100)</f>
        <v>41439.726000000002</v>
      </c>
    </row>
    <row r="65" spans="2:24" x14ac:dyDescent="0.25">
      <c r="F65" t="s">
        <v>184</v>
      </c>
      <c r="G65" s="423">
        <v>61941</v>
      </c>
      <c r="H65" s="423">
        <v>2017</v>
      </c>
      <c r="X65">
        <f>G65/('Paramètres Indexation'!F28/100)</f>
        <v>63055.938000000002</v>
      </c>
    </row>
    <row r="68" spans="2:24" x14ac:dyDescent="0.25">
      <c r="B68" t="s">
        <v>145</v>
      </c>
      <c r="G68" s="423">
        <v>84</v>
      </c>
      <c r="H68" s="423">
        <v>2017</v>
      </c>
      <c r="J68" t="s">
        <v>185</v>
      </c>
    </row>
    <row r="69" spans="2:24" x14ac:dyDescent="0.25">
      <c r="B69" t="s">
        <v>132</v>
      </c>
      <c r="G69" s="423"/>
      <c r="H69" s="423"/>
    </row>
    <row r="70" spans="2:24" x14ac:dyDescent="0.25">
      <c r="E70" s="423"/>
      <c r="G70" s="423"/>
      <c r="H70" s="423"/>
    </row>
    <row r="71" spans="2:24" x14ac:dyDescent="0.25">
      <c r="E71" s="423" t="s">
        <v>161</v>
      </c>
      <c r="G71" s="34">
        <f>'B.P. Soins de santé'!H30</f>
        <v>1521.8582291436867</v>
      </c>
      <c r="H71" s="423">
        <f>'B.P. Soins de santé'!A30</f>
        <v>2015</v>
      </c>
      <c r="X71" s="5">
        <f>G71/('Paramètres Indexation'!$F$26/100)</f>
        <v>1576.5841046138241</v>
      </c>
    </row>
    <row r="72" spans="2:24" x14ac:dyDescent="0.25">
      <c r="E72" s="423" t="s">
        <v>162</v>
      </c>
      <c r="G72" s="34">
        <f>'B.P. Soins de santé'!H31</f>
        <v>1616.7518475144416</v>
      </c>
      <c r="H72" s="423">
        <f>'B.P. Soins de santé'!A31</f>
        <v>2015</v>
      </c>
      <c r="X72" s="5">
        <f>G72/('Paramètres Indexation'!$F$26/100)</f>
        <v>1674.8900883694878</v>
      </c>
    </row>
    <row r="73" spans="2:24" x14ac:dyDescent="0.25">
      <c r="E73" s="423" t="s">
        <v>163</v>
      </c>
      <c r="G73" s="34">
        <f>'B.P. Soins de santé'!H32</f>
        <v>1834.7467878986552</v>
      </c>
      <c r="H73" s="423">
        <f>'B.P. Soins de santé'!A32</f>
        <v>2015</v>
      </c>
      <c r="X73" s="5">
        <f>G73/('Paramètres Indexation'!$F$26/100)</f>
        <v>1900.7241058320567</v>
      </c>
    </row>
    <row r="74" spans="2:24" x14ac:dyDescent="0.25">
      <c r="E74" s="423" t="s">
        <v>164</v>
      </c>
      <c r="G74" s="34">
        <f>'B.P. Soins de santé'!H33</f>
        <v>2237.5966709845343</v>
      </c>
      <c r="H74" s="423">
        <f>'B.P. Soins de santé'!A33</f>
        <v>2015</v>
      </c>
      <c r="X74" s="5">
        <f>G74/('Paramètres Indexation'!$F$26/100)</f>
        <v>2318.0604319470754</v>
      </c>
    </row>
    <row r="75" spans="2:24" x14ac:dyDescent="0.25">
      <c r="E75" s="423" t="s">
        <v>165</v>
      </c>
      <c r="G75" s="34">
        <f>'B.P. Soins de santé'!H34</f>
        <v>2729.0472098099344</v>
      </c>
      <c r="H75" s="423">
        <f>'B.P. Soins de santé'!A34</f>
        <v>2015</v>
      </c>
      <c r="X75" s="5">
        <f>G75/('Paramètres Indexation'!$F$26/100)</f>
        <v>2827.1834848558824</v>
      </c>
    </row>
    <row r="76" spans="2:24" x14ac:dyDescent="0.25">
      <c r="E76" s="423" t="s">
        <v>166</v>
      </c>
      <c r="G76" s="34">
        <f>'B.P. Soins de santé'!H35</f>
        <v>3429.5465689133903</v>
      </c>
      <c r="H76" s="423">
        <f>'B.P. Soins de santé'!A35</f>
        <v>2015</v>
      </c>
      <c r="X76" s="5">
        <f>G76/('Paramètres Indexation'!$F$26/100)</f>
        <v>3552.8727335029766</v>
      </c>
    </row>
    <row r="77" spans="2:24" x14ac:dyDescent="0.25">
      <c r="E77" s="423" t="s">
        <v>167</v>
      </c>
      <c r="G77" s="34">
        <f>'B.P. Soins de santé'!H36</f>
        <v>4430.1732804469939</v>
      </c>
      <c r="H77" s="423">
        <f>'B.P. Soins de santé'!A36</f>
        <v>2015</v>
      </c>
      <c r="X77" s="5">
        <f>G77/('Paramètres Indexation'!$F$26/100)</f>
        <v>4589.4818852920653</v>
      </c>
    </row>
    <row r="78" spans="2:24" x14ac:dyDescent="0.25">
      <c r="E78" s="423" t="s">
        <v>168</v>
      </c>
      <c r="G78" s="34">
        <f>'B.P. Soins de santé'!H37</f>
        <v>6288.1340145976301</v>
      </c>
      <c r="H78" s="423">
        <f>'B.P. Soins de santé'!A37</f>
        <v>2015</v>
      </c>
      <c r="X78" s="5">
        <f>G78/('Paramètres Indexation'!$F$26/100)</f>
        <v>6514.2547086494242</v>
      </c>
    </row>
    <row r="79" spans="2:24" x14ac:dyDescent="0.25">
      <c r="E79" s="423" t="s">
        <v>169</v>
      </c>
      <c r="G79" s="34">
        <f>'B.P. Soins de santé'!H38</f>
        <v>8395.3984396467695</v>
      </c>
      <c r="H79" s="423">
        <f>'B.P. Soins de santé'!A38</f>
        <v>2015</v>
      </c>
      <c r="X79" s="5">
        <f>G79/('Paramètres Indexation'!$F$26/100)</f>
        <v>8697.2961596392652</v>
      </c>
    </row>
    <row r="80" spans="2:24" x14ac:dyDescent="0.25">
      <c r="E80" s="423" t="s">
        <v>170</v>
      </c>
      <c r="G80" s="34">
        <f>'B.P. Soins de santé'!H39</f>
        <v>11788.714366123653</v>
      </c>
      <c r="H80" s="423">
        <f>'B.P. Soins de santé'!A39</f>
        <v>2015</v>
      </c>
      <c r="X80" s="5">
        <f>G80/('Paramètres Indexation'!$F$26/100)</f>
        <v>12212.635400290226</v>
      </c>
    </row>
    <row r="81" spans="2:24" x14ac:dyDescent="0.25">
      <c r="E81" s="423" t="s">
        <v>171</v>
      </c>
      <c r="G81" s="34">
        <f>'B.P. Soins de santé'!H40</f>
        <v>16437.348339904634</v>
      </c>
      <c r="H81" s="423">
        <f>'B.P. Soins de santé'!A40</f>
        <v>2015</v>
      </c>
      <c r="X81" s="5">
        <f>G81/('Paramètres Indexation'!$F$26/100)</f>
        <v>17028.433804425888</v>
      </c>
    </row>
    <row r="82" spans="2:24" x14ac:dyDescent="0.25">
      <c r="E82" s="423"/>
      <c r="G82" s="34"/>
      <c r="H82" s="423"/>
    </row>
    <row r="84" spans="2:24" x14ac:dyDescent="0.25">
      <c r="B84" s="17" t="s">
        <v>186</v>
      </c>
      <c r="G84" s="423"/>
      <c r="H84" s="423"/>
    </row>
    <row r="85" spans="2:24" x14ac:dyDescent="0.25">
      <c r="B85" s="17"/>
      <c r="C85" t="s">
        <v>187</v>
      </c>
      <c r="G85" s="423"/>
      <c r="H85" s="423"/>
    </row>
    <row r="86" spans="2:24" x14ac:dyDescent="0.25">
      <c r="C86" s="43" t="s">
        <v>188</v>
      </c>
      <c r="G86" s="423"/>
      <c r="H86" s="423"/>
    </row>
    <row r="87" spans="2:24" x14ac:dyDescent="0.25">
      <c r="C87" t="s">
        <v>189</v>
      </c>
      <c r="G87">
        <v>7121.31</v>
      </c>
      <c r="H87" s="423" t="s">
        <v>190</v>
      </c>
      <c r="J87" t="s">
        <v>191</v>
      </c>
    </row>
    <row r="89" spans="2:24" x14ac:dyDescent="0.25">
      <c r="C89" t="s">
        <v>187</v>
      </c>
      <c r="G89" s="423"/>
      <c r="H89" s="423"/>
    </row>
    <row r="90" spans="2:24" x14ac:dyDescent="0.25">
      <c r="C90" s="46" t="s">
        <v>192</v>
      </c>
      <c r="G90" s="423"/>
      <c r="H90" s="423"/>
    </row>
    <row r="91" spans="2:24" x14ac:dyDescent="0.25">
      <c r="C91" t="s">
        <v>193</v>
      </c>
      <c r="G91" s="44">
        <v>0.10970000000000001</v>
      </c>
      <c r="H91" s="423"/>
      <c r="J91" s="26" t="s">
        <v>194</v>
      </c>
    </row>
    <row r="92" spans="2:24" x14ac:dyDescent="0.25">
      <c r="C92" t="s">
        <v>195</v>
      </c>
      <c r="G92" s="38">
        <v>55900</v>
      </c>
      <c r="H92" s="423"/>
      <c r="J92" s="219" t="s">
        <v>196</v>
      </c>
      <c r="V92" s="425"/>
      <c r="X92" s="5" t="s">
        <v>197</v>
      </c>
    </row>
    <row r="93" spans="2:24" x14ac:dyDescent="0.25">
      <c r="C93" t="s">
        <v>198</v>
      </c>
      <c r="G93">
        <v>13975</v>
      </c>
      <c r="H93" s="423"/>
      <c r="J93" t="s">
        <v>199</v>
      </c>
    </row>
    <row r="94" spans="2:24" x14ac:dyDescent="0.25">
      <c r="C94" t="s">
        <v>200</v>
      </c>
      <c r="G94">
        <v>1.84E-2</v>
      </c>
      <c r="H94" s="423"/>
    </row>
    <row r="96" spans="2:24" x14ac:dyDescent="0.25">
      <c r="C96" t="s">
        <v>201</v>
      </c>
      <c r="G96" s="423"/>
      <c r="H96" s="423"/>
    </row>
    <row r="97" spans="2:15" x14ac:dyDescent="0.25">
      <c r="C97" t="s">
        <v>202</v>
      </c>
      <c r="G97" s="423">
        <f>IF(H97&lt;40,H97,40)</f>
        <v>39</v>
      </c>
      <c r="H97" s="423">
        <f>COUNT(Sommaire!F4:AR4)</f>
        <v>39</v>
      </c>
      <c r="J97" t="s">
        <v>203</v>
      </c>
    </row>
    <row r="98" spans="2:15" x14ac:dyDescent="0.25">
      <c r="B98" t="s">
        <v>204</v>
      </c>
      <c r="C98" t="s">
        <v>205</v>
      </c>
      <c r="G98" s="218">
        <v>0.02</v>
      </c>
      <c r="H98" s="423"/>
      <c r="J98" t="s">
        <v>99</v>
      </c>
      <c r="K98" s="238">
        <v>1834</v>
      </c>
      <c r="L98" t="s">
        <v>206</v>
      </c>
    </row>
    <row r="99" spans="2:15" x14ac:dyDescent="0.25">
      <c r="B99" t="s">
        <v>204</v>
      </c>
      <c r="C99" t="s">
        <v>207</v>
      </c>
      <c r="G99" s="423">
        <f>Sommaire!AR4</f>
        <v>52963</v>
      </c>
      <c r="H99" s="423"/>
      <c r="J99" t="s">
        <v>208</v>
      </c>
      <c r="K99" s="238">
        <v>2076</v>
      </c>
      <c r="L99" t="s">
        <v>206</v>
      </c>
    </row>
    <row r="100" spans="2:15" x14ac:dyDescent="0.25">
      <c r="C100" s="17" t="s">
        <v>209</v>
      </c>
      <c r="D100" s="17"/>
      <c r="E100" s="17"/>
      <c r="F100" s="17"/>
      <c r="G100" s="425">
        <f>H97*G98*G99</f>
        <v>41311.14</v>
      </c>
      <c r="H100">
        <f>SUM(Sommaire!AS9:BT9)</f>
        <v>858265.41499999969</v>
      </c>
      <c r="J100" t="s">
        <v>210</v>
      </c>
      <c r="K100" s="26" t="s">
        <v>211</v>
      </c>
    </row>
    <row r="101" spans="2:15" x14ac:dyDescent="0.25">
      <c r="G101" s="423"/>
      <c r="H101" s="423"/>
      <c r="J101" t="s">
        <v>212</v>
      </c>
    </row>
    <row r="102" spans="2:15" x14ac:dyDescent="0.25">
      <c r="C102" t="s">
        <v>213</v>
      </c>
      <c r="G102" s="423"/>
      <c r="H102" s="423"/>
      <c r="J102" t="s">
        <v>214</v>
      </c>
    </row>
    <row r="103" spans="2:15" x14ac:dyDescent="0.25">
      <c r="C103" t="s">
        <v>202</v>
      </c>
      <c r="G103" s="48">
        <f>IF(H97&lt;35,H97,35)</f>
        <v>35</v>
      </c>
      <c r="H103" s="47"/>
      <c r="J103" t="s">
        <v>215</v>
      </c>
    </row>
    <row r="104" spans="2:15" x14ac:dyDescent="0.25">
      <c r="B104" t="s">
        <v>204</v>
      </c>
      <c r="C104" t="s">
        <v>216</v>
      </c>
      <c r="G104" s="40">
        <v>7.0000000000000001E-3</v>
      </c>
      <c r="H104" s="423"/>
    </row>
    <row r="105" spans="2:15" x14ac:dyDescent="0.25">
      <c r="B105" t="s">
        <v>204</v>
      </c>
      <c r="C105" t="s">
        <v>217</v>
      </c>
      <c r="G105" s="423"/>
      <c r="H105" s="423"/>
    </row>
    <row r="106" spans="2:15" x14ac:dyDescent="0.25">
      <c r="D106" t="s">
        <v>218</v>
      </c>
      <c r="G106" s="423">
        <f>G99</f>
        <v>52963</v>
      </c>
      <c r="H106" s="423"/>
    </row>
    <row r="107" spans="2:15" x14ac:dyDescent="0.25">
      <c r="D107" t="s">
        <v>219</v>
      </c>
      <c r="G107" s="425">
        <v>55900</v>
      </c>
      <c r="H107" s="423"/>
    </row>
    <row r="108" spans="2:15" x14ac:dyDescent="0.25">
      <c r="C108" t="s">
        <v>220</v>
      </c>
      <c r="G108" s="423">
        <f>G103*G104*G106</f>
        <v>12975.934999999999</v>
      </c>
      <c r="H108" s="423"/>
    </row>
    <row r="109" spans="2:15" x14ac:dyDescent="0.25">
      <c r="C109" t="s">
        <v>221</v>
      </c>
      <c r="G109" s="423">
        <f>G100-G108</f>
        <v>28335.205000000002</v>
      </c>
      <c r="H109" s="423"/>
    </row>
    <row r="111" spans="2:15" x14ac:dyDescent="0.25">
      <c r="C111" s="17" t="s">
        <v>187</v>
      </c>
      <c r="G111" s="423"/>
      <c r="H111" s="423"/>
      <c r="I111" t="s">
        <v>222</v>
      </c>
    </row>
    <row r="112" spans="2:15" ht="26.25" customHeight="1" x14ac:dyDescent="0.25">
      <c r="C112" s="43" t="s">
        <v>223</v>
      </c>
      <c r="G112" s="423"/>
      <c r="H112" s="423"/>
      <c r="O112" s="46"/>
    </row>
    <row r="113" spans="3:30" x14ac:dyDescent="0.25">
      <c r="C113" t="s">
        <v>224</v>
      </c>
      <c r="G113" s="423">
        <v>55900</v>
      </c>
      <c r="H113" s="423"/>
      <c r="I113" s="260" t="s">
        <v>225</v>
      </c>
      <c r="J113" s="254" t="s">
        <v>226</v>
      </c>
      <c r="K113" s="254" t="s">
        <v>227</v>
      </c>
      <c r="L113" s="254" t="s">
        <v>228</v>
      </c>
      <c r="M113" s="254" t="s">
        <v>229</v>
      </c>
      <c r="N113" s="254" t="s">
        <v>230</v>
      </c>
      <c r="O113" s="248" t="s">
        <v>231</v>
      </c>
      <c r="P113" s="254" t="s">
        <v>232</v>
      </c>
      <c r="Q113" s="254" t="s">
        <v>233</v>
      </c>
      <c r="R113" s="258" t="s">
        <v>234</v>
      </c>
      <c r="S113" s="258" t="s">
        <v>235</v>
      </c>
      <c r="T113" s="258" t="s">
        <v>236</v>
      </c>
    </row>
    <row r="114" spans="3:30" ht="39.75" customHeight="1" x14ac:dyDescent="0.25">
      <c r="C114" t="s">
        <v>237</v>
      </c>
      <c r="G114" s="423">
        <v>3500</v>
      </c>
      <c r="H114" s="423"/>
      <c r="I114" s="261" t="s">
        <v>238</v>
      </c>
      <c r="J114" s="249">
        <v>0.64</v>
      </c>
      <c r="K114" s="250">
        <v>0.71199999999999997</v>
      </c>
      <c r="L114" s="250">
        <v>0.78400000000000003</v>
      </c>
      <c r="M114" s="250">
        <v>0.85599999999999998</v>
      </c>
      <c r="N114" s="250">
        <v>0.92800000000000005</v>
      </c>
      <c r="O114" s="45">
        <v>1</v>
      </c>
      <c r="P114" s="250">
        <v>1.0840000000000001</v>
      </c>
      <c r="Q114" s="250">
        <v>1.1679999999999999</v>
      </c>
      <c r="R114" s="250">
        <v>1.252</v>
      </c>
      <c r="S114" s="251">
        <v>1.3360000000000001</v>
      </c>
      <c r="T114" s="252">
        <v>1.42</v>
      </c>
    </row>
    <row r="115" spans="3:30" ht="38.25" customHeight="1" x14ac:dyDescent="0.25">
      <c r="C115" s="3" t="s">
        <v>239</v>
      </c>
      <c r="G115" s="423"/>
      <c r="H115" s="423"/>
      <c r="I115" s="261" t="s">
        <v>240</v>
      </c>
      <c r="J115" s="253">
        <f>$G$119*J114</f>
        <v>7645.0527731092425</v>
      </c>
      <c r="K115" s="253">
        <f t="shared" ref="K115:N115" si="0">$G$119*K114</f>
        <v>8505.1212100840312</v>
      </c>
      <c r="L115" s="253">
        <f t="shared" si="0"/>
        <v>9365.1896470588217</v>
      </c>
      <c r="M115" s="253">
        <f t="shared" si="0"/>
        <v>10225.258084033612</v>
      </c>
      <c r="N115" s="253">
        <f t="shared" si="0"/>
        <v>11085.326521008403</v>
      </c>
      <c r="O115" s="253">
        <f>$G$119*O114</f>
        <v>11945.394957983191</v>
      </c>
      <c r="P115" s="253">
        <f>$G$119*P114</f>
        <v>12948.80813445378</v>
      </c>
      <c r="Q115" s="253">
        <f>$G$119*Q114</f>
        <v>13952.221310924368</v>
      </c>
      <c r="R115" s="253">
        <f t="shared" ref="R115" si="1">$G$119*R114</f>
        <v>14955.634487394957</v>
      </c>
      <c r="S115" s="253">
        <f t="shared" ref="S115" si="2">$G$119*S114</f>
        <v>15959.047663865545</v>
      </c>
      <c r="T115" s="253">
        <f t="shared" ref="T115" si="3">$G$119*T114</f>
        <v>16962.460840336131</v>
      </c>
    </row>
    <row r="116" spans="3:30" ht="15.75" thickBot="1" x14ac:dyDescent="0.3">
      <c r="C116" t="s">
        <v>241</v>
      </c>
      <c r="G116" s="423">
        <v>42</v>
      </c>
      <c r="H116" s="423"/>
      <c r="I116" s="262" t="s">
        <v>242</v>
      </c>
      <c r="J116" s="257">
        <v>27</v>
      </c>
      <c r="K116" s="257">
        <v>26</v>
      </c>
      <c r="L116" s="257">
        <v>25</v>
      </c>
      <c r="M116" s="257">
        <v>24</v>
      </c>
      <c r="N116" s="257">
        <v>23</v>
      </c>
      <c r="O116" s="257">
        <v>22</v>
      </c>
      <c r="P116" s="257">
        <v>21</v>
      </c>
      <c r="Q116" s="257">
        <v>20</v>
      </c>
      <c r="R116" s="257">
        <v>19</v>
      </c>
      <c r="S116" s="257">
        <v>18</v>
      </c>
      <c r="T116" s="257">
        <v>17</v>
      </c>
    </row>
    <row r="117" spans="3:30" ht="15.75" thickBot="1" x14ac:dyDescent="0.3">
      <c r="C117" t="s">
        <v>243</v>
      </c>
      <c r="G117" s="267">
        <f>G116*0.15</f>
        <v>6.3</v>
      </c>
      <c r="H117" s="423">
        <f>(G116-3)*0.15</f>
        <v>5.85</v>
      </c>
      <c r="I117" s="255"/>
      <c r="J117" s="256">
        <f>J116*J115</f>
        <v>206416.42487394955</v>
      </c>
      <c r="K117" s="256">
        <f t="shared" ref="K117:N117" si="4">K116*K115</f>
        <v>221133.15146218482</v>
      </c>
      <c r="L117" s="256">
        <f t="shared" si="4"/>
        <v>234129.74117647053</v>
      </c>
      <c r="M117" s="256">
        <f t="shared" si="4"/>
        <v>245406.19401680669</v>
      </c>
      <c r="N117" s="256">
        <f t="shared" si="4"/>
        <v>254962.50998319327</v>
      </c>
      <c r="O117" s="256">
        <f>O116*O115</f>
        <v>262798.68907563022</v>
      </c>
      <c r="P117" s="256">
        <f>P116*P115</f>
        <v>271924.97082352941</v>
      </c>
      <c r="Q117" s="256">
        <f>Q116*Q115</f>
        <v>279044.42621848732</v>
      </c>
      <c r="R117" s="256">
        <f t="shared" ref="R117" si="5">R116*R115</f>
        <v>284157.05526050419</v>
      </c>
      <c r="S117" s="256">
        <f t="shared" ref="S117" si="6">S116*S115</f>
        <v>287262.85794957983</v>
      </c>
      <c r="T117" s="256">
        <f t="shared" ref="T117" si="7">T116*T115</f>
        <v>288361.8342857142</v>
      </c>
    </row>
    <row r="118" spans="3:30" x14ac:dyDescent="0.25">
      <c r="D118" t="s">
        <v>244</v>
      </c>
      <c r="G118" s="423">
        <f>((Sommaire!I4*0.7)+SUM(Sommaire!J4:AR4))-(G116-G117)*3500</f>
        <v>1705802.4</v>
      </c>
      <c r="H118" s="423" t="s">
        <v>245</v>
      </c>
    </row>
    <row r="119" spans="3:30" x14ac:dyDescent="0.25">
      <c r="D119" t="s">
        <v>246</v>
      </c>
      <c r="G119" s="423">
        <f>G118*0.25/($G$116-$G$117)</f>
        <v>11945.394957983191</v>
      </c>
      <c r="H119" s="423"/>
      <c r="V119" s="43" t="s">
        <v>247</v>
      </c>
      <c r="W119" s="43"/>
      <c r="X119" s="376"/>
      <c r="Y119" s="43"/>
    </row>
    <row r="120" spans="3:30" x14ac:dyDescent="0.25">
      <c r="D120" t="s">
        <v>248</v>
      </c>
      <c r="G120" s="423">
        <f>G119*$K$114</f>
        <v>8505.1212100840312</v>
      </c>
      <c r="H120" s="423"/>
      <c r="W120" s="373" t="s">
        <v>249</v>
      </c>
      <c r="X120" s="374" t="s">
        <v>250</v>
      </c>
      <c r="Y120">
        <v>3</v>
      </c>
      <c r="Z120">
        <v>4</v>
      </c>
      <c r="AA120">
        <v>5</v>
      </c>
      <c r="AB120">
        <v>6</v>
      </c>
      <c r="AC120">
        <v>7</v>
      </c>
      <c r="AD120">
        <v>8</v>
      </c>
    </row>
    <row r="121" spans="3:30" x14ac:dyDescent="0.25">
      <c r="G121" s="423"/>
      <c r="H121" s="423"/>
      <c r="V121" t="s">
        <v>251</v>
      </c>
      <c r="W121" s="36"/>
      <c r="X121" s="372">
        <f>(Sommaire!H4*0.15+Sommaire!I4+SUM(Sommaire!J4:AR4)-(Sommaire!N4+Sommaire!P4))-(G116-(H117+2))*3500</f>
        <v>1630352.05</v>
      </c>
      <c r="Y121" s="375">
        <f>(Sommaire!H4*0.15+Sommaire!I4+SUM(Sommaire!J4:AR4)-(Sommaire!N4+Sommaire!P4+Sommaire!O4))-(G116-(H117+3))*3500</f>
        <v>1584725.05</v>
      </c>
      <c r="Z121" s="36"/>
      <c r="AA121" s="36"/>
    </row>
    <row r="122" spans="3:30" x14ac:dyDescent="0.25">
      <c r="D122" s="238" t="s">
        <v>1094</v>
      </c>
      <c r="E122" s="1"/>
      <c r="F122" s="1"/>
      <c r="G122" s="15"/>
      <c r="H122" s="423"/>
      <c r="V122" t="s">
        <v>252</v>
      </c>
      <c r="X122" s="372">
        <f>X121*0.25/($G$116-($H$117+2))</f>
        <v>11935.227306002929</v>
      </c>
      <c r="Y122" s="204">
        <f>Y121*0.25/($G$116-($H$117+3))</f>
        <v>11951.169306184012</v>
      </c>
      <c r="Z122" s="36"/>
      <c r="AA122" s="36"/>
    </row>
    <row r="123" spans="3:30" x14ac:dyDescent="0.25">
      <c r="D123" t="s">
        <v>246</v>
      </c>
      <c r="G123" s="78">
        <f>G120</f>
        <v>8505.1212100840312</v>
      </c>
      <c r="H123" s="423" t="s">
        <v>253</v>
      </c>
      <c r="V123" t="s">
        <v>254</v>
      </c>
      <c r="X123" s="372">
        <f>X122*K114</f>
        <v>8497.8818418740848</v>
      </c>
      <c r="Y123" s="204">
        <f>Y122*K114</f>
        <v>8509.232546003017</v>
      </c>
    </row>
    <row r="125" spans="3:30" x14ac:dyDescent="0.25">
      <c r="G125" s="423"/>
      <c r="H125" s="423"/>
      <c r="V125" t="s">
        <v>255</v>
      </c>
      <c r="W125" s="36">
        <f>(Sommaire!H4*0.15+Sommaire!I4+SUM(Sommaire!J4:AR4)-(Sommaire!N4))-(G116-(H117+1))*3500</f>
        <v>1677842.05</v>
      </c>
    </row>
    <row r="126" spans="3:30" x14ac:dyDescent="0.25">
      <c r="D126" t="s">
        <v>246</v>
      </c>
      <c r="G126" s="78">
        <f>G120</f>
        <v>8505.1212100840312</v>
      </c>
      <c r="H126" s="423" t="s">
        <v>256</v>
      </c>
      <c r="V126" t="s">
        <v>252</v>
      </c>
      <c r="W126" s="36">
        <f>W125*0.25/($G$116-($H$117+1))</f>
        <v>11933.442745376957</v>
      </c>
    </row>
    <row r="127" spans="3:30" x14ac:dyDescent="0.25">
      <c r="G127" s="423"/>
      <c r="H127" s="423"/>
      <c r="V127" t="s">
        <v>254</v>
      </c>
      <c r="W127" s="372">
        <f>W126*K114</f>
        <v>8496.6112347083927</v>
      </c>
    </row>
    <row r="130" spans="3:19" ht="18.75" x14ac:dyDescent="0.3">
      <c r="C130" s="50" t="s">
        <v>257</v>
      </c>
      <c r="G130" s="423"/>
      <c r="H130" s="423"/>
      <c r="I130" t="s">
        <v>258</v>
      </c>
    </row>
    <row r="131" spans="3:19" x14ac:dyDescent="0.25">
      <c r="C131" s="43" t="s">
        <v>223</v>
      </c>
      <c r="G131" s="423"/>
      <c r="H131" s="423"/>
    </row>
    <row r="132" spans="3:19" x14ac:dyDescent="0.25">
      <c r="C132" t="s">
        <v>224</v>
      </c>
      <c r="G132" s="423">
        <v>55900</v>
      </c>
      <c r="H132" s="423"/>
      <c r="K132" s="45"/>
    </row>
    <row r="133" spans="3:19" x14ac:dyDescent="0.25">
      <c r="C133" t="s">
        <v>237</v>
      </c>
      <c r="G133" s="423">
        <v>3500</v>
      </c>
      <c r="H133" s="423"/>
    </row>
    <row r="134" spans="3:19" x14ac:dyDescent="0.25">
      <c r="C134" s="3" t="s">
        <v>239</v>
      </c>
      <c r="G134" s="423"/>
      <c r="H134" s="423"/>
    </row>
    <row r="135" spans="3:19" x14ac:dyDescent="0.25">
      <c r="C135" t="s">
        <v>241</v>
      </c>
      <c r="G135" s="423">
        <v>45</v>
      </c>
      <c r="H135" s="423"/>
    </row>
    <row r="136" spans="3:19" x14ac:dyDescent="0.25">
      <c r="C136" t="s">
        <v>259</v>
      </c>
      <c r="G136" s="377">
        <f>G135*0.15</f>
        <v>6.75</v>
      </c>
      <c r="H136" s="423"/>
    </row>
    <row r="137" spans="3:19" x14ac:dyDescent="0.25">
      <c r="D137" t="s">
        <v>244</v>
      </c>
      <c r="G137" s="117">
        <f>((Sommaire!F122*0.25)+SUM(Sommaire!G122:R122)+G132*COUNT(Sommaire!S122:AR122))-(G135-G136)*3500</f>
        <v>1915409.6751153851</v>
      </c>
      <c r="H137" s="25"/>
    </row>
    <row r="138" spans="3:19" x14ac:dyDescent="0.25">
      <c r="D138" t="s">
        <v>246</v>
      </c>
      <c r="G138" s="78">
        <f>G137*0.25/(G135-G136)</f>
        <v>12519.017484414282</v>
      </c>
      <c r="H138" s="423"/>
    </row>
    <row r="139" spans="3:19" x14ac:dyDescent="0.25">
      <c r="D139" t="s">
        <v>260</v>
      </c>
      <c r="G139" s="78">
        <f>G138*M143</f>
        <v>10716.278966658625</v>
      </c>
      <c r="H139" s="423"/>
      <c r="I139" s="38">
        <f>M146</f>
        <v>235758.13726648974</v>
      </c>
      <c r="K139" t="s">
        <v>261</v>
      </c>
    </row>
    <row r="140" spans="3:19" x14ac:dyDescent="0.25">
      <c r="G140" s="49"/>
      <c r="H140" s="423"/>
      <c r="I140" s="38"/>
    </row>
    <row r="141" spans="3:19" x14ac:dyDescent="0.25">
      <c r="G141" s="423"/>
      <c r="H141" s="423"/>
      <c r="O141" s="4"/>
    </row>
    <row r="142" spans="3:19" x14ac:dyDescent="0.25">
      <c r="G142" s="423"/>
      <c r="H142" s="423"/>
      <c r="I142" s="254" t="s">
        <v>225</v>
      </c>
      <c r="J142" s="254" t="s">
        <v>226</v>
      </c>
      <c r="K142" s="254" t="s">
        <v>227</v>
      </c>
      <c r="L142" s="254" t="s">
        <v>228</v>
      </c>
      <c r="M142" s="254" t="s">
        <v>229</v>
      </c>
      <c r="N142" s="254" t="s">
        <v>230</v>
      </c>
      <c r="O142" s="317" t="s">
        <v>232</v>
      </c>
      <c r="P142" s="254" t="s">
        <v>233</v>
      </c>
      <c r="Q142" s="258" t="s">
        <v>234</v>
      </c>
      <c r="R142" s="258" t="s">
        <v>235</v>
      </c>
      <c r="S142" s="258" t="s">
        <v>236</v>
      </c>
    </row>
    <row r="143" spans="3:19" ht="40.5" x14ac:dyDescent="0.25">
      <c r="G143" s="423"/>
      <c r="H143" s="423"/>
      <c r="I143" s="248" t="s">
        <v>238</v>
      </c>
      <c r="J143" s="249">
        <v>0.64</v>
      </c>
      <c r="K143" s="250">
        <v>0.71199999999999997</v>
      </c>
      <c r="L143" s="250">
        <v>0.78400000000000003</v>
      </c>
      <c r="M143" s="250">
        <v>0.85599999999999998</v>
      </c>
      <c r="N143" s="250">
        <v>0.92800000000000005</v>
      </c>
      <c r="O143" s="318">
        <v>1.0840000000000001</v>
      </c>
      <c r="P143" s="250">
        <v>1.1679999999999999</v>
      </c>
      <c r="Q143" s="250">
        <v>1.252</v>
      </c>
      <c r="R143" s="251">
        <v>1.3360000000000001</v>
      </c>
      <c r="S143" s="252">
        <v>1.42</v>
      </c>
    </row>
    <row r="144" spans="3:19" x14ac:dyDescent="0.25">
      <c r="G144" s="423"/>
      <c r="H144" s="423"/>
      <c r="I144" s="248" t="s">
        <v>240</v>
      </c>
      <c r="J144" s="253">
        <f>$G$138*J143</f>
        <v>8012.1711900251403</v>
      </c>
      <c r="K144" s="253">
        <f t="shared" ref="K144:S144" si="8">$G$138*K143</f>
        <v>8913.5404489029679</v>
      </c>
      <c r="L144" s="253">
        <f t="shared" si="8"/>
        <v>9814.9097077807983</v>
      </c>
      <c r="M144" s="253">
        <f t="shared" si="8"/>
        <v>10716.278966658625</v>
      </c>
      <c r="N144" s="253">
        <f t="shared" si="8"/>
        <v>11617.648225536454</v>
      </c>
      <c r="O144" s="319">
        <f t="shared" si="8"/>
        <v>13570.614953105083</v>
      </c>
      <c r="P144" s="253">
        <f t="shared" si="8"/>
        <v>14622.212421795881</v>
      </c>
      <c r="Q144" s="253">
        <f t="shared" si="8"/>
        <v>15673.809890486682</v>
      </c>
      <c r="R144" s="253">
        <f t="shared" si="8"/>
        <v>16725.407359177483</v>
      </c>
      <c r="S144" s="253">
        <f t="shared" si="8"/>
        <v>17777.004827868281</v>
      </c>
    </row>
    <row r="145" spans="3:19" ht="27.75" thickBot="1" x14ac:dyDescent="0.3">
      <c r="G145" s="423"/>
      <c r="H145" s="423"/>
      <c r="I145" s="257" t="s">
        <v>242</v>
      </c>
      <c r="J145" s="257">
        <v>25</v>
      </c>
      <c r="K145" s="257">
        <v>24</v>
      </c>
      <c r="L145" s="257">
        <v>23</v>
      </c>
      <c r="M145" s="257">
        <v>22</v>
      </c>
      <c r="N145" s="257">
        <v>21</v>
      </c>
      <c r="O145" s="320">
        <v>19</v>
      </c>
      <c r="P145" s="257">
        <v>18</v>
      </c>
      <c r="Q145" s="257">
        <v>17</v>
      </c>
      <c r="R145" s="257">
        <v>16</v>
      </c>
      <c r="S145" s="257">
        <v>15</v>
      </c>
    </row>
    <row r="146" spans="3:19" ht="15.75" thickBot="1" x14ac:dyDescent="0.3">
      <c r="G146" s="423"/>
      <c r="H146" s="423"/>
      <c r="I146" s="255"/>
      <c r="J146" s="256">
        <f t="shared" ref="J146:S146" si="9">J145*J144</f>
        <v>200304.27975062851</v>
      </c>
      <c r="K146" s="256">
        <f t="shared" si="9"/>
        <v>213924.97077367123</v>
      </c>
      <c r="L146" s="256">
        <f t="shared" si="9"/>
        <v>225742.92327895836</v>
      </c>
      <c r="M146" s="256">
        <f t="shared" si="9"/>
        <v>235758.13726648974</v>
      </c>
      <c r="N146" s="256">
        <f t="shared" si="9"/>
        <v>243970.61273626552</v>
      </c>
      <c r="O146" s="321">
        <f t="shared" si="9"/>
        <v>257841.68410899659</v>
      </c>
      <c r="P146" s="256">
        <f t="shared" si="9"/>
        <v>263199.82359232585</v>
      </c>
      <c r="Q146" s="256">
        <f t="shared" si="9"/>
        <v>266454.76813827362</v>
      </c>
      <c r="R146" s="256">
        <f t="shared" si="9"/>
        <v>267606.51774683973</v>
      </c>
      <c r="S146" s="256">
        <f t="shared" si="9"/>
        <v>266655.07241802418</v>
      </c>
    </row>
    <row r="147" spans="3:19" x14ac:dyDescent="0.25">
      <c r="G147" s="423"/>
      <c r="H147" s="423"/>
      <c r="I147" t="s">
        <v>109</v>
      </c>
      <c r="J147" s="248"/>
      <c r="K147" s="248"/>
      <c r="L147" s="248"/>
      <c r="M147" s="248"/>
      <c r="N147" s="248"/>
      <c r="O147" s="322"/>
      <c r="P147" s="248"/>
      <c r="Q147" s="248"/>
      <c r="R147" s="248"/>
      <c r="S147" s="248"/>
    </row>
    <row r="148" spans="3:19" x14ac:dyDescent="0.25">
      <c r="G148" s="423"/>
      <c r="H148" s="423"/>
      <c r="I148" t="s">
        <v>262</v>
      </c>
      <c r="J148" s="248"/>
      <c r="K148" s="248"/>
      <c r="L148" s="248"/>
      <c r="M148" s="248"/>
      <c r="N148" s="248"/>
      <c r="O148" s="248"/>
      <c r="P148" s="248"/>
      <c r="Q148" s="248"/>
      <c r="R148" s="248"/>
      <c r="S148" s="248"/>
    </row>
    <row r="149" spans="3:19" x14ac:dyDescent="0.25">
      <c r="C149" s="43" t="s">
        <v>263</v>
      </c>
      <c r="G149" s="423"/>
      <c r="H149" s="423"/>
      <c r="J149" s="248"/>
      <c r="K149" s="248"/>
      <c r="L149" s="248"/>
      <c r="M149" s="248"/>
      <c r="N149" s="248"/>
      <c r="O149" s="248"/>
      <c r="P149" s="248"/>
      <c r="Q149" s="248"/>
      <c r="R149" s="248"/>
      <c r="S149" s="248"/>
    </row>
    <row r="150" spans="3:19" x14ac:dyDescent="0.25">
      <c r="C150">
        <v>2500</v>
      </c>
      <c r="D150" t="s">
        <v>264</v>
      </c>
      <c r="F150" s="222" t="s">
        <v>265</v>
      </c>
      <c r="G150" s="423"/>
      <c r="H150" s="423"/>
      <c r="J150" s="248"/>
      <c r="K150" s="248"/>
      <c r="L150" s="248"/>
      <c r="M150" s="248"/>
      <c r="N150" s="248"/>
      <c r="O150" s="248"/>
      <c r="P150" s="248"/>
      <c r="Q150" s="248"/>
      <c r="R150" s="248"/>
      <c r="S150" s="248"/>
    </row>
    <row r="151" spans="3:19" x14ac:dyDescent="0.25">
      <c r="G151" s="423"/>
      <c r="H151" s="423"/>
      <c r="J151" s="248"/>
      <c r="K151" s="248"/>
      <c r="L151" s="248"/>
      <c r="M151" s="248"/>
      <c r="N151" s="248"/>
      <c r="O151" s="248"/>
      <c r="P151" s="248"/>
      <c r="Q151" s="248"/>
      <c r="R151" s="248"/>
      <c r="S151" s="248"/>
    </row>
    <row r="152" spans="3:19" x14ac:dyDescent="0.25">
      <c r="G152" s="423"/>
      <c r="H152" s="423"/>
      <c r="J152" s="248"/>
      <c r="K152" s="248"/>
      <c r="L152" s="248"/>
      <c r="M152" s="248"/>
      <c r="N152" s="248"/>
      <c r="O152" s="248"/>
      <c r="P152" s="248"/>
      <c r="Q152" s="248"/>
      <c r="R152" s="248"/>
      <c r="S152" s="248"/>
    </row>
    <row r="153" spans="3:19" x14ac:dyDescent="0.25">
      <c r="G153" s="423"/>
      <c r="H153" s="423"/>
      <c r="J153" s="248"/>
      <c r="K153" s="248"/>
      <c r="L153" s="248"/>
      <c r="M153" s="248"/>
      <c r="N153" s="248"/>
      <c r="O153" s="248"/>
      <c r="P153" s="248"/>
      <c r="Q153" s="248"/>
      <c r="R153" s="248"/>
      <c r="S153" s="248"/>
    </row>
    <row r="154" spans="3:19" x14ac:dyDescent="0.25">
      <c r="G154" s="423"/>
      <c r="H154" s="423"/>
      <c r="J154" s="248"/>
      <c r="K154" s="248"/>
      <c r="L154" s="248"/>
      <c r="M154" s="248"/>
      <c r="N154" s="248"/>
      <c r="O154" s="248"/>
      <c r="P154" s="248"/>
      <c r="Q154" s="248"/>
      <c r="R154" s="248"/>
      <c r="S154" s="248"/>
    </row>
    <row r="155" spans="3:19" x14ac:dyDescent="0.25">
      <c r="C155" s="205" t="s">
        <v>266</v>
      </c>
      <c r="G155" s="423"/>
      <c r="H155" s="423" t="s">
        <v>129</v>
      </c>
      <c r="I155" s="26" t="s">
        <v>267</v>
      </c>
    </row>
    <row r="156" spans="3:19" x14ac:dyDescent="0.25">
      <c r="C156" s="206" t="s">
        <v>268</v>
      </c>
      <c r="G156" s="423"/>
      <c r="H156" s="423"/>
    </row>
    <row r="157" spans="3:19" x14ac:dyDescent="0.25">
      <c r="C157" s="206" t="s">
        <v>269</v>
      </c>
      <c r="E157">
        <f>G139*0.6+G123*0.6</f>
        <v>11532.840106045593</v>
      </c>
      <c r="F157" s="450" t="s">
        <v>270</v>
      </c>
      <c r="G157" s="423"/>
      <c r="H157" s="423"/>
    </row>
    <row r="158" spans="3:19" x14ac:dyDescent="0.25">
      <c r="C158" s="206" t="s">
        <v>271</v>
      </c>
      <c r="E158">
        <f>G123+37.5%*G139</f>
        <v>12523.725822581015</v>
      </c>
      <c r="F158" s="450"/>
      <c r="G158" s="423"/>
      <c r="H158" s="365"/>
    </row>
    <row r="159" spans="3:19" x14ac:dyDescent="0.25">
      <c r="C159" s="315" t="s">
        <v>272</v>
      </c>
      <c r="D159" s="316"/>
      <c r="E159" s="316">
        <v>13610</v>
      </c>
      <c r="G159" s="423"/>
      <c r="H159" s="423"/>
    </row>
    <row r="161" spans="3:14" x14ac:dyDescent="0.25">
      <c r="C161" t="s">
        <v>273</v>
      </c>
      <c r="G161" s="423"/>
      <c r="H161" s="423"/>
    </row>
    <row r="162" spans="3:14" x14ac:dyDescent="0.25">
      <c r="C162" t="s">
        <v>274</v>
      </c>
      <c r="G162" s="423"/>
      <c r="H162" s="423"/>
    </row>
    <row r="163" spans="3:14" x14ac:dyDescent="0.25">
      <c r="C163" s="17" t="s">
        <v>275</v>
      </c>
      <c r="G163" s="423"/>
      <c r="H163" s="423"/>
    </row>
    <row r="164" spans="3:14" x14ac:dyDescent="0.25">
      <c r="C164" t="s">
        <v>276</v>
      </c>
      <c r="E164" t="s">
        <v>277</v>
      </c>
      <c r="G164" s="423"/>
      <c r="H164" s="423"/>
    </row>
    <row r="165" spans="3:14" x14ac:dyDescent="0.25">
      <c r="C165" t="s">
        <v>278</v>
      </c>
      <c r="D165">
        <v>18</v>
      </c>
      <c r="E165" s="45">
        <v>0.7</v>
      </c>
      <c r="G165" s="423">
        <v>11058.48</v>
      </c>
      <c r="H165" s="423"/>
      <c r="J165" t="s">
        <v>279</v>
      </c>
    </row>
    <row r="166" spans="3:14" x14ac:dyDescent="0.25">
      <c r="C166" s="67" t="s">
        <v>280</v>
      </c>
      <c r="D166" s="67"/>
      <c r="E166" s="67"/>
      <c r="F166" s="67" t="s">
        <v>281</v>
      </c>
      <c r="G166" s="69"/>
      <c r="H166" s="423"/>
      <c r="J166" s="26" t="s">
        <v>282</v>
      </c>
    </row>
    <row r="167" spans="3:14" x14ac:dyDescent="0.25">
      <c r="C167" s="67" t="s">
        <v>278</v>
      </c>
      <c r="D167" s="67">
        <v>5</v>
      </c>
      <c r="E167" s="71">
        <v>0.7</v>
      </c>
      <c r="F167" s="67"/>
      <c r="G167" s="69">
        <v>3394.15</v>
      </c>
      <c r="H167" s="423"/>
      <c r="M167" t="s">
        <v>283</v>
      </c>
      <c r="N167" t="s">
        <v>284</v>
      </c>
    </row>
    <row r="168" spans="3:14" x14ac:dyDescent="0.25">
      <c r="C168" t="s">
        <v>285</v>
      </c>
      <c r="G168" s="423"/>
      <c r="H168" s="423"/>
      <c r="J168" t="s">
        <v>286</v>
      </c>
      <c r="M168">
        <f>Sommaire!M4</f>
        <v>45639</v>
      </c>
      <c r="N168">
        <f>M168/52</f>
        <v>877.67307692307691</v>
      </c>
    </row>
    <row r="169" spans="3:14" x14ac:dyDescent="0.25">
      <c r="C169" t="s">
        <v>278</v>
      </c>
      <c r="D169">
        <v>5</v>
      </c>
      <c r="E169" s="45">
        <v>0.7</v>
      </c>
      <c r="G169" s="423">
        <v>3071.8</v>
      </c>
      <c r="H169" s="423"/>
      <c r="J169" t="s">
        <v>287</v>
      </c>
      <c r="M169">
        <f>Sommaire!M122</f>
        <v>50427.64800000003</v>
      </c>
      <c r="N169">
        <f>M169/52</f>
        <v>969.76246153846216</v>
      </c>
    </row>
    <row r="170" spans="3:14" x14ac:dyDescent="0.25">
      <c r="C170" t="s">
        <v>288</v>
      </c>
      <c r="E170" s="45"/>
      <c r="G170" s="423"/>
      <c r="H170" s="423"/>
    </row>
    <row r="171" spans="3:14" x14ac:dyDescent="0.25">
      <c r="C171" t="s">
        <v>278</v>
      </c>
      <c r="D171">
        <v>25</v>
      </c>
      <c r="E171" s="45">
        <v>0.55000000000000004</v>
      </c>
      <c r="G171" s="423">
        <v>12067.75</v>
      </c>
      <c r="H171" s="423"/>
    </row>
    <row r="172" spans="3:14" x14ac:dyDescent="0.25">
      <c r="C172" t="s">
        <v>289</v>
      </c>
      <c r="G172"/>
      <c r="H172" s="423"/>
    </row>
    <row r="173" spans="3:14" x14ac:dyDescent="0.25">
      <c r="C173" t="s">
        <v>278</v>
      </c>
      <c r="D173">
        <v>2</v>
      </c>
      <c r="E173" s="45">
        <v>0.7</v>
      </c>
      <c r="G173" s="423">
        <v>1357.66</v>
      </c>
      <c r="H173" s="423"/>
    </row>
    <row r="174" spans="3:14" x14ac:dyDescent="0.25">
      <c r="E174" s="45"/>
      <c r="G174" s="423"/>
      <c r="H174" s="423"/>
    </row>
    <row r="175" spans="3:14" x14ac:dyDescent="0.25">
      <c r="C175" t="s">
        <v>290</v>
      </c>
      <c r="E175" s="45"/>
      <c r="G175" s="423">
        <f>SUM(G165:G173)</f>
        <v>30949.84</v>
      </c>
      <c r="H175" s="423"/>
    </row>
    <row r="176" spans="3:14" x14ac:dyDescent="0.25">
      <c r="C176" t="s">
        <v>291</v>
      </c>
      <c r="D176">
        <f>D165+D169+D171</f>
        <v>48</v>
      </c>
      <c r="E176" s="45"/>
      <c r="G176" s="423">
        <f>G165+G169+G171</f>
        <v>26198.03</v>
      </c>
      <c r="H176" s="423"/>
    </row>
    <row r="177" spans="3:14" x14ac:dyDescent="0.25">
      <c r="C177" t="s">
        <v>292</v>
      </c>
      <c r="E177" s="45"/>
      <c r="G177" s="423"/>
      <c r="H177" s="423"/>
    </row>
    <row r="178" spans="3:14" x14ac:dyDescent="0.25">
      <c r="C178" t="s">
        <v>293</v>
      </c>
      <c r="D178">
        <f>D173+D167</f>
        <v>7</v>
      </c>
      <c r="G178" s="423">
        <f>G167+G173</f>
        <v>4751.8100000000004</v>
      </c>
      <c r="H178" s="423"/>
    </row>
    <row r="179" spans="3:14" x14ac:dyDescent="0.25">
      <c r="C179" t="s">
        <v>294</v>
      </c>
      <c r="G179" s="423"/>
      <c r="H179" s="423"/>
    </row>
    <row r="181" spans="3:14" x14ac:dyDescent="0.25">
      <c r="C181" s="17" t="s">
        <v>295</v>
      </c>
      <c r="G181" s="423"/>
      <c r="H181" s="423"/>
    </row>
    <row r="182" spans="3:14" x14ac:dyDescent="0.25">
      <c r="C182" t="s">
        <v>276</v>
      </c>
      <c r="E182" t="s">
        <v>277</v>
      </c>
      <c r="G182" s="423"/>
      <c r="H182" s="423"/>
      <c r="M182" t="s">
        <v>283</v>
      </c>
      <c r="N182" t="s">
        <v>284</v>
      </c>
    </row>
    <row r="183" spans="3:14" x14ac:dyDescent="0.25">
      <c r="C183" t="s">
        <v>278</v>
      </c>
      <c r="D183">
        <v>18</v>
      </c>
      <c r="E183" s="45">
        <v>0.7</v>
      </c>
      <c r="G183" s="423">
        <v>11903.76</v>
      </c>
      <c r="H183" s="423"/>
      <c r="J183" t="s">
        <v>286</v>
      </c>
      <c r="M183">
        <f>Sommaire!O4</f>
        <v>49127</v>
      </c>
      <c r="N183">
        <f>M183/52</f>
        <v>944.75</v>
      </c>
    </row>
    <row r="184" spans="3:14" x14ac:dyDescent="0.25">
      <c r="C184" t="s">
        <v>280</v>
      </c>
      <c r="G184" s="423"/>
      <c r="H184" s="423"/>
      <c r="J184" t="s">
        <v>287</v>
      </c>
      <c r="M184">
        <f>Sommaire!O122</f>
        <v>52424.964000000029</v>
      </c>
      <c r="N184">
        <f>M184/52</f>
        <v>1008.1723846153852</v>
      </c>
    </row>
    <row r="185" spans="3:14" x14ac:dyDescent="0.25">
      <c r="C185" t="s">
        <v>278</v>
      </c>
      <c r="D185">
        <v>5</v>
      </c>
      <c r="E185" s="45">
        <v>0.7</v>
      </c>
      <c r="G185" s="423">
        <v>3528.7</v>
      </c>
      <c r="H185" s="423"/>
    </row>
    <row r="186" spans="3:14" x14ac:dyDescent="0.25">
      <c r="C186" t="s">
        <v>285</v>
      </c>
      <c r="G186" s="423"/>
      <c r="H186" s="423"/>
    </row>
    <row r="187" spans="3:14" x14ac:dyDescent="0.25">
      <c r="C187" t="s">
        <v>278</v>
      </c>
      <c r="D187">
        <v>5</v>
      </c>
      <c r="E187" s="45">
        <v>0.7</v>
      </c>
      <c r="G187" s="423">
        <v>3306.6</v>
      </c>
      <c r="H187" s="423"/>
    </row>
    <row r="188" spans="3:14" x14ac:dyDescent="0.25">
      <c r="C188" t="s">
        <v>288</v>
      </c>
      <c r="E188" s="45"/>
      <c r="G188" s="423"/>
      <c r="H188" s="423"/>
    </row>
    <row r="189" spans="3:14" x14ac:dyDescent="0.25">
      <c r="C189" t="s">
        <v>278</v>
      </c>
      <c r="D189">
        <v>25</v>
      </c>
      <c r="E189" s="45">
        <v>0.55000000000000004</v>
      </c>
      <c r="G189" s="423">
        <v>12990.25</v>
      </c>
      <c r="H189" s="423"/>
    </row>
    <row r="190" spans="3:14" x14ac:dyDescent="0.25">
      <c r="C190" t="s">
        <v>289</v>
      </c>
      <c r="E190" s="45"/>
      <c r="G190" s="423"/>
      <c r="H190" s="423"/>
    </row>
    <row r="191" spans="3:14" x14ac:dyDescent="0.25">
      <c r="C191" t="s">
        <v>278</v>
      </c>
      <c r="D191">
        <v>2</v>
      </c>
      <c r="E191" s="45">
        <v>0.7</v>
      </c>
      <c r="G191" s="423">
        <v>1411.48</v>
      </c>
      <c r="H191" s="423"/>
    </row>
    <row r="193" spans="2:7" x14ac:dyDescent="0.25">
      <c r="C193" t="s">
        <v>290</v>
      </c>
      <c r="G193" s="423">
        <f>SUM(G183:G191)</f>
        <v>33140.79</v>
      </c>
    </row>
    <row r="194" spans="2:7" x14ac:dyDescent="0.25">
      <c r="C194" t="s">
        <v>291</v>
      </c>
      <c r="D194">
        <f>D183+D187+D189</f>
        <v>48</v>
      </c>
      <c r="G194" s="423">
        <f>G183+G187+G189</f>
        <v>28200.61</v>
      </c>
    </row>
    <row r="195" spans="2:7" x14ac:dyDescent="0.25">
      <c r="C195" t="s">
        <v>292</v>
      </c>
      <c r="G195" s="423"/>
    </row>
    <row r="196" spans="2:7" x14ac:dyDescent="0.25">
      <c r="C196" t="s">
        <v>293</v>
      </c>
      <c r="D196">
        <f>D191+D185</f>
        <v>7</v>
      </c>
      <c r="G196" s="423">
        <f>G185+G191</f>
        <v>4940.18</v>
      </c>
    </row>
    <row r="197" spans="2:7" x14ac:dyDescent="0.25">
      <c r="C197" t="s">
        <v>294</v>
      </c>
      <c r="G197" s="423"/>
    </row>
    <row r="198" spans="2:7" ht="15.75" x14ac:dyDescent="0.25">
      <c r="B198" s="106" t="s">
        <v>296</v>
      </c>
      <c r="G198" s="423"/>
    </row>
    <row r="199" spans="2:7" x14ac:dyDescent="0.25">
      <c r="C199" t="s">
        <v>297</v>
      </c>
      <c r="G199" s="423"/>
    </row>
    <row r="200" spans="2:7" x14ac:dyDescent="0.25">
      <c r="D200" t="s">
        <v>298</v>
      </c>
      <c r="G200" s="423"/>
    </row>
    <row r="201" spans="2:7" x14ac:dyDescent="0.25">
      <c r="D201" t="s">
        <v>129</v>
      </c>
      <c r="E201" s="26" t="s">
        <v>299</v>
      </c>
      <c r="G201" s="423"/>
    </row>
  </sheetData>
  <mergeCells count="1">
    <mergeCell ref="F157:F158"/>
  </mergeCells>
  <hyperlinks>
    <hyperlink ref="J60" r:id="rId1"/>
    <hyperlink ref="J91" r:id="rId2"/>
    <hyperlink ref="J6" r:id="rId3"/>
    <hyperlink ref="J166" r:id="rId4"/>
    <hyperlink ref="E201" r:id="rId5"/>
    <hyperlink ref="J35" r:id="rId6"/>
    <hyperlink ref="K100" r:id="rId7"/>
    <hyperlink ref="K18" r:id="rId8"/>
    <hyperlink ref="J32" r:id="rId9"/>
    <hyperlink ref="I155" r:id="rId10"/>
  </hyperlinks>
  <pageMargins left="0.7" right="0.7" top="0.75" bottom="0.75" header="0.3" footer="0.3"/>
  <pageSetup orientation="portrait" horizontalDpi="4294967295" verticalDpi="4294967295"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T33"/>
  <sheetViews>
    <sheetView zoomScale="80" zoomScaleNormal="80" workbookViewId="0">
      <pane xSplit="2" ySplit="3" topLeftCell="V6" activePane="bottomRight" state="frozen"/>
      <selection pane="topRight" activeCell="C1" sqref="C1"/>
      <selection pane="bottomLeft" activeCell="A4" sqref="A4"/>
      <selection pane="bottomRight" activeCell="AC21" sqref="AC21"/>
    </sheetView>
  </sheetViews>
  <sheetFormatPr baseColWidth="10" defaultColWidth="11.42578125" defaultRowHeight="15" x14ac:dyDescent="0.25"/>
  <cols>
    <col min="2" max="2" width="15.7109375" customWidth="1"/>
    <col min="6" max="6" width="37.140625" customWidth="1"/>
  </cols>
  <sheetData>
    <row r="2" spans="2:72" x14ac:dyDescent="0.25">
      <c r="B2" s="17" t="s">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2:72" x14ac:dyDescent="0.25">
      <c r="B3" s="17" t="s">
        <v>1</v>
      </c>
      <c r="C3">
        <v>18</v>
      </c>
      <c r="D3">
        <v>19</v>
      </c>
      <c r="E3">
        <v>20</v>
      </c>
      <c r="F3">
        <v>21</v>
      </c>
      <c r="G3">
        <v>22</v>
      </c>
      <c r="H3">
        <v>23</v>
      </c>
      <c r="I3">
        <v>24</v>
      </c>
      <c r="J3">
        <v>25</v>
      </c>
      <c r="K3">
        <v>26</v>
      </c>
      <c r="L3">
        <v>27</v>
      </c>
      <c r="M3">
        <v>28</v>
      </c>
      <c r="N3">
        <v>29</v>
      </c>
      <c r="O3">
        <v>30</v>
      </c>
      <c r="P3">
        <v>31</v>
      </c>
      <c r="Q3">
        <v>32</v>
      </c>
      <c r="R3">
        <v>33</v>
      </c>
      <c r="S3">
        <v>34</v>
      </c>
      <c r="T3">
        <v>35</v>
      </c>
      <c r="U3">
        <v>36</v>
      </c>
      <c r="V3">
        <v>37</v>
      </c>
      <c r="W3">
        <v>38</v>
      </c>
      <c r="X3">
        <v>39</v>
      </c>
      <c r="Y3">
        <v>40</v>
      </c>
      <c r="Z3">
        <v>41</v>
      </c>
      <c r="AA3">
        <v>42</v>
      </c>
      <c r="AB3">
        <v>43</v>
      </c>
      <c r="AC3">
        <v>44</v>
      </c>
      <c r="AD3">
        <v>45</v>
      </c>
      <c r="AE3">
        <v>46</v>
      </c>
      <c r="AF3">
        <v>47</v>
      </c>
      <c r="AG3">
        <v>48</v>
      </c>
      <c r="AH3">
        <v>49</v>
      </c>
      <c r="AI3">
        <v>50</v>
      </c>
      <c r="AJ3">
        <v>51</v>
      </c>
      <c r="AK3">
        <v>52</v>
      </c>
      <c r="AL3">
        <v>53</v>
      </c>
      <c r="AM3">
        <v>54</v>
      </c>
      <c r="AN3">
        <v>55</v>
      </c>
      <c r="AO3">
        <v>56</v>
      </c>
      <c r="AP3">
        <v>57</v>
      </c>
      <c r="AQ3">
        <v>58</v>
      </c>
      <c r="AR3">
        <v>59</v>
      </c>
      <c r="AS3">
        <v>60</v>
      </c>
      <c r="AT3">
        <v>61</v>
      </c>
      <c r="AU3">
        <v>62</v>
      </c>
      <c r="AV3">
        <v>63</v>
      </c>
      <c r="AW3">
        <v>64</v>
      </c>
      <c r="AX3">
        <v>65</v>
      </c>
      <c r="AY3">
        <v>66</v>
      </c>
      <c r="AZ3">
        <v>67</v>
      </c>
      <c r="BA3">
        <v>68</v>
      </c>
      <c r="BB3">
        <v>69</v>
      </c>
      <c r="BC3">
        <v>70</v>
      </c>
      <c r="BD3">
        <v>71</v>
      </c>
      <c r="BE3">
        <v>72</v>
      </c>
      <c r="BF3">
        <v>73</v>
      </c>
      <c r="BG3">
        <v>74</v>
      </c>
      <c r="BH3">
        <v>75</v>
      </c>
      <c r="BI3">
        <v>76</v>
      </c>
      <c r="BJ3">
        <v>77</v>
      </c>
      <c r="BK3">
        <v>78</v>
      </c>
      <c r="BL3">
        <v>79</v>
      </c>
      <c r="BM3">
        <v>80</v>
      </c>
      <c r="BN3">
        <v>81</v>
      </c>
      <c r="BO3">
        <v>82</v>
      </c>
      <c r="BP3">
        <v>83</v>
      </c>
      <c r="BQ3">
        <v>84</v>
      </c>
      <c r="BR3">
        <v>85</v>
      </c>
      <c r="BS3">
        <v>86</v>
      </c>
      <c r="BT3">
        <v>87</v>
      </c>
    </row>
    <row r="6" spans="2:72" x14ac:dyDescent="0.25">
      <c r="B6" s="313" t="s">
        <v>300</v>
      </c>
    </row>
    <row r="7" spans="2:72" x14ac:dyDescent="0.25">
      <c r="B7" s="17" t="s">
        <v>301</v>
      </c>
      <c r="F7" s="455" t="s">
        <v>302</v>
      </c>
      <c r="G7" s="455"/>
      <c r="H7" s="455"/>
      <c r="I7" s="455"/>
      <c r="J7" s="455"/>
      <c r="K7" s="455"/>
      <c r="L7" s="455"/>
      <c r="M7" s="455"/>
      <c r="N7" s="455"/>
      <c r="O7" s="455"/>
      <c r="P7" s="455"/>
      <c r="Q7" s="455"/>
      <c r="R7" s="455"/>
      <c r="S7" s="455"/>
      <c r="T7" s="455"/>
      <c r="U7" s="455"/>
      <c r="V7" s="455"/>
      <c r="W7" s="455"/>
      <c r="X7" s="455"/>
      <c r="Y7" s="455"/>
      <c r="Z7" s="455"/>
      <c r="AA7" s="455"/>
      <c r="AB7" s="455"/>
      <c r="AC7" s="455"/>
      <c r="AD7" s="455"/>
      <c r="AE7" s="455"/>
      <c r="AF7" s="455"/>
      <c r="AG7" s="455"/>
      <c r="AH7" s="455"/>
      <c r="AI7" s="455"/>
      <c r="AJ7" s="455"/>
      <c r="AK7" s="455"/>
      <c r="AL7" s="455"/>
      <c r="AM7" s="455"/>
      <c r="AN7" s="455"/>
      <c r="AO7" s="455"/>
      <c r="AP7" s="455"/>
      <c r="AQ7" s="455"/>
      <c r="AR7" s="455"/>
      <c r="AS7" s="455"/>
      <c r="AT7" s="455"/>
      <c r="AU7" s="455"/>
      <c r="AV7" s="455"/>
      <c r="AW7" s="455"/>
      <c r="AX7" s="455"/>
      <c r="AY7" s="455"/>
      <c r="AZ7" s="455"/>
      <c r="BA7" s="455"/>
      <c r="BB7" s="455"/>
      <c r="BC7" s="455"/>
      <c r="BD7" s="455"/>
      <c r="BE7" s="455"/>
      <c r="BF7" s="455"/>
      <c r="BG7" s="455"/>
      <c r="BH7" s="455"/>
      <c r="BI7" s="455"/>
      <c r="BJ7" s="455"/>
      <c r="BK7" s="455"/>
      <c r="BL7" s="455"/>
      <c r="BM7" s="455"/>
      <c r="BN7" s="455"/>
      <c r="BO7" s="455"/>
      <c r="BP7" s="455"/>
      <c r="BQ7" s="455"/>
      <c r="BR7" s="455"/>
      <c r="BS7" s="455"/>
      <c r="BT7" s="455"/>
    </row>
    <row r="8" spans="2:72" x14ac:dyDescent="0.25">
      <c r="B8" s="17" t="s">
        <v>301</v>
      </c>
      <c r="F8" s="451" t="s">
        <v>303</v>
      </c>
      <c r="G8" s="451"/>
      <c r="H8" s="451"/>
      <c r="I8" s="451"/>
      <c r="J8" s="451"/>
      <c r="K8" s="451"/>
      <c r="L8" s="451"/>
      <c r="M8" s="451"/>
      <c r="N8" s="451"/>
      <c r="O8" s="451"/>
      <c r="P8" s="451"/>
      <c r="Q8" s="451"/>
      <c r="R8" s="451"/>
      <c r="S8" s="451"/>
      <c r="T8" s="451"/>
      <c r="U8" s="451"/>
      <c r="V8" s="451"/>
      <c r="W8" s="451"/>
      <c r="X8" s="451"/>
      <c r="Y8" s="451"/>
      <c r="Z8" s="451"/>
      <c r="AA8" s="451"/>
      <c r="AB8" s="451"/>
      <c r="AC8" s="451"/>
      <c r="AD8" s="451"/>
      <c r="AE8" s="451"/>
      <c r="AF8" s="451"/>
      <c r="AG8" s="451"/>
      <c r="AH8" s="451"/>
      <c r="AI8" s="451"/>
      <c r="AJ8" s="451"/>
      <c r="AK8" s="451"/>
      <c r="AL8" s="451"/>
      <c r="AM8" s="451"/>
      <c r="AN8" s="451"/>
      <c r="AO8" s="451"/>
      <c r="AP8" s="451"/>
      <c r="AQ8" s="451"/>
      <c r="AR8" s="451"/>
    </row>
    <row r="9" spans="2:72" x14ac:dyDescent="0.25">
      <c r="B9" s="17" t="s">
        <v>301</v>
      </c>
      <c r="F9" s="456" t="s">
        <v>304</v>
      </c>
      <c r="G9" s="456"/>
      <c r="H9" s="456"/>
      <c r="I9" s="456"/>
      <c r="J9" s="456"/>
      <c r="K9" s="456"/>
      <c r="L9" s="456"/>
      <c r="M9" s="456"/>
      <c r="N9" s="456"/>
      <c r="O9" s="456"/>
      <c r="P9" s="456"/>
      <c r="Q9" s="456"/>
      <c r="R9" s="456"/>
      <c r="S9" s="456"/>
      <c r="T9" s="456"/>
      <c r="U9" s="456"/>
      <c r="V9" s="456"/>
      <c r="W9" s="456"/>
      <c r="X9" s="456"/>
      <c r="Y9" s="456"/>
      <c r="Z9" s="456"/>
      <c r="AA9" s="456"/>
      <c r="AB9" s="456"/>
      <c r="AC9" s="456"/>
      <c r="AD9" s="456"/>
      <c r="AE9" s="456"/>
      <c r="AF9" s="456"/>
      <c r="AG9" s="456"/>
      <c r="AH9" s="456"/>
      <c r="AI9" s="456"/>
      <c r="AJ9" s="456"/>
      <c r="AK9" s="456"/>
      <c r="AL9" s="456"/>
      <c r="AM9" s="456"/>
      <c r="AN9" s="456"/>
      <c r="AO9" s="456"/>
      <c r="AP9" s="456"/>
      <c r="AQ9" s="456"/>
      <c r="AR9" s="456"/>
    </row>
    <row r="10" spans="2:72" x14ac:dyDescent="0.25">
      <c r="B10" s="17" t="s">
        <v>301</v>
      </c>
      <c r="BH10" s="457" t="s">
        <v>305</v>
      </c>
      <c r="BI10" s="457"/>
      <c r="BJ10" s="457"/>
      <c r="BK10" s="457"/>
      <c r="BL10" s="457"/>
      <c r="BM10" s="457"/>
      <c r="BN10" s="457"/>
      <c r="BO10" s="457"/>
      <c r="BP10" s="457"/>
      <c r="BQ10" s="457"/>
      <c r="BR10" s="457"/>
      <c r="BS10" s="457"/>
      <c r="BT10" s="457"/>
    </row>
    <row r="11" spans="2:72" x14ac:dyDescent="0.25">
      <c r="B11" s="17" t="s">
        <v>301</v>
      </c>
      <c r="AS11" s="457" t="s">
        <v>306</v>
      </c>
      <c r="AT11" s="457"/>
      <c r="AU11" s="457"/>
      <c r="AV11" s="457"/>
      <c r="AW11" s="457"/>
      <c r="AX11" s="457"/>
      <c r="AY11" s="457"/>
      <c r="AZ11" s="457"/>
      <c r="BA11" s="457"/>
      <c r="BB11" s="457"/>
      <c r="BC11" s="457"/>
      <c r="BD11" s="457"/>
      <c r="BE11" s="457"/>
      <c r="BF11" s="457"/>
      <c r="BG11" s="457"/>
      <c r="BH11" s="457"/>
      <c r="BI11" s="457"/>
      <c r="BJ11" s="457"/>
      <c r="BK11" s="457"/>
      <c r="BL11" s="457"/>
      <c r="BM11" s="457"/>
      <c r="BN11" s="457"/>
      <c r="BO11" s="457"/>
      <c r="BP11" s="457"/>
      <c r="BQ11" s="457"/>
      <c r="BR11" s="457"/>
      <c r="BS11" s="457"/>
      <c r="BT11" s="457"/>
    </row>
    <row r="12" spans="2:72" x14ac:dyDescent="0.25">
      <c r="B12" s="17" t="s">
        <v>301</v>
      </c>
      <c r="AS12" s="451" t="s">
        <v>307</v>
      </c>
      <c r="AT12" s="451"/>
      <c r="AU12" s="451"/>
      <c r="AV12" s="451"/>
      <c r="AW12" s="451"/>
      <c r="AX12" s="451"/>
      <c r="AY12" s="451"/>
      <c r="AZ12" s="451"/>
      <c r="BA12" s="451"/>
      <c r="BB12" s="451"/>
      <c r="BC12" s="451"/>
      <c r="BD12" s="451"/>
      <c r="BE12" s="451"/>
      <c r="BF12" s="451"/>
      <c r="BG12" s="451"/>
      <c r="BH12" s="451"/>
      <c r="BI12" s="451"/>
      <c r="BJ12" s="451"/>
      <c r="BK12" s="451"/>
      <c r="BL12" s="451"/>
      <c r="BM12" s="451"/>
      <c r="BN12" s="451"/>
      <c r="BO12" s="451"/>
      <c r="BP12" s="451"/>
      <c r="BQ12" s="451"/>
      <c r="BR12" s="451"/>
      <c r="BS12" s="451"/>
      <c r="BT12" s="451"/>
    </row>
    <row r="13" spans="2:72" x14ac:dyDescent="0.25">
      <c r="B13" s="17" t="s">
        <v>301</v>
      </c>
      <c r="AX13" s="455" t="s">
        <v>308</v>
      </c>
      <c r="AY13" s="455"/>
      <c r="AZ13" s="455"/>
      <c r="BA13" s="455"/>
      <c r="BB13" s="455"/>
      <c r="BC13" s="455"/>
      <c r="BD13" s="455"/>
      <c r="BE13" s="455"/>
      <c r="BF13" s="455"/>
      <c r="BG13" s="455"/>
      <c r="BH13" s="455"/>
      <c r="BI13" s="455"/>
      <c r="BJ13" s="455"/>
      <c r="BK13" s="455"/>
      <c r="BL13" s="455"/>
      <c r="BM13" s="455"/>
      <c r="BN13" s="455"/>
      <c r="BO13" s="455"/>
      <c r="BP13" s="455"/>
      <c r="BQ13" s="455"/>
      <c r="BR13" s="455"/>
      <c r="BS13" s="455"/>
      <c r="BT13" s="455"/>
    </row>
    <row r="14" spans="2:72" x14ac:dyDescent="0.25">
      <c r="B14" s="17" t="s">
        <v>251</v>
      </c>
      <c r="O14" s="451" t="s">
        <v>309</v>
      </c>
      <c r="P14" s="451"/>
      <c r="Q14" s="451"/>
      <c r="R14" s="451"/>
      <c r="S14" s="451"/>
      <c r="T14" s="451"/>
      <c r="U14" s="451"/>
      <c r="V14" s="451"/>
      <c r="W14" s="451"/>
      <c r="X14" s="451"/>
      <c r="Y14" s="451"/>
    </row>
    <row r="15" spans="2:72" x14ac:dyDescent="0.25">
      <c r="B15" s="17" t="s">
        <v>251</v>
      </c>
      <c r="Q15" s="314" t="s">
        <v>310</v>
      </c>
      <c r="R15" s="314"/>
      <c r="S15" s="314"/>
      <c r="T15" s="314"/>
      <c r="U15" s="314"/>
      <c r="V15" s="314"/>
      <c r="W15" s="314"/>
      <c r="X15" s="314"/>
      <c r="Y15" s="314"/>
    </row>
    <row r="16" spans="2:72" x14ac:dyDescent="0.25">
      <c r="B16" s="17" t="s">
        <v>251</v>
      </c>
      <c r="AS16" s="461" t="s">
        <v>311</v>
      </c>
      <c r="AT16" s="461"/>
      <c r="AU16" s="461"/>
      <c r="AV16" s="461"/>
      <c r="AW16" s="461"/>
      <c r="AX16" s="461"/>
      <c r="AY16" s="461"/>
      <c r="AZ16" s="461"/>
      <c r="BA16" s="461"/>
      <c r="BB16" s="461"/>
      <c r="BC16" s="461"/>
      <c r="BD16" s="461"/>
      <c r="BE16" s="461"/>
      <c r="BF16" s="461"/>
      <c r="BG16" s="461"/>
      <c r="BH16" s="461"/>
      <c r="BI16" s="461"/>
      <c r="BJ16" s="461"/>
      <c r="BK16" s="461"/>
      <c r="BL16" s="461"/>
      <c r="BM16" s="461"/>
      <c r="BN16" s="461"/>
      <c r="BO16" s="461"/>
    </row>
    <row r="17" spans="2:67" x14ac:dyDescent="0.25">
      <c r="B17" s="17" t="s">
        <v>251</v>
      </c>
      <c r="AS17" s="451" t="s">
        <v>312</v>
      </c>
      <c r="AT17" s="451"/>
      <c r="AU17" s="451"/>
      <c r="AV17" s="451"/>
      <c r="AW17" s="451"/>
      <c r="AX17" s="451"/>
      <c r="AY17" s="451"/>
      <c r="AZ17" s="451"/>
      <c r="BA17" s="451"/>
      <c r="BB17" s="451"/>
      <c r="BC17" s="451"/>
      <c r="BD17" s="451"/>
      <c r="BE17" s="451"/>
      <c r="BF17" s="451"/>
      <c r="BG17" s="451"/>
      <c r="BH17" s="451"/>
      <c r="BI17" s="451"/>
      <c r="BJ17" s="451"/>
      <c r="BK17" s="451"/>
      <c r="BL17" s="451"/>
      <c r="BM17" s="451"/>
      <c r="BN17" s="451"/>
      <c r="BO17" s="451"/>
    </row>
    <row r="18" spans="2:67" x14ac:dyDescent="0.25">
      <c r="B18" s="17" t="s">
        <v>251</v>
      </c>
      <c r="AU18" s="459" t="s">
        <v>313</v>
      </c>
      <c r="AV18" s="459"/>
      <c r="AW18" s="459"/>
      <c r="AX18" s="459"/>
      <c r="AY18" s="459"/>
      <c r="AZ18" s="459"/>
      <c r="BA18" s="459"/>
      <c r="BB18" s="459"/>
      <c r="BC18" s="459"/>
      <c r="BD18" s="459"/>
      <c r="BE18" s="459"/>
      <c r="BF18" s="459"/>
      <c r="BG18" s="459"/>
      <c r="BH18" s="459"/>
      <c r="BI18" s="459"/>
      <c r="BJ18" s="459"/>
      <c r="BK18" s="459"/>
      <c r="BL18" s="459"/>
      <c r="BM18" s="459"/>
      <c r="BN18" s="459"/>
      <c r="BO18" s="459"/>
    </row>
    <row r="19" spans="2:67" x14ac:dyDescent="0.25">
      <c r="B19" s="17" t="s">
        <v>251</v>
      </c>
      <c r="AS19" s="455" t="s">
        <v>314</v>
      </c>
      <c r="AT19" s="455"/>
      <c r="AU19" s="455"/>
      <c r="AV19" s="455"/>
      <c r="AW19" s="455"/>
      <c r="AX19" s="455"/>
      <c r="AY19" s="455"/>
      <c r="AZ19" s="455"/>
      <c r="BA19" s="455"/>
      <c r="BB19" s="455"/>
      <c r="BC19" s="455"/>
      <c r="BD19" s="455"/>
      <c r="BE19" s="455"/>
      <c r="BF19" s="455"/>
      <c r="BG19" s="455"/>
      <c r="BH19" s="455"/>
      <c r="BI19" s="455"/>
      <c r="BJ19" s="455"/>
      <c r="BK19" s="455"/>
      <c r="BL19" s="455"/>
      <c r="BM19" s="455"/>
      <c r="BN19" s="455"/>
      <c r="BO19" s="455"/>
    </row>
    <row r="20" spans="2:67" x14ac:dyDescent="0.25">
      <c r="B20" s="17" t="s">
        <v>251</v>
      </c>
      <c r="AS20" s="460" t="s">
        <v>315</v>
      </c>
      <c r="AT20" s="460"/>
      <c r="AU20" s="460"/>
      <c r="AV20" s="460"/>
      <c r="AW20" s="460"/>
      <c r="AX20" s="460"/>
      <c r="AY20" s="460"/>
      <c r="AZ20" s="460"/>
      <c r="BA20" s="460"/>
      <c r="BB20" s="460"/>
      <c r="BC20" s="460"/>
      <c r="BD20" s="460"/>
      <c r="BE20" s="460"/>
      <c r="BF20" s="460"/>
      <c r="BG20" s="460"/>
      <c r="BH20" s="460"/>
      <c r="BI20" s="460"/>
      <c r="BJ20" s="460"/>
      <c r="BK20" s="460"/>
      <c r="BL20" s="460"/>
      <c r="BM20" s="460"/>
      <c r="BN20" s="460"/>
      <c r="BO20" s="460"/>
    </row>
    <row r="21" spans="2:67" x14ac:dyDescent="0.25">
      <c r="B21" s="17" t="s">
        <v>251</v>
      </c>
      <c r="AX21" s="451" t="s">
        <v>316</v>
      </c>
      <c r="AY21" s="451"/>
      <c r="AZ21" s="451"/>
      <c r="BA21" s="451"/>
      <c r="BB21" s="451"/>
      <c r="BC21" s="451"/>
      <c r="BD21" s="451"/>
      <c r="BE21" s="451"/>
      <c r="BF21" s="451"/>
      <c r="BG21" s="451"/>
      <c r="BH21" s="451"/>
      <c r="BI21" s="451"/>
      <c r="BJ21" s="451"/>
      <c r="BK21" s="451"/>
      <c r="BL21" s="451"/>
      <c r="BM21" s="451"/>
      <c r="BN21" s="451"/>
      <c r="BO21" s="451"/>
    </row>
    <row r="22" spans="2:67" x14ac:dyDescent="0.25">
      <c r="B22" s="17" t="s">
        <v>251</v>
      </c>
      <c r="AG22" s="418" t="s">
        <v>317</v>
      </c>
      <c r="AX22" s="418"/>
      <c r="AY22" s="418"/>
      <c r="AZ22" s="418"/>
      <c r="BA22" s="418"/>
      <c r="BB22" s="418"/>
      <c r="BC22" s="418"/>
      <c r="BD22" s="418"/>
      <c r="BE22" s="418"/>
      <c r="BF22" s="418"/>
      <c r="BG22" s="418"/>
      <c r="BH22" s="418"/>
      <c r="BI22" s="418"/>
      <c r="BJ22" s="418"/>
      <c r="BK22" s="418"/>
      <c r="BL22" s="418"/>
      <c r="BM22" s="418"/>
      <c r="BN22" s="418"/>
      <c r="BO22" s="418"/>
    </row>
    <row r="23" spans="2:67" x14ac:dyDescent="0.25">
      <c r="B23" s="17" t="s">
        <v>251</v>
      </c>
      <c r="AH23" s="67" t="s">
        <v>318</v>
      </c>
      <c r="AI23" s="67"/>
      <c r="AJ23" s="67"/>
      <c r="AX23" s="418"/>
      <c r="AY23" s="418"/>
      <c r="AZ23" s="418"/>
      <c r="BA23" s="418"/>
      <c r="BB23" s="418"/>
      <c r="BC23" s="418"/>
      <c r="BD23" s="418"/>
      <c r="BE23" s="418"/>
      <c r="BF23" s="418"/>
      <c r="BG23" s="418"/>
      <c r="BH23" s="418"/>
      <c r="BI23" s="418"/>
      <c r="BJ23" s="418"/>
      <c r="BK23" s="418"/>
      <c r="BL23" s="418"/>
      <c r="BM23" s="418"/>
      <c r="BN23" s="418"/>
      <c r="BO23" s="418"/>
    </row>
    <row r="24" spans="2:67" x14ac:dyDescent="0.25">
      <c r="B24" s="17" t="s">
        <v>251</v>
      </c>
      <c r="AG24" s="455" t="s">
        <v>319</v>
      </c>
      <c r="AH24" s="455"/>
      <c r="AI24" s="455"/>
      <c r="AJ24" s="455"/>
      <c r="AX24" s="418"/>
      <c r="AY24" s="418"/>
      <c r="AZ24" s="418"/>
      <c r="BA24" s="418"/>
      <c r="BB24" s="418"/>
      <c r="BC24" s="418"/>
      <c r="BD24" s="418"/>
      <c r="BE24" s="418"/>
      <c r="BF24" s="418"/>
      <c r="BG24" s="418"/>
      <c r="BH24" s="418"/>
      <c r="BI24" s="418"/>
      <c r="BJ24" s="418"/>
      <c r="BK24" s="418"/>
      <c r="BL24" s="418"/>
      <c r="BM24" s="418"/>
      <c r="BN24" s="418"/>
      <c r="BO24" s="418"/>
    </row>
    <row r="25" spans="2:67" x14ac:dyDescent="0.25">
      <c r="B25" s="17" t="s">
        <v>251</v>
      </c>
      <c r="AH25" s="454" t="s">
        <v>320</v>
      </c>
      <c r="AI25" s="454"/>
      <c r="AJ25" s="454"/>
      <c r="AX25" s="418"/>
      <c r="AY25" s="418"/>
      <c r="AZ25" s="418"/>
      <c r="BA25" s="418"/>
      <c r="BB25" s="418"/>
      <c r="BC25" s="418"/>
      <c r="BD25" s="418"/>
      <c r="BE25" s="418"/>
      <c r="BF25" s="418"/>
      <c r="BG25" s="418"/>
      <c r="BH25" s="418"/>
      <c r="BI25" s="418"/>
      <c r="BJ25" s="418"/>
      <c r="BK25" s="418"/>
      <c r="BL25" s="418"/>
      <c r="BM25" s="418"/>
      <c r="BN25" s="418"/>
      <c r="BO25" s="418"/>
    </row>
    <row r="26" spans="2:67" x14ac:dyDescent="0.25">
      <c r="B26" s="17" t="s">
        <v>321</v>
      </c>
      <c r="AE26" s="418" t="s">
        <v>322</v>
      </c>
      <c r="AG26" s="314"/>
      <c r="AH26" s="314"/>
    </row>
    <row r="27" spans="2:67" x14ac:dyDescent="0.25">
      <c r="B27" s="17" t="s">
        <v>321</v>
      </c>
      <c r="AF27" s="67" t="s">
        <v>323</v>
      </c>
      <c r="AG27" s="67"/>
      <c r="AH27" s="67"/>
    </row>
    <row r="28" spans="2:67" ht="47.25" customHeight="1" x14ac:dyDescent="0.25">
      <c r="B28" s="17" t="s">
        <v>321</v>
      </c>
      <c r="AF28" s="453" t="s">
        <v>324</v>
      </c>
      <c r="AG28" s="453"/>
      <c r="AH28" s="453"/>
    </row>
    <row r="29" spans="2:67" x14ac:dyDescent="0.25">
      <c r="B29" s="17" t="s">
        <v>325</v>
      </c>
      <c r="O29" s="451" t="s">
        <v>309</v>
      </c>
      <c r="P29" s="451"/>
      <c r="Q29" s="451"/>
      <c r="R29" s="451"/>
      <c r="S29" s="451"/>
      <c r="T29" s="451"/>
      <c r="U29" s="451"/>
      <c r="V29" s="451"/>
      <c r="W29" s="451"/>
      <c r="X29" s="451"/>
    </row>
    <row r="30" spans="2:67" x14ac:dyDescent="0.25">
      <c r="B30" s="17" t="s">
        <v>325</v>
      </c>
      <c r="AE30" s="419" t="s">
        <v>326</v>
      </c>
      <c r="AF30" s="419"/>
      <c r="AG30" s="419"/>
      <c r="AH30" s="419"/>
      <c r="AI30" s="39"/>
      <c r="AJ30" s="39"/>
      <c r="AK30" s="39"/>
    </row>
    <row r="31" spans="2:67" x14ac:dyDescent="0.25">
      <c r="B31" s="17" t="s">
        <v>325</v>
      </c>
      <c r="AF31" s="452" t="s">
        <v>327</v>
      </c>
      <c r="AG31" s="452"/>
      <c r="AH31" s="452"/>
    </row>
    <row r="32" spans="2:67" x14ac:dyDescent="0.25">
      <c r="B32" s="17" t="s">
        <v>325</v>
      </c>
      <c r="Y32" s="458" t="s">
        <v>328</v>
      </c>
      <c r="Z32" s="458"/>
      <c r="AA32" s="458"/>
      <c r="AB32" s="458"/>
      <c r="AC32" s="458"/>
      <c r="AD32" s="458"/>
      <c r="AE32" s="458"/>
      <c r="AF32" s="458"/>
      <c r="AG32" s="458"/>
      <c r="AH32" s="458"/>
    </row>
    <row r="33" ht="48" customHeight="1" x14ac:dyDescent="0.25"/>
  </sheetData>
  <mergeCells count="20">
    <mergeCell ref="Y32:AH32"/>
    <mergeCell ref="AG24:AJ24"/>
    <mergeCell ref="O29:X29"/>
    <mergeCell ref="AX13:BT13"/>
    <mergeCell ref="O14:Y14"/>
    <mergeCell ref="AU18:BO18"/>
    <mergeCell ref="AS19:BO19"/>
    <mergeCell ref="AS20:BO20"/>
    <mergeCell ref="AS16:BO16"/>
    <mergeCell ref="AS17:BO17"/>
    <mergeCell ref="AS12:BT12"/>
    <mergeCell ref="AF31:AH31"/>
    <mergeCell ref="AF28:AH28"/>
    <mergeCell ref="AH25:AJ25"/>
    <mergeCell ref="F7:BT7"/>
    <mergeCell ref="F8:AR8"/>
    <mergeCell ref="F9:AR9"/>
    <mergeCell ref="BH10:BT10"/>
    <mergeCell ref="AS11:BT11"/>
    <mergeCell ref="AX21:BO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6"/>
  <sheetViews>
    <sheetView zoomScale="90" zoomScaleNormal="90" workbookViewId="0">
      <pane xSplit="2" ySplit="2" topLeftCell="AY3" activePane="bottomRight" state="frozen"/>
      <selection pane="topRight" activeCell="C1" sqref="C1"/>
      <selection pane="bottomLeft" activeCell="A3" sqref="A3"/>
      <selection pane="bottomRight" activeCell="BG22" sqref="BG22"/>
    </sheetView>
  </sheetViews>
  <sheetFormatPr baseColWidth="10" defaultColWidth="11.42578125" defaultRowHeight="15" x14ac:dyDescent="0.25"/>
  <cols>
    <col min="2" max="2" width="33.42578125" customWidth="1"/>
  </cols>
  <sheetData>
    <row r="1" spans="1:72" x14ac:dyDescent="0.25">
      <c r="B1" t="s">
        <v>0</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c r="Z1">
        <v>24</v>
      </c>
      <c r="AA1">
        <v>25</v>
      </c>
      <c r="AB1">
        <v>26</v>
      </c>
      <c r="AC1">
        <v>27</v>
      </c>
      <c r="AD1">
        <v>28</v>
      </c>
      <c r="AE1">
        <v>29</v>
      </c>
      <c r="AF1">
        <v>30</v>
      </c>
      <c r="AG1">
        <v>31</v>
      </c>
      <c r="AH1">
        <v>32</v>
      </c>
      <c r="AI1">
        <v>33</v>
      </c>
      <c r="AJ1">
        <v>34</v>
      </c>
      <c r="AK1">
        <v>35</v>
      </c>
      <c r="AL1">
        <v>36</v>
      </c>
      <c r="AM1">
        <v>37</v>
      </c>
      <c r="AN1">
        <v>38</v>
      </c>
      <c r="AO1">
        <v>39</v>
      </c>
      <c r="AP1">
        <v>40</v>
      </c>
      <c r="AQ1">
        <v>41</v>
      </c>
      <c r="AR1">
        <v>42</v>
      </c>
      <c r="AS1">
        <v>43</v>
      </c>
      <c r="AT1">
        <v>44</v>
      </c>
      <c r="AU1">
        <v>45</v>
      </c>
      <c r="AV1">
        <v>46</v>
      </c>
      <c r="AW1">
        <v>47</v>
      </c>
      <c r="AX1">
        <v>48</v>
      </c>
      <c r="AY1">
        <v>49</v>
      </c>
      <c r="AZ1">
        <v>50</v>
      </c>
      <c r="BA1">
        <v>51</v>
      </c>
      <c r="BB1">
        <v>52</v>
      </c>
      <c r="BC1">
        <v>53</v>
      </c>
      <c r="BD1">
        <v>54</v>
      </c>
      <c r="BE1">
        <v>55</v>
      </c>
      <c r="BF1">
        <v>56</v>
      </c>
      <c r="BG1">
        <v>57</v>
      </c>
      <c r="BH1">
        <v>58</v>
      </c>
      <c r="BI1">
        <v>59</v>
      </c>
      <c r="BJ1">
        <v>60</v>
      </c>
      <c r="BK1">
        <v>61</v>
      </c>
      <c r="BL1">
        <v>62</v>
      </c>
      <c r="BM1">
        <v>63</v>
      </c>
      <c r="BN1">
        <v>64</v>
      </c>
      <c r="BO1">
        <v>65</v>
      </c>
      <c r="BP1">
        <v>66</v>
      </c>
      <c r="BQ1">
        <v>67</v>
      </c>
      <c r="BR1">
        <v>68</v>
      </c>
      <c r="BS1">
        <v>69</v>
      </c>
      <c r="BT1">
        <v>70</v>
      </c>
    </row>
    <row r="2" spans="1:72" x14ac:dyDescent="0.25">
      <c r="B2" t="s">
        <v>72</v>
      </c>
      <c r="C2">
        <v>18</v>
      </c>
      <c r="D2">
        <v>19</v>
      </c>
      <c r="E2">
        <v>20</v>
      </c>
      <c r="F2">
        <v>21</v>
      </c>
      <c r="G2">
        <v>22</v>
      </c>
      <c r="H2">
        <v>23</v>
      </c>
      <c r="I2">
        <v>24</v>
      </c>
      <c r="J2">
        <v>25</v>
      </c>
      <c r="K2">
        <v>26</v>
      </c>
      <c r="L2">
        <v>27</v>
      </c>
      <c r="M2">
        <v>28</v>
      </c>
      <c r="N2">
        <v>29</v>
      </c>
      <c r="O2">
        <v>30</v>
      </c>
      <c r="P2">
        <v>31</v>
      </c>
      <c r="Q2">
        <v>32</v>
      </c>
      <c r="R2">
        <v>33</v>
      </c>
      <c r="S2">
        <v>34</v>
      </c>
      <c r="T2">
        <v>35</v>
      </c>
      <c r="U2">
        <v>36</v>
      </c>
      <c r="V2">
        <v>37</v>
      </c>
      <c r="W2">
        <v>38</v>
      </c>
      <c r="X2">
        <v>39</v>
      </c>
      <c r="Y2">
        <v>40</v>
      </c>
      <c r="Z2">
        <v>41</v>
      </c>
      <c r="AA2">
        <v>42</v>
      </c>
      <c r="AB2">
        <v>43</v>
      </c>
      <c r="AC2">
        <v>44</v>
      </c>
      <c r="AD2">
        <v>45</v>
      </c>
      <c r="AE2">
        <v>46</v>
      </c>
      <c r="AF2">
        <v>47</v>
      </c>
      <c r="AG2">
        <v>48</v>
      </c>
      <c r="AH2">
        <v>49</v>
      </c>
      <c r="AI2">
        <v>50</v>
      </c>
      <c r="AJ2">
        <v>51</v>
      </c>
      <c r="AK2">
        <v>52</v>
      </c>
      <c r="AL2">
        <v>53</v>
      </c>
      <c r="AM2">
        <v>54</v>
      </c>
      <c r="AN2">
        <v>55</v>
      </c>
      <c r="AO2">
        <v>56</v>
      </c>
      <c r="AP2">
        <v>57</v>
      </c>
      <c r="AQ2">
        <v>58</v>
      </c>
      <c r="AR2">
        <v>59</v>
      </c>
      <c r="AS2">
        <v>60</v>
      </c>
      <c r="AT2">
        <v>61</v>
      </c>
      <c r="AU2">
        <v>62</v>
      </c>
      <c r="AV2">
        <v>63</v>
      </c>
      <c r="AW2">
        <v>64</v>
      </c>
      <c r="AX2">
        <v>65</v>
      </c>
      <c r="AY2">
        <v>66</v>
      </c>
      <c r="AZ2">
        <v>67</v>
      </c>
      <c r="BA2">
        <v>68</v>
      </c>
      <c r="BB2">
        <v>69</v>
      </c>
      <c r="BC2">
        <v>70</v>
      </c>
      <c r="BD2">
        <v>71</v>
      </c>
      <c r="BE2">
        <v>72</v>
      </c>
      <c r="BF2">
        <v>73</v>
      </c>
      <c r="BG2">
        <v>74</v>
      </c>
      <c r="BH2">
        <v>75</v>
      </c>
      <c r="BI2">
        <v>76</v>
      </c>
      <c r="BJ2">
        <v>77</v>
      </c>
      <c r="BK2">
        <v>78</v>
      </c>
      <c r="BL2">
        <v>79</v>
      </c>
      <c r="BM2">
        <v>80</v>
      </c>
      <c r="BN2">
        <v>81</v>
      </c>
      <c r="BO2">
        <v>82</v>
      </c>
      <c r="BP2">
        <v>83</v>
      </c>
      <c r="BQ2">
        <v>84</v>
      </c>
      <c r="BR2">
        <v>85</v>
      </c>
      <c r="BS2">
        <v>86</v>
      </c>
      <c r="BT2">
        <v>87</v>
      </c>
    </row>
    <row r="3" spans="1:72" s="369" customFormat="1" x14ac:dyDescent="0.25">
      <c r="A3" s="371" t="s">
        <v>329</v>
      </c>
      <c r="B3" s="420" t="s">
        <v>330</v>
      </c>
      <c r="C3" s="370">
        <f>Sommaire!C4</f>
        <v>7529.356580593425</v>
      </c>
      <c r="D3" s="370">
        <f>Sommaire!D4</f>
        <v>7529.356580593425</v>
      </c>
      <c r="E3" s="370">
        <f>Sommaire!E4</f>
        <v>7529.356580593425</v>
      </c>
      <c r="F3" s="370">
        <f>Sommaire!F4</f>
        <v>35302</v>
      </c>
      <c r="G3" s="370">
        <f>Sommaire!G4</f>
        <v>36471</v>
      </c>
      <c r="H3" s="370">
        <f>Sommaire!H4</f>
        <v>37987</v>
      </c>
      <c r="I3" s="370">
        <f>Sommaire!I4</f>
        <v>39302</v>
      </c>
      <c r="J3" s="370">
        <f>Sommaire!J4</f>
        <v>40854</v>
      </c>
      <c r="K3" s="370">
        <f>Sommaire!K4</f>
        <v>42279</v>
      </c>
      <c r="L3" s="370">
        <f>Sommaire!L4</f>
        <v>44014</v>
      </c>
      <c r="M3" s="370">
        <f>Sommaire!M4</f>
        <v>45639</v>
      </c>
      <c r="N3" s="370">
        <f>Sommaire!N4</f>
        <v>47374</v>
      </c>
      <c r="O3" s="370">
        <f>Sommaire!O4</f>
        <v>49127</v>
      </c>
      <c r="P3" s="370">
        <f>Sommaire!P4</f>
        <v>50990</v>
      </c>
      <c r="Q3" s="370">
        <f>Sommaire!Q4</f>
        <v>52963</v>
      </c>
      <c r="R3" s="370">
        <f>Sommaire!R4</f>
        <v>52963</v>
      </c>
      <c r="S3" s="370">
        <f>Sommaire!S4</f>
        <v>52963</v>
      </c>
      <c r="T3" s="370">
        <f>Sommaire!T4</f>
        <v>52963</v>
      </c>
      <c r="U3" s="370">
        <f>Sommaire!U4</f>
        <v>52963</v>
      </c>
      <c r="V3" s="370">
        <f>Sommaire!V4</f>
        <v>52963</v>
      </c>
      <c r="W3" s="370">
        <f>Sommaire!W4</f>
        <v>52963</v>
      </c>
      <c r="X3" s="370">
        <f>Sommaire!X4</f>
        <v>52963</v>
      </c>
      <c r="Y3" s="370">
        <f>Sommaire!Y4</f>
        <v>52963</v>
      </c>
      <c r="Z3" s="370">
        <f>Sommaire!Z4</f>
        <v>52963</v>
      </c>
      <c r="AA3" s="370">
        <f>Sommaire!AA4</f>
        <v>52963</v>
      </c>
      <c r="AB3" s="370">
        <f>Sommaire!AB4</f>
        <v>52963</v>
      </c>
      <c r="AC3" s="370">
        <f>Sommaire!AC4</f>
        <v>52963</v>
      </c>
      <c r="AD3" s="370">
        <f>Sommaire!AD4</f>
        <v>52963</v>
      </c>
      <c r="AE3" s="370">
        <f>Sommaire!AE4</f>
        <v>52963</v>
      </c>
      <c r="AF3" s="370">
        <f>Sommaire!AF4</f>
        <v>52963</v>
      </c>
      <c r="AG3" s="370">
        <f>Sommaire!AG4</f>
        <v>52963</v>
      </c>
      <c r="AH3" s="370">
        <f>Sommaire!AH4</f>
        <v>52963</v>
      </c>
      <c r="AI3" s="370">
        <f>Sommaire!AI4</f>
        <v>52963</v>
      </c>
      <c r="AJ3" s="370">
        <f>Sommaire!AJ4</f>
        <v>52963</v>
      </c>
      <c r="AK3" s="370">
        <f>Sommaire!AK4</f>
        <v>52963</v>
      </c>
      <c r="AL3" s="370">
        <f>Sommaire!AL4</f>
        <v>52963</v>
      </c>
      <c r="AM3" s="370">
        <f>Sommaire!AM4</f>
        <v>52963</v>
      </c>
      <c r="AN3" s="370">
        <f>Sommaire!AN4</f>
        <v>52963</v>
      </c>
      <c r="AO3" s="370">
        <f>Sommaire!AO4</f>
        <v>52963</v>
      </c>
      <c r="AP3" s="370">
        <f>Sommaire!AP4</f>
        <v>52963</v>
      </c>
      <c r="AQ3" s="370">
        <f>Sommaire!AQ4</f>
        <v>52963</v>
      </c>
      <c r="AR3" s="370">
        <f>Sommaire!AR4</f>
        <v>52963</v>
      </c>
      <c r="AS3" s="420"/>
      <c r="AT3" s="420"/>
      <c r="AU3" s="420"/>
      <c r="AV3" s="420"/>
      <c r="AW3" s="420"/>
      <c r="AX3" s="420"/>
      <c r="AY3" s="420"/>
      <c r="AZ3" s="420"/>
      <c r="BA3" s="420"/>
      <c r="BB3" s="420"/>
      <c r="BC3" s="420"/>
      <c r="BD3" s="420"/>
      <c r="BE3" s="420"/>
      <c r="BF3" s="420"/>
      <c r="BG3" s="420"/>
      <c r="BH3" s="420"/>
      <c r="BI3" s="420"/>
      <c r="BJ3" s="420"/>
      <c r="BK3" s="420"/>
      <c r="BL3" s="420"/>
      <c r="BM3" s="420"/>
      <c r="BN3" s="420"/>
      <c r="BO3" s="420"/>
      <c r="BP3" s="420"/>
      <c r="BQ3" s="420"/>
      <c r="BR3" s="420"/>
      <c r="BS3" s="420"/>
      <c r="BT3" s="420"/>
    </row>
    <row r="4" spans="1:72" x14ac:dyDescent="0.25">
      <c r="B4" t="s">
        <v>331</v>
      </c>
      <c r="C4" s="38"/>
      <c r="D4" s="38"/>
      <c r="E4" s="38"/>
      <c r="F4" s="38">
        <f>Sommaire!F6</f>
        <v>1960.5686999999998</v>
      </c>
      <c r="G4" s="38">
        <f>Sommaire!G6</f>
        <v>2110.3176000000003</v>
      </c>
      <c r="H4" s="38">
        <f>Sommaire!H6</f>
        <v>2304.5172000000002</v>
      </c>
      <c r="I4" s="38">
        <f>Sommaire!I6</f>
        <v>2472.9687000000004</v>
      </c>
      <c r="J4" s="38">
        <f>Sommaire!J6</f>
        <v>2671.7799000000005</v>
      </c>
      <c r="K4" s="38">
        <f>Sommaire!K6</f>
        <v>2854.3224</v>
      </c>
      <c r="L4" s="38">
        <f>Sommaire!L6</f>
        <v>3076.5759000000003</v>
      </c>
      <c r="M4" s="38">
        <f>Sommaire!M6</f>
        <v>3284.7384000000002</v>
      </c>
      <c r="N4" s="38">
        <f>Sommaire!N6</f>
        <v>3506.9919</v>
      </c>
      <c r="O4" s="38">
        <f>Sommaire!O6</f>
        <v>3731.5512000000003</v>
      </c>
      <c r="P4" s="38">
        <f>Sommaire!P6</f>
        <v>3970.2015000000001</v>
      </c>
      <c r="Q4" s="38">
        <f>Sommaire!Q6</f>
        <v>4222.9428000000007</v>
      </c>
      <c r="R4" s="38">
        <f>Sommaire!R6</f>
        <v>4222.9428000000007</v>
      </c>
      <c r="S4" s="38">
        <f>Sommaire!S6</f>
        <v>4222.9428000000007</v>
      </c>
      <c r="T4" s="38">
        <f>Sommaire!T6</f>
        <v>4222.9428000000007</v>
      </c>
      <c r="U4" s="38">
        <f>Sommaire!U6</f>
        <v>4222.9428000000007</v>
      </c>
      <c r="V4" s="38">
        <f>Sommaire!V6</f>
        <v>4222.9428000000007</v>
      </c>
      <c r="W4" s="38">
        <f>Sommaire!W6</f>
        <v>4222.9428000000007</v>
      </c>
      <c r="X4" s="38">
        <f>Sommaire!X6</f>
        <v>4222.9428000000007</v>
      </c>
      <c r="Y4" s="38">
        <f>Sommaire!Y6</f>
        <v>4222.9428000000007</v>
      </c>
      <c r="Z4" s="38">
        <f>Sommaire!Z6</f>
        <v>4222.9428000000007</v>
      </c>
      <c r="AA4" s="38">
        <f>Sommaire!AA6</f>
        <v>4222.9428000000007</v>
      </c>
      <c r="AB4" s="38">
        <f>Sommaire!AB6</f>
        <v>4222.9428000000007</v>
      </c>
      <c r="AC4" s="38">
        <f>Sommaire!AC6</f>
        <v>4222.9428000000007</v>
      </c>
      <c r="AD4" s="38">
        <f>Sommaire!AD6</f>
        <v>4222.9428000000007</v>
      </c>
      <c r="AE4" s="38">
        <f>Sommaire!AE6</f>
        <v>4222.9428000000007</v>
      </c>
      <c r="AF4" s="38">
        <f>Sommaire!AF6</f>
        <v>4222.9428000000007</v>
      </c>
      <c r="AG4" s="38">
        <f>Sommaire!AG6</f>
        <v>4222.9428000000007</v>
      </c>
      <c r="AH4" s="38">
        <f>Sommaire!AH6</f>
        <v>4222.9428000000007</v>
      </c>
      <c r="AI4" s="38">
        <f>Sommaire!AI6</f>
        <v>4222.9428000000007</v>
      </c>
      <c r="AJ4" s="38">
        <f>Sommaire!AJ6</f>
        <v>4222.9428000000007</v>
      </c>
      <c r="AK4" s="38">
        <f>Sommaire!AK6</f>
        <v>4222.9428000000007</v>
      </c>
      <c r="AL4" s="38">
        <f>Sommaire!AL6</f>
        <v>4222.9428000000007</v>
      </c>
      <c r="AM4" s="38">
        <f>Sommaire!AM6</f>
        <v>4222.9428000000007</v>
      </c>
      <c r="AN4" s="38">
        <f>Sommaire!AN6</f>
        <v>4222.9428000000007</v>
      </c>
      <c r="AO4" s="38">
        <f>Sommaire!AO6</f>
        <v>4222.9428000000007</v>
      </c>
      <c r="AP4" s="38">
        <f>Sommaire!AP6</f>
        <v>4222.9428000000007</v>
      </c>
      <c r="AQ4" s="38">
        <f>Sommaire!AQ6</f>
        <v>4222.9428000000007</v>
      </c>
      <c r="AR4" s="38">
        <f>Sommaire!AR6</f>
        <v>4222.9428000000007</v>
      </c>
    </row>
    <row r="5" spans="1:72" x14ac:dyDescent="0.25">
      <c r="B5" t="s">
        <v>332</v>
      </c>
      <c r="C5" s="38"/>
      <c r="D5" s="38"/>
      <c r="E5" s="38"/>
      <c r="F5" s="38">
        <f>Sommaire!F5</f>
        <v>458.92599999999999</v>
      </c>
      <c r="G5" s="38">
        <f>Sommaire!G5</f>
        <v>474.12299999999999</v>
      </c>
      <c r="H5" s="38">
        <f>Sommaire!H5</f>
        <v>493.83099999999996</v>
      </c>
      <c r="I5" s="38">
        <f>Sommaire!I5</f>
        <v>510.92599999999999</v>
      </c>
      <c r="J5" s="38">
        <f>Sommaire!J5</f>
        <v>531.10199999999998</v>
      </c>
      <c r="K5" s="38">
        <f>Sommaire!K5</f>
        <v>549.62699999999995</v>
      </c>
      <c r="L5" s="38">
        <f>Sommaire!L5</f>
        <v>572.18200000000002</v>
      </c>
      <c r="M5" s="38">
        <f>Sommaire!M5</f>
        <v>593.30700000000002</v>
      </c>
      <c r="N5" s="38">
        <f>Sommaire!N5</f>
        <v>615.86199999999997</v>
      </c>
      <c r="O5" s="38">
        <f>Sommaire!O5</f>
        <v>638.65099999999995</v>
      </c>
      <c r="P5" s="38">
        <f>Sommaire!P5</f>
        <v>662.87</v>
      </c>
      <c r="Q5" s="38">
        <f>Sommaire!Q5</f>
        <v>688.51900000000001</v>
      </c>
      <c r="R5" s="38">
        <f>Sommaire!R5</f>
        <v>688.51900000000001</v>
      </c>
      <c r="S5" s="38">
        <f>Sommaire!S5</f>
        <v>688.51900000000001</v>
      </c>
      <c r="T5" s="38">
        <f>Sommaire!T5</f>
        <v>688.51900000000001</v>
      </c>
      <c r="U5" s="38">
        <f>Sommaire!U5</f>
        <v>688.51900000000001</v>
      </c>
      <c r="V5" s="38">
        <f>Sommaire!V5</f>
        <v>688.51900000000001</v>
      </c>
      <c r="W5" s="38">
        <f>Sommaire!W5</f>
        <v>688.51900000000001</v>
      </c>
      <c r="X5" s="38">
        <f>Sommaire!X5</f>
        <v>688.51900000000001</v>
      </c>
      <c r="Y5" s="38">
        <f>Sommaire!Y5</f>
        <v>688.51900000000001</v>
      </c>
      <c r="Z5" s="38">
        <f>Sommaire!Z5</f>
        <v>688.51900000000001</v>
      </c>
      <c r="AA5" s="38">
        <f>Sommaire!AA5</f>
        <v>688.51900000000001</v>
      </c>
      <c r="AB5" s="38">
        <f>Sommaire!AB5</f>
        <v>688.51900000000001</v>
      </c>
      <c r="AC5" s="38">
        <f>Sommaire!AC5</f>
        <v>688.51900000000001</v>
      </c>
      <c r="AD5" s="38">
        <f>Sommaire!AD5</f>
        <v>688.51900000000001</v>
      </c>
      <c r="AE5" s="38">
        <f>Sommaire!AE5</f>
        <v>688.51900000000001</v>
      </c>
      <c r="AF5" s="38">
        <f>Sommaire!AF5</f>
        <v>688.51900000000001</v>
      </c>
      <c r="AG5" s="38">
        <f>Sommaire!AG5</f>
        <v>688.51900000000001</v>
      </c>
      <c r="AH5" s="38">
        <f>Sommaire!AH5</f>
        <v>688.51900000000001</v>
      </c>
      <c r="AI5" s="38">
        <f>Sommaire!AI5</f>
        <v>688.51900000000001</v>
      </c>
      <c r="AJ5" s="38">
        <f>Sommaire!AJ5</f>
        <v>688.51900000000001</v>
      </c>
      <c r="AK5" s="38">
        <f>Sommaire!AK5</f>
        <v>688.51900000000001</v>
      </c>
      <c r="AL5" s="38">
        <f>Sommaire!AL5</f>
        <v>688.51900000000001</v>
      </c>
      <c r="AM5" s="38">
        <f>Sommaire!AM5</f>
        <v>688.51900000000001</v>
      </c>
      <c r="AN5" s="38">
        <f>Sommaire!AN5</f>
        <v>688.51900000000001</v>
      </c>
      <c r="AO5" s="38">
        <f>Sommaire!AO5</f>
        <v>688.51900000000001</v>
      </c>
      <c r="AP5" s="38">
        <f>Sommaire!AP5</f>
        <v>688.51900000000001</v>
      </c>
      <c r="AQ5" s="38">
        <f>Sommaire!AQ5</f>
        <v>688.51900000000001</v>
      </c>
      <c r="AR5" s="38">
        <f>Sommaire!AR5</f>
        <v>688.51900000000001</v>
      </c>
    </row>
    <row r="6" spans="1:72" x14ac:dyDescent="0.25">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row>
    <row r="7" spans="1:72" x14ac:dyDescent="0.25">
      <c r="B7" t="s">
        <v>333</v>
      </c>
      <c r="AS7">
        <f>Sommaire!AS9</f>
        <v>41311.14</v>
      </c>
      <c r="AT7">
        <f>Sommaire!AT9</f>
        <v>41311.14</v>
      </c>
      <c r="AU7">
        <f>Sommaire!AU9</f>
        <v>41311.14</v>
      </c>
      <c r="AV7">
        <f>Sommaire!AV9</f>
        <v>41311.14</v>
      </c>
      <c r="AW7">
        <f>Sommaire!AW9</f>
        <v>41311.14</v>
      </c>
      <c r="AX7">
        <f>Sommaire!AX9</f>
        <v>28335.205000000002</v>
      </c>
      <c r="AY7">
        <f>Sommaire!AY9</f>
        <v>28335.205000000002</v>
      </c>
      <c r="AZ7">
        <f>Sommaire!AZ9</f>
        <v>28335.205000000002</v>
      </c>
      <c r="BA7">
        <f>Sommaire!BA9</f>
        <v>28335.205000000002</v>
      </c>
      <c r="BB7">
        <f>Sommaire!BB9</f>
        <v>28335.205000000002</v>
      </c>
      <c r="BC7">
        <f>Sommaire!BC9</f>
        <v>28335.205000000002</v>
      </c>
      <c r="BD7">
        <f>Sommaire!BD9</f>
        <v>28335.205000000002</v>
      </c>
      <c r="BE7">
        <f>Sommaire!BE9</f>
        <v>28335.205000000002</v>
      </c>
      <c r="BF7">
        <f>Sommaire!BF9</f>
        <v>28335.205000000002</v>
      </c>
      <c r="BG7">
        <f>Sommaire!BG9</f>
        <v>28335.205000000002</v>
      </c>
      <c r="BH7">
        <f>Sommaire!BH9</f>
        <v>28335.205000000002</v>
      </c>
      <c r="BI7">
        <f>Sommaire!BI9</f>
        <v>28335.205000000002</v>
      </c>
      <c r="BJ7">
        <f>Sommaire!BJ9</f>
        <v>28335.205000000002</v>
      </c>
      <c r="BK7">
        <f>Sommaire!BK9</f>
        <v>28335.205000000002</v>
      </c>
      <c r="BL7">
        <f>Sommaire!BL9</f>
        <v>28335.205000000002</v>
      </c>
      <c r="BM7">
        <f>Sommaire!BM9</f>
        <v>28335.205000000002</v>
      </c>
      <c r="BN7">
        <f>Sommaire!BN9</f>
        <v>28335.205000000002</v>
      </c>
      <c r="BO7">
        <f>Sommaire!BO9</f>
        <v>28335.205000000002</v>
      </c>
      <c r="BP7">
        <f>Sommaire!BP9</f>
        <v>28335.205000000002</v>
      </c>
      <c r="BQ7">
        <f>Sommaire!BQ9</f>
        <v>28335.205000000002</v>
      </c>
      <c r="BR7">
        <f>Sommaire!BR9</f>
        <v>28335.205000000002</v>
      </c>
      <c r="BS7">
        <f>Sommaire!BS9</f>
        <v>28335.205000000002</v>
      </c>
      <c r="BT7">
        <f>Sommaire!BT9</f>
        <v>28335.205000000002</v>
      </c>
    </row>
    <row r="8" spans="1:72" x14ac:dyDescent="0.25">
      <c r="B8" t="s">
        <v>188</v>
      </c>
      <c r="AX8">
        <f>Sommaire!AX27</f>
        <v>7121.31</v>
      </c>
      <c r="AY8">
        <f>Sommaire!AY27</f>
        <v>7121.31</v>
      </c>
      <c r="AZ8">
        <f>Sommaire!AZ27</f>
        <v>7121.31</v>
      </c>
      <c r="BA8">
        <f>Sommaire!BA27</f>
        <v>7121.31</v>
      </c>
      <c r="BB8">
        <f>Sommaire!BB27</f>
        <v>7121.31</v>
      </c>
      <c r="BC8">
        <f>Sommaire!BC27</f>
        <v>7121.31</v>
      </c>
      <c r="BD8">
        <f>Sommaire!BD27</f>
        <v>7121.31</v>
      </c>
      <c r="BE8">
        <f>Sommaire!BE27</f>
        <v>7121.31</v>
      </c>
      <c r="BF8">
        <f>Sommaire!BF27</f>
        <v>7121.31</v>
      </c>
      <c r="BG8">
        <f>Sommaire!BG27</f>
        <v>7121.31</v>
      </c>
      <c r="BH8">
        <f>Sommaire!BH27</f>
        <v>7121.31</v>
      </c>
      <c r="BI8">
        <f>Sommaire!BI27</f>
        <v>7121.31</v>
      </c>
      <c r="BJ8">
        <f>Sommaire!BJ27</f>
        <v>7121.31</v>
      </c>
      <c r="BK8">
        <f>Sommaire!BK27</f>
        <v>7121.31</v>
      </c>
      <c r="BL8">
        <f>Sommaire!BL27</f>
        <v>7121.31</v>
      </c>
      <c r="BM8">
        <f>Sommaire!BM27</f>
        <v>7121.31</v>
      </c>
      <c r="BN8">
        <f>Sommaire!BN27</f>
        <v>7121.31</v>
      </c>
      <c r="BO8">
        <f>Sommaire!BO27</f>
        <v>7121.31</v>
      </c>
      <c r="BP8">
        <f>Sommaire!BP27</f>
        <v>7121.31</v>
      </c>
      <c r="BQ8">
        <f>Sommaire!BQ27</f>
        <v>7121.31</v>
      </c>
      <c r="BR8">
        <f>Sommaire!BR27</f>
        <v>7121.31</v>
      </c>
      <c r="BS8">
        <f>Sommaire!BS27</f>
        <v>7121.31</v>
      </c>
      <c r="BT8">
        <f>Sommaire!BT27</f>
        <v>7121.31</v>
      </c>
    </row>
    <row r="9" spans="1:72" x14ac:dyDescent="0.25">
      <c r="B9" t="s">
        <v>334</v>
      </c>
      <c r="AT9">
        <f>Sommaire!AT33</f>
        <v>8505.1212100840312</v>
      </c>
      <c r="AU9">
        <f>Sommaire!AU33</f>
        <v>8505.1212100840312</v>
      </c>
      <c r="AV9">
        <f>Sommaire!AV33</f>
        <v>8505.1212100840312</v>
      </c>
      <c r="AW9">
        <f>Sommaire!AW33</f>
        <v>8505.1212100840312</v>
      </c>
      <c r="AX9">
        <f>Sommaire!AX33</f>
        <v>8505.1212100840312</v>
      </c>
      <c r="AY9">
        <f>Sommaire!AY33</f>
        <v>8505.1212100840312</v>
      </c>
      <c r="AZ9">
        <f>Sommaire!AZ33</f>
        <v>8505.1212100840312</v>
      </c>
      <c r="BA9">
        <f>Sommaire!BA33</f>
        <v>8505.1212100840312</v>
      </c>
      <c r="BB9">
        <f>Sommaire!BB33</f>
        <v>8505.1212100840312</v>
      </c>
      <c r="BC9">
        <f>Sommaire!BC33</f>
        <v>8505.1212100840312</v>
      </c>
      <c r="BD9">
        <f>Sommaire!BD33</f>
        <v>8505.1212100840312</v>
      </c>
      <c r="BE9">
        <f>Sommaire!BE33</f>
        <v>8505.1212100840312</v>
      </c>
      <c r="BF9">
        <f>Sommaire!BF33</f>
        <v>8505.1212100840312</v>
      </c>
      <c r="BG9">
        <f>Sommaire!BG33</f>
        <v>8505.1212100840312</v>
      </c>
      <c r="BH9">
        <f>Sommaire!BH33</f>
        <v>8505.1212100840312</v>
      </c>
      <c r="BI9">
        <f>Sommaire!BI33</f>
        <v>8505.1212100840312</v>
      </c>
      <c r="BJ9">
        <f>Sommaire!BJ33</f>
        <v>8505.1212100840312</v>
      </c>
      <c r="BK9">
        <f>Sommaire!BK33</f>
        <v>8505.1212100840312</v>
      </c>
      <c r="BL9">
        <f>Sommaire!BL33</f>
        <v>8505.1212100840312</v>
      </c>
      <c r="BM9">
        <f>Sommaire!BM33</f>
        <v>8505.1212100840312</v>
      </c>
      <c r="BN9">
        <f>Sommaire!BN33</f>
        <v>8505.1212100840312</v>
      </c>
      <c r="BO9">
        <f>Sommaire!BO33</f>
        <v>8505.1212100840312</v>
      </c>
      <c r="BP9">
        <f>Sommaire!BP33</f>
        <v>8505.1212100840312</v>
      </c>
      <c r="BQ9">
        <f>Sommaire!BQ33</f>
        <v>8505.1212100840312</v>
      </c>
      <c r="BR9">
        <f>Sommaire!BR33</f>
        <v>8505.1212100840312</v>
      </c>
      <c r="BS9">
        <f>Sommaire!BS33</f>
        <v>8505.1212100840312</v>
      </c>
      <c r="BT9">
        <f>Sommaire!BT33</f>
        <v>8505.1212100840312</v>
      </c>
    </row>
    <row r="10" spans="1:72" x14ac:dyDescent="0.25">
      <c r="C10" s="38"/>
    </row>
    <row r="11" spans="1:72" x14ac:dyDescent="0.25">
      <c r="A11" t="s">
        <v>12</v>
      </c>
    </row>
    <row r="12" spans="1:72" x14ac:dyDescent="0.25">
      <c r="B12" t="s">
        <v>335</v>
      </c>
      <c r="C12">
        <v>451.74</v>
      </c>
      <c r="D12">
        <v>451.74</v>
      </c>
      <c r="E12">
        <v>451.74</v>
      </c>
      <c r="F12">
        <v>1150</v>
      </c>
      <c r="G12">
        <v>1150</v>
      </c>
      <c r="H12">
        <v>1150</v>
      </c>
      <c r="I12">
        <v>1150</v>
      </c>
      <c r="J12">
        <v>1150</v>
      </c>
      <c r="K12">
        <v>1150</v>
      </c>
      <c r="L12">
        <v>1150</v>
      </c>
      <c r="M12">
        <v>1150</v>
      </c>
      <c r="N12">
        <v>1150</v>
      </c>
      <c r="O12">
        <v>1150</v>
      </c>
      <c r="P12">
        <v>1150</v>
      </c>
      <c r="Q12">
        <v>1150</v>
      </c>
      <c r="R12">
        <v>1150</v>
      </c>
      <c r="S12">
        <v>1150</v>
      </c>
      <c r="T12">
        <v>1150</v>
      </c>
      <c r="U12">
        <v>1150</v>
      </c>
      <c r="V12">
        <v>1150</v>
      </c>
      <c r="W12">
        <v>1150</v>
      </c>
      <c r="X12">
        <v>1150</v>
      </c>
      <c r="Y12">
        <v>1150</v>
      </c>
      <c r="Z12">
        <v>1150</v>
      </c>
      <c r="AA12">
        <v>1150</v>
      </c>
      <c r="AB12">
        <v>1150</v>
      </c>
      <c r="AC12">
        <v>1150</v>
      </c>
      <c r="AD12">
        <v>1150</v>
      </c>
      <c r="AE12">
        <v>1150</v>
      </c>
      <c r="AF12">
        <v>1150</v>
      </c>
      <c r="AG12">
        <v>1150</v>
      </c>
      <c r="AH12">
        <v>1150</v>
      </c>
      <c r="AI12">
        <v>1150</v>
      </c>
      <c r="AJ12">
        <v>1150</v>
      </c>
      <c r="AK12">
        <v>1150</v>
      </c>
      <c r="AL12">
        <v>1150</v>
      </c>
      <c r="AM12">
        <v>1150</v>
      </c>
      <c r="AN12">
        <v>1150</v>
      </c>
      <c r="AO12">
        <v>1150</v>
      </c>
      <c r="AP12">
        <v>1150</v>
      </c>
      <c r="AQ12">
        <v>1150</v>
      </c>
      <c r="AR12">
        <v>1150</v>
      </c>
    </row>
    <row r="13" spans="1:72" x14ac:dyDescent="0.25">
      <c r="B13" t="s">
        <v>303</v>
      </c>
      <c r="F13">
        <v>1961</v>
      </c>
      <c r="G13" s="38">
        <f>G4</f>
        <v>2110.3176000000003</v>
      </c>
      <c r="H13" s="38">
        <f t="shared" ref="H13:AR13" si="0">H4</f>
        <v>2304.5172000000002</v>
      </c>
      <c r="I13" s="38">
        <f t="shared" si="0"/>
        <v>2472.9687000000004</v>
      </c>
      <c r="J13" s="38">
        <f t="shared" si="0"/>
        <v>2671.7799000000005</v>
      </c>
      <c r="K13" s="38">
        <f t="shared" si="0"/>
        <v>2854.3224</v>
      </c>
      <c r="L13" s="38">
        <f t="shared" si="0"/>
        <v>3076.5759000000003</v>
      </c>
      <c r="M13" s="38">
        <f t="shared" si="0"/>
        <v>3284.7384000000002</v>
      </c>
      <c r="N13" s="38">
        <f t="shared" si="0"/>
        <v>3506.9919</v>
      </c>
      <c r="O13" s="38">
        <f t="shared" si="0"/>
        <v>3731.5512000000003</v>
      </c>
      <c r="P13" s="38">
        <f t="shared" si="0"/>
        <v>3970.2015000000001</v>
      </c>
      <c r="Q13" s="38">
        <f t="shared" si="0"/>
        <v>4222.9428000000007</v>
      </c>
      <c r="R13" s="38">
        <f t="shared" si="0"/>
        <v>4222.9428000000007</v>
      </c>
      <c r="S13" s="38">
        <f t="shared" si="0"/>
        <v>4222.9428000000007</v>
      </c>
      <c r="T13" s="38">
        <f t="shared" si="0"/>
        <v>4222.9428000000007</v>
      </c>
      <c r="U13" s="38">
        <f t="shared" si="0"/>
        <v>4222.9428000000007</v>
      </c>
      <c r="V13" s="38">
        <f t="shared" si="0"/>
        <v>4222.9428000000007</v>
      </c>
      <c r="W13" s="38">
        <f t="shared" si="0"/>
        <v>4222.9428000000007</v>
      </c>
      <c r="X13" s="38">
        <f t="shared" si="0"/>
        <v>4222.9428000000007</v>
      </c>
      <c r="Y13" s="38">
        <f t="shared" si="0"/>
        <v>4222.9428000000007</v>
      </c>
      <c r="Z13" s="38">
        <f t="shared" si="0"/>
        <v>4222.9428000000007</v>
      </c>
      <c r="AA13" s="38">
        <f t="shared" si="0"/>
        <v>4222.9428000000007</v>
      </c>
      <c r="AB13" s="38">
        <f t="shared" si="0"/>
        <v>4222.9428000000007</v>
      </c>
      <c r="AC13" s="38">
        <f t="shared" si="0"/>
        <v>4222.9428000000007</v>
      </c>
      <c r="AD13" s="38">
        <f t="shared" si="0"/>
        <v>4222.9428000000007</v>
      </c>
      <c r="AE13" s="38">
        <f t="shared" si="0"/>
        <v>4222.9428000000007</v>
      </c>
      <c r="AF13" s="38">
        <f t="shared" si="0"/>
        <v>4222.9428000000007</v>
      </c>
      <c r="AG13" s="38">
        <f t="shared" si="0"/>
        <v>4222.9428000000007</v>
      </c>
      <c r="AH13" s="38">
        <f t="shared" si="0"/>
        <v>4222.9428000000007</v>
      </c>
      <c r="AI13" s="38">
        <f t="shared" si="0"/>
        <v>4222.9428000000007</v>
      </c>
      <c r="AJ13" s="38">
        <f t="shared" si="0"/>
        <v>4222.9428000000007</v>
      </c>
      <c r="AK13" s="38">
        <f t="shared" si="0"/>
        <v>4222.9428000000007</v>
      </c>
      <c r="AL13" s="38">
        <f t="shared" si="0"/>
        <v>4222.9428000000007</v>
      </c>
      <c r="AM13" s="38">
        <f t="shared" si="0"/>
        <v>4222.9428000000007</v>
      </c>
      <c r="AN13" s="38">
        <f t="shared" si="0"/>
        <v>4222.9428000000007</v>
      </c>
      <c r="AO13" s="38">
        <f t="shared" si="0"/>
        <v>4222.9428000000007</v>
      </c>
      <c r="AP13" s="38">
        <f t="shared" si="0"/>
        <v>4222.9428000000007</v>
      </c>
      <c r="AQ13" s="38">
        <f t="shared" si="0"/>
        <v>4222.9428000000007</v>
      </c>
      <c r="AR13" s="38">
        <f t="shared" si="0"/>
        <v>4222.9428000000007</v>
      </c>
    </row>
    <row r="14" spans="1:72" ht="14.25" customHeight="1" x14ac:dyDescent="0.25">
      <c r="B14" t="s">
        <v>336</v>
      </c>
      <c r="C14">
        <v>2251.8000000000002</v>
      </c>
      <c r="D14">
        <v>2251.8000000000002</v>
      </c>
      <c r="E14">
        <v>2251.8000000000002</v>
      </c>
      <c r="F14">
        <v>2251.8000000000002</v>
      </c>
      <c r="G14">
        <v>2251.8000000000002</v>
      </c>
      <c r="H14">
        <v>2251.8000000000002</v>
      </c>
      <c r="I14">
        <v>2251.8000000000002</v>
      </c>
      <c r="J14">
        <v>2251.8000000000002</v>
      </c>
      <c r="K14">
        <v>2251.8000000000002</v>
      </c>
      <c r="L14">
        <v>2251.8000000000002</v>
      </c>
      <c r="M14">
        <v>2251.8000000000002</v>
      </c>
      <c r="N14">
        <v>2251.8000000000002</v>
      </c>
      <c r="O14">
        <v>2251.8000000000002</v>
      </c>
      <c r="P14">
        <v>2251.8000000000002</v>
      </c>
      <c r="Q14">
        <v>2251.8000000000002</v>
      </c>
      <c r="R14">
        <v>2251.8000000000002</v>
      </c>
      <c r="S14">
        <v>2251.8000000000002</v>
      </c>
      <c r="T14">
        <v>2251.8000000000002</v>
      </c>
      <c r="U14">
        <v>2251.8000000000002</v>
      </c>
      <c r="V14">
        <v>2251.8000000000002</v>
      </c>
      <c r="W14">
        <v>2251.8000000000002</v>
      </c>
      <c r="X14">
        <v>2251.8000000000002</v>
      </c>
      <c r="Y14">
        <v>2251.8000000000002</v>
      </c>
      <c r="Z14">
        <v>2251.8000000000002</v>
      </c>
      <c r="AA14">
        <v>2251.8000000000002</v>
      </c>
      <c r="AB14">
        <v>2251.8000000000002</v>
      </c>
      <c r="AC14">
        <v>2251.8000000000002</v>
      </c>
      <c r="AD14">
        <v>2251.8000000000002</v>
      </c>
      <c r="AE14">
        <v>2251.8000000000002</v>
      </c>
      <c r="AF14">
        <v>2251.8000000000002</v>
      </c>
      <c r="AG14">
        <v>2251.8000000000002</v>
      </c>
      <c r="AH14">
        <v>2251.8000000000002</v>
      </c>
      <c r="AI14">
        <v>2251.8000000000002</v>
      </c>
      <c r="AJ14">
        <v>2251.8000000000002</v>
      </c>
      <c r="AK14">
        <v>2251.8000000000002</v>
      </c>
      <c r="AL14">
        <v>2251.8000000000002</v>
      </c>
      <c r="AM14">
        <v>2251.8000000000002</v>
      </c>
      <c r="AN14">
        <v>2251.8000000000002</v>
      </c>
      <c r="AO14">
        <v>2251.8000000000002</v>
      </c>
      <c r="AP14">
        <v>2251.8000000000002</v>
      </c>
      <c r="AQ14">
        <v>2251.8000000000002</v>
      </c>
      <c r="AR14">
        <v>2251.8000000000002</v>
      </c>
      <c r="AS14">
        <v>2251.8000000000002</v>
      </c>
      <c r="AT14">
        <v>2251.8000000000002</v>
      </c>
      <c r="AU14">
        <v>2251.8000000000002</v>
      </c>
      <c r="AV14">
        <v>2251.8000000000002</v>
      </c>
      <c r="AW14">
        <v>2251.8000000000002</v>
      </c>
      <c r="AX14">
        <v>2251.8000000000002</v>
      </c>
      <c r="AY14">
        <v>2251.8000000000002</v>
      </c>
      <c r="AZ14">
        <v>2251.8000000000002</v>
      </c>
      <c r="BA14">
        <v>2251.8000000000002</v>
      </c>
      <c r="BB14">
        <v>2251.8000000000002</v>
      </c>
      <c r="BC14">
        <v>2251.8000000000002</v>
      </c>
      <c r="BD14">
        <v>2251.8000000000002</v>
      </c>
      <c r="BE14">
        <v>2251.8000000000002</v>
      </c>
      <c r="BF14">
        <v>2251.8000000000002</v>
      </c>
      <c r="BG14">
        <v>2251.8000000000002</v>
      </c>
      <c r="BH14">
        <v>2251.8000000000002</v>
      </c>
      <c r="BI14">
        <v>2251.8000000000002</v>
      </c>
      <c r="BJ14">
        <v>2251.8000000000002</v>
      </c>
      <c r="BK14">
        <v>2251.8000000000002</v>
      </c>
      <c r="BL14">
        <v>2251.8000000000002</v>
      </c>
      <c r="BM14">
        <v>2251.8000000000002</v>
      </c>
      <c r="BN14">
        <v>2251.8000000000002</v>
      </c>
      <c r="BO14">
        <v>2251.8000000000002</v>
      </c>
      <c r="BP14">
        <v>2251.8000000000002</v>
      </c>
      <c r="BQ14">
        <v>2251.8000000000002</v>
      </c>
      <c r="BR14">
        <v>2251.8000000000002</v>
      </c>
      <c r="BS14">
        <v>2251.8000000000002</v>
      </c>
      <c r="BT14">
        <v>2251.8000000000002</v>
      </c>
    </row>
    <row r="15" spans="1:72" s="35" customFormat="1" x14ac:dyDescent="0.25">
      <c r="B15" s="263" t="s">
        <v>337</v>
      </c>
      <c r="F15" s="263">
        <f>1721*0.15</f>
        <v>258.14999999999998</v>
      </c>
      <c r="G15" s="263">
        <f>1721*0.15</f>
        <v>258.14999999999998</v>
      </c>
      <c r="H15" s="263">
        <f>1626.87*0.15</f>
        <v>244.03049999999996</v>
      </c>
      <c r="I15" s="263">
        <f>1411.81*0.15</f>
        <v>211.77149999999997</v>
      </c>
      <c r="J15" s="263">
        <f>1158.12*0.15</f>
        <v>173.71799999999999</v>
      </c>
      <c r="K15" s="263">
        <f>925.06*0.15</f>
        <v>138.75899999999999</v>
      </c>
      <c r="L15" s="263">
        <f>641.56*0.15</f>
        <v>96.233999999999995</v>
      </c>
      <c r="M15" s="263">
        <f>375.87*0.15</f>
        <v>56.380499999999998</v>
      </c>
      <c r="N15" s="263">
        <f>92.19*0.15</f>
        <v>13.8285</v>
      </c>
      <c r="AS15" s="35">
        <f>3160.81*0.15</f>
        <v>474.12149999999997</v>
      </c>
      <c r="AT15" s="35">
        <f>1566.08*0.15</f>
        <v>234.91199999999998</v>
      </c>
      <c r="AU15" s="35">
        <f t="shared" ref="AU15:AW15" si="1">1566.08*0.15</f>
        <v>234.91199999999998</v>
      </c>
      <c r="AV15" s="35">
        <f t="shared" si="1"/>
        <v>234.91199999999998</v>
      </c>
      <c r="AW15" s="35">
        <f t="shared" si="1"/>
        <v>234.91199999999998</v>
      </c>
      <c r="AX15" s="35">
        <f>5821.82*0.15</f>
        <v>873.27299999999991</v>
      </c>
      <c r="AY15" s="35">
        <f t="shared" ref="AY15:BT15" si="2">5821.82*0.15</f>
        <v>873.27299999999991</v>
      </c>
      <c r="AZ15" s="35">
        <f t="shared" si="2"/>
        <v>873.27299999999991</v>
      </c>
      <c r="BA15" s="35">
        <f t="shared" si="2"/>
        <v>873.27299999999991</v>
      </c>
      <c r="BB15" s="35">
        <f t="shared" si="2"/>
        <v>873.27299999999991</v>
      </c>
      <c r="BC15" s="35">
        <f t="shared" si="2"/>
        <v>873.27299999999991</v>
      </c>
      <c r="BD15" s="35">
        <f t="shared" si="2"/>
        <v>873.27299999999991</v>
      </c>
      <c r="BE15" s="35">
        <f t="shared" si="2"/>
        <v>873.27299999999991</v>
      </c>
      <c r="BF15" s="35">
        <f t="shared" si="2"/>
        <v>873.27299999999991</v>
      </c>
      <c r="BG15" s="35">
        <f t="shared" si="2"/>
        <v>873.27299999999991</v>
      </c>
      <c r="BH15" s="35">
        <f t="shared" si="2"/>
        <v>873.27299999999991</v>
      </c>
      <c r="BI15" s="35">
        <f t="shared" si="2"/>
        <v>873.27299999999991</v>
      </c>
      <c r="BJ15" s="35">
        <f t="shared" si="2"/>
        <v>873.27299999999991</v>
      </c>
      <c r="BK15" s="35">
        <f t="shared" si="2"/>
        <v>873.27299999999991</v>
      </c>
      <c r="BL15" s="35">
        <f t="shared" si="2"/>
        <v>873.27299999999991</v>
      </c>
      <c r="BM15" s="35">
        <f t="shared" si="2"/>
        <v>873.27299999999991</v>
      </c>
      <c r="BN15" s="35">
        <f t="shared" si="2"/>
        <v>873.27299999999991</v>
      </c>
      <c r="BO15" s="35">
        <f t="shared" si="2"/>
        <v>873.27299999999991</v>
      </c>
      <c r="BP15" s="35">
        <f t="shared" si="2"/>
        <v>873.27299999999991</v>
      </c>
      <c r="BQ15" s="35">
        <f t="shared" si="2"/>
        <v>873.27299999999991</v>
      </c>
      <c r="BR15" s="35">
        <f t="shared" si="2"/>
        <v>873.27299999999991</v>
      </c>
      <c r="BS15" s="35">
        <f t="shared" si="2"/>
        <v>873.27299999999991</v>
      </c>
      <c r="BT15" s="35">
        <f t="shared" si="2"/>
        <v>873.27299999999991</v>
      </c>
    </row>
    <row r="16" spans="1:72" x14ac:dyDescent="0.25">
      <c r="B16" t="s">
        <v>338</v>
      </c>
      <c r="F16">
        <f>F5*0.1</f>
        <v>45.892600000000002</v>
      </c>
      <c r="G16">
        <f>G5*0.1</f>
        <v>47.412300000000002</v>
      </c>
      <c r="H16">
        <f t="shared" ref="H16:AR16" si="3">H5*0.1</f>
        <v>49.383099999999999</v>
      </c>
      <c r="I16">
        <f t="shared" si="3"/>
        <v>51.092600000000004</v>
      </c>
      <c r="J16">
        <f t="shared" si="3"/>
        <v>53.110199999999999</v>
      </c>
      <c r="K16">
        <f t="shared" si="3"/>
        <v>54.962699999999998</v>
      </c>
      <c r="L16">
        <f t="shared" si="3"/>
        <v>57.218200000000003</v>
      </c>
      <c r="M16">
        <f t="shared" si="3"/>
        <v>59.330700000000007</v>
      </c>
      <c r="N16">
        <f t="shared" si="3"/>
        <v>61.586199999999998</v>
      </c>
      <c r="O16">
        <f t="shared" si="3"/>
        <v>63.865099999999998</v>
      </c>
      <c r="P16">
        <f t="shared" si="3"/>
        <v>66.287000000000006</v>
      </c>
      <c r="Q16">
        <f t="shared" si="3"/>
        <v>68.851900000000001</v>
      </c>
      <c r="R16">
        <f t="shared" si="3"/>
        <v>68.851900000000001</v>
      </c>
      <c r="S16">
        <f t="shared" si="3"/>
        <v>68.851900000000001</v>
      </c>
      <c r="T16">
        <f t="shared" si="3"/>
        <v>68.851900000000001</v>
      </c>
      <c r="U16">
        <f t="shared" si="3"/>
        <v>68.851900000000001</v>
      </c>
      <c r="V16">
        <f t="shared" si="3"/>
        <v>68.851900000000001</v>
      </c>
      <c r="W16">
        <f t="shared" si="3"/>
        <v>68.851900000000001</v>
      </c>
      <c r="X16">
        <f t="shared" si="3"/>
        <v>68.851900000000001</v>
      </c>
      <c r="Y16">
        <f t="shared" si="3"/>
        <v>68.851900000000001</v>
      </c>
      <c r="Z16">
        <f t="shared" si="3"/>
        <v>68.851900000000001</v>
      </c>
      <c r="AA16">
        <f t="shared" si="3"/>
        <v>68.851900000000001</v>
      </c>
      <c r="AB16">
        <f t="shared" si="3"/>
        <v>68.851900000000001</v>
      </c>
      <c r="AC16">
        <f t="shared" si="3"/>
        <v>68.851900000000001</v>
      </c>
      <c r="AD16">
        <f t="shared" si="3"/>
        <v>68.851900000000001</v>
      </c>
      <c r="AE16">
        <f t="shared" si="3"/>
        <v>68.851900000000001</v>
      </c>
      <c r="AF16">
        <f t="shared" si="3"/>
        <v>68.851900000000001</v>
      </c>
      <c r="AG16">
        <f t="shared" si="3"/>
        <v>68.851900000000001</v>
      </c>
      <c r="AH16">
        <f t="shared" si="3"/>
        <v>68.851900000000001</v>
      </c>
      <c r="AI16">
        <f t="shared" si="3"/>
        <v>68.851900000000001</v>
      </c>
      <c r="AJ16">
        <f t="shared" si="3"/>
        <v>68.851900000000001</v>
      </c>
      <c r="AK16">
        <f t="shared" si="3"/>
        <v>68.851900000000001</v>
      </c>
      <c r="AL16">
        <f t="shared" si="3"/>
        <v>68.851900000000001</v>
      </c>
      <c r="AM16">
        <f t="shared" si="3"/>
        <v>68.851900000000001</v>
      </c>
      <c r="AN16">
        <f t="shared" si="3"/>
        <v>68.851900000000001</v>
      </c>
      <c r="AO16">
        <f t="shared" si="3"/>
        <v>68.851900000000001</v>
      </c>
      <c r="AP16">
        <f t="shared" si="3"/>
        <v>68.851900000000001</v>
      </c>
      <c r="AQ16">
        <f t="shared" si="3"/>
        <v>68.851900000000001</v>
      </c>
      <c r="AR16">
        <f t="shared" si="3"/>
        <v>68.851900000000001</v>
      </c>
    </row>
    <row r="17" spans="1:72" x14ac:dyDescent="0.25">
      <c r="B17" t="s">
        <v>339</v>
      </c>
      <c r="F17">
        <v>4828.6499999999996</v>
      </c>
      <c r="G17">
        <v>4981.6499999999996</v>
      </c>
      <c r="H17">
        <v>5179.8</v>
      </c>
      <c r="I17">
        <v>5351.85</v>
      </c>
      <c r="J17">
        <v>5554.8</v>
      </c>
      <c r="K17">
        <v>5741.25</v>
      </c>
      <c r="L17">
        <v>5968.05</v>
      </c>
      <c r="M17">
        <v>6180.6</v>
      </c>
      <c r="N17">
        <v>6407.55</v>
      </c>
      <c r="O17">
        <v>6696.25</v>
      </c>
      <c r="P17">
        <v>7021.25</v>
      </c>
      <c r="Q17">
        <v>7365.25</v>
      </c>
      <c r="R17">
        <v>7365.25</v>
      </c>
      <c r="S17">
        <v>7365.25</v>
      </c>
      <c r="T17">
        <v>7365.25</v>
      </c>
      <c r="U17">
        <v>7365.25</v>
      </c>
      <c r="V17">
        <v>7365.25</v>
      </c>
      <c r="W17">
        <v>7365.25</v>
      </c>
      <c r="X17">
        <v>7365.25</v>
      </c>
      <c r="Y17">
        <v>7365.25</v>
      </c>
      <c r="Z17">
        <v>7365.25</v>
      </c>
      <c r="AA17">
        <v>7365.25</v>
      </c>
      <c r="AB17">
        <v>7365.25</v>
      </c>
      <c r="AC17">
        <v>7365.25</v>
      </c>
      <c r="AD17">
        <v>7365.25</v>
      </c>
      <c r="AE17">
        <v>7365.25</v>
      </c>
      <c r="AF17">
        <v>7365.25</v>
      </c>
      <c r="AG17">
        <v>7365.25</v>
      </c>
      <c r="AH17">
        <v>7365.25</v>
      </c>
      <c r="AI17">
        <v>7365.25</v>
      </c>
      <c r="AJ17">
        <v>7365.25</v>
      </c>
      <c r="AK17">
        <v>7365.25</v>
      </c>
      <c r="AL17">
        <v>7365.25</v>
      </c>
      <c r="AM17">
        <v>7365.25</v>
      </c>
      <c r="AN17">
        <v>7365.25</v>
      </c>
      <c r="AO17">
        <v>7365.25</v>
      </c>
      <c r="AP17">
        <v>7365.25</v>
      </c>
      <c r="AQ17">
        <v>7365.25</v>
      </c>
      <c r="AR17">
        <v>7365.25</v>
      </c>
      <c r="AS17">
        <v>6196.65</v>
      </c>
      <c r="AT17">
        <v>7810.5</v>
      </c>
      <c r="AU17">
        <v>7810.5</v>
      </c>
      <c r="AV17">
        <v>7810.5</v>
      </c>
      <c r="AW17">
        <v>7810.5</v>
      </c>
      <c r="AX17">
        <v>6639.58</v>
      </c>
      <c r="AY17">
        <v>6639.58</v>
      </c>
      <c r="AZ17">
        <v>6639.58</v>
      </c>
      <c r="BA17">
        <v>6639.58</v>
      </c>
      <c r="BB17">
        <v>6639.58</v>
      </c>
      <c r="BC17">
        <v>6639.58</v>
      </c>
      <c r="BD17">
        <v>6639.58</v>
      </c>
      <c r="BE17">
        <v>6639.58</v>
      </c>
      <c r="BF17">
        <v>6639.58</v>
      </c>
      <c r="BG17">
        <v>6639.58</v>
      </c>
      <c r="BH17">
        <v>6639.58</v>
      </c>
      <c r="BI17">
        <v>6639.58</v>
      </c>
      <c r="BJ17">
        <v>6639.58</v>
      </c>
      <c r="BK17">
        <v>6639.58</v>
      </c>
      <c r="BL17">
        <v>6639.58</v>
      </c>
      <c r="BM17">
        <v>6639.58</v>
      </c>
      <c r="BN17">
        <v>6639.58</v>
      </c>
      <c r="BO17">
        <v>6639.58</v>
      </c>
      <c r="BP17">
        <v>6639.58</v>
      </c>
      <c r="BQ17">
        <v>6639.58</v>
      </c>
      <c r="BR17">
        <v>6639.58</v>
      </c>
      <c r="BS17">
        <v>6639.58</v>
      </c>
      <c r="BT17">
        <v>6639.58</v>
      </c>
    </row>
    <row r="18" spans="1:72" x14ac:dyDescent="0.25">
      <c r="B18" t="s">
        <v>340</v>
      </c>
      <c r="C18">
        <v>0</v>
      </c>
      <c r="D18">
        <v>0</v>
      </c>
      <c r="E18">
        <v>0</v>
      </c>
      <c r="F18">
        <f t="shared" ref="F18:AS18" si="4">F17-(F14+F15+F16)</f>
        <v>2272.8073999999992</v>
      </c>
      <c r="G18">
        <f t="shared" si="4"/>
        <v>2424.2876999999994</v>
      </c>
      <c r="H18">
        <f t="shared" si="4"/>
        <v>2634.5864000000001</v>
      </c>
      <c r="I18">
        <f t="shared" si="4"/>
        <v>2837.1859000000004</v>
      </c>
      <c r="J18">
        <f t="shared" si="4"/>
        <v>3076.1718000000001</v>
      </c>
      <c r="K18">
        <f t="shared" si="4"/>
        <v>3295.7282999999998</v>
      </c>
      <c r="L18">
        <f t="shared" si="4"/>
        <v>3562.7978000000003</v>
      </c>
      <c r="M18">
        <f t="shared" si="4"/>
        <v>3813.0888</v>
      </c>
      <c r="N18">
        <f t="shared" si="4"/>
        <v>4080.3352999999997</v>
      </c>
      <c r="O18">
        <f t="shared" si="4"/>
        <v>4380.5848999999998</v>
      </c>
      <c r="P18">
        <f t="shared" si="4"/>
        <v>4703.1630000000005</v>
      </c>
      <c r="Q18">
        <f t="shared" si="4"/>
        <v>5044.5980999999992</v>
      </c>
      <c r="R18">
        <f t="shared" si="4"/>
        <v>5044.5980999999992</v>
      </c>
      <c r="S18">
        <f t="shared" si="4"/>
        <v>5044.5980999999992</v>
      </c>
      <c r="T18">
        <f t="shared" si="4"/>
        <v>5044.5980999999992</v>
      </c>
      <c r="U18">
        <f t="shared" si="4"/>
        <v>5044.5980999999992</v>
      </c>
      <c r="V18">
        <f t="shared" si="4"/>
        <v>5044.5980999999992</v>
      </c>
      <c r="W18">
        <f t="shared" si="4"/>
        <v>5044.5980999999992</v>
      </c>
      <c r="X18">
        <f t="shared" si="4"/>
        <v>5044.5980999999992</v>
      </c>
      <c r="Y18">
        <f t="shared" si="4"/>
        <v>5044.5980999999992</v>
      </c>
      <c r="Z18">
        <f t="shared" si="4"/>
        <v>5044.5980999999992</v>
      </c>
      <c r="AA18">
        <f t="shared" si="4"/>
        <v>5044.5980999999992</v>
      </c>
      <c r="AB18">
        <f t="shared" si="4"/>
        <v>5044.5980999999992</v>
      </c>
      <c r="AC18">
        <f t="shared" si="4"/>
        <v>5044.5980999999992</v>
      </c>
      <c r="AD18">
        <f t="shared" si="4"/>
        <v>5044.5980999999992</v>
      </c>
      <c r="AE18">
        <f t="shared" si="4"/>
        <v>5044.5980999999992</v>
      </c>
      <c r="AF18">
        <f t="shared" si="4"/>
        <v>5044.5980999999992</v>
      </c>
      <c r="AG18">
        <f t="shared" si="4"/>
        <v>5044.5980999999992</v>
      </c>
      <c r="AH18">
        <f t="shared" si="4"/>
        <v>5044.5980999999992</v>
      </c>
      <c r="AI18">
        <f t="shared" si="4"/>
        <v>5044.5980999999992</v>
      </c>
      <c r="AJ18">
        <f t="shared" si="4"/>
        <v>5044.5980999999992</v>
      </c>
      <c r="AK18">
        <f t="shared" si="4"/>
        <v>5044.5980999999992</v>
      </c>
      <c r="AL18">
        <f t="shared" si="4"/>
        <v>5044.5980999999992</v>
      </c>
      <c r="AM18">
        <f t="shared" si="4"/>
        <v>5044.5980999999992</v>
      </c>
      <c r="AN18">
        <f t="shared" si="4"/>
        <v>5044.5980999999992</v>
      </c>
      <c r="AO18">
        <f t="shared" si="4"/>
        <v>5044.5980999999992</v>
      </c>
      <c r="AP18">
        <f t="shared" si="4"/>
        <v>5044.5980999999992</v>
      </c>
      <c r="AQ18">
        <f t="shared" si="4"/>
        <v>5044.5980999999992</v>
      </c>
      <c r="AR18">
        <f t="shared" si="4"/>
        <v>5044.5980999999992</v>
      </c>
      <c r="AS18">
        <f t="shared" si="4"/>
        <v>3470.7284999999993</v>
      </c>
      <c r="AT18">
        <f t="shared" ref="AT18:AX18" si="5">AT17-(AT14+AT15+AT16)</f>
        <v>5323.7880000000005</v>
      </c>
      <c r="AU18">
        <f t="shared" ref="AU18:AW18" si="6">AU17-(AU14+AU15+AU16)</f>
        <v>5323.7880000000005</v>
      </c>
      <c r="AV18">
        <f t="shared" si="6"/>
        <v>5323.7880000000005</v>
      </c>
      <c r="AW18">
        <f t="shared" si="6"/>
        <v>5323.7880000000005</v>
      </c>
      <c r="AX18">
        <f t="shared" si="5"/>
        <v>3514.5069999999996</v>
      </c>
      <c r="AY18">
        <f t="shared" ref="AY18:BT18" si="7">AY17-(AY14+AY15+AY16)</f>
        <v>3514.5069999999996</v>
      </c>
      <c r="AZ18">
        <f t="shared" si="7"/>
        <v>3514.5069999999996</v>
      </c>
      <c r="BA18">
        <f t="shared" si="7"/>
        <v>3514.5069999999996</v>
      </c>
      <c r="BB18">
        <f t="shared" si="7"/>
        <v>3514.5069999999996</v>
      </c>
      <c r="BC18">
        <f t="shared" si="7"/>
        <v>3514.5069999999996</v>
      </c>
      <c r="BD18">
        <f t="shared" si="7"/>
        <v>3514.5069999999996</v>
      </c>
      <c r="BE18">
        <f t="shared" si="7"/>
        <v>3514.5069999999996</v>
      </c>
      <c r="BF18">
        <f t="shared" si="7"/>
        <v>3514.5069999999996</v>
      </c>
      <c r="BG18">
        <f t="shared" si="7"/>
        <v>3514.5069999999996</v>
      </c>
      <c r="BH18">
        <f t="shared" si="7"/>
        <v>3514.5069999999996</v>
      </c>
      <c r="BI18">
        <f t="shared" si="7"/>
        <v>3514.5069999999996</v>
      </c>
      <c r="BJ18">
        <f t="shared" si="7"/>
        <v>3514.5069999999996</v>
      </c>
      <c r="BK18">
        <f t="shared" si="7"/>
        <v>3514.5069999999996</v>
      </c>
      <c r="BL18">
        <f t="shared" si="7"/>
        <v>3514.5069999999996</v>
      </c>
      <c r="BM18">
        <f t="shared" si="7"/>
        <v>3514.5069999999996</v>
      </c>
      <c r="BN18">
        <f t="shared" si="7"/>
        <v>3514.5069999999996</v>
      </c>
      <c r="BO18">
        <f t="shared" si="7"/>
        <v>3514.5069999999996</v>
      </c>
      <c r="BP18">
        <f t="shared" si="7"/>
        <v>3514.5069999999996</v>
      </c>
      <c r="BQ18">
        <f t="shared" si="7"/>
        <v>3514.5069999999996</v>
      </c>
      <c r="BR18">
        <f t="shared" si="7"/>
        <v>3514.5069999999996</v>
      </c>
      <c r="BS18">
        <f t="shared" si="7"/>
        <v>3514.5069999999996</v>
      </c>
      <c r="BT18">
        <f t="shared" si="7"/>
        <v>3514.5069999999996</v>
      </c>
    </row>
    <row r="19" spans="1:72" x14ac:dyDescent="0.25">
      <c r="C19" s="38"/>
    </row>
    <row r="20" spans="1:72" x14ac:dyDescent="0.25">
      <c r="A20" t="s">
        <v>13</v>
      </c>
    </row>
    <row r="21" spans="1:72" x14ac:dyDescent="0.25">
      <c r="B21" t="s">
        <v>341</v>
      </c>
      <c r="F21" s="38">
        <f>F4</f>
        <v>1960.5686999999998</v>
      </c>
      <c r="G21" s="38">
        <f t="shared" ref="G21:AR21" si="8">G4</f>
        <v>2110.3176000000003</v>
      </c>
      <c r="H21" s="38">
        <f t="shared" si="8"/>
        <v>2304.5172000000002</v>
      </c>
      <c r="I21" s="38">
        <f t="shared" si="8"/>
        <v>2472.9687000000004</v>
      </c>
      <c r="J21" s="38">
        <f t="shared" si="8"/>
        <v>2671.7799000000005</v>
      </c>
      <c r="K21" s="38">
        <f t="shared" si="8"/>
        <v>2854.3224</v>
      </c>
      <c r="L21" s="38">
        <f t="shared" si="8"/>
        <v>3076.5759000000003</v>
      </c>
      <c r="M21" s="38">
        <f t="shared" si="8"/>
        <v>3284.7384000000002</v>
      </c>
      <c r="N21" s="38">
        <f t="shared" si="8"/>
        <v>3506.9919</v>
      </c>
      <c r="O21" s="38">
        <f t="shared" si="8"/>
        <v>3731.5512000000003</v>
      </c>
      <c r="P21" s="38">
        <f t="shared" si="8"/>
        <v>3970.2015000000001</v>
      </c>
      <c r="Q21" s="38">
        <f t="shared" si="8"/>
        <v>4222.9428000000007</v>
      </c>
      <c r="R21" s="38">
        <f t="shared" si="8"/>
        <v>4222.9428000000007</v>
      </c>
      <c r="S21" s="38">
        <f t="shared" si="8"/>
        <v>4222.9428000000007</v>
      </c>
      <c r="T21" s="38">
        <f t="shared" si="8"/>
        <v>4222.9428000000007</v>
      </c>
      <c r="U21" s="38">
        <f t="shared" si="8"/>
        <v>4222.9428000000007</v>
      </c>
      <c r="V21" s="38">
        <f t="shared" si="8"/>
        <v>4222.9428000000007</v>
      </c>
      <c r="W21" s="38">
        <f t="shared" si="8"/>
        <v>4222.9428000000007</v>
      </c>
      <c r="X21" s="38">
        <f t="shared" si="8"/>
        <v>4222.9428000000007</v>
      </c>
      <c r="Y21" s="38">
        <f t="shared" si="8"/>
        <v>4222.9428000000007</v>
      </c>
      <c r="Z21" s="38">
        <f t="shared" si="8"/>
        <v>4222.9428000000007</v>
      </c>
      <c r="AA21" s="38">
        <f t="shared" si="8"/>
        <v>4222.9428000000007</v>
      </c>
      <c r="AB21" s="38">
        <f t="shared" si="8"/>
        <v>4222.9428000000007</v>
      </c>
      <c r="AC21" s="38">
        <f t="shared" si="8"/>
        <v>4222.9428000000007</v>
      </c>
      <c r="AD21" s="38">
        <f t="shared" si="8"/>
        <v>4222.9428000000007</v>
      </c>
      <c r="AE21" s="38">
        <f t="shared" si="8"/>
        <v>4222.9428000000007</v>
      </c>
      <c r="AF21" s="38">
        <f t="shared" si="8"/>
        <v>4222.9428000000007</v>
      </c>
      <c r="AG21" s="38">
        <f t="shared" si="8"/>
        <v>4222.9428000000007</v>
      </c>
      <c r="AH21" s="38">
        <f t="shared" si="8"/>
        <v>4222.9428000000007</v>
      </c>
      <c r="AI21" s="38">
        <f t="shared" si="8"/>
        <v>4222.9428000000007</v>
      </c>
      <c r="AJ21" s="38">
        <f t="shared" si="8"/>
        <v>4222.9428000000007</v>
      </c>
      <c r="AK21" s="38">
        <f t="shared" si="8"/>
        <v>4222.9428000000007</v>
      </c>
      <c r="AL21" s="38">
        <f t="shared" si="8"/>
        <v>4222.9428000000007</v>
      </c>
      <c r="AM21" s="38">
        <f t="shared" si="8"/>
        <v>4222.9428000000007</v>
      </c>
      <c r="AN21" s="38">
        <f t="shared" si="8"/>
        <v>4222.9428000000007</v>
      </c>
      <c r="AO21" s="38">
        <f t="shared" si="8"/>
        <v>4222.9428000000007</v>
      </c>
      <c r="AP21" s="38">
        <f t="shared" si="8"/>
        <v>4222.9428000000007</v>
      </c>
      <c r="AQ21" s="38">
        <f t="shared" si="8"/>
        <v>4222.9428000000007</v>
      </c>
      <c r="AR21" s="38">
        <f t="shared" si="8"/>
        <v>4222.9428000000007</v>
      </c>
    </row>
    <row r="22" spans="1:72" x14ac:dyDescent="0.25">
      <c r="B22" t="s">
        <v>332</v>
      </c>
      <c r="F22" s="38">
        <f>F5</f>
        <v>458.92599999999999</v>
      </c>
      <c r="G22" s="38">
        <f t="shared" ref="G22:AR22" si="9">G5</f>
        <v>474.12299999999999</v>
      </c>
      <c r="H22" s="38">
        <f t="shared" si="9"/>
        <v>493.83099999999996</v>
      </c>
      <c r="I22" s="38">
        <f t="shared" si="9"/>
        <v>510.92599999999999</v>
      </c>
      <c r="J22" s="38">
        <f t="shared" si="9"/>
        <v>531.10199999999998</v>
      </c>
      <c r="K22" s="38">
        <f t="shared" si="9"/>
        <v>549.62699999999995</v>
      </c>
      <c r="L22" s="38">
        <f t="shared" si="9"/>
        <v>572.18200000000002</v>
      </c>
      <c r="M22" s="38">
        <f t="shared" si="9"/>
        <v>593.30700000000002</v>
      </c>
      <c r="N22" s="38">
        <f t="shared" si="9"/>
        <v>615.86199999999997</v>
      </c>
      <c r="O22" s="38">
        <f t="shared" si="9"/>
        <v>638.65099999999995</v>
      </c>
      <c r="P22" s="38">
        <f t="shared" si="9"/>
        <v>662.87</v>
      </c>
      <c r="Q22" s="38">
        <f t="shared" si="9"/>
        <v>688.51900000000001</v>
      </c>
      <c r="R22" s="38">
        <f t="shared" si="9"/>
        <v>688.51900000000001</v>
      </c>
      <c r="S22" s="38">
        <f t="shared" si="9"/>
        <v>688.51900000000001</v>
      </c>
      <c r="T22" s="38">
        <f t="shared" si="9"/>
        <v>688.51900000000001</v>
      </c>
      <c r="U22" s="38">
        <f t="shared" si="9"/>
        <v>688.51900000000001</v>
      </c>
      <c r="V22" s="38">
        <f t="shared" si="9"/>
        <v>688.51900000000001</v>
      </c>
      <c r="W22" s="38">
        <f t="shared" si="9"/>
        <v>688.51900000000001</v>
      </c>
      <c r="X22" s="38">
        <f t="shared" si="9"/>
        <v>688.51900000000001</v>
      </c>
      <c r="Y22" s="38">
        <f t="shared" si="9"/>
        <v>688.51900000000001</v>
      </c>
      <c r="Z22" s="38">
        <f t="shared" si="9"/>
        <v>688.51900000000001</v>
      </c>
      <c r="AA22" s="38">
        <f t="shared" si="9"/>
        <v>688.51900000000001</v>
      </c>
      <c r="AB22" s="38">
        <f t="shared" si="9"/>
        <v>688.51900000000001</v>
      </c>
      <c r="AC22" s="38">
        <f t="shared" si="9"/>
        <v>688.51900000000001</v>
      </c>
      <c r="AD22" s="38">
        <f t="shared" si="9"/>
        <v>688.51900000000001</v>
      </c>
      <c r="AE22" s="38">
        <f t="shared" si="9"/>
        <v>688.51900000000001</v>
      </c>
      <c r="AF22" s="38">
        <f t="shared" si="9"/>
        <v>688.51900000000001</v>
      </c>
      <c r="AG22" s="38">
        <f t="shared" si="9"/>
        <v>688.51900000000001</v>
      </c>
      <c r="AH22" s="38">
        <f t="shared" si="9"/>
        <v>688.51900000000001</v>
      </c>
      <c r="AI22" s="38">
        <f t="shared" si="9"/>
        <v>688.51900000000001</v>
      </c>
      <c r="AJ22" s="38">
        <f t="shared" si="9"/>
        <v>688.51900000000001</v>
      </c>
      <c r="AK22" s="38">
        <f t="shared" si="9"/>
        <v>688.51900000000001</v>
      </c>
      <c r="AL22" s="38">
        <f t="shared" si="9"/>
        <v>688.51900000000001</v>
      </c>
      <c r="AM22" s="38">
        <f t="shared" si="9"/>
        <v>688.51900000000001</v>
      </c>
      <c r="AN22" s="38">
        <f t="shared" si="9"/>
        <v>688.51900000000001</v>
      </c>
      <c r="AO22" s="38">
        <f t="shared" si="9"/>
        <v>688.51900000000001</v>
      </c>
      <c r="AP22" s="38">
        <f t="shared" si="9"/>
        <v>688.51900000000001</v>
      </c>
      <c r="AQ22" s="38">
        <f t="shared" si="9"/>
        <v>688.51900000000001</v>
      </c>
      <c r="AR22" s="38">
        <f t="shared" si="9"/>
        <v>688.51900000000001</v>
      </c>
    </row>
    <row r="23" spans="1:72" x14ac:dyDescent="0.25">
      <c r="B23" t="s">
        <v>342</v>
      </c>
      <c r="C23">
        <f>11809*0.15</f>
        <v>1771.35</v>
      </c>
      <c r="D23">
        <f t="shared" ref="D23:AR23" si="10">11809*0.15</f>
        <v>1771.35</v>
      </c>
      <c r="E23">
        <f t="shared" si="10"/>
        <v>1771.35</v>
      </c>
      <c r="F23">
        <f t="shared" si="10"/>
        <v>1771.35</v>
      </c>
      <c r="G23">
        <f t="shared" si="10"/>
        <v>1771.35</v>
      </c>
      <c r="H23">
        <f t="shared" si="10"/>
        <v>1771.35</v>
      </c>
      <c r="I23">
        <f t="shared" si="10"/>
        <v>1771.35</v>
      </c>
      <c r="J23">
        <f t="shared" si="10"/>
        <v>1771.35</v>
      </c>
      <c r="K23">
        <f t="shared" si="10"/>
        <v>1771.35</v>
      </c>
      <c r="L23">
        <f t="shared" si="10"/>
        <v>1771.35</v>
      </c>
      <c r="M23">
        <f t="shared" si="10"/>
        <v>1771.35</v>
      </c>
      <c r="N23">
        <f t="shared" si="10"/>
        <v>1771.35</v>
      </c>
      <c r="O23">
        <f t="shared" si="10"/>
        <v>1771.35</v>
      </c>
      <c r="P23">
        <f t="shared" si="10"/>
        <v>1771.35</v>
      </c>
      <c r="Q23">
        <f t="shared" si="10"/>
        <v>1771.35</v>
      </c>
      <c r="R23">
        <f t="shared" si="10"/>
        <v>1771.35</v>
      </c>
      <c r="S23">
        <f t="shared" si="10"/>
        <v>1771.35</v>
      </c>
      <c r="T23">
        <f t="shared" si="10"/>
        <v>1771.35</v>
      </c>
      <c r="U23">
        <f t="shared" si="10"/>
        <v>1771.35</v>
      </c>
      <c r="V23">
        <f t="shared" si="10"/>
        <v>1771.35</v>
      </c>
      <c r="W23">
        <f t="shared" si="10"/>
        <v>1771.35</v>
      </c>
      <c r="X23">
        <f t="shared" si="10"/>
        <v>1771.35</v>
      </c>
      <c r="Y23">
        <f t="shared" si="10"/>
        <v>1771.35</v>
      </c>
      <c r="Z23">
        <f t="shared" si="10"/>
        <v>1771.35</v>
      </c>
      <c r="AA23">
        <f t="shared" si="10"/>
        <v>1771.35</v>
      </c>
      <c r="AB23">
        <f t="shared" si="10"/>
        <v>1771.35</v>
      </c>
      <c r="AC23">
        <f t="shared" si="10"/>
        <v>1771.35</v>
      </c>
      <c r="AD23">
        <f t="shared" si="10"/>
        <v>1771.35</v>
      </c>
      <c r="AE23">
        <f t="shared" si="10"/>
        <v>1771.35</v>
      </c>
      <c r="AF23">
        <f t="shared" si="10"/>
        <v>1771.35</v>
      </c>
      <c r="AG23">
        <f t="shared" si="10"/>
        <v>1771.35</v>
      </c>
      <c r="AH23">
        <f t="shared" si="10"/>
        <v>1771.35</v>
      </c>
      <c r="AI23">
        <f t="shared" si="10"/>
        <v>1771.35</v>
      </c>
      <c r="AJ23">
        <f t="shared" si="10"/>
        <v>1771.35</v>
      </c>
      <c r="AK23">
        <f t="shared" si="10"/>
        <v>1771.35</v>
      </c>
      <c r="AL23">
        <f t="shared" si="10"/>
        <v>1771.35</v>
      </c>
      <c r="AM23">
        <f t="shared" si="10"/>
        <v>1771.35</v>
      </c>
      <c r="AN23">
        <f t="shared" si="10"/>
        <v>1771.35</v>
      </c>
      <c r="AO23">
        <f t="shared" si="10"/>
        <v>1771.35</v>
      </c>
      <c r="AP23">
        <f t="shared" si="10"/>
        <v>1771.35</v>
      </c>
      <c r="AQ23">
        <f t="shared" si="10"/>
        <v>1771.35</v>
      </c>
      <c r="AR23">
        <f t="shared" si="10"/>
        <v>1771.35</v>
      </c>
      <c r="AS23">
        <f>(11809+2000)*0.15</f>
        <v>2071.35</v>
      </c>
      <c r="AT23">
        <f t="shared" ref="AT23:AW23" si="11">(11809+2000)*0.15</f>
        <v>2071.35</v>
      </c>
      <c r="AU23">
        <f t="shared" si="11"/>
        <v>2071.35</v>
      </c>
      <c r="AV23">
        <f t="shared" si="11"/>
        <v>2071.35</v>
      </c>
      <c r="AW23">
        <f t="shared" si="11"/>
        <v>2071.35</v>
      </c>
      <c r="AX23">
        <f>(11809+6285.15+2000)*0.15</f>
        <v>3014.1224999999999</v>
      </c>
      <c r="AY23">
        <f t="shared" ref="AY23:BT23" si="12">(11809+6285.15+2000)*0.15</f>
        <v>3014.1224999999999</v>
      </c>
      <c r="AZ23">
        <f t="shared" si="12"/>
        <v>3014.1224999999999</v>
      </c>
      <c r="BA23">
        <f t="shared" si="12"/>
        <v>3014.1224999999999</v>
      </c>
      <c r="BB23">
        <f t="shared" si="12"/>
        <v>3014.1224999999999</v>
      </c>
      <c r="BC23">
        <f t="shared" si="12"/>
        <v>3014.1224999999999</v>
      </c>
      <c r="BD23">
        <f t="shared" si="12"/>
        <v>3014.1224999999999</v>
      </c>
      <c r="BE23">
        <f t="shared" si="12"/>
        <v>3014.1224999999999</v>
      </c>
      <c r="BF23">
        <f t="shared" si="12"/>
        <v>3014.1224999999999</v>
      </c>
      <c r="BG23">
        <f t="shared" si="12"/>
        <v>3014.1224999999999</v>
      </c>
      <c r="BH23">
        <f t="shared" si="12"/>
        <v>3014.1224999999999</v>
      </c>
      <c r="BI23">
        <f t="shared" si="12"/>
        <v>3014.1224999999999</v>
      </c>
      <c r="BJ23">
        <f t="shared" si="12"/>
        <v>3014.1224999999999</v>
      </c>
      <c r="BK23">
        <f t="shared" si="12"/>
        <v>3014.1224999999999</v>
      </c>
      <c r="BL23">
        <f t="shared" si="12"/>
        <v>3014.1224999999999</v>
      </c>
      <c r="BM23">
        <f t="shared" si="12"/>
        <v>3014.1224999999999</v>
      </c>
      <c r="BN23">
        <f t="shared" si="12"/>
        <v>3014.1224999999999</v>
      </c>
      <c r="BO23">
        <f t="shared" si="12"/>
        <v>3014.1224999999999</v>
      </c>
      <c r="BP23">
        <f t="shared" si="12"/>
        <v>3014.1224999999999</v>
      </c>
      <c r="BQ23">
        <f t="shared" si="12"/>
        <v>3014.1224999999999</v>
      </c>
      <c r="BR23">
        <f t="shared" si="12"/>
        <v>3014.1224999999999</v>
      </c>
      <c r="BS23">
        <f t="shared" si="12"/>
        <v>3014.1224999999999</v>
      </c>
      <c r="BT23">
        <f t="shared" si="12"/>
        <v>3014.1224999999999</v>
      </c>
    </row>
    <row r="24" spans="1:72" x14ac:dyDescent="0.25">
      <c r="B24" t="s">
        <v>343</v>
      </c>
      <c r="C24">
        <f>(Sommaire!C16+Sommaire!C17+Sommaire!C18)*0.15</f>
        <v>53.506499999999996</v>
      </c>
      <c r="D24">
        <f>(Sommaire!D16+Sommaire!D17+Sommaire!D18)*0.15</f>
        <v>53.506499999999996</v>
      </c>
      <c r="E24">
        <f>(Sommaire!E16+Sommaire!E17+Sommaire!E18)*0.15</f>
        <v>53.506499999999996</v>
      </c>
      <c r="F24">
        <f>(Sommaire!F16+Sommaire!F17+Sommaire!F18)*0.15</f>
        <v>355.45334399999996</v>
      </c>
      <c r="G24">
        <f>(Sommaire!G16+Sommaire!G17+Sommaire!G18)*0.15</f>
        <v>368.162712</v>
      </c>
      <c r="H24">
        <f>(Sommaire!H16+Sommaire!H17+Sommaire!H18)*0.15</f>
        <v>384.64466399999998</v>
      </c>
      <c r="I24">
        <f>(Sommaire!I16+Sommaire!I17+Sommaire!I18)*0.15</f>
        <v>398.94134400000002</v>
      </c>
      <c r="J24">
        <f>(Sommaire!J16+Sommaire!J17+Sommaire!J18)*0.15</f>
        <v>415.81468799999993</v>
      </c>
      <c r="K24">
        <f>(Sommaire!K16+Sommaire!K17+Sommaire!K18)*0.15</f>
        <v>431.30728799999997</v>
      </c>
      <c r="L24">
        <f>(Sommaire!L16+Sommaire!L17+Sommaire!L18)*0.15</f>
        <v>450.170208</v>
      </c>
      <c r="M24">
        <f>(Sommaire!M16+Sommaire!M17+Sommaire!M18)*0.15</f>
        <v>467.83720799999992</v>
      </c>
      <c r="N24">
        <f>(Sommaire!N16+Sommaire!N17+Sommaire!N18)*0.15</f>
        <v>486.70012799999995</v>
      </c>
      <c r="O24">
        <f>(Sommaire!O16+Sommaire!O17+Sommaire!O18)*0.15</f>
        <v>505.75874399999998</v>
      </c>
      <c r="P24">
        <f>(Sommaire!P16+Sommaire!P17+Sommaire!P18)*0.15</f>
        <v>526.01328000000001</v>
      </c>
      <c r="Q24">
        <f>(Sommaire!Q16+Sommaire!Q17+Sommaire!Q18)*0.15</f>
        <v>545.00088599999992</v>
      </c>
      <c r="R24">
        <f>(Sommaire!R16+Sommaire!R17+Sommaire!R18)*0.15</f>
        <v>544.98929999999996</v>
      </c>
      <c r="S24">
        <f>(Sommaire!S16+Sommaire!S17+Sommaire!S18)*0.15</f>
        <v>544.98929999999996</v>
      </c>
      <c r="T24">
        <f>(Sommaire!T16+Sommaire!T17+Sommaire!T18)*0.15</f>
        <v>544.98929999999996</v>
      </c>
      <c r="U24">
        <f>(Sommaire!U16+Sommaire!U17+Sommaire!U18)*0.15</f>
        <v>544.98929999999996</v>
      </c>
      <c r="V24">
        <f>(Sommaire!V16+Sommaire!V17+Sommaire!V18)*0.15</f>
        <v>544.98929999999996</v>
      </c>
      <c r="W24">
        <f>(Sommaire!W16+Sommaire!W17+Sommaire!W18)*0.15</f>
        <v>544.98929999999996</v>
      </c>
      <c r="X24">
        <f>(Sommaire!X16+Sommaire!X17+Sommaire!X18)*0.15</f>
        <v>544.98929999999996</v>
      </c>
      <c r="Y24">
        <f>(Sommaire!Y16+Sommaire!Y17+Sommaire!Y18)*0.15</f>
        <v>544.98929999999996</v>
      </c>
      <c r="Z24">
        <f>(Sommaire!Z16+Sommaire!Z17+Sommaire!Z18)*0.15</f>
        <v>544.98929999999996</v>
      </c>
      <c r="AA24">
        <f>(Sommaire!AA16+Sommaire!AA17+Sommaire!AA18)*0.15</f>
        <v>544.98929999999996</v>
      </c>
      <c r="AB24">
        <f>(Sommaire!AB16+Sommaire!AB17+Sommaire!AB18)*0.15</f>
        <v>544.98929999999996</v>
      </c>
      <c r="AC24">
        <f>(Sommaire!AC16+Sommaire!AC17+Sommaire!AC18)*0.15</f>
        <v>544.98929999999996</v>
      </c>
      <c r="AD24">
        <f>(Sommaire!AD16+Sommaire!AD17+Sommaire!AD18)*0.15</f>
        <v>544.98929999999996</v>
      </c>
      <c r="AE24">
        <f>(Sommaire!AE16+Sommaire!AE17+Sommaire!AE18)*0.15</f>
        <v>544.98929999999996</v>
      </c>
      <c r="AF24">
        <f>(Sommaire!AF16+Sommaire!AF17+Sommaire!AF18)*0.15</f>
        <v>544.98929999999996</v>
      </c>
      <c r="AG24">
        <f>(Sommaire!AG16+Sommaire!AG17+Sommaire!AG18)*0.15</f>
        <v>544.98929999999996</v>
      </c>
      <c r="AH24">
        <f>(Sommaire!AH16+Sommaire!AH17+Sommaire!AH18)*0.15</f>
        <v>544.98929999999996</v>
      </c>
      <c r="AI24">
        <f>(Sommaire!AI16+Sommaire!AI17+Sommaire!AI18)*0.15</f>
        <v>544.98929999999996</v>
      </c>
      <c r="AJ24">
        <f>(Sommaire!AJ16+Sommaire!AJ17+Sommaire!AJ18)*0.15</f>
        <v>544.98929999999996</v>
      </c>
      <c r="AK24">
        <f>(Sommaire!AK16+Sommaire!AK17+Sommaire!AK18)*0.15</f>
        <v>544.98929999999996</v>
      </c>
      <c r="AL24">
        <f>(Sommaire!AL16+Sommaire!AL17+Sommaire!AL18)*0.15</f>
        <v>544.98929999999996</v>
      </c>
      <c r="AM24">
        <f>(Sommaire!AM16+Sommaire!AM17+Sommaire!AM18)*0.15</f>
        <v>544.98929999999996</v>
      </c>
      <c r="AN24">
        <f>(Sommaire!AN16+Sommaire!AN17+Sommaire!AN18)*0.15</f>
        <v>544.98929999999996</v>
      </c>
      <c r="AO24">
        <f>(Sommaire!AO16+Sommaire!AO17+Sommaire!AO18)*0.15</f>
        <v>544.98929999999996</v>
      </c>
      <c r="AP24">
        <f>(Sommaire!AP16+Sommaire!AP17+Sommaire!AP18)*0.15</f>
        <v>544.98929999999996</v>
      </c>
      <c r="AQ24">
        <f>(Sommaire!AQ16+Sommaire!AQ17+Sommaire!AQ18)*0.15</f>
        <v>544.98929999999996</v>
      </c>
      <c r="AR24">
        <f>(Sommaire!AR16+Sommaire!AR17+Sommaire!AR18)*0.15</f>
        <v>544.98929999999996</v>
      </c>
    </row>
    <row r="25" spans="1:72" x14ac:dyDescent="0.25">
      <c r="B25" t="s">
        <v>344</v>
      </c>
      <c r="C25">
        <f>1195*0.15</f>
        <v>179.25</v>
      </c>
      <c r="D25">
        <f t="shared" ref="D25:AR25" si="13">1195*0.15</f>
        <v>179.25</v>
      </c>
      <c r="E25">
        <f t="shared" si="13"/>
        <v>179.25</v>
      </c>
      <c r="F25">
        <f t="shared" si="13"/>
        <v>179.25</v>
      </c>
      <c r="G25">
        <f t="shared" si="13"/>
        <v>179.25</v>
      </c>
      <c r="H25">
        <f t="shared" si="13"/>
        <v>179.25</v>
      </c>
      <c r="I25">
        <f t="shared" si="13"/>
        <v>179.25</v>
      </c>
      <c r="J25">
        <f t="shared" si="13"/>
        <v>179.25</v>
      </c>
      <c r="K25">
        <f t="shared" si="13"/>
        <v>179.25</v>
      </c>
      <c r="L25">
        <f t="shared" si="13"/>
        <v>179.25</v>
      </c>
      <c r="M25">
        <f t="shared" si="13"/>
        <v>179.25</v>
      </c>
      <c r="N25">
        <f t="shared" si="13"/>
        <v>179.25</v>
      </c>
      <c r="O25">
        <f t="shared" si="13"/>
        <v>179.25</v>
      </c>
      <c r="P25">
        <f t="shared" si="13"/>
        <v>179.25</v>
      </c>
      <c r="Q25">
        <f t="shared" si="13"/>
        <v>179.25</v>
      </c>
      <c r="R25">
        <f t="shared" si="13"/>
        <v>179.25</v>
      </c>
      <c r="S25">
        <f t="shared" si="13"/>
        <v>179.25</v>
      </c>
      <c r="T25">
        <f t="shared" si="13"/>
        <v>179.25</v>
      </c>
      <c r="U25">
        <f t="shared" si="13"/>
        <v>179.25</v>
      </c>
      <c r="V25">
        <f t="shared" si="13"/>
        <v>179.25</v>
      </c>
      <c r="W25">
        <f t="shared" si="13"/>
        <v>179.25</v>
      </c>
      <c r="X25">
        <f t="shared" si="13"/>
        <v>179.25</v>
      </c>
      <c r="Y25">
        <f t="shared" si="13"/>
        <v>179.25</v>
      </c>
      <c r="Z25">
        <f t="shared" si="13"/>
        <v>179.25</v>
      </c>
      <c r="AA25">
        <f t="shared" si="13"/>
        <v>179.25</v>
      </c>
      <c r="AB25">
        <f t="shared" si="13"/>
        <v>179.25</v>
      </c>
      <c r="AC25">
        <f t="shared" si="13"/>
        <v>179.25</v>
      </c>
      <c r="AD25">
        <f t="shared" si="13"/>
        <v>179.25</v>
      </c>
      <c r="AE25">
        <f t="shared" si="13"/>
        <v>179.25</v>
      </c>
      <c r="AF25">
        <f t="shared" si="13"/>
        <v>179.25</v>
      </c>
      <c r="AG25">
        <f t="shared" si="13"/>
        <v>179.25</v>
      </c>
      <c r="AH25">
        <f t="shared" si="13"/>
        <v>179.25</v>
      </c>
      <c r="AI25">
        <f t="shared" si="13"/>
        <v>179.25</v>
      </c>
      <c r="AJ25">
        <f t="shared" si="13"/>
        <v>179.25</v>
      </c>
      <c r="AK25">
        <f t="shared" si="13"/>
        <v>179.25</v>
      </c>
      <c r="AL25">
        <f t="shared" si="13"/>
        <v>179.25</v>
      </c>
      <c r="AM25">
        <f t="shared" si="13"/>
        <v>179.25</v>
      </c>
      <c r="AN25">
        <f t="shared" si="13"/>
        <v>179.25</v>
      </c>
      <c r="AO25">
        <f t="shared" si="13"/>
        <v>179.25</v>
      </c>
      <c r="AP25">
        <f t="shared" si="13"/>
        <v>179.25</v>
      </c>
      <c r="AQ25">
        <f t="shared" si="13"/>
        <v>179.25</v>
      </c>
      <c r="AR25">
        <f t="shared" si="13"/>
        <v>179.25</v>
      </c>
    </row>
    <row r="27" spans="1:72" x14ac:dyDescent="0.25">
      <c r="B27" t="s">
        <v>345</v>
      </c>
      <c r="C27">
        <v>0</v>
      </c>
      <c r="D27">
        <v>0</v>
      </c>
      <c r="E27">
        <v>0</v>
      </c>
      <c r="F27">
        <v>4932.3</v>
      </c>
      <c r="G27">
        <v>5083.05</v>
      </c>
      <c r="H27">
        <v>5278.2</v>
      </c>
      <c r="I27">
        <v>5447.7</v>
      </c>
      <c r="J27">
        <v>5647.65</v>
      </c>
      <c r="K27">
        <v>5831.25</v>
      </c>
      <c r="L27">
        <v>6054.75</v>
      </c>
      <c r="M27">
        <v>6264.15</v>
      </c>
      <c r="N27">
        <v>6487.65</v>
      </c>
      <c r="O27">
        <v>6713.4</v>
      </c>
      <c r="P27">
        <v>6953.55</v>
      </c>
      <c r="Q27">
        <v>7287.43</v>
      </c>
      <c r="R27">
        <v>7287.43</v>
      </c>
      <c r="S27">
        <v>7287.43</v>
      </c>
      <c r="T27">
        <v>7287.43</v>
      </c>
      <c r="U27">
        <v>7287.43</v>
      </c>
      <c r="V27">
        <v>7287.43</v>
      </c>
      <c r="W27">
        <v>7287.43</v>
      </c>
      <c r="X27">
        <v>7287.43</v>
      </c>
      <c r="Y27">
        <v>7287.43</v>
      </c>
      <c r="Z27">
        <v>7287.43</v>
      </c>
      <c r="AA27">
        <v>7287.43</v>
      </c>
      <c r="AB27">
        <v>7287.43</v>
      </c>
      <c r="AC27">
        <v>7287.43</v>
      </c>
      <c r="AD27">
        <v>7287.43</v>
      </c>
      <c r="AE27">
        <v>7287.43</v>
      </c>
      <c r="AF27">
        <v>7287.43</v>
      </c>
      <c r="AG27">
        <v>7287.43</v>
      </c>
      <c r="AH27">
        <v>7287.43</v>
      </c>
      <c r="AI27">
        <v>7287.43</v>
      </c>
      <c r="AJ27">
        <v>7287.43</v>
      </c>
      <c r="AK27">
        <v>7287.43</v>
      </c>
      <c r="AL27">
        <v>7287.43</v>
      </c>
      <c r="AM27">
        <v>7287.43</v>
      </c>
      <c r="AN27">
        <v>7287.43</v>
      </c>
      <c r="AO27">
        <v>7287.43</v>
      </c>
      <c r="AP27">
        <v>7287.43</v>
      </c>
      <c r="AQ27">
        <v>7287.43</v>
      </c>
      <c r="AR27">
        <v>7287.43</v>
      </c>
      <c r="AS27">
        <v>6196.65</v>
      </c>
      <c r="AT27">
        <v>7649.31</v>
      </c>
      <c r="AU27">
        <v>7649.31</v>
      </c>
      <c r="AV27">
        <v>7649.31</v>
      </c>
      <c r="AW27">
        <v>7649.31</v>
      </c>
      <c r="AX27">
        <v>6594.25</v>
      </c>
      <c r="AY27">
        <v>6594.25</v>
      </c>
      <c r="AZ27">
        <v>6594.25</v>
      </c>
      <c r="BA27">
        <v>6594.25</v>
      </c>
      <c r="BB27">
        <v>6594.25</v>
      </c>
      <c r="BC27">
        <v>6594.25</v>
      </c>
      <c r="BD27">
        <v>6594.25</v>
      </c>
      <c r="BE27">
        <v>6594.25</v>
      </c>
      <c r="BF27">
        <v>6594.25</v>
      </c>
      <c r="BG27">
        <v>6594.25</v>
      </c>
      <c r="BH27">
        <v>6594.25</v>
      </c>
      <c r="BI27">
        <v>6594.25</v>
      </c>
      <c r="BJ27">
        <v>6594.25</v>
      </c>
      <c r="BK27">
        <v>6594.25</v>
      </c>
      <c r="BL27">
        <v>6594.25</v>
      </c>
      <c r="BM27">
        <v>6594.25</v>
      </c>
      <c r="BN27">
        <v>6594.25</v>
      </c>
      <c r="BO27">
        <v>6594.25</v>
      </c>
      <c r="BP27">
        <v>6594.25</v>
      </c>
      <c r="BQ27">
        <v>6594.25</v>
      </c>
      <c r="BR27">
        <v>6594.25</v>
      </c>
      <c r="BS27">
        <v>6594.25</v>
      </c>
      <c r="BT27">
        <v>6594.25</v>
      </c>
    </row>
    <row r="28" spans="1:72" x14ac:dyDescent="0.25">
      <c r="B28" t="s">
        <v>346</v>
      </c>
      <c r="F28">
        <f>F27-(F23+F24+F25)</f>
        <v>2626.2466560000003</v>
      </c>
      <c r="G28">
        <f>G27-(G23+G24+G25)</f>
        <v>2764.2872880000004</v>
      </c>
      <c r="H28">
        <f t="shared" ref="H28:AR28" si="14">H27-(H23+H24+H25)</f>
        <v>2942.955336</v>
      </c>
      <c r="I28">
        <f t="shared" si="14"/>
        <v>3098.1586560000001</v>
      </c>
      <c r="J28">
        <f t="shared" si="14"/>
        <v>3281.2353119999998</v>
      </c>
      <c r="K28">
        <f t="shared" si="14"/>
        <v>3449.3427120000001</v>
      </c>
      <c r="L28">
        <f t="shared" si="14"/>
        <v>3653.9797920000001</v>
      </c>
      <c r="M28">
        <f t="shared" si="14"/>
        <v>3845.7127919999998</v>
      </c>
      <c r="N28">
        <f t="shared" si="14"/>
        <v>4050.3498719999998</v>
      </c>
      <c r="O28">
        <f t="shared" si="14"/>
        <v>4257.0412559999995</v>
      </c>
      <c r="P28">
        <f t="shared" si="14"/>
        <v>4476.9367199999997</v>
      </c>
      <c r="Q28">
        <f t="shared" si="14"/>
        <v>4791.8291140000001</v>
      </c>
      <c r="R28">
        <f t="shared" si="14"/>
        <v>4791.8407000000007</v>
      </c>
      <c r="S28">
        <f t="shared" si="14"/>
        <v>4791.8407000000007</v>
      </c>
      <c r="T28">
        <f t="shared" si="14"/>
        <v>4791.8407000000007</v>
      </c>
      <c r="U28">
        <f t="shared" si="14"/>
        <v>4791.8407000000007</v>
      </c>
      <c r="V28">
        <f t="shared" si="14"/>
        <v>4791.8407000000007</v>
      </c>
      <c r="W28">
        <f t="shared" si="14"/>
        <v>4791.8407000000007</v>
      </c>
      <c r="X28">
        <f t="shared" si="14"/>
        <v>4791.8407000000007</v>
      </c>
      <c r="Y28">
        <f t="shared" si="14"/>
        <v>4791.8407000000007</v>
      </c>
      <c r="Z28">
        <f t="shared" si="14"/>
        <v>4791.8407000000007</v>
      </c>
      <c r="AA28">
        <f t="shared" si="14"/>
        <v>4791.8407000000007</v>
      </c>
      <c r="AB28">
        <f t="shared" si="14"/>
        <v>4791.8407000000007</v>
      </c>
      <c r="AC28">
        <f t="shared" si="14"/>
        <v>4791.8407000000007</v>
      </c>
      <c r="AD28">
        <f t="shared" si="14"/>
        <v>4791.8407000000007</v>
      </c>
      <c r="AE28">
        <f t="shared" si="14"/>
        <v>4791.8407000000007</v>
      </c>
      <c r="AF28">
        <f t="shared" si="14"/>
        <v>4791.8407000000007</v>
      </c>
      <c r="AG28">
        <f t="shared" si="14"/>
        <v>4791.8407000000007</v>
      </c>
      <c r="AH28">
        <f t="shared" si="14"/>
        <v>4791.8407000000007</v>
      </c>
      <c r="AI28">
        <f t="shared" si="14"/>
        <v>4791.8407000000007</v>
      </c>
      <c r="AJ28">
        <f t="shared" si="14"/>
        <v>4791.8407000000007</v>
      </c>
      <c r="AK28">
        <f t="shared" si="14"/>
        <v>4791.8407000000007</v>
      </c>
      <c r="AL28">
        <f t="shared" si="14"/>
        <v>4791.8407000000007</v>
      </c>
      <c r="AM28">
        <f t="shared" si="14"/>
        <v>4791.8407000000007</v>
      </c>
      <c r="AN28">
        <f t="shared" si="14"/>
        <v>4791.8407000000007</v>
      </c>
      <c r="AO28">
        <f t="shared" si="14"/>
        <v>4791.8407000000007</v>
      </c>
      <c r="AP28">
        <f t="shared" si="14"/>
        <v>4791.8407000000007</v>
      </c>
      <c r="AQ28">
        <f t="shared" si="14"/>
        <v>4791.8407000000007</v>
      </c>
      <c r="AR28">
        <f t="shared" si="14"/>
        <v>4791.8407000000007</v>
      </c>
      <c r="AS28">
        <f t="shared" ref="AS28" si="15">AS27-(AS23+AS24+AS25)</f>
        <v>4125.2999999999993</v>
      </c>
      <c r="AT28">
        <f t="shared" ref="AT28:AW28" si="16">AT27-(AT23+AT24+AT25)</f>
        <v>5577.9600000000009</v>
      </c>
      <c r="AU28">
        <f t="shared" si="16"/>
        <v>5577.9600000000009</v>
      </c>
      <c r="AV28">
        <f t="shared" si="16"/>
        <v>5577.9600000000009</v>
      </c>
      <c r="AW28">
        <f t="shared" si="16"/>
        <v>5577.9600000000009</v>
      </c>
      <c r="AX28">
        <v>3580.13</v>
      </c>
      <c r="AY28">
        <v>3580.13</v>
      </c>
      <c r="AZ28">
        <v>3580.13</v>
      </c>
      <c r="BA28">
        <v>3580.13</v>
      </c>
      <c r="BB28">
        <v>3580.13</v>
      </c>
      <c r="BC28">
        <v>3580.13</v>
      </c>
      <c r="BD28">
        <v>3580.13</v>
      </c>
      <c r="BE28">
        <v>3580.13</v>
      </c>
      <c r="BF28">
        <v>3580.13</v>
      </c>
      <c r="BG28">
        <v>3580.13</v>
      </c>
      <c r="BH28">
        <v>3580.13</v>
      </c>
      <c r="BI28">
        <v>3580.13</v>
      </c>
      <c r="BJ28">
        <v>3580.13</v>
      </c>
      <c r="BK28">
        <v>3580.13</v>
      </c>
      <c r="BL28">
        <v>3580.13</v>
      </c>
      <c r="BM28">
        <v>3580.13</v>
      </c>
      <c r="BN28">
        <v>3580.13</v>
      </c>
      <c r="BO28">
        <v>3580.13</v>
      </c>
      <c r="BP28">
        <v>3580.13</v>
      </c>
      <c r="BQ28">
        <v>3580.13</v>
      </c>
      <c r="BR28">
        <v>3580.13</v>
      </c>
      <c r="BS28">
        <v>3580.13</v>
      </c>
      <c r="BT28">
        <v>3580.13</v>
      </c>
    </row>
    <row r="29" spans="1:72" x14ac:dyDescent="0.25">
      <c r="B29" t="s">
        <v>347</v>
      </c>
      <c r="F29">
        <f>F28*0.165</f>
        <v>433.33069824000006</v>
      </c>
      <c r="G29">
        <f>G28*0.165</f>
        <v>456.10740252000011</v>
      </c>
      <c r="H29">
        <f t="shared" ref="H29:AR29" si="17">H28*0.165</f>
        <v>485.58763044</v>
      </c>
      <c r="I29">
        <f t="shared" si="17"/>
        <v>511.19617824000005</v>
      </c>
      <c r="J29">
        <f t="shared" si="17"/>
        <v>541.40382648000002</v>
      </c>
      <c r="K29">
        <f t="shared" si="17"/>
        <v>569.1415474800001</v>
      </c>
      <c r="L29">
        <f t="shared" si="17"/>
        <v>602.90666568000006</v>
      </c>
      <c r="M29">
        <f t="shared" si="17"/>
        <v>634.54261068000005</v>
      </c>
      <c r="N29">
        <f t="shared" si="17"/>
        <v>668.30772888000001</v>
      </c>
      <c r="O29">
        <f t="shared" si="17"/>
        <v>702.41180723999992</v>
      </c>
      <c r="P29">
        <f t="shared" si="17"/>
        <v>738.69455879999998</v>
      </c>
      <c r="Q29">
        <f t="shared" si="17"/>
        <v>790.65180381000005</v>
      </c>
      <c r="R29">
        <f t="shared" si="17"/>
        <v>790.65371550000009</v>
      </c>
      <c r="S29">
        <f t="shared" si="17"/>
        <v>790.65371550000009</v>
      </c>
      <c r="T29">
        <f t="shared" si="17"/>
        <v>790.65371550000009</v>
      </c>
      <c r="U29">
        <f t="shared" si="17"/>
        <v>790.65371550000009</v>
      </c>
      <c r="V29">
        <f t="shared" si="17"/>
        <v>790.65371550000009</v>
      </c>
      <c r="W29">
        <f t="shared" si="17"/>
        <v>790.65371550000009</v>
      </c>
      <c r="X29">
        <f t="shared" si="17"/>
        <v>790.65371550000009</v>
      </c>
      <c r="Y29">
        <f t="shared" si="17"/>
        <v>790.65371550000009</v>
      </c>
      <c r="Z29">
        <f t="shared" si="17"/>
        <v>790.65371550000009</v>
      </c>
      <c r="AA29">
        <f t="shared" si="17"/>
        <v>790.65371550000009</v>
      </c>
      <c r="AB29">
        <f t="shared" si="17"/>
        <v>790.65371550000009</v>
      </c>
      <c r="AC29">
        <f t="shared" si="17"/>
        <v>790.65371550000009</v>
      </c>
      <c r="AD29">
        <f t="shared" si="17"/>
        <v>790.65371550000009</v>
      </c>
      <c r="AE29">
        <f t="shared" si="17"/>
        <v>790.65371550000009</v>
      </c>
      <c r="AF29">
        <f t="shared" si="17"/>
        <v>790.65371550000009</v>
      </c>
      <c r="AG29">
        <f t="shared" si="17"/>
        <v>790.65371550000009</v>
      </c>
      <c r="AH29">
        <f t="shared" si="17"/>
        <v>790.65371550000009</v>
      </c>
      <c r="AI29">
        <f t="shared" si="17"/>
        <v>790.65371550000009</v>
      </c>
      <c r="AJ29">
        <f t="shared" si="17"/>
        <v>790.65371550000009</v>
      </c>
      <c r="AK29">
        <f t="shared" si="17"/>
        <v>790.65371550000009</v>
      </c>
      <c r="AL29">
        <f t="shared" si="17"/>
        <v>790.65371550000009</v>
      </c>
      <c r="AM29">
        <f t="shared" si="17"/>
        <v>790.65371550000009</v>
      </c>
      <c r="AN29">
        <f t="shared" si="17"/>
        <v>790.65371550000009</v>
      </c>
      <c r="AO29">
        <f t="shared" si="17"/>
        <v>790.65371550000009</v>
      </c>
      <c r="AP29">
        <f t="shared" si="17"/>
        <v>790.65371550000009</v>
      </c>
      <c r="AQ29">
        <f t="shared" si="17"/>
        <v>790.65371550000009</v>
      </c>
      <c r="AR29">
        <f t="shared" si="17"/>
        <v>790.65371550000009</v>
      </c>
      <c r="AS29">
        <f t="shared" ref="AS29" si="18">AS28*0.165</f>
        <v>680.67449999999997</v>
      </c>
      <c r="AT29">
        <f t="shared" ref="AT29:AW29" si="19">AT28*0.165</f>
        <v>920.36340000000018</v>
      </c>
      <c r="AU29">
        <f t="shared" si="19"/>
        <v>920.36340000000018</v>
      </c>
      <c r="AV29">
        <f t="shared" si="19"/>
        <v>920.36340000000018</v>
      </c>
      <c r="AW29">
        <f t="shared" si="19"/>
        <v>920.36340000000018</v>
      </c>
      <c r="AX29">
        <f t="shared" ref="AX29" si="20">AX28*0.165</f>
        <v>590.72145</v>
      </c>
      <c r="AY29">
        <f t="shared" ref="AY29:BT29" si="21">AY28*0.165</f>
        <v>590.72145</v>
      </c>
      <c r="AZ29">
        <f t="shared" si="21"/>
        <v>590.72145</v>
      </c>
      <c r="BA29">
        <f t="shared" si="21"/>
        <v>590.72145</v>
      </c>
      <c r="BB29">
        <f t="shared" si="21"/>
        <v>590.72145</v>
      </c>
      <c r="BC29">
        <f t="shared" si="21"/>
        <v>590.72145</v>
      </c>
      <c r="BD29">
        <f t="shared" si="21"/>
        <v>590.72145</v>
      </c>
      <c r="BE29">
        <f t="shared" si="21"/>
        <v>590.72145</v>
      </c>
      <c r="BF29">
        <f t="shared" si="21"/>
        <v>590.72145</v>
      </c>
      <c r="BG29">
        <f t="shared" si="21"/>
        <v>590.72145</v>
      </c>
      <c r="BH29">
        <f t="shared" si="21"/>
        <v>590.72145</v>
      </c>
      <c r="BI29">
        <f t="shared" si="21"/>
        <v>590.72145</v>
      </c>
      <c r="BJ29">
        <f t="shared" si="21"/>
        <v>590.72145</v>
      </c>
      <c r="BK29">
        <f t="shared" si="21"/>
        <v>590.72145</v>
      </c>
      <c r="BL29">
        <f t="shared" si="21"/>
        <v>590.72145</v>
      </c>
      <c r="BM29">
        <f t="shared" si="21"/>
        <v>590.72145</v>
      </c>
      <c r="BN29">
        <f t="shared" si="21"/>
        <v>590.72145</v>
      </c>
      <c r="BO29">
        <f t="shared" si="21"/>
        <v>590.72145</v>
      </c>
      <c r="BP29">
        <f t="shared" si="21"/>
        <v>590.72145</v>
      </c>
      <c r="BQ29">
        <f t="shared" si="21"/>
        <v>590.72145</v>
      </c>
      <c r="BR29">
        <f t="shared" si="21"/>
        <v>590.72145</v>
      </c>
      <c r="BS29">
        <f t="shared" si="21"/>
        <v>590.72145</v>
      </c>
      <c r="BT29">
        <f t="shared" si="21"/>
        <v>590.72145</v>
      </c>
    </row>
    <row r="30" spans="1:72" x14ac:dyDescent="0.25">
      <c r="B30" t="s">
        <v>348</v>
      </c>
      <c r="C30">
        <f t="shared" ref="C30:E30" si="22">C28-C29</f>
        <v>0</v>
      </c>
      <c r="D30">
        <f t="shared" si="22"/>
        <v>0</v>
      </c>
      <c r="E30">
        <f t="shared" si="22"/>
        <v>0</v>
      </c>
      <c r="F30">
        <f>F28-F29</f>
        <v>2192.9159577600003</v>
      </c>
      <c r="G30">
        <f>G28-G29</f>
        <v>2308.1798854800004</v>
      </c>
      <c r="H30">
        <f t="shared" ref="H30:AR30" si="23">H28-H29</f>
        <v>2457.3677055600001</v>
      </c>
      <c r="I30">
        <f t="shared" si="23"/>
        <v>2586.9624777600002</v>
      </c>
      <c r="J30">
        <f t="shared" si="23"/>
        <v>2739.8314855199997</v>
      </c>
      <c r="K30">
        <f t="shared" si="23"/>
        <v>2880.20116452</v>
      </c>
      <c r="L30">
        <f t="shared" si="23"/>
        <v>3051.07312632</v>
      </c>
      <c r="M30">
        <f t="shared" si="23"/>
        <v>3211.1701813199998</v>
      </c>
      <c r="N30">
        <f t="shared" si="23"/>
        <v>3382.0421431199998</v>
      </c>
      <c r="O30">
        <f t="shared" si="23"/>
        <v>3554.6294487599998</v>
      </c>
      <c r="P30">
        <f t="shared" si="23"/>
        <v>3738.2421611999998</v>
      </c>
      <c r="Q30">
        <f t="shared" si="23"/>
        <v>4001.1773101899998</v>
      </c>
      <c r="R30">
        <f t="shared" si="23"/>
        <v>4001.1869845000006</v>
      </c>
      <c r="S30">
        <f t="shared" si="23"/>
        <v>4001.1869845000006</v>
      </c>
      <c r="T30">
        <f t="shared" si="23"/>
        <v>4001.1869845000006</v>
      </c>
      <c r="U30">
        <f t="shared" si="23"/>
        <v>4001.1869845000006</v>
      </c>
      <c r="V30">
        <f t="shared" si="23"/>
        <v>4001.1869845000006</v>
      </c>
      <c r="W30">
        <f t="shared" si="23"/>
        <v>4001.1869845000006</v>
      </c>
      <c r="X30">
        <f t="shared" si="23"/>
        <v>4001.1869845000006</v>
      </c>
      <c r="Y30">
        <f t="shared" si="23"/>
        <v>4001.1869845000006</v>
      </c>
      <c r="Z30">
        <f t="shared" si="23"/>
        <v>4001.1869845000006</v>
      </c>
      <c r="AA30">
        <f t="shared" si="23"/>
        <v>4001.1869845000006</v>
      </c>
      <c r="AB30">
        <f t="shared" si="23"/>
        <v>4001.1869845000006</v>
      </c>
      <c r="AC30">
        <f t="shared" si="23"/>
        <v>4001.1869845000006</v>
      </c>
      <c r="AD30">
        <f t="shared" si="23"/>
        <v>4001.1869845000006</v>
      </c>
      <c r="AE30">
        <f t="shared" si="23"/>
        <v>4001.1869845000006</v>
      </c>
      <c r="AF30">
        <f t="shared" si="23"/>
        <v>4001.1869845000006</v>
      </c>
      <c r="AG30">
        <f t="shared" si="23"/>
        <v>4001.1869845000006</v>
      </c>
      <c r="AH30">
        <f t="shared" si="23"/>
        <v>4001.1869845000006</v>
      </c>
      <c r="AI30">
        <f t="shared" si="23"/>
        <v>4001.1869845000006</v>
      </c>
      <c r="AJ30">
        <f t="shared" si="23"/>
        <v>4001.1869845000006</v>
      </c>
      <c r="AK30">
        <f t="shared" si="23"/>
        <v>4001.1869845000006</v>
      </c>
      <c r="AL30">
        <f t="shared" si="23"/>
        <v>4001.1869845000006</v>
      </c>
      <c r="AM30">
        <f t="shared" si="23"/>
        <v>4001.1869845000006</v>
      </c>
      <c r="AN30">
        <f t="shared" si="23"/>
        <v>4001.1869845000006</v>
      </c>
      <c r="AO30">
        <f t="shared" si="23"/>
        <v>4001.1869845000006</v>
      </c>
      <c r="AP30">
        <f t="shared" si="23"/>
        <v>4001.1869845000006</v>
      </c>
      <c r="AQ30">
        <f t="shared" si="23"/>
        <v>4001.1869845000006</v>
      </c>
      <c r="AR30">
        <f t="shared" si="23"/>
        <v>4001.1869845000006</v>
      </c>
      <c r="AS30">
        <f t="shared" ref="AS30" si="24">AS28-AS29</f>
        <v>3444.6254999999992</v>
      </c>
      <c r="AT30">
        <f t="shared" ref="AT30:AW30" si="25">AT28-AT29</f>
        <v>4657.5966000000008</v>
      </c>
      <c r="AU30">
        <f t="shared" si="25"/>
        <v>4657.5966000000008</v>
      </c>
      <c r="AV30">
        <f t="shared" si="25"/>
        <v>4657.5966000000008</v>
      </c>
      <c r="AW30">
        <f t="shared" si="25"/>
        <v>4657.5966000000008</v>
      </c>
      <c r="AX30">
        <f t="shared" ref="AX30" si="26">AX28-AX29</f>
        <v>2989.4085500000001</v>
      </c>
      <c r="AY30">
        <f t="shared" ref="AY30:BT30" si="27">AY28-AY29</f>
        <v>2989.4085500000001</v>
      </c>
      <c r="AZ30">
        <f t="shared" si="27"/>
        <v>2989.4085500000001</v>
      </c>
      <c r="BA30">
        <f t="shared" si="27"/>
        <v>2989.4085500000001</v>
      </c>
      <c r="BB30">
        <f t="shared" si="27"/>
        <v>2989.4085500000001</v>
      </c>
      <c r="BC30">
        <f t="shared" si="27"/>
        <v>2989.4085500000001</v>
      </c>
      <c r="BD30">
        <f t="shared" si="27"/>
        <v>2989.4085500000001</v>
      </c>
      <c r="BE30">
        <f t="shared" si="27"/>
        <v>2989.4085500000001</v>
      </c>
      <c r="BF30">
        <f t="shared" si="27"/>
        <v>2989.4085500000001</v>
      </c>
      <c r="BG30">
        <f t="shared" si="27"/>
        <v>2989.4085500000001</v>
      </c>
      <c r="BH30">
        <f t="shared" si="27"/>
        <v>2989.4085500000001</v>
      </c>
      <c r="BI30">
        <f t="shared" si="27"/>
        <v>2989.4085500000001</v>
      </c>
      <c r="BJ30">
        <f t="shared" si="27"/>
        <v>2989.4085500000001</v>
      </c>
      <c r="BK30">
        <f t="shared" si="27"/>
        <v>2989.4085500000001</v>
      </c>
      <c r="BL30">
        <f t="shared" si="27"/>
        <v>2989.4085500000001</v>
      </c>
      <c r="BM30">
        <f t="shared" si="27"/>
        <v>2989.4085500000001</v>
      </c>
      <c r="BN30">
        <f t="shared" si="27"/>
        <v>2989.4085500000001</v>
      </c>
      <c r="BO30">
        <f t="shared" si="27"/>
        <v>2989.4085500000001</v>
      </c>
      <c r="BP30">
        <f t="shared" si="27"/>
        <v>2989.4085500000001</v>
      </c>
      <c r="BQ30">
        <f t="shared" si="27"/>
        <v>2989.4085500000001</v>
      </c>
      <c r="BR30">
        <f t="shared" si="27"/>
        <v>2989.4085500000001</v>
      </c>
      <c r="BS30">
        <f t="shared" si="27"/>
        <v>2989.4085500000001</v>
      </c>
      <c r="BT30">
        <f t="shared" si="27"/>
        <v>2989.4085500000001</v>
      </c>
    </row>
    <row r="32" spans="1:72" s="371" customFormat="1" x14ac:dyDescent="0.25">
      <c r="A32" s="371" t="s">
        <v>251</v>
      </c>
    </row>
    <row r="33" spans="2:72" x14ac:dyDescent="0.25">
      <c r="B33" t="s">
        <v>349</v>
      </c>
      <c r="L33">
        <f>Sommaire!L4</f>
        <v>44014</v>
      </c>
      <c r="M33">
        <f>Sommaire!M4</f>
        <v>45639</v>
      </c>
      <c r="N33">
        <f>Sommaire!N55</f>
        <v>3644.1538461538462</v>
      </c>
      <c r="O33">
        <f>Sommaire!O4</f>
        <v>49127</v>
      </c>
      <c r="P33">
        <f>Sommaire!P55</f>
        <v>3922.3076923076924</v>
      </c>
      <c r="Q33">
        <f>Sommaire!Q4</f>
        <v>52963</v>
      </c>
      <c r="R33">
        <f>Sommaire!R4</f>
        <v>52963</v>
      </c>
      <c r="S33">
        <f>Sommaire!S4</f>
        <v>52963</v>
      </c>
      <c r="T33">
        <f>Sommaire!T4</f>
        <v>52963</v>
      </c>
      <c r="U33">
        <f>Sommaire!U4</f>
        <v>52963</v>
      </c>
      <c r="V33">
        <f>Sommaire!V4</f>
        <v>52963</v>
      </c>
      <c r="W33">
        <f>Sommaire!W4</f>
        <v>52963</v>
      </c>
      <c r="X33">
        <f>Sommaire!X4</f>
        <v>52963</v>
      </c>
      <c r="Y33">
        <f>Sommaire!Y4</f>
        <v>52963</v>
      </c>
      <c r="Z33">
        <f>Sommaire!Z4</f>
        <v>52963</v>
      </c>
      <c r="AA33">
        <f>Sommaire!AA4</f>
        <v>52963</v>
      </c>
      <c r="AB33">
        <f>Sommaire!AB4</f>
        <v>52963</v>
      </c>
      <c r="AC33">
        <f>Sommaire!AC4</f>
        <v>52963</v>
      </c>
      <c r="AD33">
        <f>Sommaire!AD4</f>
        <v>52963</v>
      </c>
      <c r="AE33">
        <f>Sommaire!AE4</f>
        <v>52963</v>
      </c>
      <c r="AF33">
        <f>Sommaire!AF4</f>
        <v>52963</v>
      </c>
      <c r="AG33">
        <f>Sommaire!AG4</f>
        <v>52963</v>
      </c>
      <c r="AH33">
        <f>Sommaire!AH4</f>
        <v>52963</v>
      </c>
      <c r="AI33">
        <f>Sommaire!AI4</f>
        <v>52963</v>
      </c>
      <c r="AJ33">
        <f>Sommaire!AJ4</f>
        <v>52963</v>
      </c>
      <c r="AK33">
        <f>Sommaire!AK4</f>
        <v>52963</v>
      </c>
      <c r="AL33">
        <f>Sommaire!AL4</f>
        <v>52963</v>
      </c>
      <c r="AM33">
        <f>Sommaire!AM4</f>
        <v>52963</v>
      </c>
      <c r="AN33">
        <f>Sommaire!AN4</f>
        <v>52963</v>
      </c>
      <c r="AO33">
        <f>Sommaire!AO4</f>
        <v>52963</v>
      </c>
      <c r="AP33">
        <f>Sommaire!AP4</f>
        <v>52963</v>
      </c>
      <c r="AQ33">
        <f>Sommaire!AQ4</f>
        <v>52963</v>
      </c>
      <c r="AR33">
        <f>Sommaire!AR4</f>
        <v>52963</v>
      </c>
    </row>
    <row r="34" spans="2:72" x14ac:dyDescent="0.25">
      <c r="B34" t="s">
        <v>350</v>
      </c>
      <c r="L34">
        <v>0</v>
      </c>
      <c r="M34">
        <v>0</v>
      </c>
      <c r="N34">
        <f>'Calculs source'!G176</f>
        <v>26198.03</v>
      </c>
      <c r="O34">
        <v>0</v>
      </c>
      <c r="P34">
        <f>'Calculs source'!G194</f>
        <v>28200.61</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row>
    <row r="35" spans="2:72" x14ac:dyDescent="0.25">
      <c r="B35" t="s">
        <v>351</v>
      </c>
      <c r="L35" s="38">
        <f>L4</f>
        <v>3076.5759000000003</v>
      </c>
      <c r="M35" s="38">
        <f>M4</f>
        <v>3284.7384000000002</v>
      </c>
      <c r="N35">
        <f>Sommaire!N60</f>
        <v>1834</v>
      </c>
      <c r="O35" s="38">
        <f>O4</f>
        <v>3731.5512000000003</v>
      </c>
      <c r="P35">
        <f>Sommaire!P60</f>
        <v>2076</v>
      </c>
      <c r="Q35" s="38">
        <f t="shared" ref="Q35:AR35" si="28">Q4</f>
        <v>4222.9428000000007</v>
      </c>
      <c r="R35" s="38">
        <f t="shared" si="28"/>
        <v>4222.9428000000007</v>
      </c>
      <c r="S35" s="38">
        <f t="shared" si="28"/>
        <v>4222.9428000000007</v>
      </c>
      <c r="T35" s="38">
        <f t="shared" si="28"/>
        <v>4222.9428000000007</v>
      </c>
      <c r="U35" s="38">
        <f t="shared" si="28"/>
        <v>4222.9428000000007</v>
      </c>
      <c r="V35" s="38">
        <f t="shared" si="28"/>
        <v>4222.9428000000007</v>
      </c>
      <c r="W35" s="38">
        <f t="shared" si="28"/>
        <v>4222.9428000000007</v>
      </c>
      <c r="X35" s="38">
        <f t="shared" si="28"/>
        <v>4222.9428000000007</v>
      </c>
      <c r="Y35" s="38">
        <f t="shared" si="28"/>
        <v>4222.9428000000007</v>
      </c>
      <c r="Z35" s="38">
        <f t="shared" si="28"/>
        <v>4222.9428000000007</v>
      </c>
      <c r="AA35" s="38">
        <f t="shared" si="28"/>
        <v>4222.9428000000007</v>
      </c>
      <c r="AB35" s="38">
        <f t="shared" si="28"/>
        <v>4222.9428000000007</v>
      </c>
      <c r="AC35" s="38">
        <f t="shared" si="28"/>
        <v>4222.9428000000007</v>
      </c>
      <c r="AD35" s="38">
        <f t="shared" si="28"/>
        <v>4222.9428000000007</v>
      </c>
      <c r="AE35" s="38">
        <f t="shared" si="28"/>
        <v>4222.9428000000007</v>
      </c>
      <c r="AF35" s="38">
        <f t="shared" si="28"/>
        <v>4222.9428000000007</v>
      </c>
      <c r="AG35" s="38">
        <f t="shared" si="28"/>
        <v>4222.9428000000007</v>
      </c>
      <c r="AH35" s="38">
        <f t="shared" si="28"/>
        <v>4222.9428000000007</v>
      </c>
      <c r="AI35" s="38">
        <f t="shared" si="28"/>
        <v>4222.9428000000007</v>
      </c>
      <c r="AJ35" s="38">
        <f t="shared" si="28"/>
        <v>4222.9428000000007</v>
      </c>
      <c r="AK35" s="38">
        <f t="shared" si="28"/>
        <v>4222.9428000000007</v>
      </c>
      <c r="AL35" s="38">
        <f t="shared" si="28"/>
        <v>4222.9428000000007</v>
      </c>
      <c r="AM35" s="38">
        <f t="shared" si="28"/>
        <v>4222.9428000000007</v>
      </c>
      <c r="AN35" s="38">
        <f t="shared" si="28"/>
        <v>4222.9428000000007</v>
      </c>
      <c r="AO35" s="38">
        <f t="shared" si="28"/>
        <v>4222.9428000000007</v>
      </c>
      <c r="AP35" s="38">
        <f t="shared" si="28"/>
        <v>4222.9428000000007</v>
      </c>
      <c r="AQ35" s="38">
        <f t="shared" si="28"/>
        <v>4222.9428000000007</v>
      </c>
      <c r="AR35" s="38">
        <f t="shared" si="28"/>
        <v>4222.9428000000007</v>
      </c>
    </row>
    <row r="36" spans="2:72" x14ac:dyDescent="0.25">
      <c r="B36" t="s">
        <v>352</v>
      </c>
      <c r="L36" s="38">
        <f>L5</f>
        <v>572.18200000000002</v>
      </c>
      <c r="M36" s="38">
        <f>M5</f>
        <v>593.30700000000002</v>
      </c>
      <c r="N36">
        <f>Sommaire!N59</f>
        <v>47.373999999999995</v>
      </c>
      <c r="O36" s="38">
        <f>O5</f>
        <v>638.65099999999995</v>
      </c>
      <c r="P36">
        <f>Sommaire!P59</f>
        <v>50.99</v>
      </c>
      <c r="Q36" s="38">
        <f t="shared" ref="Q36:AR36" si="29">Q5</f>
        <v>688.51900000000001</v>
      </c>
      <c r="R36" s="38">
        <f t="shared" si="29"/>
        <v>688.51900000000001</v>
      </c>
      <c r="S36" s="38">
        <f t="shared" si="29"/>
        <v>688.51900000000001</v>
      </c>
      <c r="T36" s="38">
        <f t="shared" si="29"/>
        <v>688.51900000000001</v>
      </c>
      <c r="U36" s="38">
        <f t="shared" si="29"/>
        <v>688.51900000000001</v>
      </c>
      <c r="V36" s="38">
        <f t="shared" si="29"/>
        <v>688.51900000000001</v>
      </c>
      <c r="W36" s="38">
        <f t="shared" si="29"/>
        <v>688.51900000000001</v>
      </c>
      <c r="X36" s="38">
        <f t="shared" si="29"/>
        <v>688.51900000000001</v>
      </c>
      <c r="Y36" s="38">
        <f t="shared" si="29"/>
        <v>688.51900000000001</v>
      </c>
      <c r="Z36" s="38">
        <f t="shared" si="29"/>
        <v>688.51900000000001</v>
      </c>
      <c r="AA36" s="38">
        <f t="shared" si="29"/>
        <v>688.51900000000001</v>
      </c>
      <c r="AB36" s="38">
        <f t="shared" si="29"/>
        <v>688.51900000000001</v>
      </c>
      <c r="AC36" s="38">
        <f t="shared" si="29"/>
        <v>688.51900000000001</v>
      </c>
      <c r="AD36" s="38">
        <f t="shared" si="29"/>
        <v>688.51900000000001</v>
      </c>
      <c r="AE36" s="38">
        <f t="shared" si="29"/>
        <v>688.51900000000001</v>
      </c>
      <c r="AF36" s="38">
        <f t="shared" si="29"/>
        <v>688.51900000000001</v>
      </c>
      <c r="AG36" s="38">
        <f t="shared" si="29"/>
        <v>688.51900000000001</v>
      </c>
      <c r="AH36" s="38">
        <f t="shared" si="29"/>
        <v>688.51900000000001</v>
      </c>
      <c r="AI36" s="38">
        <f t="shared" si="29"/>
        <v>688.51900000000001</v>
      </c>
      <c r="AJ36" s="38">
        <f t="shared" si="29"/>
        <v>688.51900000000001</v>
      </c>
      <c r="AK36" s="38">
        <f t="shared" si="29"/>
        <v>688.51900000000001</v>
      </c>
      <c r="AL36" s="38">
        <f t="shared" si="29"/>
        <v>688.51900000000001</v>
      </c>
      <c r="AM36" s="38">
        <f t="shared" si="29"/>
        <v>688.51900000000001</v>
      </c>
      <c r="AN36" s="38">
        <f t="shared" si="29"/>
        <v>688.51900000000001</v>
      </c>
      <c r="AO36" s="38">
        <f t="shared" si="29"/>
        <v>688.51900000000001</v>
      </c>
      <c r="AP36" s="38">
        <f t="shared" si="29"/>
        <v>688.51900000000001</v>
      </c>
      <c r="AQ36" s="38">
        <f t="shared" si="29"/>
        <v>688.51900000000001</v>
      </c>
      <c r="AR36" s="38">
        <f t="shared" si="29"/>
        <v>688.51900000000001</v>
      </c>
    </row>
    <row r="38" spans="2:72" x14ac:dyDescent="0.25">
      <c r="B38" t="s">
        <v>353</v>
      </c>
      <c r="AS38">
        <f>Sommaire!AS9</f>
        <v>41311.14</v>
      </c>
      <c r="AT38">
        <f>Sommaire!AT9</f>
        <v>41311.14</v>
      </c>
      <c r="AU38">
        <f>Sommaire!AU9</f>
        <v>41311.14</v>
      </c>
      <c r="AV38">
        <f>Sommaire!AV9</f>
        <v>41311.14</v>
      </c>
      <c r="AW38">
        <f>Sommaire!AW9</f>
        <v>41311.14</v>
      </c>
      <c r="AX38">
        <f>Sommaire!AX9</f>
        <v>28335.205000000002</v>
      </c>
      <c r="AY38">
        <f>Sommaire!AY9</f>
        <v>28335.205000000002</v>
      </c>
      <c r="AZ38">
        <f>Sommaire!AZ9</f>
        <v>28335.205000000002</v>
      </c>
      <c r="BA38">
        <f>Sommaire!BA9</f>
        <v>28335.205000000002</v>
      </c>
      <c r="BB38">
        <f>Sommaire!BB9</f>
        <v>28335.205000000002</v>
      </c>
      <c r="BC38">
        <f>Sommaire!BC9</f>
        <v>28335.205000000002</v>
      </c>
      <c r="BD38">
        <f>Sommaire!BD9</f>
        <v>28335.205000000002</v>
      </c>
      <c r="BE38">
        <f>Sommaire!BE9</f>
        <v>28335.205000000002</v>
      </c>
      <c r="BF38">
        <f>Sommaire!BF9</f>
        <v>28335.205000000002</v>
      </c>
      <c r="BG38">
        <f>Sommaire!BG9</f>
        <v>28335.205000000002</v>
      </c>
      <c r="BH38">
        <f>Sommaire!BH9</f>
        <v>28335.205000000002</v>
      </c>
      <c r="BI38">
        <f>Sommaire!BI9</f>
        <v>28335.205000000002</v>
      </c>
      <c r="BJ38">
        <f>Sommaire!BJ9</f>
        <v>28335.205000000002</v>
      </c>
      <c r="BK38">
        <f>Sommaire!BK9</f>
        <v>28335.205000000002</v>
      </c>
      <c r="BL38">
        <f>Sommaire!BL9</f>
        <v>28335.205000000002</v>
      </c>
      <c r="BM38">
        <f>Sommaire!BM9</f>
        <v>28335.205000000002</v>
      </c>
      <c r="BN38">
        <f>Sommaire!BN9</f>
        <v>28335.205000000002</v>
      </c>
      <c r="BO38">
        <f>Sommaire!BO9</f>
        <v>28335.205000000002</v>
      </c>
      <c r="BP38">
        <f>Sommaire!BP9</f>
        <v>28335.205000000002</v>
      </c>
      <c r="BQ38">
        <f>Sommaire!BQ9</f>
        <v>28335.205000000002</v>
      </c>
      <c r="BR38">
        <f>Sommaire!BR9</f>
        <v>28335.205000000002</v>
      </c>
      <c r="BS38">
        <f>Sommaire!BS9</f>
        <v>28335.205000000002</v>
      </c>
      <c r="BT38">
        <f>Sommaire!BT9</f>
        <v>28335.205000000002</v>
      </c>
    </row>
    <row r="39" spans="2:72" x14ac:dyDescent="0.25">
      <c r="B39" t="s">
        <v>354</v>
      </c>
      <c r="AS39">
        <f>Sommaire!AS27</f>
        <v>0</v>
      </c>
      <c r="AT39">
        <f>Sommaire!AT27</f>
        <v>0</v>
      </c>
      <c r="AU39">
        <f>Sommaire!AU27</f>
        <v>0</v>
      </c>
      <c r="AV39">
        <f>Sommaire!AV27</f>
        <v>0</v>
      </c>
      <c r="AW39">
        <f>Sommaire!AW27</f>
        <v>0</v>
      </c>
      <c r="AX39">
        <f>Sommaire!AX27</f>
        <v>7121.31</v>
      </c>
      <c r="AY39">
        <f>Sommaire!AY27</f>
        <v>7121.31</v>
      </c>
      <c r="AZ39">
        <f>Sommaire!AZ27</f>
        <v>7121.31</v>
      </c>
      <c r="BA39">
        <f>Sommaire!BA27</f>
        <v>7121.31</v>
      </c>
      <c r="BB39">
        <f>Sommaire!BB27</f>
        <v>7121.31</v>
      </c>
      <c r="BC39">
        <f>Sommaire!BC27</f>
        <v>7121.31</v>
      </c>
      <c r="BD39">
        <f>Sommaire!BD27</f>
        <v>7121.31</v>
      </c>
      <c r="BE39">
        <f>Sommaire!BE27</f>
        <v>7121.31</v>
      </c>
      <c r="BF39">
        <f>Sommaire!BF27</f>
        <v>7121.31</v>
      </c>
      <c r="BG39">
        <f>Sommaire!BG27</f>
        <v>7121.31</v>
      </c>
      <c r="BH39">
        <f>Sommaire!BH27</f>
        <v>7121.31</v>
      </c>
      <c r="BI39">
        <f>Sommaire!BI27</f>
        <v>7121.31</v>
      </c>
      <c r="BJ39">
        <f>Sommaire!BJ27</f>
        <v>7121.31</v>
      </c>
      <c r="BK39">
        <f>Sommaire!BK27</f>
        <v>7121.31</v>
      </c>
      <c r="BL39">
        <f>Sommaire!BL27</f>
        <v>7121.31</v>
      </c>
      <c r="BM39">
        <f>Sommaire!BM27</f>
        <v>7121.31</v>
      </c>
      <c r="BN39">
        <f>Sommaire!BN27</f>
        <v>7121.31</v>
      </c>
      <c r="BO39">
        <f>Sommaire!BO27</f>
        <v>7121.31</v>
      </c>
      <c r="BP39">
        <f>Sommaire!BP27</f>
        <v>7121.31</v>
      </c>
      <c r="BQ39">
        <f>Sommaire!BQ27</f>
        <v>7121.31</v>
      </c>
      <c r="BR39">
        <f>Sommaire!BR27</f>
        <v>7121.31</v>
      </c>
      <c r="BS39">
        <f>Sommaire!BS27</f>
        <v>7121.31</v>
      </c>
      <c r="BT39">
        <f>Sommaire!BT27</f>
        <v>7121.31</v>
      </c>
    </row>
    <row r="40" spans="2:72" x14ac:dyDescent="0.25">
      <c r="B40" t="s">
        <v>355</v>
      </c>
      <c r="AS40">
        <f>Sommaire!AS93-Sommaire!AS129</f>
        <v>0</v>
      </c>
      <c r="AT40">
        <f>Sommaire!AT93-Sommaire!AT129</f>
        <v>8505.1212100840312</v>
      </c>
      <c r="AU40">
        <f>Sommaire!AU93-Sommaire!AU129</f>
        <v>8505.1212100840312</v>
      </c>
      <c r="AV40">
        <f>Sommaire!AV93-Sommaire!AV129</f>
        <v>8505.1212100840312</v>
      </c>
      <c r="AW40">
        <f>Sommaire!AW93-Sommaire!AW129</f>
        <v>8505.1212100840312</v>
      </c>
      <c r="AX40">
        <f>Sommaire!AX93-Sommaire!AX129</f>
        <v>8505.1212100840312</v>
      </c>
      <c r="AY40">
        <f>Sommaire!AY93-Sommaire!AY129</f>
        <v>8505.1212100840312</v>
      </c>
      <c r="AZ40">
        <f>Sommaire!AZ93-Sommaire!AZ129</f>
        <v>8505.1212100840312</v>
      </c>
      <c r="BA40">
        <f>Sommaire!BA93-Sommaire!BA129</f>
        <v>8505.1212100840312</v>
      </c>
      <c r="BB40">
        <f>Sommaire!BB93-Sommaire!BB129</f>
        <v>8505.1212100840312</v>
      </c>
      <c r="BC40">
        <f>Sommaire!BC93-Sommaire!BC129</f>
        <v>8505.1212100840312</v>
      </c>
      <c r="BD40">
        <f>Sommaire!BD93-Sommaire!BD129</f>
        <v>8505.1212100840312</v>
      </c>
      <c r="BE40">
        <f>Sommaire!BE93-Sommaire!BE129</f>
        <v>8505.1212100840312</v>
      </c>
      <c r="BF40">
        <f>Sommaire!BF93-Sommaire!BF129</f>
        <v>8505.1212100840312</v>
      </c>
      <c r="BG40">
        <f>Sommaire!BG93-Sommaire!BG129</f>
        <v>8505.1212100840312</v>
      </c>
      <c r="BH40">
        <f>Sommaire!BH93-Sommaire!BH129</f>
        <v>8505.1212100840312</v>
      </c>
      <c r="BI40">
        <f>Sommaire!BI93-Sommaire!BI129</f>
        <v>8505.1212100840312</v>
      </c>
      <c r="BJ40">
        <f>Sommaire!BJ93-Sommaire!BJ129</f>
        <v>8505.1212100840312</v>
      </c>
      <c r="BK40">
        <f>Sommaire!BK93-Sommaire!BK129</f>
        <v>8505.1212100840312</v>
      </c>
      <c r="BL40">
        <f>Sommaire!BL93-Sommaire!BL129</f>
        <v>8505.1212100840312</v>
      </c>
      <c r="BM40">
        <f>Sommaire!BM93-Sommaire!BM129</f>
        <v>8505.1212100840312</v>
      </c>
      <c r="BN40">
        <f>Sommaire!BN93-Sommaire!BN129</f>
        <v>8505.1212100840312</v>
      </c>
      <c r="BO40">
        <f>Sommaire!BO93-Sommaire!BO129</f>
        <v>12523.725822581015</v>
      </c>
      <c r="BP40">
        <f>Sommaire!BP93-Sommaire!BP129</f>
        <v>12523.725822581015</v>
      </c>
      <c r="BQ40">
        <f>Sommaire!BQ93-Sommaire!BQ129</f>
        <v>12523.725822581015</v>
      </c>
      <c r="BR40">
        <f>Sommaire!BR93-Sommaire!BR129</f>
        <v>12523.725822581015</v>
      </c>
      <c r="BS40">
        <f>Sommaire!BS93-Sommaire!BS129</f>
        <v>12523.725822581015</v>
      </c>
      <c r="BT40">
        <f>Sommaire!BT93-Sommaire!BT129</f>
        <v>12523.725822581015</v>
      </c>
    </row>
    <row r="42" spans="2:72" x14ac:dyDescent="0.25">
      <c r="B42" t="s">
        <v>356</v>
      </c>
      <c r="L42">
        <f>Sommaire!L122</f>
        <v>49428.990000000027</v>
      </c>
      <c r="M42">
        <f>Sommaire!M122</f>
        <v>50427.64800000003</v>
      </c>
      <c r="N42">
        <f>Sommaire!N122</f>
        <v>44503.53403846157</v>
      </c>
      <c r="O42">
        <f>Sommaire!O122</f>
        <v>52424.964000000029</v>
      </c>
      <c r="P42">
        <f>Sommaire!P122</f>
        <v>46231.980576923102</v>
      </c>
      <c r="Q42">
        <f>Sommaire!Q122</f>
        <v>54422.280000000028</v>
      </c>
      <c r="R42">
        <f>Sommaire!R122</f>
        <v>55420.938000000031</v>
      </c>
      <c r="S42">
        <f>Sommaire!S122</f>
        <v>56419.596000000034</v>
      </c>
      <c r="T42">
        <f>Sommaire!T122</f>
        <v>57418.254000000001</v>
      </c>
      <c r="U42">
        <f>Sommaire!U122</f>
        <v>58416.912000000004</v>
      </c>
      <c r="V42">
        <f>Sommaire!V122</f>
        <v>59415.570000000007</v>
      </c>
      <c r="W42">
        <f>Sommaire!W122</f>
        <v>60414.22800000001</v>
      </c>
      <c r="X42">
        <f>Sommaire!X122</f>
        <v>61412.886000000013</v>
      </c>
      <c r="Y42">
        <f>Sommaire!Y122</f>
        <v>62411.544000000016</v>
      </c>
      <c r="Z42">
        <f>Sommaire!Z122</f>
        <v>63055.938000000002</v>
      </c>
      <c r="AA42">
        <f>Sommaire!AA122</f>
        <v>63055.938000000002</v>
      </c>
      <c r="AB42">
        <f>Sommaire!AB122</f>
        <v>63055.938000000002</v>
      </c>
      <c r="AC42">
        <f>Sommaire!AC122</f>
        <v>63055.938000000002</v>
      </c>
      <c r="AD42">
        <f>Sommaire!AD122</f>
        <v>63055.938000000002</v>
      </c>
      <c r="AE42">
        <f>Sommaire!AE122</f>
        <v>63055.938000000002</v>
      </c>
      <c r="AF42">
        <f>Sommaire!AF122</f>
        <v>63055.938000000002</v>
      </c>
      <c r="AG42">
        <f>Sommaire!AG122</f>
        <v>63055.938000000002</v>
      </c>
      <c r="AH42">
        <f>Sommaire!AH122</f>
        <v>63055.938000000002</v>
      </c>
      <c r="AI42">
        <f>Sommaire!AI122</f>
        <v>63055.938000000002</v>
      </c>
      <c r="AJ42">
        <f>Sommaire!AJ122</f>
        <v>63055.938000000002</v>
      </c>
      <c r="AK42">
        <f>Sommaire!AK122</f>
        <v>63055.938000000002</v>
      </c>
      <c r="AL42">
        <f>Sommaire!AL122</f>
        <v>63055.938000000002</v>
      </c>
      <c r="AM42">
        <f>Sommaire!AM122</f>
        <v>63055.938000000002</v>
      </c>
      <c r="AN42">
        <f>Sommaire!AN122</f>
        <v>63055.938000000002</v>
      </c>
      <c r="AO42">
        <f>Sommaire!AO122</f>
        <v>63055.938000000002</v>
      </c>
      <c r="AP42">
        <f>Sommaire!AP122</f>
        <v>63055.938000000002</v>
      </c>
      <c r="AQ42">
        <f>Sommaire!AQ122</f>
        <v>63055.938000000002</v>
      </c>
      <c r="AR42">
        <f>Sommaire!AR122</f>
        <v>63055.938000000002</v>
      </c>
    </row>
    <row r="43" spans="2:72" x14ac:dyDescent="0.25">
      <c r="B43" t="s">
        <v>357</v>
      </c>
      <c r="L43">
        <v>0</v>
      </c>
      <c r="M43">
        <v>0</v>
      </c>
      <c r="N43">
        <f>'Calculs source'!G178</f>
        <v>4751.8100000000004</v>
      </c>
      <c r="O43">
        <v>0</v>
      </c>
      <c r="P43">
        <f>'Calculs source'!G196</f>
        <v>4940.18</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row>
    <row r="44" spans="2:72" x14ac:dyDescent="0.25">
      <c r="B44" t="s">
        <v>358</v>
      </c>
      <c r="L44">
        <f>Sommaire!L126</f>
        <v>0</v>
      </c>
      <c r="M44">
        <f>Sommaire!M126</f>
        <v>3668.301255669654</v>
      </c>
      <c r="N44">
        <f>Sommaire!N126</f>
        <v>0</v>
      </c>
      <c r="O44">
        <f>Sommaire!O126</f>
        <v>3668.301255669654</v>
      </c>
      <c r="P44">
        <f>Sommaire!P126</f>
        <v>3668</v>
      </c>
      <c r="Q44">
        <f>Sommaire!Q126</f>
        <v>3668.301255669654</v>
      </c>
      <c r="R44">
        <f>Sommaire!R126</f>
        <v>3668.301255669654</v>
      </c>
      <c r="S44">
        <f>Sommaire!S126</f>
        <v>3668.301255669654</v>
      </c>
      <c r="T44">
        <f>Sommaire!T126</f>
        <v>3668.301255669654</v>
      </c>
      <c r="U44">
        <f>Sommaire!U126</f>
        <v>3668.301255669654</v>
      </c>
      <c r="V44">
        <f>Sommaire!V126</f>
        <v>3668.301255669654</v>
      </c>
      <c r="W44">
        <f>Sommaire!W126</f>
        <v>4338.4634167167915</v>
      </c>
      <c r="X44">
        <f>Sommaire!X126</f>
        <v>4338.4634167167915</v>
      </c>
      <c r="Y44">
        <f>Sommaire!Y126</f>
        <v>4338.4634167167915</v>
      </c>
      <c r="Z44">
        <f>Sommaire!Z126</f>
        <v>4338.4634167167915</v>
      </c>
      <c r="AA44">
        <f>Sommaire!AA126</f>
        <v>4338.4634167167915</v>
      </c>
      <c r="AB44">
        <f>Sommaire!AB126</f>
        <v>4338.4634167167915</v>
      </c>
      <c r="AC44">
        <f>Sommaire!AC126</f>
        <v>4338.4634167167915</v>
      </c>
      <c r="AD44">
        <f>Sommaire!AD126</f>
        <v>4338.4634167167915</v>
      </c>
      <c r="AE44">
        <f>Sommaire!AE126</f>
        <v>4338.4634167167915</v>
      </c>
      <c r="AF44">
        <f>Sommaire!AF126</f>
        <v>4338.4634167167915</v>
      </c>
      <c r="AG44">
        <f>Sommaire!AG126</f>
        <v>4338.4634167167915</v>
      </c>
      <c r="AH44">
        <f>Sommaire!AH126</f>
        <v>4338.4634167167915</v>
      </c>
      <c r="AI44">
        <f>Sommaire!AI126</f>
        <v>4338.4634167167915</v>
      </c>
      <c r="AJ44">
        <f>Sommaire!AJ126</f>
        <v>4338.4634167167915</v>
      </c>
      <c r="AK44">
        <f>Sommaire!AK126</f>
        <v>4338.4634167167915</v>
      </c>
      <c r="AL44">
        <f>Sommaire!AL126</f>
        <v>4338.4634167167915</v>
      </c>
      <c r="AM44">
        <f>Sommaire!AM126</f>
        <v>4338.4634167167915</v>
      </c>
      <c r="AN44">
        <f>Sommaire!AN126</f>
        <v>4338.4634167167915</v>
      </c>
      <c r="AO44">
        <f>Sommaire!AO126</f>
        <v>4338.4634167167915</v>
      </c>
      <c r="AP44">
        <f>Sommaire!AP126</f>
        <v>4338.4634167167915</v>
      </c>
      <c r="AQ44">
        <f>Sommaire!AQ126</f>
        <v>4338.4634167167915</v>
      </c>
      <c r="AR44">
        <f>Sommaire!AR126</f>
        <v>4338.4634167167915</v>
      </c>
    </row>
    <row r="46" spans="2:72" x14ac:dyDescent="0.25">
      <c r="B46" t="s">
        <v>359</v>
      </c>
      <c r="AS46">
        <f>Sommaire!AS128</f>
        <v>8775</v>
      </c>
      <c r="AT46">
        <f>Sommaire!AT128</f>
        <v>8775</v>
      </c>
      <c r="AU46">
        <f>Sommaire!AU128</f>
        <v>8775</v>
      </c>
      <c r="AV46">
        <f>Sommaire!AV128</f>
        <v>8775</v>
      </c>
      <c r="AW46">
        <f>Sommaire!AW128</f>
        <v>8775</v>
      </c>
      <c r="AX46">
        <f>Sommaire!AX128</f>
        <v>8775</v>
      </c>
      <c r="AY46">
        <f>Sommaire!AY128</f>
        <v>8775</v>
      </c>
      <c r="AZ46">
        <f>Sommaire!AZ128</f>
        <v>8775</v>
      </c>
      <c r="BA46">
        <f>Sommaire!BA128</f>
        <v>8775</v>
      </c>
      <c r="BB46">
        <f>Sommaire!BB128</f>
        <v>8775</v>
      </c>
      <c r="BC46">
        <f>Sommaire!BC128</f>
        <v>8775</v>
      </c>
      <c r="BD46">
        <f>Sommaire!BD128</f>
        <v>8775</v>
      </c>
      <c r="BE46">
        <f>Sommaire!BE128</f>
        <v>8775</v>
      </c>
      <c r="BF46">
        <f>Sommaire!BF128</f>
        <v>8775</v>
      </c>
      <c r="BG46">
        <f>Sommaire!BG128</f>
        <v>8775</v>
      </c>
      <c r="BH46">
        <f>Sommaire!BH128</f>
        <v>8775</v>
      </c>
      <c r="BI46">
        <f>Sommaire!BI128</f>
        <v>8775</v>
      </c>
      <c r="BJ46">
        <f>Sommaire!BJ128</f>
        <v>8775</v>
      </c>
      <c r="BK46">
        <f>Sommaire!BK128</f>
        <v>8775</v>
      </c>
      <c r="BL46">
        <f>Sommaire!BL128</f>
        <v>8775</v>
      </c>
      <c r="BM46">
        <f>Sommaire!BM128</f>
        <v>8775</v>
      </c>
      <c r="BN46">
        <f>Sommaire!BN128</f>
        <v>8748.2999999999993</v>
      </c>
    </row>
    <row r="47" spans="2:72" x14ac:dyDescent="0.25">
      <c r="B47" t="s">
        <v>360</v>
      </c>
      <c r="AS47">
        <f>Sommaire!AS79-Sommaire!AS27</f>
        <v>0</v>
      </c>
      <c r="AT47">
        <f>Sommaire!AT79-Sommaire!AT27</f>
        <v>0</v>
      </c>
      <c r="AU47">
        <f>Sommaire!AU79-Sommaire!AU27</f>
        <v>7121.31</v>
      </c>
      <c r="AV47">
        <f>Sommaire!AV79-Sommaire!AV27</f>
        <v>7121.31</v>
      </c>
      <c r="AW47">
        <f>Sommaire!AW79-Sommaire!AW27</f>
        <v>7121.31</v>
      </c>
      <c r="AX47">
        <f>Sommaire!AX79-Sommaire!AX27</f>
        <v>7121.31</v>
      </c>
      <c r="AY47">
        <f>Sommaire!AY79-Sommaire!AY27</f>
        <v>7121.31</v>
      </c>
      <c r="AZ47">
        <f>Sommaire!AZ79-Sommaire!AZ27</f>
        <v>7121.31</v>
      </c>
      <c r="BA47">
        <f>Sommaire!BA79-Sommaire!BA27</f>
        <v>7121.31</v>
      </c>
      <c r="BB47">
        <f>Sommaire!BB79-Sommaire!BB27</f>
        <v>7121.31</v>
      </c>
      <c r="BC47">
        <f>Sommaire!BC79-Sommaire!BC27</f>
        <v>7121.31</v>
      </c>
      <c r="BD47">
        <f>Sommaire!BD79-Sommaire!BD27</f>
        <v>7121.31</v>
      </c>
      <c r="BE47">
        <f>Sommaire!BE79-Sommaire!BE27</f>
        <v>7121.31</v>
      </c>
      <c r="BF47">
        <f>Sommaire!BF79-Sommaire!BF27</f>
        <v>7121.31</v>
      </c>
      <c r="BG47">
        <f>Sommaire!BG79-Sommaire!BG27</f>
        <v>7121.31</v>
      </c>
      <c r="BH47">
        <f>Sommaire!BH79-Sommaire!BH27</f>
        <v>7121.31</v>
      </c>
      <c r="BI47">
        <f>Sommaire!BI79-Sommaire!BI27</f>
        <v>7121.31</v>
      </c>
      <c r="BJ47">
        <f>Sommaire!BJ79-Sommaire!BJ27</f>
        <v>7121.31</v>
      </c>
      <c r="BK47">
        <f>Sommaire!BK79-Sommaire!BK27</f>
        <v>7121.31</v>
      </c>
      <c r="BL47">
        <f>Sommaire!BL79-Sommaire!BL27</f>
        <v>7121.31</v>
      </c>
      <c r="BM47">
        <f>Sommaire!BM79-Sommaire!BM27</f>
        <v>7121.31</v>
      </c>
      <c r="BN47">
        <f>Sommaire!BN79-Sommaire!BN27</f>
        <v>7121.31</v>
      </c>
    </row>
    <row r="48" spans="2:72" x14ac:dyDescent="0.25">
      <c r="B48" t="s">
        <v>361</v>
      </c>
      <c r="AS48">
        <f>Sommaire!AS129</f>
        <v>10716.278966658625</v>
      </c>
      <c r="AT48">
        <f>Sommaire!AT129</f>
        <v>10716.278966658625</v>
      </c>
      <c r="AU48">
        <f>Sommaire!AU129</f>
        <v>10716.278966658625</v>
      </c>
      <c r="AV48">
        <f>Sommaire!AV129</f>
        <v>10716.278966658625</v>
      </c>
      <c r="AW48">
        <f>Sommaire!AW129</f>
        <v>10716.278966658625</v>
      </c>
      <c r="AX48">
        <f>Sommaire!AX129</f>
        <v>10716.278966658625</v>
      </c>
      <c r="AY48">
        <f>Sommaire!AY129</f>
        <v>10716.278966658625</v>
      </c>
      <c r="AZ48">
        <f>Sommaire!AZ129</f>
        <v>10716.278966658625</v>
      </c>
      <c r="BA48">
        <f>Sommaire!BA129</f>
        <v>10716.278966658625</v>
      </c>
      <c r="BB48">
        <f>Sommaire!BB129</f>
        <v>10716.278966658625</v>
      </c>
      <c r="BC48">
        <f>Sommaire!BC129</f>
        <v>10716.278966658625</v>
      </c>
      <c r="BD48">
        <f>Sommaire!BD129</f>
        <v>10716.278966658625</v>
      </c>
      <c r="BE48">
        <f>Sommaire!BE129</f>
        <v>10716.278966658625</v>
      </c>
      <c r="BF48">
        <f>Sommaire!BF129</f>
        <v>10716.278966658625</v>
      </c>
      <c r="BG48">
        <f>Sommaire!BG129</f>
        <v>10716.278966658625</v>
      </c>
      <c r="BH48">
        <f>Sommaire!BH129</f>
        <v>10716.278966658625</v>
      </c>
      <c r="BI48">
        <f>Sommaire!BI129</f>
        <v>10716.278966658625</v>
      </c>
      <c r="BJ48">
        <f>Sommaire!BJ129</f>
        <v>10716.278966658625</v>
      </c>
      <c r="BK48">
        <f>Sommaire!BK129</f>
        <v>10716.278966658625</v>
      </c>
      <c r="BL48">
        <f>Sommaire!BL129</f>
        <v>10716.278966658625</v>
      </c>
      <c r="BM48">
        <f>Sommaire!BM129</f>
        <v>10716.278966658625</v>
      </c>
      <c r="BN48">
        <f>Sommaire!BN129</f>
        <v>10716.278966658625</v>
      </c>
    </row>
    <row r="50" spans="1:72" x14ac:dyDescent="0.25">
      <c r="A50" t="s">
        <v>362</v>
      </c>
    </row>
    <row r="51" spans="1:72" x14ac:dyDescent="0.25">
      <c r="B51" t="s">
        <v>335</v>
      </c>
      <c r="L51">
        <v>1150</v>
      </c>
      <c r="M51">
        <v>1150</v>
      </c>
      <c r="N51">
        <v>218.64</v>
      </c>
      <c r="O51">
        <v>1150</v>
      </c>
      <c r="P51">
        <v>235.32</v>
      </c>
      <c r="Q51">
        <v>1150</v>
      </c>
      <c r="R51">
        <v>1150</v>
      </c>
      <c r="S51">
        <v>1150</v>
      </c>
      <c r="T51">
        <v>1150</v>
      </c>
      <c r="U51">
        <v>1150</v>
      </c>
      <c r="V51">
        <v>1150</v>
      </c>
      <c r="W51">
        <v>1150</v>
      </c>
      <c r="X51">
        <v>1150</v>
      </c>
      <c r="Y51">
        <v>1150</v>
      </c>
      <c r="Z51">
        <v>1150</v>
      </c>
      <c r="AA51">
        <v>1150</v>
      </c>
      <c r="AB51">
        <v>1150</v>
      </c>
      <c r="AC51">
        <v>1150</v>
      </c>
      <c r="AD51">
        <v>1150</v>
      </c>
      <c r="AE51">
        <v>1150</v>
      </c>
      <c r="AF51">
        <v>1150</v>
      </c>
      <c r="AG51">
        <v>1150</v>
      </c>
      <c r="AH51">
        <v>1150</v>
      </c>
      <c r="AI51">
        <v>1150</v>
      </c>
      <c r="AJ51">
        <v>1150</v>
      </c>
      <c r="AK51">
        <v>1150</v>
      </c>
      <c r="AL51">
        <v>1150</v>
      </c>
      <c r="AM51">
        <v>1150</v>
      </c>
      <c r="AN51">
        <v>1150</v>
      </c>
      <c r="AO51">
        <v>1150</v>
      </c>
      <c r="AP51">
        <v>1150</v>
      </c>
      <c r="AQ51">
        <v>1150</v>
      </c>
      <c r="AR51">
        <v>1150</v>
      </c>
      <c r="AS51">
        <v>0</v>
      </c>
      <c r="AT51">
        <v>0</v>
      </c>
    </row>
    <row r="52" spans="1:72" x14ac:dyDescent="0.25">
      <c r="B52" t="s">
        <v>303</v>
      </c>
      <c r="L52" s="38">
        <f>L35</f>
        <v>3076.5759000000003</v>
      </c>
      <c r="M52" s="38">
        <f>M35</f>
        <v>3284.7384000000002</v>
      </c>
      <c r="N52">
        <v>1834</v>
      </c>
      <c r="O52">
        <v>3732</v>
      </c>
      <c r="P52">
        <v>2076</v>
      </c>
      <c r="Q52">
        <v>4223</v>
      </c>
      <c r="R52">
        <v>4223</v>
      </c>
      <c r="S52">
        <v>4223</v>
      </c>
      <c r="T52">
        <v>4223</v>
      </c>
      <c r="U52">
        <v>4223</v>
      </c>
      <c r="V52">
        <v>4223</v>
      </c>
      <c r="W52">
        <v>4223</v>
      </c>
      <c r="X52">
        <v>4223</v>
      </c>
      <c r="Y52">
        <v>4223</v>
      </c>
      <c r="Z52">
        <v>4223</v>
      </c>
      <c r="AA52">
        <v>4223</v>
      </c>
      <c r="AB52">
        <v>4223</v>
      </c>
      <c r="AC52">
        <v>4223</v>
      </c>
      <c r="AD52">
        <v>4223</v>
      </c>
      <c r="AE52">
        <v>4223</v>
      </c>
      <c r="AF52">
        <v>4223</v>
      </c>
      <c r="AG52">
        <v>4223</v>
      </c>
      <c r="AH52">
        <v>4223</v>
      </c>
      <c r="AI52">
        <v>4223</v>
      </c>
      <c r="AJ52">
        <v>4223</v>
      </c>
      <c r="AK52">
        <v>4223</v>
      </c>
      <c r="AL52">
        <v>4223</v>
      </c>
      <c r="AM52">
        <v>4223</v>
      </c>
      <c r="AN52">
        <v>4223</v>
      </c>
      <c r="AO52">
        <v>4223</v>
      </c>
      <c r="AP52">
        <v>4223</v>
      </c>
      <c r="AQ52">
        <v>4223</v>
      </c>
      <c r="AR52">
        <v>4223</v>
      </c>
      <c r="AS52">
        <v>0</v>
      </c>
      <c r="AT52">
        <v>0</v>
      </c>
    </row>
    <row r="53" spans="1:72" x14ac:dyDescent="0.25">
      <c r="B53" t="s">
        <v>336</v>
      </c>
      <c r="L53">
        <f t="shared" ref="L53:M53" si="30">15012*0.15</f>
        <v>2251.7999999999997</v>
      </c>
      <c r="M53">
        <f t="shared" si="30"/>
        <v>2251.7999999999997</v>
      </c>
      <c r="N53">
        <f>15012*0.15</f>
        <v>2251.7999999999997</v>
      </c>
      <c r="O53">
        <f>15012*0.15</f>
        <v>2251.7999999999997</v>
      </c>
      <c r="P53">
        <f>15012*0.15</f>
        <v>2251.7999999999997</v>
      </c>
      <c r="Q53">
        <f t="shared" ref="Q53:AS53" si="31">15012*0.15</f>
        <v>2251.7999999999997</v>
      </c>
      <c r="R53">
        <f t="shared" si="31"/>
        <v>2251.7999999999997</v>
      </c>
      <c r="S53">
        <f t="shared" si="31"/>
        <v>2251.7999999999997</v>
      </c>
      <c r="T53">
        <f t="shared" si="31"/>
        <v>2251.7999999999997</v>
      </c>
      <c r="U53">
        <f t="shared" si="31"/>
        <v>2251.7999999999997</v>
      </c>
      <c r="V53">
        <f t="shared" si="31"/>
        <v>2251.7999999999997</v>
      </c>
      <c r="W53">
        <f t="shared" si="31"/>
        <v>2251.7999999999997</v>
      </c>
      <c r="X53">
        <f t="shared" si="31"/>
        <v>2251.7999999999997</v>
      </c>
      <c r="Y53">
        <f t="shared" si="31"/>
        <v>2251.7999999999997</v>
      </c>
      <c r="Z53">
        <f t="shared" si="31"/>
        <v>2251.7999999999997</v>
      </c>
      <c r="AA53">
        <f t="shared" si="31"/>
        <v>2251.7999999999997</v>
      </c>
      <c r="AB53">
        <f t="shared" si="31"/>
        <v>2251.7999999999997</v>
      </c>
      <c r="AC53">
        <f t="shared" si="31"/>
        <v>2251.7999999999997</v>
      </c>
      <c r="AD53">
        <f t="shared" si="31"/>
        <v>2251.7999999999997</v>
      </c>
      <c r="AE53">
        <f t="shared" si="31"/>
        <v>2251.7999999999997</v>
      </c>
      <c r="AF53">
        <f t="shared" si="31"/>
        <v>2251.7999999999997</v>
      </c>
      <c r="AG53">
        <f t="shared" si="31"/>
        <v>2251.7999999999997</v>
      </c>
      <c r="AH53">
        <f t="shared" si="31"/>
        <v>2251.7999999999997</v>
      </c>
      <c r="AI53">
        <f t="shared" si="31"/>
        <v>2251.7999999999997</v>
      </c>
      <c r="AJ53">
        <f t="shared" si="31"/>
        <v>2251.7999999999997</v>
      </c>
      <c r="AK53">
        <f t="shared" si="31"/>
        <v>2251.7999999999997</v>
      </c>
      <c r="AL53">
        <f t="shared" si="31"/>
        <v>2251.7999999999997</v>
      </c>
      <c r="AM53">
        <f t="shared" si="31"/>
        <v>2251.7999999999997</v>
      </c>
      <c r="AN53">
        <f t="shared" si="31"/>
        <v>2251.7999999999997</v>
      </c>
      <c r="AO53">
        <f t="shared" si="31"/>
        <v>2251.7999999999997</v>
      </c>
      <c r="AP53">
        <f t="shared" si="31"/>
        <v>2251.7999999999997</v>
      </c>
      <c r="AQ53">
        <f t="shared" si="31"/>
        <v>2251.7999999999997</v>
      </c>
      <c r="AR53">
        <f t="shared" si="31"/>
        <v>2251.7999999999997</v>
      </c>
      <c r="AS53">
        <f t="shared" si="31"/>
        <v>2251.7999999999997</v>
      </c>
      <c r="AT53">
        <f>15012*0.15</f>
        <v>2251.7999999999997</v>
      </c>
      <c r="AU53">
        <f t="shared" ref="AU53:AW53" si="32">15012*0.15</f>
        <v>2251.7999999999997</v>
      </c>
      <c r="AV53">
        <f t="shared" si="32"/>
        <v>2251.7999999999997</v>
      </c>
      <c r="AW53">
        <f t="shared" si="32"/>
        <v>2251.7999999999997</v>
      </c>
      <c r="AX53">
        <f>15012*0.15</f>
        <v>2251.7999999999997</v>
      </c>
      <c r="AY53">
        <f t="shared" ref="AY53:BN53" si="33">15012*0.15</f>
        <v>2251.7999999999997</v>
      </c>
      <c r="AZ53">
        <f t="shared" si="33"/>
        <v>2251.7999999999997</v>
      </c>
      <c r="BA53">
        <f t="shared" si="33"/>
        <v>2251.7999999999997</v>
      </c>
      <c r="BB53">
        <f t="shared" si="33"/>
        <v>2251.7999999999997</v>
      </c>
      <c r="BC53">
        <f t="shared" si="33"/>
        <v>2251.7999999999997</v>
      </c>
      <c r="BD53">
        <f t="shared" si="33"/>
        <v>2251.7999999999997</v>
      </c>
      <c r="BE53">
        <f t="shared" si="33"/>
        <v>2251.7999999999997</v>
      </c>
      <c r="BF53">
        <f t="shared" si="33"/>
        <v>2251.7999999999997</v>
      </c>
      <c r="BG53">
        <f t="shared" si="33"/>
        <v>2251.7999999999997</v>
      </c>
      <c r="BH53">
        <f t="shared" si="33"/>
        <v>2251.7999999999997</v>
      </c>
      <c r="BI53">
        <f t="shared" si="33"/>
        <v>2251.7999999999997</v>
      </c>
      <c r="BJ53">
        <f t="shared" si="33"/>
        <v>2251.7999999999997</v>
      </c>
      <c r="BK53">
        <f t="shared" si="33"/>
        <v>2251.7999999999997</v>
      </c>
      <c r="BL53">
        <f t="shared" si="33"/>
        <v>2251.7999999999997</v>
      </c>
      <c r="BM53">
        <f t="shared" si="33"/>
        <v>2251.7999999999997</v>
      </c>
      <c r="BN53">
        <f t="shared" si="33"/>
        <v>2251.7999999999997</v>
      </c>
      <c r="BO53">
        <f>BN53</f>
        <v>2251.7999999999997</v>
      </c>
      <c r="BP53">
        <f t="shared" ref="BP53:BT53" si="34">BO53</f>
        <v>2251.7999999999997</v>
      </c>
      <c r="BQ53">
        <f t="shared" si="34"/>
        <v>2251.7999999999997</v>
      </c>
      <c r="BR53">
        <f t="shared" si="34"/>
        <v>2251.7999999999997</v>
      </c>
      <c r="BS53">
        <f t="shared" si="34"/>
        <v>2251.7999999999997</v>
      </c>
      <c r="BT53">
        <f t="shared" si="34"/>
        <v>2251.7999999999997</v>
      </c>
    </row>
    <row r="54" spans="1:72" x14ac:dyDescent="0.25">
      <c r="B54" t="s">
        <v>363</v>
      </c>
      <c r="AS54">
        <f>295.13*0.15</f>
        <v>44.269500000000001</v>
      </c>
      <c r="AU54">
        <f t="shared" ref="AU54:AW54" si="35">261.77*0.15</f>
        <v>39.265499999999996</v>
      </c>
      <c r="AV54">
        <f t="shared" si="35"/>
        <v>39.265499999999996</v>
      </c>
      <c r="AW54">
        <f t="shared" si="35"/>
        <v>39.265499999999996</v>
      </c>
      <c r="AX54">
        <f>2536.98*0.15</f>
        <v>380.54699999999997</v>
      </c>
      <c r="AY54">
        <f t="shared" ref="AY54:BN54" si="36">2536.98*0.15</f>
        <v>380.54699999999997</v>
      </c>
      <c r="AZ54">
        <f t="shared" si="36"/>
        <v>380.54699999999997</v>
      </c>
      <c r="BA54">
        <f t="shared" si="36"/>
        <v>380.54699999999997</v>
      </c>
      <c r="BB54">
        <f t="shared" si="36"/>
        <v>380.54699999999997</v>
      </c>
      <c r="BC54">
        <f t="shared" si="36"/>
        <v>380.54699999999997</v>
      </c>
      <c r="BD54">
        <f t="shared" si="36"/>
        <v>380.54699999999997</v>
      </c>
      <c r="BE54">
        <f t="shared" si="36"/>
        <v>380.54699999999997</v>
      </c>
      <c r="BF54">
        <f t="shared" si="36"/>
        <v>380.54699999999997</v>
      </c>
      <c r="BG54">
        <f t="shared" si="36"/>
        <v>380.54699999999997</v>
      </c>
      <c r="BH54">
        <f t="shared" si="36"/>
        <v>380.54699999999997</v>
      </c>
      <c r="BI54">
        <f t="shared" si="36"/>
        <v>380.54699999999997</v>
      </c>
      <c r="BJ54">
        <f t="shared" si="36"/>
        <v>380.54699999999997</v>
      </c>
      <c r="BK54">
        <f t="shared" si="36"/>
        <v>380.54699999999997</v>
      </c>
      <c r="BL54">
        <f t="shared" si="36"/>
        <v>380.54699999999997</v>
      </c>
      <c r="BM54">
        <f t="shared" si="36"/>
        <v>380.54699999999997</v>
      </c>
      <c r="BN54">
        <f t="shared" si="36"/>
        <v>380.54699999999997</v>
      </c>
      <c r="BO54">
        <f>5068.33*0.15</f>
        <v>760.24950000000001</v>
      </c>
      <c r="BP54">
        <f t="shared" ref="BP54:BT54" si="37">5068.33*0.15</f>
        <v>760.24950000000001</v>
      </c>
      <c r="BQ54">
        <f t="shared" si="37"/>
        <v>760.24950000000001</v>
      </c>
      <c r="BR54">
        <f t="shared" si="37"/>
        <v>760.24950000000001</v>
      </c>
      <c r="BS54">
        <f t="shared" si="37"/>
        <v>760.24950000000001</v>
      </c>
      <c r="BT54">
        <f t="shared" si="37"/>
        <v>760.24950000000001</v>
      </c>
    </row>
    <row r="55" spans="1:72" x14ac:dyDescent="0.25">
      <c r="B55" t="s">
        <v>364</v>
      </c>
    </row>
    <row r="56" spans="1:72" x14ac:dyDescent="0.25">
      <c r="B56" t="s">
        <v>338</v>
      </c>
      <c r="L56">
        <f>L36*0.1</f>
        <v>57.218200000000003</v>
      </c>
      <c r="M56">
        <f>M36*0.1</f>
        <v>59.330700000000007</v>
      </c>
      <c r="N56">
        <f>N36*0.1</f>
        <v>4.7374000000000001</v>
      </c>
      <c r="O56">
        <f>O36*0.1</f>
        <v>63.865099999999998</v>
      </c>
      <c r="P56">
        <f>P36*0.1</f>
        <v>5.0990000000000002</v>
      </c>
      <c r="Q56">
        <f t="shared" ref="Q56:AR56" si="38">Q36*0.1</f>
        <v>68.851900000000001</v>
      </c>
      <c r="R56">
        <f t="shared" si="38"/>
        <v>68.851900000000001</v>
      </c>
      <c r="S56">
        <f t="shared" si="38"/>
        <v>68.851900000000001</v>
      </c>
      <c r="T56">
        <f t="shared" si="38"/>
        <v>68.851900000000001</v>
      </c>
      <c r="U56">
        <f t="shared" si="38"/>
        <v>68.851900000000001</v>
      </c>
      <c r="V56">
        <f t="shared" si="38"/>
        <v>68.851900000000001</v>
      </c>
      <c r="W56">
        <f t="shared" si="38"/>
        <v>68.851900000000001</v>
      </c>
      <c r="X56">
        <f t="shared" si="38"/>
        <v>68.851900000000001</v>
      </c>
      <c r="Y56">
        <f t="shared" si="38"/>
        <v>68.851900000000001</v>
      </c>
      <c r="Z56">
        <f t="shared" si="38"/>
        <v>68.851900000000001</v>
      </c>
      <c r="AA56">
        <f t="shared" si="38"/>
        <v>68.851900000000001</v>
      </c>
      <c r="AB56">
        <f t="shared" si="38"/>
        <v>68.851900000000001</v>
      </c>
      <c r="AC56">
        <f t="shared" si="38"/>
        <v>68.851900000000001</v>
      </c>
      <c r="AD56">
        <f t="shared" si="38"/>
        <v>68.851900000000001</v>
      </c>
      <c r="AE56">
        <f t="shared" si="38"/>
        <v>68.851900000000001</v>
      </c>
      <c r="AF56">
        <f t="shared" si="38"/>
        <v>68.851900000000001</v>
      </c>
      <c r="AG56">
        <f t="shared" si="38"/>
        <v>68.851900000000001</v>
      </c>
      <c r="AH56">
        <f t="shared" si="38"/>
        <v>68.851900000000001</v>
      </c>
      <c r="AI56">
        <f t="shared" si="38"/>
        <v>68.851900000000001</v>
      </c>
      <c r="AJ56">
        <f t="shared" si="38"/>
        <v>68.851900000000001</v>
      </c>
      <c r="AK56">
        <f t="shared" si="38"/>
        <v>68.851900000000001</v>
      </c>
      <c r="AL56">
        <f t="shared" si="38"/>
        <v>68.851900000000001</v>
      </c>
      <c r="AM56">
        <f t="shared" si="38"/>
        <v>68.851900000000001</v>
      </c>
      <c r="AN56">
        <f t="shared" si="38"/>
        <v>68.851900000000001</v>
      </c>
      <c r="AO56">
        <f t="shared" si="38"/>
        <v>68.851900000000001</v>
      </c>
      <c r="AP56">
        <f t="shared" si="38"/>
        <v>68.851900000000001</v>
      </c>
      <c r="AQ56">
        <f t="shared" si="38"/>
        <v>68.851900000000001</v>
      </c>
      <c r="AR56">
        <f t="shared" si="38"/>
        <v>68.851900000000001</v>
      </c>
    </row>
    <row r="57" spans="1:72" x14ac:dyDescent="0.25">
      <c r="B57" t="s">
        <v>365</v>
      </c>
    </row>
    <row r="58" spans="1:72" x14ac:dyDescent="0.25">
      <c r="B58" t="s">
        <v>339</v>
      </c>
      <c r="L58">
        <v>5968.05</v>
      </c>
      <c r="M58">
        <v>6180.6</v>
      </c>
      <c r="N58">
        <v>4168.41</v>
      </c>
      <c r="O58">
        <v>6696.25</v>
      </c>
      <c r="P58">
        <v>4471.6899999999996</v>
      </c>
      <c r="Q58">
        <v>7365.25</v>
      </c>
      <c r="R58">
        <v>7365.25</v>
      </c>
      <c r="S58">
        <v>7365.25</v>
      </c>
      <c r="T58">
        <v>7365.25</v>
      </c>
      <c r="U58">
        <v>7365.25</v>
      </c>
      <c r="V58">
        <v>7365.25</v>
      </c>
      <c r="W58">
        <v>7365.25</v>
      </c>
      <c r="X58">
        <v>7365.25</v>
      </c>
      <c r="Y58">
        <v>7365.25</v>
      </c>
      <c r="Z58">
        <v>7365.25</v>
      </c>
      <c r="AA58">
        <v>7365.25</v>
      </c>
      <c r="AB58">
        <v>7365.25</v>
      </c>
      <c r="AC58">
        <v>7365.25</v>
      </c>
      <c r="AD58">
        <v>7365.25</v>
      </c>
      <c r="AE58">
        <v>7365.25</v>
      </c>
      <c r="AF58">
        <v>7365.25</v>
      </c>
      <c r="AG58">
        <v>7365.25</v>
      </c>
      <c r="AH58">
        <v>7365.25</v>
      </c>
      <c r="AI58">
        <v>7365.25</v>
      </c>
      <c r="AJ58">
        <v>7365.25</v>
      </c>
      <c r="AK58">
        <v>7365.25</v>
      </c>
      <c r="AL58">
        <v>7365.25</v>
      </c>
      <c r="AM58">
        <v>7365.25</v>
      </c>
      <c r="AN58">
        <v>7365.25</v>
      </c>
      <c r="AO58">
        <v>7365.25</v>
      </c>
      <c r="AP58">
        <v>7365.25</v>
      </c>
      <c r="AQ58">
        <v>7365.25</v>
      </c>
      <c r="AR58">
        <v>7365.25</v>
      </c>
      <c r="AS58">
        <v>6196.65</v>
      </c>
      <c r="AT58">
        <v>7810.47</v>
      </c>
      <c r="AU58">
        <v>7810.47</v>
      </c>
      <c r="AV58">
        <v>7810.47</v>
      </c>
      <c r="AW58">
        <v>7810.47</v>
      </c>
      <c r="AX58">
        <v>6469.57</v>
      </c>
      <c r="AY58">
        <v>6469.57</v>
      </c>
      <c r="AZ58">
        <v>6469.57</v>
      </c>
      <c r="BA58">
        <v>6469.57</v>
      </c>
      <c r="BB58">
        <v>6469.57</v>
      </c>
      <c r="BC58">
        <v>6469.57</v>
      </c>
      <c r="BD58">
        <v>6469.57</v>
      </c>
      <c r="BE58">
        <v>6469.57</v>
      </c>
      <c r="BF58">
        <v>6469.57</v>
      </c>
      <c r="BG58">
        <v>6469.57</v>
      </c>
      <c r="BH58">
        <v>6469.57</v>
      </c>
      <c r="BI58">
        <v>6469.57</v>
      </c>
      <c r="BJ58">
        <v>6469.57</v>
      </c>
      <c r="BK58">
        <v>6469.57</v>
      </c>
      <c r="BL58">
        <v>6469.57</v>
      </c>
      <c r="BM58">
        <v>6469.57</v>
      </c>
      <c r="BN58">
        <v>6469.57</v>
      </c>
      <c r="BO58">
        <v>7443.3</v>
      </c>
      <c r="BP58">
        <v>7443.3</v>
      </c>
      <c r="BQ58">
        <v>7443.3</v>
      </c>
      <c r="BR58">
        <v>7443.3</v>
      </c>
      <c r="BS58">
        <v>7443.3</v>
      </c>
      <c r="BT58">
        <v>7443.3</v>
      </c>
    </row>
    <row r="59" spans="1:72" x14ac:dyDescent="0.25">
      <c r="B59" t="s">
        <v>340</v>
      </c>
      <c r="L59">
        <f t="shared" ref="L59:N59" si="39">L58-(L57+L56+L55+L54+L53)</f>
        <v>3659.0318000000007</v>
      </c>
      <c r="M59">
        <f t="shared" si="39"/>
        <v>3869.4693000000007</v>
      </c>
      <c r="N59">
        <f t="shared" si="39"/>
        <v>1911.8726000000001</v>
      </c>
      <c r="O59">
        <f>O58-(O57+O56+O55+O54+O53)</f>
        <v>4380.5848999999998</v>
      </c>
      <c r="P59">
        <f>P58-(P57+P56+P55+P54+P53)</f>
        <v>2214.7909999999997</v>
      </c>
      <c r="Q59">
        <f>Q58-(Q57+Q56+Q55+Q54+Q53)</f>
        <v>5044.5981000000002</v>
      </c>
      <c r="R59">
        <f t="shared" ref="R59:AA59" si="40">R58-(R57+R56+R55+R54+R53)</f>
        <v>5044.5981000000002</v>
      </c>
      <c r="S59">
        <f t="shared" si="40"/>
        <v>5044.5981000000002</v>
      </c>
      <c r="T59">
        <f t="shared" si="40"/>
        <v>5044.5981000000002</v>
      </c>
      <c r="U59">
        <f t="shared" si="40"/>
        <v>5044.5981000000002</v>
      </c>
      <c r="V59">
        <f t="shared" si="40"/>
        <v>5044.5981000000002</v>
      </c>
      <c r="W59">
        <f t="shared" si="40"/>
        <v>5044.5981000000002</v>
      </c>
      <c r="X59">
        <f t="shared" si="40"/>
        <v>5044.5981000000002</v>
      </c>
      <c r="Y59">
        <f t="shared" si="40"/>
        <v>5044.5981000000002</v>
      </c>
      <c r="Z59">
        <f t="shared" si="40"/>
        <v>5044.5981000000002</v>
      </c>
      <c r="AA59">
        <f t="shared" si="40"/>
        <v>5044.5981000000002</v>
      </c>
      <c r="AB59">
        <f t="shared" ref="AB59" si="41">AB58-(AB57+AB56+AB55+AB54+AB53)</f>
        <v>5044.5981000000002</v>
      </c>
      <c r="AC59">
        <f t="shared" ref="AC59" si="42">AC58-(AC57+AC56+AC55+AC54+AC53)</f>
        <v>5044.5981000000002</v>
      </c>
      <c r="AD59">
        <f t="shared" ref="AD59" si="43">AD58-(AD57+AD56+AD55+AD54+AD53)</f>
        <v>5044.5981000000002</v>
      </c>
      <c r="AE59">
        <f t="shared" ref="AE59" si="44">AE58-(AE57+AE56+AE55+AE54+AE53)</f>
        <v>5044.5981000000002</v>
      </c>
      <c r="AF59">
        <f t="shared" ref="AF59" si="45">AF58-(AF57+AF56+AF55+AF54+AF53)</f>
        <v>5044.5981000000002</v>
      </c>
      <c r="AG59">
        <f t="shared" ref="AG59" si="46">AG58-(AG57+AG56+AG55+AG54+AG53)</f>
        <v>5044.5981000000002</v>
      </c>
      <c r="AH59">
        <f t="shared" ref="AH59" si="47">AH58-(AH57+AH56+AH55+AH54+AH53)</f>
        <v>5044.5981000000002</v>
      </c>
      <c r="AI59">
        <f t="shared" ref="AI59" si="48">AI58-(AI57+AI56+AI55+AI54+AI53)</f>
        <v>5044.5981000000002</v>
      </c>
      <c r="AJ59">
        <f t="shared" ref="AJ59" si="49">AJ58-(AJ57+AJ56+AJ55+AJ54+AJ53)</f>
        <v>5044.5981000000002</v>
      </c>
      <c r="AK59">
        <f t="shared" ref="AK59" si="50">AK58-(AK57+AK56+AK55+AK54+AK53)</f>
        <v>5044.5981000000002</v>
      </c>
      <c r="AL59">
        <f t="shared" ref="AL59" si="51">AL58-(AL57+AL56+AL55+AL54+AL53)</f>
        <v>5044.5981000000002</v>
      </c>
      <c r="AM59">
        <f t="shared" ref="AM59" si="52">AM58-(AM57+AM56+AM55+AM54+AM53)</f>
        <v>5044.5981000000002</v>
      </c>
      <c r="AN59">
        <f t="shared" ref="AN59" si="53">AN58-(AN57+AN56+AN55+AN54+AN53)</f>
        <v>5044.5981000000002</v>
      </c>
      <c r="AO59">
        <f t="shared" ref="AO59" si="54">AO58-(AO57+AO56+AO55+AO54+AO53)</f>
        <v>5044.5981000000002</v>
      </c>
      <c r="AP59">
        <f t="shared" ref="AP59" si="55">AP58-(AP57+AP56+AP55+AP54+AP53)</f>
        <v>5044.5981000000002</v>
      </c>
      <c r="AQ59">
        <f t="shared" ref="AQ59" si="56">AQ58-(AQ57+AQ56+AQ55+AQ54+AQ53)</f>
        <v>5044.5981000000002</v>
      </c>
      <c r="AR59">
        <f t="shared" ref="AR59:AV59" si="57">AR58-(AR57+AR56+AR55+AR54+AR53)</f>
        <v>5044.5981000000002</v>
      </c>
      <c r="AS59">
        <f t="shared" si="57"/>
        <v>3900.5805</v>
      </c>
      <c r="AT59">
        <f t="shared" si="57"/>
        <v>5558.67</v>
      </c>
      <c r="AU59">
        <f t="shared" si="57"/>
        <v>5519.4045000000006</v>
      </c>
      <c r="AV59">
        <f t="shared" si="57"/>
        <v>5519.4045000000006</v>
      </c>
      <c r="AW59">
        <f t="shared" ref="AW59" si="58">AW58-(AW57+AW56+AW55+AW54+AW53)</f>
        <v>5519.4045000000006</v>
      </c>
      <c r="AX59">
        <f t="shared" ref="AX59" si="59">AX58-(AX57+AX56+AX55+AX54+AX53)</f>
        <v>3837.223</v>
      </c>
      <c r="AY59">
        <f t="shared" ref="AY59:BN59" si="60">AY58-(AY57+AY56+AY55+AY54+AY53)</f>
        <v>3837.223</v>
      </c>
      <c r="AZ59">
        <f t="shared" si="60"/>
        <v>3837.223</v>
      </c>
      <c r="BA59">
        <f t="shared" si="60"/>
        <v>3837.223</v>
      </c>
      <c r="BB59">
        <f t="shared" si="60"/>
        <v>3837.223</v>
      </c>
      <c r="BC59">
        <f t="shared" si="60"/>
        <v>3837.223</v>
      </c>
      <c r="BD59">
        <f t="shared" si="60"/>
        <v>3837.223</v>
      </c>
      <c r="BE59">
        <f t="shared" si="60"/>
        <v>3837.223</v>
      </c>
      <c r="BF59">
        <f t="shared" si="60"/>
        <v>3837.223</v>
      </c>
      <c r="BG59">
        <f t="shared" si="60"/>
        <v>3837.223</v>
      </c>
      <c r="BH59">
        <f t="shared" si="60"/>
        <v>3837.223</v>
      </c>
      <c r="BI59">
        <f t="shared" si="60"/>
        <v>3837.223</v>
      </c>
      <c r="BJ59">
        <f t="shared" si="60"/>
        <v>3837.223</v>
      </c>
      <c r="BK59">
        <f t="shared" si="60"/>
        <v>3837.223</v>
      </c>
      <c r="BL59">
        <f t="shared" si="60"/>
        <v>3837.223</v>
      </c>
      <c r="BM59">
        <f t="shared" si="60"/>
        <v>3837.223</v>
      </c>
      <c r="BN59">
        <f t="shared" si="60"/>
        <v>3837.223</v>
      </c>
      <c r="BO59">
        <f t="shared" ref="BO59" si="61">BO58-(BO57+BO56+BO55+BO54+BO53)</f>
        <v>4431.2505000000001</v>
      </c>
      <c r="BP59">
        <f t="shared" ref="BP59:BT59" si="62">BP58-(BP57+BP56+BP55+BP54+BP53)</f>
        <v>4431.2505000000001</v>
      </c>
      <c r="BQ59">
        <f t="shared" si="62"/>
        <v>4431.2505000000001</v>
      </c>
      <c r="BR59">
        <f t="shared" si="62"/>
        <v>4431.2505000000001</v>
      </c>
      <c r="BS59">
        <f t="shared" si="62"/>
        <v>4431.2505000000001</v>
      </c>
      <c r="BT59">
        <f t="shared" si="62"/>
        <v>4431.2505000000001</v>
      </c>
    </row>
    <row r="61" spans="1:72" x14ac:dyDescent="0.25">
      <c r="A61" t="s">
        <v>366</v>
      </c>
    </row>
    <row r="62" spans="1:72" x14ac:dyDescent="0.25">
      <c r="B62" t="s">
        <v>341</v>
      </c>
      <c r="L62" s="38">
        <f t="shared" ref="L62:N63" si="63">L35</f>
        <v>3076.5759000000003</v>
      </c>
      <c r="M62" s="38">
        <f t="shared" si="63"/>
        <v>3284.7384000000002</v>
      </c>
      <c r="N62">
        <f t="shared" si="63"/>
        <v>1834</v>
      </c>
      <c r="O62">
        <v>3732</v>
      </c>
      <c r="P62">
        <f>P35</f>
        <v>2076</v>
      </c>
      <c r="Q62">
        <v>4223</v>
      </c>
      <c r="R62">
        <v>4223</v>
      </c>
      <c r="S62">
        <v>4223</v>
      </c>
      <c r="T62">
        <v>4223</v>
      </c>
      <c r="U62">
        <v>4223</v>
      </c>
      <c r="V62">
        <v>4223</v>
      </c>
      <c r="W62">
        <v>4223</v>
      </c>
      <c r="X62">
        <v>4223</v>
      </c>
      <c r="Y62">
        <v>4223</v>
      </c>
      <c r="Z62">
        <v>4223</v>
      </c>
      <c r="AA62">
        <v>4223</v>
      </c>
      <c r="AB62">
        <v>4223</v>
      </c>
      <c r="AC62">
        <v>4223</v>
      </c>
      <c r="AD62">
        <v>4223</v>
      </c>
      <c r="AE62">
        <v>4223</v>
      </c>
      <c r="AF62">
        <v>4223</v>
      </c>
      <c r="AG62">
        <v>4223</v>
      </c>
      <c r="AH62">
        <v>4223</v>
      </c>
      <c r="AI62">
        <v>4223</v>
      </c>
      <c r="AJ62">
        <v>4223</v>
      </c>
      <c r="AK62">
        <v>4223</v>
      </c>
      <c r="AL62">
        <v>4223</v>
      </c>
      <c r="AM62">
        <v>4223</v>
      </c>
      <c r="AN62">
        <v>4223</v>
      </c>
      <c r="AO62">
        <v>4223</v>
      </c>
      <c r="AP62">
        <v>4223</v>
      </c>
      <c r="AQ62">
        <v>4223</v>
      </c>
      <c r="AR62">
        <v>4223</v>
      </c>
      <c r="AS62">
        <v>0</v>
      </c>
      <c r="AT62">
        <v>0</v>
      </c>
    </row>
    <row r="63" spans="1:72" x14ac:dyDescent="0.25">
      <c r="B63" t="s">
        <v>332</v>
      </c>
      <c r="L63" s="38">
        <f t="shared" si="63"/>
        <v>572.18200000000002</v>
      </c>
      <c r="M63" s="38">
        <f t="shared" si="63"/>
        <v>593.30700000000002</v>
      </c>
      <c r="N63">
        <f t="shared" si="63"/>
        <v>47.373999999999995</v>
      </c>
      <c r="O63">
        <v>639</v>
      </c>
      <c r="P63">
        <f>P36</f>
        <v>50.99</v>
      </c>
      <c r="Q63" s="38">
        <f>Q36</f>
        <v>688.51900000000001</v>
      </c>
      <c r="R63" s="38">
        <f t="shared" ref="R63:AR63" si="64">R36</f>
        <v>688.51900000000001</v>
      </c>
      <c r="S63" s="38">
        <f t="shared" si="64"/>
        <v>688.51900000000001</v>
      </c>
      <c r="T63" s="38">
        <f t="shared" si="64"/>
        <v>688.51900000000001</v>
      </c>
      <c r="U63" s="38">
        <f t="shared" si="64"/>
        <v>688.51900000000001</v>
      </c>
      <c r="V63" s="38">
        <f t="shared" si="64"/>
        <v>688.51900000000001</v>
      </c>
      <c r="W63" s="38">
        <f t="shared" si="64"/>
        <v>688.51900000000001</v>
      </c>
      <c r="X63" s="38">
        <f t="shared" si="64"/>
        <v>688.51900000000001</v>
      </c>
      <c r="Y63" s="38">
        <f t="shared" si="64"/>
        <v>688.51900000000001</v>
      </c>
      <c r="Z63" s="38">
        <f t="shared" si="64"/>
        <v>688.51900000000001</v>
      </c>
      <c r="AA63" s="38">
        <f t="shared" si="64"/>
        <v>688.51900000000001</v>
      </c>
      <c r="AB63" s="38">
        <f t="shared" si="64"/>
        <v>688.51900000000001</v>
      </c>
      <c r="AC63" s="38">
        <f t="shared" si="64"/>
        <v>688.51900000000001</v>
      </c>
      <c r="AD63" s="38">
        <f t="shared" si="64"/>
        <v>688.51900000000001</v>
      </c>
      <c r="AE63" s="38">
        <f t="shared" si="64"/>
        <v>688.51900000000001</v>
      </c>
      <c r="AF63" s="38">
        <f t="shared" si="64"/>
        <v>688.51900000000001</v>
      </c>
      <c r="AG63" s="38">
        <f t="shared" si="64"/>
        <v>688.51900000000001</v>
      </c>
      <c r="AH63" s="38">
        <f t="shared" si="64"/>
        <v>688.51900000000001</v>
      </c>
      <c r="AI63" s="38">
        <f t="shared" si="64"/>
        <v>688.51900000000001</v>
      </c>
      <c r="AJ63" s="38">
        <f t="shared" si="64"/>
        <v>688.51900000000001</v>
      </c>
      <c r="AK63" s="38">
        <f t="shared" si="64"/>
        <v>688.51900000000001</v>
      </c>
      <c r="AL63" s="38">
        <f t="shared" si="64"/>
        <v>688.51900000000001</v>
      </c>
      <c r="AM63" s="38">
        <f t="shared" si="64"/>
        <v>688.51900000000001</v>
      </c>
      <c r="AN63" s="38">
        <f t="shared" si="64"/>
        <v>688.51900000000001</v>
      </c>
      <c r="AO63" s="38">
        <f t="shared" si="64"/>
        <v>688.51900000000001</v>
      </c>
      <c r="AP63" s="38">
        <f t="shared" si="64"/>
        <v>688.51900000000001</v>
      </c>
      <c r="AQ63" s="38">
        <f t="shared" si="64"/>
        <v>688.51900000000001</v>
      </c>
      <c r="AR63" s="38">
        <f t="shared" si="64"/>
        <v>688.51900000000001</v>
      </c>
      <c r="AS63">
        <v>0</v>
      </c>
      <c r="AT63">
        <v>0</v>
      </c>
    </row>
    <row r="64" spans="1:72" x14ac:dyDescent="0.25">
      <c r="B64" t="s">
        <v>367</v>
      </c>
      <c r="N64">
        <v>0</v>
      </c>
      <c r="O64">
        <f>'B.P. Coût place garderie'!C61</f>
        <v>2743.4</v>
      </c>
      <c r="P64">
        <f>'B.P. Coût place garderie'!D61</f>
        <v>2261</v>
      </c>
      <c r="Q64">
        <f>'B.P. Coût place garderie'!E61</f>
        <v>5453.2</v>
      </c>
      <c r="R64">
        <f>'B.P. Coût place garderie'!F61</f>
        <v>5508.4</v>
      </c>
      <c r="S64">
        <f>'B.P. Coût place garderie'!G61</f>
        <v>4633.3999999999996</v>
      </c>
      <c r="T64">
        <f>'B.P. Coût place garderie'!H61</f>
        <v>4669.3999999999996</v>
      </c>
      <c r="U64">
        <f>'B.P. Coût place garderie'!I61</f>
        <v>3247.2</v>
      </c>
      <c r="V64">
        <f>'B.P. Coût place garderie'!J61</f>
        <v>3247.2</v>
      </c>
      <c r="W64">
        <f>'B.P. Coût place garderie'!K61</f>
        <v>3247.2</v>
      </c>
      <c r="X64">
        <f>'B.P. Coût place garderie'!L61</f>
        <v>3247.2</v>
      </c>
      <c r="Y64">
        <f>'B.P. Coût place garderie'!M61</f>
        <v>3247.2</v>
      </c>
      <c r="Z64" s="35">
        <f>'B.P. Coût place garderie'!N61</f>
        <v>0</v>
      </c>
    </row>
    <row r="65" spans="1:72" x14ac:dyDescent="0.25">
      <c r="B65" t="s">
        <v>342</v>
      </c>
      <c r="L65">
        <f t="shared" ref="L65:O65" si="65">11809*0.15</f>
        <v>1771.35</v>
      </c>
      <c r="M65">
        <f t="shared" si="65"/>
        <v>1771.35</v>
      </c>
      <c r="N65">
        <f t="shared" si="65"/>
        <v>1771.35</v>
      </c>
      <c r="O65">
        <f t="shared" si="65"/>
        <v>1771.35</v>
      </c>
      <c r="P65">
        <f>11809*0.15</f>
        <v>1771.35</v>
      </c>
      <c r="Q65">
        <f t="shared" ref="Q65:AR65" si="66">11809*0.15</f>
        <v>1771.35</v>
      </c>
      <c r="R65">
        <f t="shared" si="66"/>
        <v>1771.35</v>
      </c>
      <c r="S65">
        <f t="shared" si="66"/>
        <v>1771.35</v>
      </c>
      <c r="T65">
        <f t="shared" si="66"/>
        <v>1771.35</v>
      </c>
      <c r="U65">
        <f t="shared" si="66"/>
        <v>1771.35</v>
      </c>
      <c r="V65">
        <f t="shared" si="66"/>
        <v>1771.35</v>
      </c>
      <c r="W65">
        <f t="shared" si="66"/>
        <v>1771.35</v>
      </c>
      <c r="X65">
        <f t="shared" si="66"/>
        <v>1771.35</v>
      </c>
      <c r="Y65">
        <f t="shared" si="66"/>
        <v>1771.35</v>
      </c>
      <c r="Z65">
        <f t="shared" si="66"/>
        <v>1771.35</v>
      </c>
      <c r="AA65">
        <f t="shared" si="66"/>
        <v>1771.35</v>
      </c>
      <c r="AB65">
        <f t="shared" si="66"/>
        <v>1771.35</v>
      </c>
      <c r="AC65">
        <f t="shared" si="66"/>
        <v>1771.35</v>
      </c>
      <c r="AD65">
        <f t="shared" si="66"/>
        <v>1771.35</v>
      </c>
      <c r="AE65">
        <f t="shared" si="66"/>
        <v>1771.35</v>
      </c>
      <c r="AF65">
        <f t="shared" si="66"/>
        <v>1771.35</v>
      </c>
      <c r="AG65">
        <f t="shared" si="66"/>
        <v>1771.35</v>
      </c>
      <c r="AH65">
        <f t="shared" si="66"/>
        <v>1771.35</v>
      </c>
      <c r="AI65">
        <f t="shared" si="66"/>
        <v>1771.35</v>
      </c>
      <c r="AJ65">
        <f t="shared" si="66"/>
        <v>1771.35</v>
      </c>
      <c r="AK65">
        <f t="shared" si="66"/>
        <v>1771.35</v>
      </c>
      <c r="AL65">
        <f t="shared" si="66"/>
        <v>1771.35</v>
      </c>
      <c r="AM65">
        <f t="shared" si="66"/>
        <v>1771.35</v>
      </c>
      <c r="AN65">
        <f t="shared" si="66"/>
        <v>1771.35</v>
      </c>
      <c r="AO65">
        <f t="shared" si="66"/>
        <v>1771.35</v>
      </c>
      <c r="AP65">
        <f t="shared" si="66"/>
        <v>1771.35</v>
      </c>
      <c r="AQ65">
        <f t="shared" si="66"/>
        <v>1771.35</v>
      </c>
      <c r="AR65">
        <f t="shared" si="66"/>
        <v>1771.35</v>
      </c>
      <c r="AS65">
        <f>(11809+2000)*0.15</f>
        <v>2071.35</v>
      </c>
      <c r="AT65">
        <f>(11809+2000)*0.15</f>
        <v>2071.35</v>
      </c>
      <c r="AU65">
        <f t="shared" ref="AU65:AW65" si="67">(11809+2000)*0.15</f>
        <v>2071.35</v>
      </c>
      <c r="AV65">
        <f t="shared" si="67"/>
        <v>2071.35</v>
      </c>
      <c r="AW65">
        <f t="shared" si="67"/>
        <v>2071.35</v>
      </c>
      <c r="AX65">
        <f>(11809+7333+2000)*0.15</f>
        <v>3171.2999999999997</v>
      </c>
      <c r="AY65">
        <f t="shared" ref="AY65:BN65" si="68">(11809+7333+2000)*0.15</f>
        <v>3171.2999999999997</v>
      </c>
      <c r="AZ65">
        <f t="shared" si="68"/>
        <v>3171.2999999999997</v>
      </c>
      <c r="BA65">
        <f t="shared" si="68"/>
        <v>3171.2999999999997</v>
      </c>
      <c r="BB65">
        <f t="shared" si="68"/>
        <v>3171.2999999999997</v>
      </c>
      <c r="BC65">
        <f t="shared" si="68"/>
        <v>3171.2999999999997</v>
      </c>
      <c r="BD65">
        <f t="shared" si="68"/>
        <v>3171.2999999999997</v>
      </c>
      <c r="BE65">
        <f t="shared" si="68"/>
        <v>3171.2999999999997</v>
      </c>
      <c r="BF65">
        <f t="shared" si="68"/>
        <v>3171.2999999999997</v>
      </c>
      <c r="BG65">
        <f t="shared" si="68"/>
        <v>3171.2999999999997</v>
      </c>
      <c r="BH65">
        <f t="shared" si="68"/>
        <v>3171.2999999999997</v>
      </c>
      <c r="BI65">
        <f t="shared" si="68"/>
        <v>3171.2999999999997</v>
      </c>
      <c r="BJ65">
        <f t="shared" si="68"/>
        <v>3171.2999999999997</v>
      </c>
      <c r="BK65">
        <f t="shared" si="68"/>
        <v>3171.2999999999997</v>
      </c>
      <c r="BL65">
        <f t="shared" si="68"/>
        <v>3171.2999999999997</v>
      </c>
      <c r="BM65">
        <f t="shared" si="68"/>
        <v>3171.2999999999997</v>
      </c>
      <c r="BN65">
        <f t="shared" si="68"/>
        <v>3171.2999999999997</v>
      </c>
      <c r="BO65">
        <f>(11809+5682.36+2000)*0.15</f>
        <v>2923.7040000000002</v>
      </c>
      <c r="BP65">
        <f t="shared" ref="BP65:BT65" si="69">(11809+5682.36+2000)*0.15</f>
        <v>2923.7040000000002</v>
      </c>
      <c r="BQ65">
        <f t="shared" si="69"/>
        <v>2923.7040000000002</v>
      </c>
      <c r="BR65">
        <f t="shared" si="69"/>
        <v>2923.7040000000002</v>
      </c>
      <c r="BS65">
        <f t="shared" si="69"/>
        <v>2923.7040000000002</v>
      </c>
      <c r="BT65">
        <f t="shared" si="69"/>
        <v>2923.7040000000002</v>
      </c>
    </row>
    <row r="66" spans="1:72" x14ac:dyDescent="0.25">
      <c r="B66" t="s">
        <v>368</v>
      </c>
    </row>
    <row r="67" spans="1:72" x14ac:dyDescent="0.25">
      <c r="B67" t="s">
        <v>343</v>
      </c>
      <c r="L67">
        <f>(2187.76+572.18+241.2)*0.15</f>
        <v>450.17099999999999</v>
      </c>
      <c r="M67">
        <f>(2275.51+593.31+250.1)*0.15</f>
        <v>467.83799999999997</v>
      </c>
      <c r="N67">
        <f>(7.78+47.37+19.97)*0.15</f>
        <v>11.268000000000001</v>
      </c>
      <c r="O67">
        <f>(2463.86+638.65+269.22)*0.15</f>
        <v>505.75950000000006</v>
      </c>
      <c r="P67">
        <f>(22.79+50.99+21.49)*0.15</f>
        <v>14.2905</v>
      </c>
      <c r="Q67">
        <f>(2671+672.1+290.24)*0.15</f>
        <v>545.00099999999998</v>
      </c>
      <c r="R67">
        <f t="shared" ref="R67:AR67" si="70">(2671+672.1+290.24)*0.15</f>
        <v>545.00099999999998</v>
      </c>
      <c r="S67">
        <f t="shared" si="70"/>
        <v>545.00099999999998</v>
      </c>
      <c r="T67">
        <f t="shared" si="70"/>
        <v>545.00099999999998</v>
      </c>
      <c r="U67">
        <f t="shared" si="70"/>
        <v>545.00099999999998</v>
      </c>
      <c r="V67">
        <f t="shared" si="70"/>
        <v>545.00099999999998</v>
      </c>
      <c r="W67">
        <f t="shared" si="70"/>
        <v>545.00099999999998</v>
      </c>
      <c r="X67">
        <f t="shared" si="70"/>
        <v>545.00099999999998</v>
      </c>
      <c r="Y67">
        <f t="shared" si="70"/>
        <v>545.00099999999998</v>
      </c>
      <c r="Z67">
        <f t="shared" si="70"/>
        <v>545.00099999999998</v>
      </c>
      <c r="AA67">
        <f t="shared" si="70"/>
        <v>545.00099999999998</v>
      </c>
      <c r="AB67">
        <f t="shared" si="70"/>
        <v>545.00099999999998</v>
      </c>
      <c r="AC67">
        <f t="shared" si="70"/>
        <v>545.00099999999998</v>
      </c>
      <c r="AD67">
        <f t="shared" si="70"/>
        <v>545.00099999999998</v>
      </c>
      <c r="AE67">
        <f t="shared" si="70"/>
        <v>545.00099999999998</v>
      </c>
      <c r="AF67">
        <f t="shared" si="70"/>
        <v>545.00099999999998</v>
      </c>
      <c r="AG67">
        <f t="shared" si="70"/>
        <v>545.00099999999998</v>
      </c>
      <c r="AH67">
        <f t="shared" si="70"/>
        <v>545.00099999999998</v>
      </c>
      <c r="AI67">
        <f t="shared" si="70"/>
        <v>545.00099999999998</v>
      </c>
      <c r="AJ67">
        <f t="shared" si="70"/>
        <v>545.00099999999998</v>
      </c>
      <c r="AK67">
        <f t="shared" si="70"/>
        <v>545.00099999999998</v>
      </c>
      <c r="AL67">
        <f t="shared" si="70"/>
        <v>545.00099999999998</v>
      </c>
      <c r="AM67">
        <f t="shared" si="70"/>
        <v>545.00099999999998</v>
      </c>
      <c r="AN67">
        <f t="shared" si="70"/>
        <v>545.00099999999998</v>
      </c>
      <c r="AO67">
        <f t="shared" si="70"/>
        <v>545.00099999999998</v>
      </c>
      <c r="AP67">
        <f t="shared" si="70"/>
        <v>545.00099999999998</v>
      </c>
      <c r="AQ67">
        <f t="shared" si="70"/>
        <v>545.00099999999998</v>
      </c>
      <c r="AR67">
        <f t="shared" si="70"/>
        <v>545.00099999999998</v>
      </c>
    </row>
    <row r="68" spans="1:72" x14ac:dyDescent="0.25">
      <c r="B68" t="s">
        <v>344</v>
      </c>
      <c r="L68">
        <f t="shared" ref="L68:N68" si="71">1195*0.15</f>
        <v>179.25</v>
      </c>
      <c r="M68">
        <f t="shared" si="71"/>
        <v>179.25</v>
      </c>
      <c r="N68">
        <f t="shared" si="71"/>
        <v>179.25</v>
      </c>
      <c r="O68">
        <f>1195*0.15</f>
        <v>179.25</v>
      </c>
      <c r="P68">
        <f>1195*0.15</f>
        <v>179.25</v>
      </c>
      <c r="Q68">
        <f>1195*0.15</f>
        <v>179.25</v>
      </c>
      <c r="R68">
        <f t="shared" ref="R68:AR68" si="72">1195*0.15</f>
        <v>179.25</v>
      </c>
      <c r="S68">
        <f t="shared" si="72"/>
        <v>179.25</v>
      </c>
      <c r="T68">
        <f t="shared" si="72"/>
        <v>179.25</v>
      </c>
      <c r="U68">
        <f t="shared" si="72"/>
        <v>179.25</v>
      </c>
      <c r="V68">
        <f t="shared" si="72"/>
        <v>179.25</v>
      </c>
      <c r="W68">
        <f t="shared" si="72"/>
        <v>179.25</v>
      </c>
      <c r="X68">
        <f t="shared" si="72"/>
        <v>179.25</v>
      </c>
      <c r="Y68">
        <f t="shared" si="72"/>
        <v>179.25</v>
      </c>
      <c r="Z68">
        <f t="shared" si="72"/>
        <v>179.25</v>
      </c>
      <c r="AA68">
        <f t="shared" si="72"/>
        <v>179.25</v>
      </c>
      <c r="AB68">
        <f t="shared" si="72"/>
        <v>179.25</v>
      </c>
      <c r="AC68">
        <f t="shared" si="72"/>
        <v>179.25</v>
      </c>
      <c r="AD68">
        <f t="shared" si="72"/>
        <v>179.25</v>
      </c>
      <c r="AE68">
        <f t="shared" si="72"/>
        <v>179.25</v>
      </c>
      <c r="AF68">
        <f t="shared" si="72"/>
        <v>179.25</v>
      </c>
      <c r="AG68">
        <f t="shared" si="72"/>
        <v>179.25</v>
      </c>
      <c r="AH68">
        <f t="shared" si="72"/>
        <v>179.25</v>
      </c>
      <c r="AI68">
        <f t="shared" si="72"/>
        <v>179.25</v>
      </c>
      <c r="AJ68">
        <f t="shared" si="72"/>
        <v>179.25</v>
      </c>
      <c r="AK68">
        <f t="shared" si="72"/>
        <v>179.25</v>
      </c>
      <c r="AL68">
        <f t="shared" si="72"/>
        <v>179.25</v>
      </c>
      <c r="AM68">
        <f t="shared" si="72"/>
        <v>179.25</v>
      </c>
      <c r="AN68">
        <f t="shared" si="72"/>
        <v>179.25</v>
      </c>
      <c r="AO68">
        <f t="shared" si="72"/>
        <v>179.25</v>
      </c>
      <c r="AP68">
        <f t="shared" si="72"/>
        <v>179.25</v>
      </c>
      <c r="AQ68">
        <f t="shared" si="72"/>
        <v>179.25</v>
      </c>
      <c r="AR68">
        <f t="shared" si="72"/>
        <v>179.25</v>
      </c>
    </row>
    <row r="69" spans="1:72" x14ac:dyDescent="0.25">
      <c r="B69" t="s">
        <v>369</v>
      </c>
      <c r="AS69">
        <f>(663.33)*0.15</f>
        <v>99.499499999999998</v>
      </c>
      <c r="AU69">
        <v>0</v>
      </c>
      <c r="AV69">
        <v>0</v>
      </c>
      <c r="AW69">
        <v>0</v>
      </c>
    </row>
    <row r="70" spans="1:72" x14ac:dyDescent="0.25">
      <c r="B70" t="s">
        <v>370</v>
      </c>
    </row>
    <row r="71" spans="1:72" x14ac:dyDescent="0.25">
      <c r="B71" t="s">
        <v>345</v>
      </c>
      <c r="L71">
        <v>6054.75</v>
      </c>
      <c r="M71">
        <v>6264.15</v>
      </c>
      <c r="N71">
        <v>4194.1499999999996</v>
      </c>
      <c r="O71">
        <v>6301.89</v>
      </c>
      <c r="P71">
        <v>4160.1899999999996</v>
      </c>
      <c r="Q71">
        <v>6389.67</v>
      </c>
      <c r="R71">
        <v>6381.39</v>
      </c>
      <c r="S71">
        <v>6512.64</v>
      </c>
      <c r="T71">
        <v>6507.24</v>
      </c>
      <c r="U71">
        <v>6720.57</v>
      </c>
      <c r="V71">
        <v>6720.57</v>
      </c>
      <c r="W71">
        <v>6720.57</v>
      </c>
      <c r="X71">
        <v>6720.57</v>
      </c>
      <c r="Y71">
        <v>6720.57</v>
      </c>
      <c r="Z71">
        <v>7287.43</v>
      </c>
      <c r="AA71">
        <v>7287.43</v>
      </c>
      <c r="AB71">
        <v>7287.43</v>
      </c>
      <c r="AC71">
        <v>7287.43</v>
      </c>
      <c r="AD71">
        <v>7287.43</v>
      </c>
      <c r="AE71">
        <v>7287.43</v>
      </c>
      <c r="AF71">
        <v>7287.43</v>
      </c>
      <c r="AG71">
        <v>7287.43</v>
      </c>
      <c r="AH71">
        <v>7287.43</v>
      </c>
      <c r="AI71">
        <v>7287.43</v>
      </c>
      <c r="AJ71">
        <v>7287.43</v>
      </c>
      <c r="AK71">
        <v>7287.43</v>
      </c>
      <c r="AL71">
        <v>7287.43</v>
      </c>
      <c r="AM71">
        <v>7287.43</v>
      </c>
      <c r="AN71">
        <v>7287.43</v>
      </c>
      <c r="AO71">
        <v>7287.43</v>
      </c>
      <c r="AP71">
        <v>7287.43</v>
      </c>
      <c r="AQ71">
        <v>7287.43</v>
      </c>
      <c r="AR71">
        <v>7287.43</v>
      </c>
      <c r="AS71">
        <v>3098.34</v>
      </c>
      <c r="AT71">
        <v>6976.71</v>
      </c>
      <c r="AU71">
        <v>6976.71</v>
      </c>
      <c r="AV71">
        <f>AU71</f>
        <v>6976.71</v>
      </c>
      <c r="AW71">
        <f>AV71</f>
        <v>6976.71</v>
      </c>
      <c r="AX71">
        <v>5531.68</v>
      </c>
      <c r="AY71">
        <v>5531.68</v>
      </c>
      <c r="AZ71">
        <v>5531.68</v>
      </c>
      <c r="BA71">
        <v>5531.68</v>
      </c>
      <c r="BB71">
        <v>5531.68</v>
      </c>
      <c r="BC71">
        <v>5531.68</v>
      </c>
      <c r="BD71">
        <v>5531.68</v>
      </c>
      <c r="BE71">
        <v>5531.68</v>
      </c>
      <c r="BF71">
        <v>5531.68</v>
      </c>
      <c r="BG71">
        <v>5531.68</v>
      </c>
      <c r="BH71">
        <v>5531.68</v>
      </c>
      <c r="BI71">
        <v>5531.68</v>
      </c>
      <c r="BJ71">
        <v>5531.68</v>
      </c>
      <c r="BK71">
        <v>5531.68</v>
      </c>
      <c r="BL71">
        <v>5531.68</v>
      </c>
      <c r="BM71">
        <v>5531.68</v>
      </c>
      <c r="BN71">
        <v>5531.68</v>
      </c>
      <c r="BO71">
        <v>7272.93</v>
      </c>
      <c r="BP71">
        <v>7272.93</v>
      </c>
      <c r="BQ71">
        <v>7272.93</v>
      </c>
      <c r="BR71">
        <v>7272.93</v>
      </c>
      <c r="BS71">
        <v>7272.93</v>
      </c>
      <c r="BT71">
        <v>7272.93</v>
      </c>
    </row>
    <row r="72" spans="1:72" x14ac:dyDescent="0.25">
      <c r="B72" t="s">
        <v>346</v>
      </c>
      <c r="L72">
        <f t="shared" ref="L72:N72" si="73">L71-(L68+L67+L65)</f>
        <v>3653.9790000000003</v>
      </c>
      <c r="M72">
        <f t="shared" si="73"/>
        <v>3845.7119999999995</v>
      </c>
      <c r="N72">
        <f t="shared" si="73"/>
        <v>2232.2819999999997</v>
      </c>
      <c r="O72">
        <f>O71-(O68+O67+O65)</f>
        <v>3845.5305000000003</v>
      </c>
      <c r="P72">
        <f>P71-(P68+P67+P65)</f>
        <v>2195.2994999999996</v>
      </c>
      <c r="Q72">
        <f>Q71-(Q68+Q67+Q65)</f>
        <v>3894.0690000000004</v>
      </c>
      <c r="R72" s="263">
        <f t="shared" ref="R72:AR72" si="74">R71-(R68+R67+R65)</f>
        <v>3885.7890000000007</v>
      </c>
      <c r="S72" s="263">
        <f t="shared" si="74"/>
        <v>4017.0390000000007</v>
      </c>
      <c r="T72" s="263">
        <f t="shared" si="74"/>
        <v>4011.6390000000001</v>
      </c>
      <c r="U72" s="263">
        <f t="shared" si="74"/>
        <v>4224.9690000000001</v>
      </c>
      <c r="V72" s="263">
        <f t="shared" si="74"/>
        <v>4224.9690000000001</v>
      </c>
      <c r="W72" s="263">
        <f t="shared" si="74"/>
        <v>4224.9690000000001</v>
      </c>
      <c r="X72" s="263">
        <f t="shared" si="74"/>
        <v>4224.9690000000001</v>
      </c>
      <c r="Y72" s="263">
        <f t="shared" si="74"/>
        <v>4224.9690000000001</v>
      </c>
      <c r="Z72" s="263">
        <f t="shared" si="74"/>
        <v>4791.8290000000006</v>
      </c>
      <c r="AA72" s="263">
        <f t="shared" si="74"/>
        <v>4791.8290000000006</v>
      </c>
      <c r="AB72" s="263">
        <f t="shared" si="74"/>
        <v>4791.8290000000006</v>
      </c>
      <c r="AC72" s="263">
        <f t="shared" si="74"/>
        <v>4791.8290000000006</v>
      </c>
      <c r="AD72" s="263">
        <f t="shared" si="74"/>
        <v>4791.8290000000006</v>
      </c>
      <c r="AE72" s="263">
        <f t="shared" si="74"/>
        <v>4791.8290000000006</v>
      </c>
      <c r="AF72" s="263">
        <f t="shared" si="74"/>
        <v>4791.8290000000006</v>
      </c>
      <c r="AG72" s="263">
        <f t="shared" si="74"/>
        <v>4791.8290000000006</v>
      </c>
      <c r="AH72" s="263">
        <f t="shared" si="74"/>
        <v>4791.8290000000006</v>
      </c>
      <c r="AI72" s="263">
        <f t="shared" si="74"/>
        <v>4791.8290000000006</v>
      </c>
      <c r="AJ72" s="263">
        <f t="shared" si="74"/>
        <v>4791.8290000000006</v>
      </c>
      <c r="AK72" s="263">
        <f t="shared" si="74"/>
        <v>4791.8290000000006</v>
      </c>
      <c r="AL72" s="263">
        <f t="shared" si="74"/>
        <v>4791.8290000000006</v>
      </c>
      <c r="AM72" s="263">
        <f t="shared" si="74"/>
        <v>4791.8290000000006</v>
      </c>
      <c r="AN72" s="263">
        <f t="shared" si="74"/>
        <v>4791.8290000000006</v>
      </c>
      <c r="AO72" s="263">
        <f t="shared" si="74"/>
        <v>4791.8290000000006</v>
      </c>
      <c r="AP72" s="263">
        <f t="shared" si="74"/>
        <v>4791.8290000000006</v>
      </c>
      <c r="AQ72" s="263">
        <f t="shared" si="74"/>
        <v>4791.8290000000006</v>
      </c>
      <c r="AR72" s="263">
        <f t="shared" si="74"/>
        <v>4791.8290000000006</v>
      </c>
      <c r="AS72" s="263">
        <f>AS71-(AS68+AS67+AS65+AS69)</f>
        <v>927.49050000000034</v>
      </c>
      <c r="AT72" s="263">
        <f>AT71-(AT68+AT67+AT65+AT69)</f>
        <v>4905.3600000000006</v>
      </c>
      <c r="AU72" s="263">
        <f t="shared" ref="AU72" si="75">AU71-(AU68+AU67+AU65+AU69)</f>
        <v>4905.3600000000006</v>
      </c>
      <c r="AV72" s="263">
        <f t="shared" ref="AV72" si="76">AV71-(AV68+AV67+AV65+AV69)</f>
        <v>4905.3600000000006</v>
      </c>
      <c r="AW72" s="263">
        <f t="shared" ref="AW72" si="77">AW71-(AW68+AW67+AW65+AW69)</f>
        <v>4905.3600000000006</v>
      </c>
      <c r="AX72" s="263">
        <f t="shared" ref="AX72" si="78">AX71-(AX68+AX67+AX65+AX69)</f>
        <v>2360.3800000000006</v>
      </c>
      <c r="AY72" s="263">
        <f t="shared" ref="AY72:BN72" si="79">AY71-(AY68+AY67+AY65+AY69)</f>
        <v>2360.3800000000006</v>
      </c>
      <c r="AZ72" s="263">
        <f t="shared" si="79"/>
        <v>2360.3800000000006</v>
      </c>
      <c r="BA72" s="263">
        <f t="shared" si="79"/>
        <v>2360.3800000000006</v>
      </c>
      <c r="BB72" s="263">
        <f t="shared" si="79"/>
        <v>2360.3800000000006</v>
      </c>
      <c r="BC72" s="263">
        <f t="shared" si="79"/>
        <v>2360.3800000000006</v>
      </c>
      <c r="BD72" s="263">
        <f t="shared" si="79"/>
        <v>2360.3800000000006</v>
      </c>
      <c r="BE72" s="263">
        <f t="shared" si="79"/>
        <v>2360.3800000000006</v>
      </c>
      <c r="BF72" s="263">
        <f t="shared" si="79"/>
        <v>2360.3800000000006</v>
      </c>
      <c r="BG72" s="263">
        <f t="shared" si="79"/>
        <v>2360.3800000000006</v>
      </c>
      <c r="BH72" s="263">
        <f t="shared" si="79"/>
        <v>2360.3800000000006</v>
      </c>
      <c r="BI72" s="263">
        <f t="shared" si="79"/>
        <v>2360.3800000000006</v>
      </c>
      <c r="BJ72" s="263">
        <f t="shared" si="79"/>
        <v>2360.3800000000006</v>
      </c>
      <c r="BK72" s="263">
        <f t="shared" si="79"/>
        <v>2360.3800000000006</v>
      </c>
      <c r="BL72" s="263">
        <f t="shared" si="79"/>
        <v>2360.3800000000006</v>
      </c>
      <c r="BM72" s="263">
        <f t="shared" si="79"/>
        <v>2360.3800000000006</v>
      </c>
      <c r="BN72" s="263">
        <f t="shared" si="79"/>
        <v>2360.3800000000006</v>
      </c>
      <c r="BO72" s="263">
        <f t="shared" ref="BO72" si="80">BO71-(BO68+BO67+BO65+BO69)</f>
        <v>4349.2260000000006</v>
      </c>
      <c r="BP72" s="263">
        <f t="shared" ref="BP72:BT72" si="81">BP71-(BP68+BP67+BP65+BP69)</f>
        <v>4349.2260000000006</v>
      </c>
      <c r="BQ72" s="263">
        <f t="shared" si="81"/>
        <v>4349.2260000000006</v>
      </c>
      <c r="BR72" s="263">
        <f t="shared" si="81"/>
        <v>4349.2260000000006</v>
      </c>
      <c r="BS72" s="263">
        <f t="shared" si="81"/>
        <v>4349.2260000000006</v>
      </c>
      <c r="BT72" s="263">
        <f t="shared" si="81"/>
        <v>4349.2260000000006</v>
      </c>
    </row>
    <row r="73" spans="1:72" x14ac:dyDescent="0.25">
      <c r="B73" t="s">
        <v>347</v>
      </c>
      <c r="L73">
        <f t="shared" ref="L73:O73" si="82">L72*0.165</f>
        <v>602.90653500000008</v>
      </c>
      <c r="M73">
        <f t="shared" si="82"/>
        <v>634.54247999999995</v>
      </c>
      <c r="N73">
        <f t="shared" si="82"/>
        <v>368.32652999999999</v>
      </c>
      <c r="O73">
        <f t="shared" si="82"/>
        <v>634.51253250000013</v>
      </c>
      <c r="P73">
        <f>P72*0.165</f>
        <v>362.22441749999996</v>
      </c>
      <c r="Q73">
        <f t="shared" ref="Q73:AR73" si="83">Q72*0.165</f>
        <v>642.52138500000012</v>
      </c>
      <c r="R73">
        <f t="shared" si="83"/>
        <v>641.15518500000019</v>
      </c>
      <c r="S73">
        <f t="shared" si="83"/>
        <v>662.81143500000019</v>
      </c>
      <c r="T73">
        <f t="shared" si="83"/>
        <v>661.920435</v>
      </c>
      <c r="U73">
        <f t="shared" si="83"/>
        <v>697.11988500000007</v>
      </c>
      <c r="V73">
        <f t="shared" si="83"/>
        <v>697.11988500000007</v>
      </c>
      <c r="W73">
        <f t="shared" si="83"/>
        <v>697.11988500000007</v>
      </c>
      <c r="X73">
        <f t="shared" si="83"/>
        <v>697.11988500000007</v>
      </c>
      <c r="Y73">
        <f t="shared" si="83"/>
        <v>697.11988500000007</v>
      </c>
      <c r="Z73">
        <f t="shared" si="83"/>
        <v>790.65178500000013</v>
      </c>
      <c r="AA73">
        <f t="shared" si="83"/>
        <v>790.65178500000013</v>
      </c>
      <c r="AB73">
        <f t="shared" si="83"/>
        <v>790.65178500000013</v>
      </c>
      <c r="AC73">
        <f t="shared" si="83"/>
        <v>790.65178500000013</v>
      </c>
      <c r="AD73">
        <f t="shared" si="83"/>
        <v>790.65178500000013</v>
      </c>
      <c r="AE73">
        <f t="shared" si="83"/>
        <v>790.65178500000013</v>
      </c>
      <c r="AF73">
        <f t="shared" si="83"/>
        <v>790.65178500000013</v>
      </c>
      <c r="AG73">
        <f t="shared" si="83"/>
        <v>790.65178500000013</v>
      </c>
      <c r="AH73">
        <f t="shared" si="83"/>
        <v>790.65178500000013</v>
      </c>
      <c r="AI73">
        <f t="shared" si="83"/>
        <v>790.65178500000013</v>
      </c>
      <c r="AJ73">
        <f t="shared" si="83"/>
        <v>790.65178500000013</v>
      </c>
      <c r="AK73">
        <f t="shared" si="83"/>
        <v>790.65178500000013</v>
      </c>
      <c r="AL73">
        <f t="shared" si="83"/>
        <v>790.65178500000013</v>
      </c>
      <c r="AM73">
        <f t="shared" si="83"/>
        <v>790.65178500000013</v>
      </c>
      <c r="AN73">
        <f t="shared" si="83"/>
        <v>790.65178500000013</v>
      </c>
      <c r="AO73">
        <f t="shared" si="83"/>
        <v>790.65178500000013</v>
      </c>
      <c r="AP73">
        <f t="shared" si="83"/>
        <v>790.65178500000013</v>
      </c>
      <c r="AQ73">
        <f t="shared" si="83"/>
        <v>790.65178500000013</v>
      </c>
      <c r="AR73">
        <f t="shared" si="83"/>
        <v>790.65178500000013</v>
      </c>
      <c r="AS73">
        <f t="shared" ref="AS73" si="84">AS72*0.165</f>
        <v>153.03593250000006</v>
      </c>
      <c r="AT73">
        <f t="shared" ref="AT73:AV73" si="85">AT72*0.165</f>
        <v>809.38440000000014</v>
      </c>
      <c r="AU73">
        <f t="shared" si="85"/>
        <v>809.38440000000014</v>
      </c>
      <c r="AV73">
        <f t="shared" si="85"/>
        <v>809.38440000000014</v>
      </c>
      <c r="AW73">
        <f t="shared" ref="AW73" si="86">AW72*0.165</f>
        <v>809.38440000000014</v>
      </c>
      <c r="AX73">
        <f t="shared" ref="AX73" si="87">AX72*0.165</f>
        <v>389.4627000000001</v>
      </c>
      <c r="AY73">
        <f t="shared" ref="AY73:BN73" si="88">AY72*0.165</f>
        <v>389.4627000000001</v>
      </c>
      <c r="AZ73">
        <f t="shared" si="88"/>
        <v>389.4627000000001</v>
      </c>
      <c r="BA73">
        <f t="shared" si="88"/>
        <v>389.4627000000001</v>
      </c>
      <c r="BB73">
        <f t="shared" si="88"/>
        <v>389.4627000000001</v>
      </c>
      <c r="BC73">
        <f t="shared" si="88"/>
        <v>389.4627000000001</v>
      </c>
      <c r="BD73">
        <f t="shared" si="88"/>
        <v>389.4627000000001</v>
      </c>
      <c r="BE73">
        <f t="shared" si="88"/>
        <v>389.4627000000001</v>
      </c>
      <c r="BF73">
        <f t="shared" si="88"/>
        <v>389.4627000000001</v>
      </c>
      <c r="BG73">
        <f t="shared" si="88"/>
        <v>389.4627000000001</v>
      </c>
      <c r="BH73">
        <f t="shared" si="88"/>
        <v>389.4627000000001</v>
      </c>
      <c r="BI73">
        <f t="shared" si="88"/>
        <v>389.4627000000001</v>
      </c>
      <c r="BJ73">
        <f t="shared" si="88"/>
        <v>389.4627000000001</v>
      </c>
      <c r="BK73">
        <f t="shared" si="88"/>
        <v>389.4627000000001</v>
      </c>
      <c r="BL73">
        <f t="shared" si="88"/>
        <v>389.4627000000001</v>
      </c>
      <c r="BM73">
        <f t="shared" si="88"/>
        <v>389.4627000000001</v>
      </c>
      <c r="BN73">
        <f t="shared" si="88"/>
        <v>389.4627000000001</v>
      </c>
      <c r="BO73">
        <f t="shared" ref="BO73" si="89">BO72*0.165</f>
        <v>717.62229000000013</v>
      </c>
      <c r="BP73">
        <f t="shared" ref="BP73:BT73" si="90">BP72*0.165</f>
        <v>717.62229000000013</v>
      </c>
      <c r="BQ73">
        <f t="shared" si="90"/>
        <v>717.62229000000013</v>
      </c>
      <c r="BR73">
        <f t="shared" si="90"/>
        <v>717.62229000000013</v>
      </c>
      <c r="BS73">
        <f t="shared" si="90"/>
        <v>717.62229000000013</v>
      </c>
      <c r="BT73">
        <f t="shared" si="90"/>
        <v>717.62229000000013</v>
      </c>
    </row>
    <row r="74" spans="1:72" x14ac:dyDescent="0.25">
      <c r="B74" t="s">
        <v>348</v>
      </c>
      <c r="L74">
        <f t="shared" ref="L74:O74" si="91">L72-L73</f>
        <v>3051.0724650000002</v>
      </c>
      <c r="M74">
        <f t="shared" si="91"/>
        <v>3211.1695199999995</v>
      </c>
      <c r="N74">
        <f t="shared" si="91"/>
        <v>1863.9554699999997</v>
      </c>
      <c r="O74">
        <f t="shared" si="91"/>
        <v>3211.0179674999999</v>
      </c>
      <c r="P74">
        <f>P72-P73</f>
        <v>1833.0750824999996</v>
      </c>
      <c r="Q74">
        <f t="shared" ref="Q74:AR74" si="92">Q72-Q73</f>
        <v>3251.5476150000004</v>
      </c>
      <c r="R74">
        <f t="shared" si="92"/>
        <v>3244.6338150000006</v>
      </c>
      <c r="S74">
        <f t="shared" si="92"/>
        <v>3354.2275650000006</v>
      </c>
      <c r="T74">
        <f t="shared" si="92"/>
        <v>3349.7185650000001</v>
      </c>
      <c r="U74">
        <f t="shared" si="92"/>
        <v>3527.849115</v>
      </c>
      <c r="V74">
        <f t="shared" si="92"/>
        <v>3527.849115</v>
      </c>
      <c r="W74">
        <f t="shared" si="92"/>
        <v>3527.849115</v>
      </c>
      <c r="X74">
        <f t="shared" si="92"/>
        <v>3527.849115</v>
      </c>
      <c r="Y74">
        <f t="shared" si="92"/>
        <v>3527.849115</v>
      </c>
      <c r="Z74">
        <f t="shared" si="92"/>
        <v>4001.1772150000006</v>
      </c>
      <c r="AA74">
        <f t="shared" si="92"/>
        <v>4001.1772150000006</v>
      </c>
      <c r="AB74">
        <f t="shared" si="92"/>
        <v>4001.1772150000006</v>
      </c>
      <c r="AC74">
        <f t="shared" si="92"/>
        <v>4001.1772150000006</v>
      </c>
      <c r="AD74">
        <f t="shared" si="92"/>
        <v>4001.1772150000006</v>
      </c>
      <c r="AE74">
        <f t="shared" si="92"/>
        <v>4001.1772150000006</v>
      </c>
      <c r="AF74">
        <f t="shared" si="92"/>
        <v>4001.1772150000006</v>
      </c>
      <c r="AG74">
        <f t="shared" si="92"/>
        <v>4001.1772150000006</v>
      </c>
      <c r="AH74">
        <f t="shared" si="92"/>
        <v>4001.1772150000006</v>
      </c>
      <c r="AI74">
        <f t="shared" si="92"/>
        <v>4001.1772150000006</v>
      </c>
      <c r="AJ74">
        <f t="shared" si="92"/>
        <v>4001.1772150000006</v>
      </c>
      <c r="AK74">
        <f t="shared" si="92"/>
        <v>4001.1772150000006</v>
      </c>
      <c r="AL74">
        <f t="shared" si="92"/>
        <v>4001.1772150000006</v>
      </c>
      <c r="AM74">
        <f t="shared" si="92"/>
        <v>4001.1772150000006</v>
      </c>
      <c r="AN74">
        <f t="shared" si="92"/>
        <v>4001.1772150000006</v>
      </c>
      <c r="AO74">
        <f t="shared" si="92"/>
        <v>4001.1772150000006</v>
      </c>
      <c r="AP74">
        <f t="shared" si="92"/>
        <v>4001.1772150000006</v>
      </c>
      <c r="AQ74">
        <f t="shared" si="92"/>
        <v>4001.1772150000006</v>
      </c>
      <c r="AR74">
        <f t="shared" si="92"/>
        <v>4001.1772150000006</v>
      </c>
      <c r="AS74">
        <f t="shared" ref="AS74" si="93">AS72-AS73</f>
        <v>774.45456750000028</v>
      </c>
      <c r="AT74">
        <f t="shared" ref="AT74:AV74" si="94">AT72-AT73</f>
        <v>4095.9756000000007</v>
      </c>
      <c r="AU74">
        <f t="shared" si="94"/>
        <v>4095.9756000000007</v>
      </c>
      <c r="AV74">
        <f t="shared" si="94"/>
        <v>4095.9756000000007</v>
      </c>
      <c r="AW74">
        <f t="shared" ref="AW74" si="95">AW72-AW73</f>
        <v>4095.9756000000007</v>
      </c>
      <c r="AX74">
        <f t="shared" ref="AX74" si="96">AX72-AX73</f>
        <v>1970.9173000000005</v>
      </c>
      <c r="AY74">
        <f t="shared" ref="AY74:BN74" si="97">AY72-AY73</f>
        <v>1970.9173000000005</v>
      </c>
      <c r="AZ74">
        <f t="shared" si="97"/>
        <v>1970.9173000000005</v>
      </c>
      <c r="BA74">
        <f t="shared" si="97"/>
        <v>1970.9173000000005</v>
      </c>
      <c r="BB74">
        <f t="shared" si="97"/>
        <v>1970.9173000000005</v>
      </c>
      <c r="BC74">
        <f t="shared" si="97"/>
        <v>1970.9173000000005</v>
      </c>
      <c r="BD74">
        <f t="shared" si="97"/>
        <v>1970.9173000000005</v>
      </c>
      <c r="BE74">
        <f t="shared" si="97"/>
        <v>1970.9173000000005</v>
      </c>
      <c r="BF74">
        <f t="shared" si="97"/>
        <v>1970.9173000000005</v>
      </c>
      <c r="BG74">
        <f t="shared" si="97"/>
        <v>1970.9173000000005</v>
      </c>
      <c r="BH74">
        <f t="shared" si="97"/>
        <v>1970.9173000000005</v>
      </c>
      <c r="BI74">
        <f t="shared" si="97"/>
        <v>1970.9173000000005</v>
      </c>
      <c r="BJ74">
        <f t="shared" si="97"/>
        <v>1970.9173000000005</v>
      </c>
      <c r="BK74">
        <f t="shared" si="97"/>
        <v>1970.9173000000005</v>
      </c>
      <c r="BL74">
        <f t="shared" si="97"/>
        <v>1970.9173000000005</v>
      </c>
      <c r="BM74">
        <f t="shared" si="97"/>
        <v>1970.9173000000005</v>
      </c>
      <c r="BN74">
        <f t="shared" si="97"/>
        <v>1970.9173000000005</v>
      </c>
      <c r="BO74">
        <f t="shared" ref="BO74" si="98">BO72-BO73</f>
        <v>3631.6037100000003</v>
      </c>
      <c r="BP74">
        <f t="shared" ref="BP74:BT74" si="99">BP72-BP73</f>
        <v>3631.6037100000003</v>
      </c>
      <c r="BQ74">
        <f t="shared" si="99"/>
        <v>3631.6037100000003</v>
      </c>
      <c r="BR74">
        <f t="shared" si="99"/>
        <v>3631.6037100000003</v>
      </c>
      <c r="BS74">
        <f t="shared" si="99"/>
        <v>3631.6037100000003</v>
      </c>
      <c r="BT74">
        <f t="shared" si="99"/>
        <v>3631.6037100000003</v>
      </c>
    </row>
    <row r="75" spans="1:72" x14ac:dyDescent="0.25">
      <c r="AU75" s="4"/>
      <c r="AV75" s="4"/>
      <c r="AW75" s="4"/>
      <c r="AX75" s="4"/>
      <c r="AY75" s="4"/>
      <c r="AZ75" s="4"/>
      <c r="BA75" s="4"/>
      <c r="BB75" s="4"/>
      <c r="BC75" s="4"/>
      <c r="BD75" s="4"/>
      <c r="BE75" s="4"/>
      <c r="BF75" s="4"/>
      <c r="BG75" s="4"/>
      <c r="BH75" s="4"/>
      <c r="BI75" s="4"/>
      <c r="BJ75" s="4"/>
      <c r="BK75" s="4"/>
      <c r="BL75" s="4"/>
      <c r="BM75" s="4"/>
      <c r="BN75" s="4"/>
    </row>
    <row r="76" spans="1:72" x14ac:dyDescent="0.25">
      <c r="A76" t="s">
        <v>371</v>
      </c>
    </row>
    <row r="77" spans="1:72" x14ac:dyDescent="0.25">
      <c r="B77" t="s">
        <v>335</v>
      </c>
      <c r="L77">
        <v>1150</v>
      </c>
      <c r="M77">
        <v>1150</v>
      </c>
      <c r="N77">
        <v>1150</v>
      </c>
      <c r="O77">
        <v>1150</v>
      </c>
      <c r="P77">
        <v>1150</v>
      </c>
      <c r="Q77">
        <v>1150</v>
      </c>
      <c r="R77">
        <v>1150</v>
      </c>
      <c r="S77">
        <v>1150</v>
      </c>
      <c r="T77">
        <v>1150</v>
      </c>
      <c r="U77">
        <v>1150</v>
      </c>
      <c r="V77">
        <v>1150</v>
      </c>
      <c r="W77">
        <v>1150</v>
      </c>
      <c r="X77">
        <v>1150</v>
      </c>
      <c r="Y77">
        <v>1150</v>
      </c>
      <c r="Z77">
        <v>1150</v>
      </c>
      <c r="AA77">
        <v>1150</v>
      </c>
      <c r="AB77">
        <v>1150</v>
      </c>
      <c r="AC77">
        <v>1150</v>
      </c>
      <c r="AD77">
        <v>1150</v>
      </c>
      <c r="AE77">
        <v>1150</v>
      </c>
      <c r="AF77">
        <v>1150</v>
      </c>
      <c r="AG77">
        <v>1150</v>
      </c>
      <c r="AH77">
        <v>1150</v>
      </c>
      <c r="AI77">
        <v>1150</v>
      </c>
      <c r="AJ77">
        <v>1150</v>
      </c>
      <c r="AK77">
        <v>1150</v>
      </c>
      <c r="AL77">
        <v>1150</v>
      </c>
      <c r="AM77">
        <v>1150</v>
      </c>
      <c r="AN77">
        <v>1150</v>
      </c>
      <c r="AO77">
        <v>1150</v>
      </c>
      <c r="AP77">
        <v>1150</v>
      </c>
      <c r="AQ77">
        <v>1150</v>
      </c>
      <c r="AR77">
        <v>1150</v>
      </c>
    </row>
    <row r="78" spans="1:72" x14ac:dyDescent="0.25">
      <c r="B78" t="s">
        <v>372</v>
      </c>
      <c r="L78">
        <f t="shared" ref="L78:N78" si="100">L44</f>
        <v>0</v>
      </c>
      <c r="M78">
        <f t="shared" si="100"/>
        <v>3668.301255669654</v>
      </c>
      <c r="N78">
        <f t="shared" si="100"/>
        <v>0</v>
      </c>
      <c r="O78">
        <f>O44</f>
        <v>3668.301255669654</v>
      </c>
      <c r="P78">
        <f>P44</f>
        <v>3668</v>
      </c>
      <c r="Q78">
        <f t="shared" ref="Q78:AR78" si="101">Q44</f>
        <v>3668.301255669654</v>
      </c>
      <c r="R78">
        <f t="shared" si="101"/>
        <v>3668.301255669654</v>
      </c>
      <c r="S78">
        <f t="shared" si="101"/>
        <v>3668.301255669654</v>
      </c>
      <c r="T78">
        <f t="shared" si="101"/>
        <v>3668.301255669654</v>
      </c>
      <c r="U78">
        <f t="shared" si="101"/>
        <v>3668.301255669654</v>
      </c>
      <c r="V78">
        <f t="shared" si="101"/>
        <v>3668.301255669654</v>
      </c>
      <c r="W78">
        <f t="shared" si="101"/>
        <v>4338.4634167167915</v>
      </c>
      <c r="X78">
        <f t="shared" si="101"/>
        <v>4338.4634167167915</v>
      </c>
      <c r="Y78">
        <f t="shared" si="101"/>
        <v>4338.4634167167915</v>
      </c>
      <c r="Z78">
        <f t="shared" si="101"/>
        <v>4338.4634167167915</v>
      </c>
      <c r="AA78">
        <f t="shared" si="101"/>
        <v>4338.4634167167915</v>
      </c>
      <c r="AB78">
        <f t="shared" si="101"/>
        <v>4338.4634167167915</v>
      </c>
      <c r="AC78">
        <f t="shared" si="101"/>
        <v>4338.4634167167915</v>
      </c>
      <c r="AD78">
        <f t="shared" si="101"/>
        <v>4338.4634167167915</v>
      </c>
      <c r="AE78">
        <f t="shared" si="101"/>
        <v>4338.4634167167915</v>
      </c>
      <c r="AF78">
        <f t="shared" si="101"/>
        <v>4338.4634167167915</v>
      </c>
      <c r="AG78">
        <f t="shared" si="101"/>
        <v>4338.4634167167915</v>
      </c>
      <c r="AH78">
        <f t="shared" si="101"/>
        <v>4338.4634167167915</v>
      </c>
      <c r="AI78">
        <f t="shared" si="101"/>
        <v>4338.4634167167915</v>
      </c>
      <c r="AJ78">
        <f t="shared" si="101"/>
        <v>4338.4634167167915</v>
      </c>
      <c r="AK78">
        <f t="shared" si="101"/>
        <v>4338.4634167167915</v>
      </c>
      <c r="AL78">
        <f t="shared" si="101"/>
        <v>4338.4634167167915</v>
      </c>
      <c r="AM78">
        <f t="shared" si="101"/>
        <v>4338.4634167167915</v>
      </c>
      <c r="AN78">
        <f t="shared" si="101"/>
        <v>4338.4634167167915</v>
      </c>
      <c r="AO78">
        <f t="shared" si="101"/>
        <v>4338.4634167167915</v>
      </c>
      <c r="AP78">
        <f t="shared" si="101"/>
        <v>4338.4634167167915</v>
      </c>
      <c r="AQ78">
        <f t="shared" si="101"/>
        <v>4338.4634167167915</v>
      </c>
      <c r="AR78">
        <f t="shared" si="101"/>
        <v>4338.4634167167915</v>
      </c>
    </row>
    <row r="79" spans="1:72" x14ac:dyDescent="0.25">
      <c r="B79" t="s">
        <v>373</v>
      </c>
      <c r="L79">
        <f t="shared" ref="L79:O79" si="102">15012*0.15</f>
        <v>2251.7999999999997</v>
      </c>
      <c r="M79">
        <f t="shared" si="102"/>
        <v>2251.7999999999997</v>
      </c>
      <c r="N79">
        <f t="shared" si="102"/>
        <v>2251.7999999999997</v>
      </c>
      <c r="O79">
        <f t="shared" si="102"/>
        <v>2251.7999999999997</v>
      </c>
      <c r="P79">
        <f>15012*0.15</f>
        <v>2251.7999999999997</v>
      </c>
      <c r="Q79">
        <f t="shared" ref="Q79:AR79" si="103">15012*0.15</f>
        <v>2251.7999999999997</v>
      </c>
      <c r="R79">
        <f t="shared" si="103"/>
        <v>2251.7999999999997</v>
      </c>
      <c r="S79">
        <f t="shared" si="103"/>
        <v>2251.7999999999997</v>
      </c>
      <c r="T79">
        <f t="shared" si="103"/>
        <v>2251.7999999999997</v>
      </c>
      <c r="U79">
        <f t="shared" si="103"/>
        <v>2251.7999999999997</v>
      </c>
      <c r="V79">
        <f t="shared" si="103"/>
        <v>2251.7999999999997</v>
      </c>
      <c r="W79">
        <f t="shared" si="103"/>
        <v>2251.7999999999997</v>
      </c>
      <c r="X79">
        <f t="shared" si="103"/>
        <v>2251.7999999999997</v>
      </c>
      <c r="Y79">
        <f t="shared" si="103"/>
        <v>2251.7999999999997</v>
      </c>
      <c r="Z79">
        <f t="shared" si="103"/>
        <v>2251.7999999999997</v>
      </c>
      <c r="AA79">
        <f t="shared" si="103"/>
        <v>2251.7999999999997</v>
      </c>
      <c r="AB79">
        <f t="shared" si="103"/>
        <v>2251.7999999999997</v>
      </c>
      <c r="AC79">
        <f t="shared" si="103"/>
        <v>2251.7999999999997</v>
      </c>
      <c r="AD79">
        <f t="shared" si="103"/>
        <v>2251.7999999999997</v>
      </c>
      <c r="AE79">
        <f t="shared" si="103"/>
        <v>2251.7999999999997</v>
      </c>
      <c r="AF79">
        <f t="shared" si="103"/>
        <v>2251.7999999999997</v>
      </c>
      <c r="AG79">
        <f t="shared" si="103"/>
        <v>2251.7999999999997</v>
      </c>
      <c r="AH79">
        <f t="shared" si="103"/>
        <v>2251.7999999999997</v>
      </c>
      <c r="AI79">
        <f t="shared" si="103"/>
        <v>2251.7999999999997</v>
      </c>
      <c r="AJ79">
        <f t="shared" si="103"/>
        <v>2251.7999999999997</v>
      </c>
      <c r="AK79">
        <f t="shared" si="103"/>
        <v>2251.7999999999997</v>
      </c>
      <c r="AL79">
        <f t="shared" si="103"/>
        <v>2251.7999999999997</v>
      </c>
      <c r="AM79">
        <f t="shared" si="103"/>
        <v>2251.7999999999997</v>
      </c>
      <c r="AN79">
        <f t="shared" si="103"/>
        <v>2251.7999999999997</v>
      </c>
      <c r="AO79">
        <f t="shared" si="103"/>
        <v>2251.7999999999997</v>
      </c>
      <c r="AP79">
        <f t="shared" si="103"/>
        <v>2251.7999999999997</v>
      </c>
      <c r="AQ79">
        <f t="shared" si="103"/>
        <v>2251.7999999999997</v>
      </c>
      <c r="AR79">
        <f t="shared" si="103"/>
        <v>2251.7999999999997</v>
      </c>
      <c r="AS79">
        <f>(15012+295.13)*0.15</f>
        <v>2296.0694999999996</v>
      </c>
      <c r="AT79">
        <f>15012*0.15</f>
        <v>2251.7999999999997</v>
      </c>
      <c r="AU79">
        <f t="shared" ref="AU79:AW79" si="104">(15012+556.47)*0.15</f>
        <v>2335.2704999999996</v>
      </c>
      <c r="AV79">
        <f t="shared" si="104"/>
        <v>2335.2704999999996</v>
      </c>
      <c r="AW79">
        <f t="shared" si="104"/>
        <v>2335.2704999999996</v>
      </c>
      <c r="AX79">
        <f>(15012+2536.98)*0.15</f>
        <v>2632.3469999999998</v>
      </c>
      <c r="AY79">
        <f t="shared" ref="AY79:BN79" si="105">(15012+2536.98)*0.15</f>
        <v>2632.3469999999998</v>
      </c>
      <c r="AZ79">
        <f t="shared" si="105"/>
        <v>2632.3469999999998</v>
      </c>
      <c r="BA79">
        <f t="shared" si="105"/>
        <v>2632.3469999999998</v>
      </c>
      <c r="BB79">
        <f t="shared" si="105"/>
        <v>2632.3469999999998</v>
      </c>
      <c r="BC79">
        <f t="shared" si="105"/>
        <v>2632.3469999999998</v>
      </c>
      <c r="BD79">
        <f t="shared" si="105"/>
        <v>2632.3469999999998</v>
      </c>
      <c r="BE79">
        <f t="shared" si="105"/>
        <v>2632.3469999999998</v>
      </c>
      <c r="BF79">
        <f t="shared" si="105"/>
        <v>2632.3469999999998</v>
      </c>
      <c r="BG79">
        <f t="shared" si="105"/>
        <v>2632.3469999999998</v>
      </c>
      <c r="BH79">
        <f t="shared" si="105"/>
        <v>2632.3469999999998</v>
      </c>
      <c r="BI79">
        <f t="shared" si="105"/>
        <v>2632.3469999999998</v>
      </c>
      <c r="BJ79">
        <f t="shared" si="105"/>
        <v>2632.3469999999998</v>
      </c>
      <c r="BK79">
        <f t="shared" si="105"/>
        <v>2632.3469999999998</v>
      </c>
      <c r="BL79">
        <f t="shared" si="105"/>
        <v>2632.3469999999998</v>
      </c>
      <c r="BM79">
        <f t="shared" si="105"/>
        <v>2632.3469999999998</v>
      </c>
      <c r="BN79">
        <f t="shared" si="105"/>
        <v>2632.3469999999998</v>
      </c>
    </row>
    <row r="80" spans="1:72" x14ac:dyDescent="0.25">
      <c r="B80" t="s">
        <v>364</v>
      </c>
      <c r="AE80">
        <f>5768*0.15</f>
        <v>865.19999999999993</v>
      </c>
      <c r="AF80">
        <f>1316.58*0.15</f>
        <v>197.48699999999999</v>
      </c>
      <c r="AG80">
        <f>7084.58*0.15</f>
        <v>1062.6869999999999</v>
      </c>
      <c r="AH80">
        <f>2633.16*0.15</f>
        <v>394.97399999999999</v>
      </c>
      <c r="AI80">
        <f>1316.58*0.15</f>
        <v>197.48699999999999</v>
      </c>
      <c r="AJ80">
        <f>AI80</f>
        <v>197.48699999999999</v>
      </c>
    </row>
    <row r="81" spans="1:66" x14ac:dyDescent="0.25">
      <c r="B81" t="s">
        <v>365</v>
      </c>
      <c r="AE81">
        <v>29.6</v>
      </c>
      <c r="AF81">
        <f>AE81</f>
        <v>29.6</v>
      </c>
      <c r="AG81">
        <v>59.2</v>
      </c>
      <c r="AH81">
        <f>AG81</f>
        <v>59.2</v>
      </c>
      <c r="AI81">
        <v>29.6</v>
      </c>
      <c r="AJ81">
        <f>AI81</f>
        <v>29.6</v>
      </c>
    </row>
    <row r="82" spans="1:66" x14ac:dyDescent="0.25">
      <c r="B82" t="s">
        <v>339</v>
      </c>
      <c r="L82">
        <v>7503.05</v>
      </c>
      <c r="M82">
        <v>6969.12</v>
      </c>
      <c r="N82">
        <v>7468.32</v>
      </c>
      <c r="O82">
        <v>7368.58</v>
      </c>
      <c r="P82">
        <v>7118.05</v>
      </c>
      <c r="Q82">
        <v>7768.11</v>
      </c>
      <c r="R82">
        <v>7967.84</v>
      </c>
      <c r="S82">
        <v>8167.57</v>
      </c>
      <c r="T82">
        <v>8367.2999999999993</v>
      </c>
      <c r="U82">
        <v>8567.0300000000007</v>
      </c>
      <c r="V82">
        <v>8766.76</v>
      </c>
      <c r="W82">
        <v>8832.4</v>
      </c>
      <c r="X82">
        <v>9032.1299999999992</v>
      </c>
      <c r="Y82">
        <v>9231.8700000000008</v>
      </c>
      <c r="Z82">
        <v>9360.75</v>
      </c>
      <c r="AA82">
        <v>9360.75</v>
      </c>
      <c r="AB82">
        <v>9360.75</v>
      </c>
      <c r="AC82">
        <v>9360.75</v>
      </c>
      <c r="AD82">
        <v>9360.75</v>
      </c>
      <c r="AE82">
        <v>9360.75</v>
      </c>
      <c r="AF82">
        <v>9360.75</v>
      </c>
      <c r="AG82">
        <v>9360.75</v>
      </c>
      <c r="AH82">
        <v>9360.75</v>
      </c>
      <c r="AI82">
        <v>9360.75</v>
      </c>
      <c r="AJ82">
        <v>9360.75</v>
      </c>
      <c r="AK82">
        <v>9360.75</v>
      </c>
      <c r="AL82">
        <v>9360.75</v>
      </c>
      <c r="AM82">
        <v>9360.75</v>
      </c>
      <c r="AN82">
        <v>9360.75</v>
      </c>
      <c r="AO82">
        <v>9360.75</v>
      </c>
      <c r="AP82">
        <v>9360.75</v>
      </c>
      <c r="AQ82">
        <v>9360.75</v>
      </c>
      <c r="AR82">
        <v>9360.75</v>
      </c>
      <c r="AS82">
        <v>2914.65</v>
      </c>
      <c r="AT82">
        <v>2923.69</v>
      </c>
      <c r="AU82">
        <v>3991.89</v>
      </c>
      <c r="AV82">
        <v>3991.89</v>
      </c>
      <c r="AW82">
        <v>3991.89</v>
      </c>
      <c r="AX82">
        <v>4119.3999999999996</v>
      </c>
      <c r="AY82">
        <v>4119.3999999999996</v>
      </c>
      <c r="AZ82">
        <v>4119.3999999999996</v>
      </c>
      <c r="BA82">
        <v>4119.3999999999996</v>
      </c>
      <c r="BB82">
        <v>4119.3999999999996</v>
      </c>
      <c r="BC82">
        <v>4119.3999999999996</v>
      </c>
      <c r="BD82">
        <v>4119.3999999999996</v>
      </c>
      <c r="BE82">
        <v>4119.3999999999996</v>
      </c>
      <c r="BF82">
        <v>4119.3999999999996</v>
      </c>
      <c r="BG82">
        <v>4119.3999999999996</v>
      </c>
      <c r="BH82">
        <v>4119.3999999999996</v>
      </c>
      <c r="BI82">
        <v>4119.3999999999996</v>
      </c>
      <c r="BJ82">
        <v>4119.3999999999996</v>
      </c>
      <c r="BK82">
        <v>4119.3999999999996</v>
      </c>
      <c r="BL82">
        <v>4119.3999999999996</v>
      </c>
      <c r="BM82">
        <v>4119.3999999999996</v>
      </c>
      <c r="BN82">
        <v>4119.3999999999996</v>
      </c>
    </row>
    <row r="83" spans="1:66" x14ac:dyDescent="0.25">
      <c r="B83" t="s">
        <v>340</v>
      </c>
      <c r="L83">
        <f t="shared" ref="L83:O83" si="106">L82-L79</f>
        <v>5251.25</v>
      </c>
      <c r="M83">
        <f t="shared" si="106"/>
        <v>4717.32</v>
      </c>
      <c r="N83">
        <f t="shared" si="106"/>
        <v>5216.5200000000004</v>
      </c>
      <c r="O83">
        <f t="shared" si="106"/>
        <v>5116.7800000000007</v>
      </c>
      <c r="P83">
        <f>P82-P79</f>
        <v>4866.25</v>
      </c>
      <c r="Q83">
        <f t="shared" ref="Q83:AD83" si="107">Q82-Q79</f>
        <v>5516.3099999999995</v>
      </c>
      <c r="R83">
        <f t="shared" si="107"/>
        <v>5716.0400000000009</v>
      </c>
      <c r="S83">
        <f t="shared" si="107"/>
        <v>5915.77</v>
      </c>
      <c r="T83">
        <f t="shared" si="107"/>
        <v>6115.5</v>
      </c>
      <c r="U83">
        <f t="shared" si="107"/>
        <v>6315.2300000000014</v>
      </c>
      <c r="V83">
        <f t="shared" si="107"/>
        <v>6514.9600000000009</v>
      </c>
      <c r="W83">
        <f t="shared" si="107"/>
        <v>6580.6</v>
      </c>
      <c r="X83">
        <f t="shared" si="107"/>
        <v>6780.33</v>
      </c>
      <c r="Y83">
        <f t="shared" si="107"/>
        <v>6980.0700000000015</v>
      </c>
      <c r="Z83">
        <f t="shared" si="107"/>
        <v>7108.9500000000007</v>
      </c>
      <c r="AA83">
        <f t="shared" si="107"/>
        <v>7108.9500000000007</v>
      </c>
      <c r="AB83">
        <f t="shared" si="107"/>
        <v>7108.9500000000007</v>
      </c>
      <c r="AC83">
        <f t="shared" si="107"/>
        <v>7108.9500000000007</v>
      </c>
      <c r="AD83">
        <f t="shared" si="107"/>
        <v>7108.9500000000007</v>
      </c>
      <c r="AE83">
        <f>AE82-AE79-AE80-AE81</f>
        <v>6214.1500000000005</v>
      </c>
      <c r="AF83">
        <f t="shared" ref="AF83:AV83" si="108">AF82-AF79-AF80-AF81</f>
        <v>6881.8630000000003</v>
      </c>
      <c r="AG83">
        <f t="shared" si="108"/>
        <v>5987.063000000001</v>
      </c>
      <c r="AH83">
        <f t="shared" si="108"/>
        <v>6654.7760000000007</v>
      </c>
      <c r="AI83">
        <f t="shared" si="108"/>
        <v>6881.8630000000003</v>
      </c>
      <c r="AJ83">
        <f t="shared" si="108"/>
        <v>6881.8630000000003</v>
      </c>
      <c r="AK83">
        <f t="shared" si="108"/>
        <v>7108.9500000000007</v>
      </c>
      <c r="AL83">
        <f t="shared" si="108"/>
        <v>7108.9500000000007</v>
      </c>
      <c r="AM83">
        <f t="shared" si="108"/>
        <v>7108.9500000000007</v>
      </c>
      <c r="AN83">
        <f t="shared" si="108"/>
        <v>7108.9500000000007</v>
      </c>
      <c r="AO83">
        <f t="shared" si="108"/>
        <v>7108.9500000000007</v>
      </c>
      <c r="AP83">
        <f t="shared" si="108"/>
        <v>7108.9500000000007</v>
      </c>
      <c r="AQ83">
        <f t="shared" si="108"/>
        <v>7108.9500000000007</v>
      </c>
      <c r="AR83">
        <f t="shared" si="108"/>
        <v>7108.9500000000007</v>
      </c>
      <c r="AS83">
        <v>627.58000000000004</v>
      </c>
      <c r="AT83">
        <f t="shared" si="108"/>
        <v>671.89000000000033</v>
      </c>
      <c r="AU83">
        <f t="shared" si="108"/>
        <v>1656.6195000000002</v>
      </c>
      <c r="AV83">
        <f t="shared" si="108"/>
        <v>1656.6195000000002</v>
      </c>
      <c r="AW83">
        <f t="shared" ref="AW83" si="109">AW82-AW79-AW80-AW81</f>
        <v>1656.6195000000002</v>
      </c>
      <c r="AX83">
        <f t="shared" ref="AX83" si="110">AX82-AX79-AX80-AX81</f>
        <v>1487.0529999999999</v>
      </c>
      <c r="AY83">
        <f t="shared" ref="AY83:BN83" si="111">AY82-AY79-AY80-AY81</f>
        <v>1487.0529999999999</v>
      </c>
      <c r="AZ83">
        <f t="shared" si="111"/>
        <v>1487.0529999999999</v>
      </c>
      <c r="BA83">
        <f t="shared" si="111"/>
        <v>1487.0529999999999</v>
      </c>
      <c r="BB83">
        <f t="shared" si="111"/>
        <v>1487.0529999999999</v>
      </c>
      <c r="BC83">
        <f t="shared" si="111"/>
        <v>1487.0529999999999</v>
      </c>
      <c r="BD83">
        <f t="shared" si="111"/>
        <v>1487.0529999999999</v>
      </c>
      <c r="BE83">
        <f t="shared" si="111"/>
        <v>1487.0529999999999</v>
      </c>
      <c r="BF83">
        <f t="shared" si="111"/>
        <v>1487.0529999999999</v>
      </c>
      <c r="BG83">
        <f t="shared" si="111"/>
        <v>1487.0529999999999</v>
      </c>
      <c r="BH83">
        <f t="shared" si="111"/>
        <v>1487.0529999999999</v>
      </c>
      <c r="BI83">
        <f t="shared" si="111"/>
        <v>1487.0529999999999</v>
      </c>
      <c r="BJ83">
        <f t="shared" si="111"/>
        <v>1487.0529999999999</v>
      </c>
      <c r="BK83">
        <f t="shared" si="111"/>
        <v>1487.0529999999999</v>
      </c>
      <c r="BL83">
        <f t="shared" si="111"/>
        <v>1487.0529999999999</v>
      </c>
      <c r="BM83">
        <f t="shared" si="111"/>
        <v>1487.0529999999999</v>
      </c>
      <c r="BN83">
        <f t="shared" si="111"/>
        <v>1487.0529999999999</v>
      </c>
    </row>
    <row r="85" spans="1:66" x14ac:dyDescent="0.25">
      <c r="A85" t="s">
        <v>374</v>
      </c>
    </row>
    <row r="86" spans="1:66" x14ac:dyDescent="0.25">
      <c r="B86" t="s">
        <v>375</v>
      </c>
      <c r="L86">
        <f t="shared" ref="L86:O86" si="112">L44</f>
        <v>0</v>
      </c>
      <c r="M86">
        <f t="shared" si="112"/>
        <v>3668.301255669654</v>
      </c>
      <c r="N86">
        <f t="shared" si="112"/>
        <v>0</v>
      </c>
      <c r="O86">
        <f t="shared" si="112"/>
        <v>3668.301255669654</v>
      </c>
      <c r="P86">
        <f>P44</f>
        <v>3668</v>
      </c>
      <c r="Q86">
        <f t="shared" ref="Q86:AR86" si="113">Q44</f>
        <v>3668.301255669654</v>
      </c>
      <c r="R86">
        <f t="shared" si="113"/>
        <v>3668.301255669654</v>
      </c>
      <c r="S86">
        <f t="shared" si="113"/>
        <v>3668.301255669654</v>
      </c>
      <c r="T86">
        <f t="shared" si="113"/>
        <v>3668.301255669654</v>
      </c>
      <c r="U86">
        <f t="shared" si="113"/>
        <v>3668.301255669654</v>
      </c>
      <c r="V86">
        <f t="shared" si="113"/>
        <v>3668.301255669654</v>
      </c>
      <c r="W86">
        <f t="shared" si="113"/>
        <v>4338.4634167167915</v>
      </c>
      <c r="X86">
        <f t="shared" si="113"/>
        <v>4338.4634167167915</v>
      </c>
      <c r="Y86">
        <f t="shared" si="113"/>
        <v>4338.4634167167915</v>
      </c>
      <c r="Z86">
        <f t="shared" si="113"/>
        <v>4338.4634167167915</v>
      </c>
      <c r="AA86">
        <f t="shared" si="113"/>
        <v>4338.4634167167915</v>
      </c>
      <c r="AB86">
        <f t="shared" si="113"/>
        <v>4338.4634167167915</v>
      </c>
      <c r="AC86">
        <f t="shared" si="113"/>
        <v>4338.4634167167915</v>
      </c>
      <c r="AD86">
        <f t="shared" si="113"/>
        <v>4338.4634167167915</v>
      </c>
      <c r="AE86">
        <f t="shared" si="113"/>
        <v>4338.4634167167915</v>
      </c>
      <c r="AF86">
        <f t="shared" si="113"/>
        <v>4338.4634167167915</v>
      </c>
      <c r="AG86">
        <f t="shared" si="113"/>
        <v>4338.4634167167915</v>
      </c>
      <c r="AH86">
        <f t="shared" si="113"/>
        <v>4338.4634167167915</v>
      </c>
      <c r="AI86">
        <f t="shared" si="113"/>
        <v>4338.4634167167915</v>
      </c>
      <c r="AJ86">
        <f t="shared" si="113"/>
        <v>4338.4634167167915</v>
      </c>
      <c r="AK86">
        <f t="shared" si="113"/>
        <v>4338.4634167167915</v>
      </c>
      <c r="AL86">
        <f t="shared" si="113"/>
        <v>4338.4634167167915</v>
      </c>
      <c r="AM86">
        <f t="shared" si="113"/>
        <v>4338.4634167167915</v>
      </c>
      <c r="AN86">
        <f t="shared" si="113"/>
        <v>4338.4634167167915</v>
      </c>
      <c r="AO86">
        <f t="shared" si="113"/>
        <v>4338.4634167167915</v>
      </c>
      <c r="AP86">
        <f t="shared" si="113"/>
        <v>4338.4634167167915</v>
      </c>
      <c r="AQ86">
        <f t="shared" si="113"/>
        <v>4338.4634167167915</v>
      </c>
      <c r="AR86">
        <f t="shared" si="113"/>
        <v>4338.4634167167915</v>
      </c>
      <c r="AS86">
        <v>0</v>
      </c>
    </row>
    <row r="87" spans="1:66" x14ac:dyDescent="0.25">
      <c r="B87" t="s">
        <v>342</v>
      </c>
      <c r="L87">
        <f t="shared" ref="L87:O87" si="114">11809*0.15</f>
        <v>1771.35</v>
      </c>
      <c r="M87">
        <f t="shared" si="114"/>
        <v>1771.35</v>
      </c>
      <c r="N87">
        <f t="shared" si="114"/>
        <v>1771.35</v>
      </c>
      <c r="O87">
        <f t="shared" si="114"/>
        <v>1771.35</v>
      </c>
      <c r="P87">
        <f>11809*0.15</f>
        <v>1771.35</v>
      </c>
      <c r="Q87">
        <f t="shared" ref="Q87:AR87" si="115">11809*0.15</f>
        <v>1771.35</v>
      </c>
      <c r="R87">
        <f t="shared" si="115"/>
        <v>1771.35</v>
      </c>
      <c r="S87">
        <f t="shared" si="115"/>
        <v>1771.35</v>
      </c>
      <c r="T87">
        <f t="shared" si="115"/>
        <v>1771.35</v>
      </c>
      <c r="U87">
        <f t="shared" si="115"/>
        <v>1771.35</v>
      </c>
      <c r="V87">
        <f t="shared" si="115"/>
        <v>1771.35</v>
      </c>
      <c r="W87">
        <f t="shared" si="115"/>
        <v>1771.35</v>
      </c>
      <c r="X87">
        <f t="shared" si="115"/>
        <v>1771.35</v>
      </c>
      <c r="Y87">
        <f t="shared" si="115"/>
        <v>1771.35</v>
      </c>
      <c r="Z87">
        <f t="shared" si="115"/>
        <v>1771.35</v>
      </c>
      <c r="AA87">
        <f t="shared" si="115"/>
        <v>1771.35</v>
      </c>
      <c r="AB87">
        <f t="shared" si="115"/>
        <v>1771.35</v>
      </c>
      <c r="AC87">
        <f t="shared" si="115"/>
        <v>1771.35</v>
      </c>
      <c r="AD87">
        <f t="shared" si="115"/>
        <v>1771.35</v>
      </c>
      <c r="AE87">
        <f t="shared" si="115"/>
        <v>1771.35</v>
      </c>
      <c r="AF87">
        <f t="shared" si="115"/>
        <v>1771.35</v>
      </c>
      <c r="AG87">
        <f t="shared" si="115"/>
        <v>1771.35</v>
      </c>
      <c r="AH87">
        <f t="shared" si="115"/>
        <v>1771.35</v>
      </c>
      <c r="AI87">
        <f t="shared" si="115"/>
        <v>1771.35</v>
      </c>
      <c r="AJ87">
        <f t="shared" si="115"/>
        <v>1771.35</v>
      </c>
      <c r="AK87">
        <f t="shared" si="115"/>
        <v>1771.35</v>
      </c>
      <c r="AL87">
        <f t="shared" si="115"/>
        <v>1771.35</v>
      </c>
      <c r="AM87">
        <f t="shared" si="115"/>
        <v>1771.35</v>
      </c>
      <c r="AN87">
        <f t="shared" si="115"/>
        <v>1771.35</v>
      </c>
      <c r="AO87">
        <f t="shared" si="115"/>
        <v>1771.35</v>
      </c>
      <c r="AP87">
        <f t="shared" si="115"/>
        <v>1771.35</v>
      </c>
      <c r="AQ87">
        <f t="shared" si="115"/>
        <v>1771.35</v>
      </c>
      <c r="AR87">
        <f t="shared" si="115"/>
        <v>1771.35</v>
      </c>
      <c r="AS87">
        <f>(11809+2000)*0.15</f>
        <v>2071.35</v>
      </c>
      <c r="AT87">
        <f>(11809+2000)*0.15</f>
        <v>2071.35</v>
      </c>
      <c r="AU87">
        <f t="shared" ref="AU87:AV87" si="116">(11809+7333+2000)*0.15</f>
        <v>3171.2999999999997</v>
      </c>
      <c r="AV87">
        <f t="shared" si="116"/>
        <v>3171.2999999999997</v>
      </c>
      <c r="AW87">
        <f>(11809+7333+2000)*0.15</f>
        <v>3171.2999999999997</v>
      </c>
      <c r="AX87">
        <f>(11809+7333+2000)*0.15</f>
        <v>3171.2999999999997</v>
      </c>
      <c r="AY87">
        <f t="shared" ref="AY87:BN87" si="117">(11809+7333+2000)*0.15</f>
        <v>3171.2999999999997</v>
      </c>
      <c r="AZ87">
        <f t="shared" si="117"/>
        <v>3171.2999999999997</v>
      </c>
      <c r="BA87">
        <f t="shared" si="117"/>
        <v>3171.2999999999997</v>
      </c>
      <c r="BB87">
        <f t="shared" si="117"/>
        <v>3171.2999999999997</v>
      </c>
      <c r="BC87">
        <f t="shared" si="117"/>
        <v>3171.2999999999997</v>
      </c>
      <c r="BD87">
        <f t="shared" si="117"/>
        <v>3171.2999999999997</v>
      </c>
      <c r="BE87">
        <f t="shared" si="117"/>
        <v>3171.2999999999997</v>
      </c>
      <c r="BF87">
        <f t="shared" si="117"/>
        <v>3171.2999999999997</v>
      </c>
      <c r="BG87">
        <f t="shared" si="117"/>
        <v>3171.2999999999997</v>
      </c>
      <c r="BH87">
        <f t="shared" si="117"/>
        <v>3171.2999999999997</v>
      </c>
      <c r="BI87">
        <f t="shared" si="117"/>
        <v>3171.2999999999997</v>
      </c>
      <c r="BJ87">
        <f t="shared" si="117"/>
        <v>3171.2999999999997</v>
      </c>
      <c r="BK87">
        <f t="shared" si="117"/>
        <v>3171.2999999999997</v>
      </c>
      <c r="BL87">
        <f t="shared" si="117"/>
        <v>3171.2999999999997</v>
      </c>
      <c r="BM87">
        <f t="shared" si="117"/>
        <v>3171.2999999999997</v>
      </c>
      <c r="BN87">
        <f t="shared" si="117"/>
        <v>3171.2999999999997</v>
      </c>
    </row>
    <row r="88" spans="1:66" x14ac:dyDescent="0.25">
      <c r="B88" t="s">
        <v>343</v>
      </c>
      <c r="L88">
        <f>(2480.17+642.58+270.87)*0.15</f>
        <v>509.04299999999995</v>
      </c>
      <c r="M88">
        <f>(2534.09+655.56+276.34)*0.15</f>
        <v>519.89850000000001</v>
      </c>
      <c r="N88">
        <f>(2214.19+578.55+243.88)*0.15</f>
        <v>455.49299999999999</v>
      </c>
      <c r="O88">
        <f>(2641.95+672.1+287.29)*0.15</f>
        <v>540.20099999999991</v>
      </c>
      <c r="P88">
        <f>(2307.53+601+253)*0.15</f>
        <v>474.22950000000003</v>
      </c>
      <c r="Q88">
        <f>(2749.8+672.1+298.23)*0.15</f>
        <v>558.01949999999999</v>
      </c>
      <c r="R88">
        <f>(2803.73+672.1+303.71)*0.15</f>
        <v>566.93099999999993</v>
      </c>
      <c r="S88">
        <f>(2829.6+672.1+309.18)*0.15</f>
        <v>571.63199999999995</v>
      </c>
      <c r="T88" s="263">
        <f>(2829.6+672.1+314.65)*0.15</f>
        <v>572.45249999999999</v>
      </c>
      <c r="U88" s="263">
        <f>(2829.6+672.1+320.12)*0.15</f>
        <v>573.27299999999991</v>
      </c>
      <c r="V88" s="263">
        <f>(2829.6+672.1+325.6)*0.15</f>
        <v>574.09499999999991</v>
      </c>
      <c r="W88" s="263">
        <f>(2829.6+672.1+331.07)*0.15</f>
        <v>574.91549999999995</v>
      </c>
      <c r="X88" s="263">
        <f>(2829.6+672.1+336.54)*0.15</f>
        <v>575.73599999999999</v>
      </c>
      <c r="Y88" s="263">
        <f>(2829.6+672.1+342.02)*0.15</f>
        <v>576.55799999999999</v>
      </c>
      <c r="Z88" s="263">
        <f>(2829.6+672.1+345.55)*0.15</f>
        <v>577.08749999999998</v>
      </c>
      <c r="AA88" s="263">
        <f t="shared" ref="AA88:AR88" si="118">(2829.6+672.1+345.55)*0.15</f>
        <v>577.08749999999998</v>
      </c>
      <c r="AB88" s="263">
        <f t="shared" si="118"/>
        <v>577.08749999999998</v>
      </c>
      <c r="AC88" s="263">
        <f t="shared" si="118"/>
        <v>577.08749999999998</v>
      </c>
      <c r="AD88" s="263">
        <f t="shared" si="118"/>
        <v>577.08749999999998</v>
      </c>
      <c r="AE88" s="263">
        <f t="shared" si="118"/>
        <v>577.08749999999998</v>
      </c>
      <c r="AF88" s="263">
        <f t="shared" si="118"/>
        <v>577.08749999999998</v>
      </c>
      <c r="AG88" s="263">
        <f t="shared" si="118"/>
        <v>577.08749999999998</v>
      </c>
      <c r="AH88" s="263">
        <f t="shared" si="118"/>
        <v>577.08749999999998</v>
      </c>
      <c r="AI88" s="263">
        <f t="shared" si="118"/>
        <v>577.08749999999998</v>
      </c>
      <c r="AJ88" s="263">
        <f t="shared" si="118"/>
        <v>577.08749999999998</v>
      </c>
      <c r="AK88" s="263">
        <f t="shared" si="118"/>
        <v>577.08749999999998</v>
      </c>
      <c r="AL88" s="263">
        <f t="shared" si="118"/>
        <v>577.08749999999998</v>
      </c>
      <c r="AM88" s="263">
        <f t="shared" si="118"/>
        <v>577.08749999999998</v>
      </c>
      <c r="AN88" s="263">
        <f t="shared" si="118"/>
        <v>577.08749999999998</v>
      </c>
      <c r="AO88" s="263">
        <f t="shared" si="118"/>
        <v>577.08749999999998</v>
      </c>
      <c r="AP88" s="263">
        <f t="shared" si="118"/>
        <v>577.08749999999998</v>
      </c>
      <c r="AQ88" s="263">
        <f t="shared" si="118"/>
        <v>577.08749999999998</v>
      </c>
      <c r="AR88" s="263">
        <f t="shared" si="118"/>
        <v>577.08749999999998</v>
      </c>
    </row>
    <row r="89" spans="1:66" x14ac:dyDescent="0.25">
      <c r="B89" t="s">
        <v>344</v>
      </c>
      <c r="L89">
        <f t="shared" ref="L89:N89" si="119">1195*0.15</f>
        <v>179.25</v>
      </c>
      <c r="M89">
        <f t="shared" si="119"/>
        <v>179.25</v>
      </c>
      <c r="N89">
        <f t="shared" si="119"/>
        <v>179.25</v>
      </c>
      <c r="O89">
        <f>1195*0.15</f>
        <v>179.25</v>
      </c>
      <c r="P89">
        <f>1195*0.15</f>
        <v>179.25</v>
      </c>
      <c r="Q89">
        <f t="shared" ref="Q89:AR89" si="120">1195*0.15</f>
        <v>179.25</v>
      </c>
      <c r="R89">
        <f t="shared" si="120"/>
        <v>179.25</v>
      </c>
      <c r="S89">
        <f t="shared" si="120"/>
        <v>179.25</v>
      </c>
      <c r="T89">
        <f t="shared" si="120"/>
        <v>179.25</v>
      </c>
      <c r="U89">
        <f t="shared" si="120"/>
        <v>179.25</v>
      </c>
      <c r="V89">
        <f t="shared" si="120"/>
        <v>179.25</v>
      </c>
      <c r="W89">
        <f t="shared" si="120"/>
        <v>179.25</v>
      </c>
      <c r="X89">
        <f t="shared" si="120"/>
        <v>179.25</v>
      </c>
      <c r="Y89">
        <f t="shared" si="120"/>
        <v>179.25</v>
      </c>
      <c r="Z89">
        <f t="shared" si="120"/>
        <v>179.25</v>
      </c>
      <c r="AA89">
        <f t="shared" si="120"/>
        <v>179.25</v>
      </c>
      <c r="AB89">
        <f t="shared" si="120"/>
        <v>179.25</v>
      </c>
      <c r="AC89">
        <f t="shared" si="120"/>
        <v>179.25</v>
      </c>
      <c r="AD89">
        <f t="shared" si="120"/>
        <v>179.25</v>
      </c>
      <c r="AE89">
        <f t="shared" si="120"/>
        <v>179.25</v>
      </c>
      <c r="AF89">
        <f t="shared" si="120"/>
        <v>179.25</v>
      </c>
      <c r="AG89">
        <f t="shared" si="120"/>
        <v>179.25</v>
      </c>
      <c r="AH89">
        <f t="shared" si="120"/>
        <v>179.25</v>
      </c>
      <c r="AI89">
        <f t="shared" si="120"/>
        <v>179.25</v>
      </c>
      <c r="AJ89">
        <f t="shared" si="120"/>
        <v>179.25</v>
      </c>
      <c r="AK89">
        <f t="shared" si="120"/>
        <v>179.25</v>
      </c>
      <c r="AL89">
        <f t="shared" si="120"/>
        <v>179.25</v>
      </c>
      <c r="AM89">
        <f t="shared" si="120"/>
        <v>179.25</v>
      </c>
      <c r="AN89">
        <f t="shared" si="120"/>
        <v>179.25</v>
      </c>
      <c r="AO89">
        <f t="shared" si="120"/>
        <v>179.25</v>
      </c>
      <c r="AP89">
        <f t="shared" si="120"/>
        <v>179.25</v>
      </c>
      <c r="AQ89">
        <f t="shared" si="120"/>
        <v>179.25</v>
      </c>
      <c r="AR89">
        <f t="shared" si="120"/>
        <v>179.25</v>
      </c>
    </row>
    <row r="90" spans="1:66" x14ac:dyDescent="0.25">
      <c r="B90" t="s">
        <v>376</v>
      </c>
      <c r="AE90">
        <f>370*0.15</f>
        <v>55.5</v>
      </c>
      <c r="AF90">
        <f>370*0.15</f>
        <v>55.5</v>
      </c>
      <c r="AG90">
        <f>740*0.15</f>
        <v>111</v>
      </c>
      <c r="AH90">
        <f>740*0.15</f>
        <v>111</v>
      </c>
      <c r="AI90">
        <f>370*0.15</f>
        <v>55.5</v>
      </c>
      <c r="AJ90">
        <f>AI90</f>
        <v>55.5</v>
      </c>
    </row>
    <row r="91" spans="1:66" x14ac:dyDescent="0.25">
      <c r="B91" t="s">
        <v>369</v>
      </c>
      <c r="AT91">
        <f>599.11*0.15</f>
        <v>89.866500000000002</v>
      </c>
      <c r="AU91">
        <f>385.48*0.15</f>
        <v>57.822000000000003</v>
      </c>
      <c r="AV91">
        <f>385.48*0.15</f>
        <v>57.822000000000003</v>
      </c>
      <c r="AW91">
        <f>385.48*0.15</f>
        <v>57.822000000000003</v>
      </c>
      <c r="AX91">
        <f>272.11*0.15</f>
        <v>40.816499999999998</v>
      </c>
      <c r="AY91">
        <f t="shared" ref="AY91:BN91" si="121">272.11*0.15</f>
        <v>40.816499999999998</v>
      </c>
      <c r="AZ91">
        <f t="shared" si="121"/>
        <v>40.816499999999998</v>
      </c>
      <c r="BA91">
        <f t="shared" si="121"/>
        <v>40.816499999999998</v>
      </c>
      <c r="BB91">
        <f t="shared" si="121"/>
        <v>40.816499999999998</v>
      </c>
      <c r="BC91">
        <f t="shared" si="121"/>
        <v>40.816499999999998</v>
      </c>
      <c r="BD91">
        <f t="shared" si="121"/>
        <v>40.816499999999998</v>
      </c>
      <c r="BE91">
        <f t="shared" si="121"/>
        <v>40.816499999999998</v>
      </c>
      <c r="BF91">
        <f t="shared" si="121"/>
        <v>40.816499999999998</v>
      </c>
      <c r="BG91">
        <f t="shared" si="121"/>
        <v>40.816499999999998</v>
      </c>
      <c r="BH91">
        <f t="shared" si="121"/>
        <v>40.816499999999998</v>
      </c>
      <c r="BI91">
        <f t="shared" si="121"/>
        <v>40.816499999999998</v>
      </c>
      <c r="BJ91">
        <f t="shared" si="121"/>
        <v>40.816499999999998</v>
      </c>
      <c r="BK91">
        <f t="shared" si="121"/>
        <v>40.816499999999998</v>
      </c>
      <c r="BL91">
        <f t="shared" si="121"/>
        <v>40.816499999999998</v>
      </c>
      <c r="BM91">
        <f t="shared" si="121"/>
        <v>40.816499999999998</v>
      </c>
      <c r="BN91">
        <f t="shared" si="121"/>
        <v>40.816499999999998</v>
      </c>
    </row>
    <row r="92" spans="1:66" x14ac:dyDescent="0.25">
      <c r="B92" t="s">
        <v>345</v>
      </c>
      <c r="L92">
        <v>7569.92</v>
      </c>
      <c r="M92">
        <v>7022.64</v>
      </c>
      <c r="N92">
        <v>7534.32</v>
      </c>
      <c r="O92">
        <v>7432.09</v>
      </c>
      <c r="P92">
        <v>7175.3</v>
      </c>
      <c r="Q92">
        <v>7841.6</v>
      </c>
      <c r="R92">
        <v>8046.33</v>
      </c>
      <c r="S92">
        <v>8251.0499999999993</v>
      </c>
      <c r="T92">
        <v>8455.7800000000007</v>
      </c>
      <c r="U92">
        <v>8660.5</v>
      </c>
      <c r="V92">
        <v>8865.23</v>
      </c>
      <c r="W92">
        <v>8932.51</v>
      </c>
      <c r="X92">
        <v>9137.23</v>
      </c>
      <c r="Y92">
        <v>9341.9599999999991</v>
      </c>
      <c r="Z92">
        <v>9474.06</v>
      </c>
      <c r="AA92">
        <v>9474.06</v>
      </c>
      <c r="AB92">
        <v>9474.06</v>
      </c>
      <c r="AC92">
        <v>9474.06</v>
      </c>
      <c r="AD92">
        <v>9474.06</v>
      </c>
      <c r="AE92">
        <v>9474.06</v>
      </c>
      <c r="AF92">
        <v>9474.06</v>
      </c>
      <c r="AG92">
        <v>9474.06</v>
      </c>
      <c r="AH92">
        <v>9474.06</v>
      </c>
      <c r="AI92">
        <v>9474.06</v>
      </c>
      <c r="AJ92">
        <v>9474.06</v>
      </c>
      <c r="AK92">
        <v>9474.06</v>
      </c>
      <c r="AL92">
        <v>9474.06</v>
      </c>
      <c r="AM92">
        <v>9474.06</v>
      </c>
      <c r="AN92">
        <v>9474.06</v>
      </c>
      <c r="AO92">
        <v>9474.06</v>
      </c>
      <c r="AP92">
        <v>9474.06</v>
      </c>
      <c r="AQ92">
        <v>9474.06</v>
      </c>
      <c r="AR92">
        <v>9474.06</v>
      </c>
      <c r="AS92">
        <v>6022.03</v>
      </c>
      <c r="AT92">
        <v>3419.43</v>
      </c>
      <c r="AU92">
        <v>4487.62</v>
      </c>
      <c r="AV92">
        <f>AU92</f>
        <v>4487.62</v>
      </c>
      <c r="AW92">
        <f>AV92</f>
        <v>4487.62</v>
      </c>
      <c r="AX92">
        <v>5054.46</v>
      </c>
      <c r="AY92">
        <v>5054.46</v>
      </c>
      <c r="AZ92">
        <v>5054.46</v>
      </c>
      <c r="BA92">
        <v>5054.46</v>
      </c>
      <c r="BB92">
        <v>5054.46</v>
      </c>
      <c r="BC92">
        <v>5054.46</v>
      </c>
      <c r="BD92">
        <v>5054.46</v>
      </c>
      <c r="BE92">
        <v>5054.46</v>
      </c>
      <c r="BF92">
        <v>5054.46</v>
      </c>
      <c r="BG92">
        <v>5054.46</v>
      </c>
      <c r="BH92">
        <v>5054.46</v>
      </c>
      <c r="BI92">
        <v>5054.46</v>
      </c>
      <c r="BJ92">
        <v>5054.46</v>
      </c>
      <c r="BK92">
        <v>5054.46</v>
      </c>
      <c r="BL92">
        <v>5054.46</v>
      </c>
      <c r="BM92">
        <v>5054.46</v>
      </c>
      <c r="BN92">
        <v>5054.46</v>
      </c>
    </row>
    <row r="93" spans="1:66" x14ac:dyDescent="0.25">
      <c r="B93" t="s">
        <v>346</v>
      </c>
      <c r="L93">
        <f t="shared" ref="L93:O93" si="122">L92-(L89+L88+L87)</f>
        <v>5110.277</v>
      </c>
      <c r="M93">
        <f t="shared" si="122"/>
        <v>4552.1415000000006</v>
      </c>
      <c r="N93">
        <f t="shared" si="122"/>
        <v>5128.2269999999999</v>
      </c>
      <c r="O93">
        <f t="shared" si="122"/>
        <v>4941.2890000000007</v>
      </c>
      <c r="P93">
        <f>P92-(P89+P88+P87)</f>
        <v>4750.4705000000004</v>
      </c>
      <c r="Q93">
        <f t="shared" ref="Q93:AD93" si="123">Q92-(Q89+Q88+Q87)</f>
        <v>5332.9805000000006</v>
      </c>
      <c r="R93">
        <f t="shared" si="123"/>
        <v>5528.799</v>
      </c>
      <c r="S93">
        <f t="shared" si="123"/>
        <v>5728.8179999999993</v>
      </c>
      <c r="T93">
        <f t="shared" si="123"/>
        <v>5932.7275000000009</v>
      </c>
      <c r="U93">
        <f t="shared" si="123"/>
        <v>6136.6270000000004</v>
      </c>
      <c r="V93">
        <f t="shared" si="123"/>
        <v>6340.5349999999999</v>
      </c>
      <c r="W93">
        <f t="shared" si="123"/>
        <v>6406.9945000000007</v>
      </c>
      <c r="X93">
        <f t="shared" si="123"/>
        <v>6610.8940000000002</v>
      </c>
      <c r="Y93">
        <f t="shared" si="123"/>
        <v>6814.8019999999997</v>
      </c>
      <c r="Z93">
        <f t="shared" si="123"/>
        <v>6946.3724999999995</v>
      </c>
      <c r="AA93">
        <f t="shared" si="123"/>
        <v>6946.3724999999995</v>
      </c>
      <c r="AB93">
        <f t="shared" si="123"/>
        <v>6946.3724999999995</v>
      </c>
      <c r="AC93">
        <f t="shared" si="123"/>
        <v>6946.3724999999995</v>
      </c>
      <c r="AD93">
        <f t="shared" si="123"/>
        <v>6946.3724999999995</v>
      </c>
      <c r="AE93">
        <f>AE92-(AE89+AE88+AE87+AE90)</f>
        <v>6890.8724999999995</v>
      </c>
      <c r="AF93">
        <f t="shared" ref="AF93:AR93" si="124">AF92-(AF89+AF88+AF87+AF90)</f>
        <v>6890.8724999999995</v>
      </c>
      <c r="AG93">
        <f t="shared" si="124"/>
        <v>6835.3724999999995</v>
      </c>
      <c r="AH93">
        <f t="shared" si="124"/>
        <v>6835.3724999999995</v>
      </c>
      <c r="AI93">
        <f t="shared" si="124"/>
        <v>6890.8724999999995</v>
      </c>
      <c r="AJ93">
        <f t="shared" si="124"/>
        <v>6890.8724999999995</v>
      </c>
      <c r="AK93">
        <f t="shared" si="124"/>
        <v>6946.3724999999995</v>
      </c>
      <c r="AL93">
        <f t="shared" si="124"/>
        <v>6946.3724999999995</v>
      </c>
      <c r="AM93">
        <f t="shared" si="124"/>
        <v>6946.3724999999995</v>
      </c>
      <c r="AN93">
        <f t="shared" si="124"/>
        <v>6946.3724999999995</v>
      </c>
      <c r="AO93">
        <f t="shared" si="124"/>
        <v>6946.3724999999995</v>
      </c>
      <c r="AP93">
        <f t="shared" si="124"/>
        <v>6946.3724999999995</v>
      </c>
      <c r="AQ93">
        <f t="shared" si="124"/>
        <v>6946.3724999999995</v>
      </c>
      <c r="AR93">
        <f t="shared" si="124"/>
        <v>6946.3724999999995</v>
      </c>
      <c r="AS93">
        <f t="shared" ref="AS93:AW93" si="125">AS92-(AS89+AS88+AS87+AS90+AS91)</f>
        <v>3950.68</v>
      </c>
      <c r="AT93">
        <f t="shared" si="125"/>
        <v>1258.2134999999998</v>
      </c>
      <c r="AU93">
        <f t="shared" ref="AU93" si="126">AU92-(AU89+AU88+AU87+AU90+AU91)</f>
        <v>1258.498</v>
      </c>
      <c r="AV93">
        <f t="shared" ref="AV93" si="127">AV92-(AV89+AV88+AV87+AV90+AV91)</f>
        <v>1258.498</v>
      </c>
      <c r="AW93">
        <f t="shared" si="125"/>
        <v>1258.498</v>
      </c>
      <c r="AX93">
        <f>AX92-(AX89+AX88+AX87+AX90+AX91)</f>
        <v>1842.3435000000004</v>
      </c>
      <c r="AY93">
        <f t="shared" ref="AY93:BN93" si="128">AY92-(AY89+AY88+AY87+AY90+AY91)</f>
        <v>1842.3435000000004</v>
      </c>
      <c r="AZ93">
        <f t="shared" si="128"/>
        <v>1842.3435000000004</v>
      </c>
      <c r="BA93">
        <f t="shared" si="128"/>
        <v>1842.3435000000004</v>
      </c>
      <c r="BB93">
        <f t="shared" si="128"/>
        <v>1842.3435000000004</v>
      </c>
      <c r="BC93">
        <f t="shared" si="128"/>
        <v>1842.3435000000004</v>
      </c>
      <c r="BD93">
        <f t="shared" si="128"/>
        <v>1842.3435000000004</v>
      </c>
      <c r="BE93">
        <f t="shared" si="128"/>
        <v>1842.3435000000004</v>
      </c>
      <c r="BF93">
        <f t="shared" si="128"/>
        <v>1842.3435000000004</v>
      </c>
      <c r="BG93">
        <f t="shared" si="128"/>
        <v>1842.3435000000004</v>
      </c>
      <c r="BH93">
        <f t="shared" si="128"/>
        <v>1842.3435000000004</v>
      </c>
      <c r="BI93">
        <f t="shared" si="128"/>
        <v>1842.3435000000004</v>
      </c>
      <c r="BJ93">
        <f t="shared" si="128"/>
        <v>1842.3435000000004</v>
      </c>
      <c r="BK93">
        <f t="shared" si="128"/>
        <v>1842.3435000000004</v>
      </c>
      <c r="BL93">
        <f t="shared" si="128"/>
        <v>1842.3435000000004</v>
      </c>
      <c r="BM93">
        <f t="shared" si="128"/>
        <v>1842.3435000000004</v>
      </c>
      <c r="BN93">
        <f t="shared" si="128"/>
        <v>1842.3435000000004</v>
      </c>
    </row>
    <row r="94" spans="1:66" x14ac:dyDescent="0.25">
      <c r="B94" t="s">
        <v>347</v>
      </c>
      <c r="L94">
        <f t="shared" ref="L94:O94" si="129">L93*0.165</f>
        <v>843.19570500000009</v>
      </c>
      <c r="M94">
        <f t="shared" si="129"/>
        <v>751.10334750000015</v>
      </c>
      <c r="N94">
        <f t="shared" si="129"/>
        <v>846.15745500000003</v>
      </c>
      <c r="O94">
        <f t="shared" si="129"/>
        <v>815.3126850000001</v>
      </c>
      <c r="P94">
        <f>P93*0.165</f>
        <v>783.82763250000005</v>
      </c>
      <c r="Q94">
        <f t="shared" ref="Q94:AR94" si="130">Q93*0.165</f>
        <v>879.94178250000016</v>
      </c>
      <c r="R94">
        <f t="shared" si="130"/>
        <v>912.25183500000003</v>
      </c>
      <c r="S94">
        <f t="shared" si="130"/>
        <v>945.25496999999996</v>
      </c>
      <c r="T94">
        <f t="shared" si="130"/>
        <v>978.90003750000017</v>
      </c>
      <c r="U94">
        <f t="shared" si="130"/>
        <v>1012.5434550000001</v>
      </c>
      <c r="V94">
        <f t="shared" si="130"/>
        <v>1046.188275</v>
      </c>
      <c r="W94">
        <f t="shared" si="130"/>
        <v>1057.1540925000002</v>
      </c>
      <c r="X94">
        <f t="shared" si="130"/>
        <v>1090.7975100000001</v>
      </c>
      <c r="Y94">
        <f t="shared" si="130"/>
        <v>1124.4423300000001</v>
      </c>
      <c r="Z94">
        <f t="shared" si="130"/>
        <v>1146.1514625</v>
      </c>
      <c r="AA94">
        <f t="shared" si="130"/>
        <v>1146.1514625</v>
      </c>
      <c r="AB94">
        <f t="shared" si="130"/>
        <v>1146.1514625</v>
      </c>
      <c r="AC94">
        <f t="shared" si="130"/>
        <v>1146.1514625</v>
      </c>
      <c r="AD94">
        <f t="shared" si="130"/>
        <v>1146.1514625</v>
      </c>
      <c r="AE94">
        <f t="shared" si="130"/>
        <v>1136.9939625</v>
      </c>
      <c r="AF94">
        <f t="shared" si="130"/>
        <v>1136.9939625</v>
      </c>
      <c r="AG94">
        <f t="shared" si="130"/>
        <v>1127.8364624999999</v>
      </c>
      <c r="AH94">
        <f t="shared" si="130"/>
        <v>1127.8364624999999</v>
      </c>
      <c r="AI94">
        <f t="shared" si="130"/>
        <v>1136.9939625</v>
      </c>
      <c r="AJ94">
        <f t="shared" si="130"/>
        <v>1136.9939625</v>
      </c>
      <c r="AK94">
        <f t="shared" si="130"/>
        <v>1146.1514625</v>
      </c>
      <c r="AL94">
        <f t="shared" si="130"/>
        <v>1146.1514625</v>
      </c>
      <c r="AM94">
        <f t="shared" si="130"/>
        <v>1146.1514625</v>
      </c>
      <c r="AN94">
        <f t="shared" si="130"/>
        <v>1146.1514625</v>
      </c>
      <c r="AO94">
        <f t="shared" si="130"/>
        <v>1146.1514625</v>
      </c>
      <c r="AP94">
        <f t="shared" si="130"/>
        <v>1146.1514625</v>
      </c>
      <c r="AQ94">
        <f t="shared" si="130"/>
        <v>1146.1514625</v>
      </c>
      <c r="AR94">
        <f t="shared" si="130"/>
        <v>1146.1514625</v>
      </c>
      <c r="AS94">
        <f t="shared" ref="AS94:AV94" si="131">AS93*0.165</f>
        <v>651.86220000000003</v>
      </c>
      <c r="AT94">
        <f t="shared" si="131"/>
        <v>207.60522749999998</v>
      </c>
      <c r="AU94">
        <f t="shared" si="131"/>
        <v>207.65217000000001</v>
      </c>
      <c r="AV94">
        <f t="shared" si="131"/>
        <v>207.65217000000001</v>
      </c>
      <c r="AW94">
        <f t="shared" ref="AW94" si="132">AW93*0.165</f>
        <v>207.65217000000001</v>
      </c>
      <c r="AX94">
        <f t="shared" ref="AX94" si="133">AX93*0.165</f>
        <v>303.9866775000001</v>
      </c>
      <c r="AY94">
        <f t="shared" ref="AY94:BN94" si="134">AY93*0.165</f>
        <v>303.9866775000001</v>
      </c>
      <c r="AZ94">
        <f t="shared" si="134"/>
        <v>303.9866775000001</v>
      </c>
      <c r="BA94">
        <f t="shared" si="134"/>
        <v>303.9866775000001</v>
      </c>
      <c r="BB94">
        <f t="shared" si="134"/>
        <v>303.9866775000001</v>
      </c>
      <c r="BC94">
        <f t="shared" si="134"/>
        <v>303.9866775000001</v>
      </c>
      <c r="BD94">
        <f t="shared" si="134"/>
        <v>303.9866775000001</v>
      </c>
      <c r="BE94">
        <f t="shared" si="134"/>
        <v>303.9866775000001</v>
      </c>
      <c r="BF94">
        <f t="shared" si="134"/>
        <v>303.9866775000001</v>
      </c>
      <c r="BG94">
        <f t="shared" si="134"/>
        <v>303.9866775000001</v>
      </c>
      <c r="BH94">
        <f t="shared" si="134"/>
        <v>303.9866775000001</v>
      </c>
      <c r="BI94">
        <f t="shared" si="134"/>
        <v>303.9866775000001</v>
      </c>
      <c r="BJ94">
        <f t="shared" si="134"/>
        <v>303.9866775000001</v>
      </c>
      <c r="BK94">
        <f t="shared" si="134"/>
        <v>303.9866775000001</v>
      </c>
      <c r="BL94">
        <f t="shared" si="134"/>
        <v>303.9866775000001</v>
      </c>
      <c r="BM94">
        <f t="shared" si="134"/>
        <v>303.9866775000001</v>
      </c>
      <c r="BN94">
        <f t="shared" si="134"/>
        <v>303.9866775000001</v>
      </c>
    </row>
    <row r="95" spans="1:66" x14ac:dyDescent="0.25">
      <c r="B95" t="s">
        <v>348</v>
      </c>
      <c r="L95">
        <f t="shared" ref="L95:O95" si="135">L93-L94</f>
        <v>4267.081295</v>
      </c>
      <c r="M95">
        <f t="shared" si="135"/>
        <v>3801.0381525000003</v>
      </c>
      <c r="N95">
        <f t="shared" si="135"/>
        <v>4282.0695450000003</v>
      </c>
      <c r="O95">
        <f t="shared" si="135"/>
        <v>4125.9763150000008</v>
      </c>
      <c r="P95">
        <f>P93-P94</f>
        <v>3966.6428675000002</v>
      </c>
      <c r="Q95">
        <f t="shared" ref="Q95:AR95" si="136">Q93-Q94</f>
        <v>4453.0387175000005</v>
      </c>
      <c r="R95">
        <f t="shared" si="136"/>
        <v>4616.5471649999999</v>
      </c>
      <c r="S95">
        <f t="shared" si="136"/>
        <v>4783.5630299999993</v>
      </c>
      <c r="T95">
        <f t="shared" si="136"/>
        <v>4953.8274625000004</v>
      </c>
      <c r="U95">
        <f t="shared" si="136"/>
        <v>5124.0835450000004</v>
      </c>
      <c r="V95">
        <f t="shared" si="136"/>
        <v>5294.3467249999994</v>
      </c>
      <c r="W95">
        <f t="shared" si="136"/>
        <v>5349.8404075000008</v>
      </c>
      <c r="X95">
        <f t="shared" si="136"/>
        <v>5520.0964899999999</v>
      </c>
      <c r="Y95">
        <f t="shared" si="136"/>
        <v>5690.3596699999998</v>
      </c>
      <c r="Z95">
        <f t="shared" si="136"/>
        <v>5800.2210374999995</v>
      </c>
      <c r="AA95">
        <f t="shared" si="136"/>
        <v>5800.2210374999995</v>
      </c>
      <c r="AB95">
        <f t="shared" si="136"/>
        <v>5800.2210374999995</v>
      </c>
      <c r="AC95">
        <f t="shared" si="136"/>
        <v>5800.2210374999995</v>
      </c>
      <c r="AD95">
        <f t="shared" si="136"/>
        <v>5800.2210374999995</v>
      </c>
      <c r="AE95">
        <f t="shared" si="136"/>
        <v>5753.8785374999998</v>
      </c>
      <c r="AF95">
        <f t="shared" si="136"/>
        <v>5753.8785374999998</v>
      </c>
      <c r="AG95">
        <f t="shared" si="136"/>
        <v>5707.5360375</v>
      </c>
      <c r="AH95">
        <f t="shared" si="136"/>
        <v>5707.5360375</v>
      </c>
      <c r="AI95">
        <f t="shared" si="136"/>
        <v>5753.8785374999998</v>
      </c>
      <c r="AJ95">
        <f t="shared" si="136"/>
        <v>5753.8785374999998</v>
      </c>
      <c r="AK95">
        <f t="shared" si="136"/>
        <v>5800.2210374999995</v>
      </c>
      <c r="AL95">
        <f t="shared" si="136"/>
        <v>5800.2210374999995</v>
      </c>
      <c r="AM95">
        <f t="shared" si="136"/>
        <v>5800.2210374999995</v>
      </c>
      <c r="AN95">
        <f t="shared" si="136"/>
        <v>5800.2210374999995</v>
      </c>
      <c r="AO95">
        <f t="shared" si="136"/>
        <v>5800.2210374999995</v>
      </c>
      <c r="AP95">
        <f t="shared" si="136"/>
        <v>5800.2210374999995</v>
      </c>
      <c r="AQ95">
        <f t="shared" si="136"/>
        <v>5800.2210374999995</v>
      </c>
      <c r="AR95">
        <f t="shared" si="136"/>
        <v>5800.2210374999995</v>
      </c>
      <c r="AS95">
        <f t="shared" ref="AS95:AV95" si="137">AS93-AS94</f>
        <v>3298.8177999999998</v>
      </c>
      <c r="AT95">
        <f t="shared" si="137"/>
        <v>1050.6082724999999</v>
      </c>
      <c r="AU95">
        <f t="shared" si="137"/>
        <v>1050.84583</v>
      </c>
      <c r="AV95">
        <f t="shared" si="137"/>
        <v>1050.84583</v>
      </c>
      <c r="AW95">
        <f t="shared" ref="AW95" si="138">AW93-AW94</f>
        <v>1050.84583</v>
      </c>
      <c r="AX95">
        <f t="shared" ref="AX95" si="139">AX93-AX94</f>
        <v>1538.3568225000004</v>
      </c>
      <c r="AY95">
        <f t="shared" ref="AY95:BN95" si="140">AY93-AY94</f>
        <v>1538.3568225000004</v>
      </c>
      <c r="AZ95">
        <f t="shared" si="140"/>
        <v>1538.3568225000004</v>
      </c>
      <c r="BA95">
        <f t="shared" si="140"/>
        <v>1538.3568225000004</v>
      </c>
      <c r="BB95">
        <f t="shared" si="140"/>
        <v>1538.3568225000004</v>
      </c>
      <c r="BC95">
        <f t="shared" si="140"/>
        <v>1538.3568225000004</v>
      </c>
      <c r="BD95">
        <f t="shared" si="140"/>
        <v>1538.3568225000004</v>
      </c>
      <c r="BE95">
        <f t="shared" si="140"/>
        <v>1538.3568225000004</v>
      </c>
      <c r="BF95">
        <f t="shared" si="140"/>
        <v>1538.3568225000004</v>
      </c>
      <c r="BG95">
        <f t="shared" si="140"/>
        <v>1538.3568225000004</v>
      </c>
      <c r="BH95">
        <f t="shared" si="140"/>
        <v>1538.3568225000004</v>
      </c>
      <c r="BI95">
        <f t="shared" si="140"/>
        <v>1538.3568225000004</v>
      </c>
      <c r="BJ95">
        <f t="shared" si="140"/>
        <v>1538.3568225000004</v>
      </c>
      <c r="BK95">
        <f t="shared" si="140"/>
        <v>1538.3568225000004</v>
      </c>
      <c r="BL95">
        <f t="shared" si="140"/>
        <v>1538.3568225000004</v>
      </c>
      <c r="BM95">
        <f t="shared" si="140"/>
        <v>1538.3568225000004</v>
      </c>
      <c r="BN95">
        <f t="shared" si="140"/>
        <v>1538.3568225000004</v>
      </c>
    </row>
    <row r="96" spans="1:66" x14ac:dyDescent="0.25">
      <c r="AX96" s="4"/>
    </row>
    <row r="97" spans="1:72" s="17" customFormat="1" x14ac:dyDescent="0.25">
      <c r="A97" s="17" t="s">
        <v>377</v>
      </c>
      <c r="B97" s="17" t="s">
        <v>378</v>
      </c>
      <c r="L97" s="17">
        <f t="shared" ref="L97:O97" si="141">L59+L83</f>
        <v>8910.2818000000007</v>
      </c>
      <c r="M97" s="17">
        <f t="shared" si="141"/>
        <v>8586.7893000000004</v>
      </c>
      <c r="N97" s="17">
        <f t="shared" si="141"/>
        <v>7128.392600000001</v>
      </c>
      <c r="O97" s="17">
        <f t="shared" si="141"/>
        <v>9497.3649000000005</v>
      </c>
      <c r="P97" s="17">
        <f t="shared" ref="P97:AR97" si="142">P59+P83</f>
        <v>7081.0409999999993</v>
      </c>
      <c r="Q97" s="17">
        <f t="shared" si="142"/>
        <v>10560.908100000001</v>
      </c>
      <c r="R97" s="17">
        <f t="shared" si="142"/>
        <v>10760.6381</v>
      </c>
      <c r="S97" s="17">
        <f t="shared" si="142"/>
        <v>10960.3681</v>
      </c>
      <c r="T97" s="17">
        <f t="shared" si="142"/>
        <v>11160.098099999999</v>
      </c>
      <c r="U97" s="17">
        <f t="shared" si="142"/>
        <v>11359.828100000002</v>
      </c>
      <c r="V97" s="17">
        <f t="shared" si="142"/>
        <v>11559.558100000002</v>
      </c>
      <c r="W97" s="17">
        <f t="shared" si="142"/>
        <v>11625.198100000001</v>
      </c>
      <c r="X97" s="17">
        <f t="shared" si="142"/>
        <v>11824.928100000001</v>
      </c>
      <c r="Y97" s="17">
        <f t="shared" si="142"/>
        <v>12024.668100000003</v>
      </c>
      <c r="Z97" s="17">
        <f t="shared" si="142"/>
        <v>12153.5481</v>
      </c>
      <c r="AA97" s="17">
        <f t="shared" si="142"/>
        <v>12153.5481</v>
      </c>
      <c r="AB97" s="17">
        <f t="shared" si="142"/>
        <v>12153.5481</v>
      </c>
      <c r="AC97" s="17">
        <f t="shared" si="142"/>
        <v>12153.5481</v>
      </c>
      <c r="AD97" s="17">
        <f t="shared" si="142"/>
        <v>12153.5481</v>
      </c>
      <c r="AE97" s="17">
        <f t="shared" si="142"/>
        <v>11258.748100000001</v>
      </c>
      <c r="AF97" s="17">
        <f t="shared" si="142"/>
        <v>11926.4611</v>
      </c>
      <c r="AG97" s="17">
        <f t="shared" si="142"/>
        <v>11031.661100000001</v>
      </c>
      <c r="AH97" s="17">
        <f t="shared" si="142"/>
        <v>11699.374100000001</v>
      </c>
      <c r="AI97" s="17">
        <f t="shared" si="142"/>
        <v>11926.4611</v>
      </c>
      <c r="AJ97" s="17">
        <f t="shared" si="142"/>
        <v>11926.4611</v>
      </c>
      <c r="AK97" s="17">
        <f t="shared" si="142"/>
        <v>12153.5481</v>
      </c>
      <c r="AL97" s="17">
        <f t="shared" si="142"/>
        <v>12153.5481</v>
      </c>
      <c r="AM97" s="17">
        <f t="shared" si="142"/>
        <v>12153.5481</v>
      </c>
      <c r="AN97" s="17">
        <f t="shared" si="142"/>
        <v>12153.5481</v>
      </c>
      <c r="AO97" s="17">
        <f t="shared" si="142"/>
        <v>12153.5481</v>
      </c>
      <c r="AP97" s="17">
        <f t="shared" si="142"/>
        <v>12153.5481</v>
      </c>
      <c r="AQ97" s="17">
        <f t="shared" si="142"/>
        <v>12153.5481</v>
      </c>
      <c r="AR97" s="17">
        <f t="shared" si="142"/>
        <v>12153.5481</v>
      </c>
      <c r="AS97" s="17">
        <f>AS59+AS83</f>
        <v>4528.1605</v>
      </c>
      <c r="AT97" s="17">
        <f>AT59+AT83</f>
        <v>6230.56</v>
      </c>
      <c r="AU97" s="17">
        <f t="shared" ref="AU97:BT97" si="143">AU59+AU83</f>
        <v>7176.0240000000013</v>
      </c>
      <c r="AV97" s="17">
        <f t="shared" si="143"/>
        <v>7176.0240000000013</v>
      </c>
      <c r="AW97" s="17">
        <f t="shared" si="143"/>
        <v>7176.0240000000013</v>
      </c>
      <c r="AX97" s="17">
        <f t="shared" si="143"/>
        <v>5324.2759999999998</v>
      </c>
      <c r="AY97" s="17">
        <f t="shared" si="143"/>
        <v>5324.2759999999998</v>
      </c>
      <c r="AZ97" s="17">
        <f t="shared" si="143"/>
        <v>5324.2759999999998</v>
      </c>
      <c r="BA97" s="17">
        <f t="shared" si="143"/>
        <v>5324.2759999999998</v>
      </c>
      <c r="BB97" s="17">
        <f t="shared" si="143"/>
        <v>5324.2759999999998</v>
      </c>
      <c r="BC97" s="17">
        <f t="shared" si="143"/>
        <v>5324.2759999999998</v>
      </c>
      <c r="BD97" s="17">
        <f t="shared" si="143"/>
        <v>5324.2759999999998</v>
      </c>
      <c r="BE97" s="17">
        <f t="shared" si="143"/>
        <v>5324.2759999999998</v>
      </c>
      <c r="BF97" s="17">
        <f t="shared" si="143"/>
        <v>5324.2759999999998</v>
      </c>
      <c r="BG97" s="17">
        <f t="shared" si="143"/>
        <v>5324.2759999999998</v>
      </c>
      <c r="BH97" s="17">
        <f t="shared" si="143"/>
        <v>5324.2759999999998</v>
      </c>
      <c r="BI97" s="17">
        <f t="shared" si="143"/>
        <v>5324.2759999999998</v>
      </c>
      <c r="BJ97" s="17">
        <f t="shared" si="143"/>
        <v>5324.2759999999998</v>
      </c>
      <c r="BK97" s="17">
        <f t="shared" si="143"/>
        <v>5324.2759999999998</v>
      </c>
      <c r="BL97" s="17">
        <f t="shared" si="143"/>
        <v>5324.2759999999998</v>
      </c>
      <c r="BM97" s="17">
        <f t="shared" si="143"/>
        <v>5324.2759999999998</v>
      </c>
      <c r="BN97" s="17">
        <f t="shared" si="143"/>
        <v>5324.2759999999998</v>
      </c>
      <c r="BO97" s="17">
        <f t="shared" si="143"/>
        <v>4431.2505000000001</v>
      </c>
      <c r="BP97" s="17">
        <f t="shared" si="143"/>
        <v>4431.2505000000001</v>
      </c>
      <c r="BQ97" s="17">
        <f t="shared" si="143"/>
        <v>4431.2505000000001</v>
      </c>
      <c r="BR97" s="17">
        <f t="shared" si="143"/>
        <v>4431.2505000000001</v>
      </c>
      <c r="BS97" s="17">
        <f t="shared" si="143"/>
        <v>4431.2505000000001</v>
      </c>
      <c r="BT97" s="17">
        <f t="shared" si="143"/>
        <v>4431.2505000000001</v>
      </c>
    </row>
    <row r="98" spans="1:72" s="17" customFormat="1" x14ac:dyDescent="0.25">
      <c r="B98" s="17" t="s">
        <v>379</v>
      </c>
      <c r="L98" s="17">
        <f t="shared" ref="L98:O98" si="144">L74+L95</f>
        <v>7318.1537600000001</v>
      </c>
      <c r="M98" s="17">
        <f t="shared" si="144"/>
        <v>7012.2076724999997</v>
      </c>
      <c r="N98" s="17">
        <f t="shared" si="144"/>
        <v>6146.0250150000002</v>
      </c>
      <c r="O98" s="17">
        <f t="shared" si="144"/>
        <v>7336.9942825000007</v>
      </c>
      <c r="P98" s="17">
        <f t="shared" ref="P98:AR98" si="145">P74+P95</f>
        <v>5799.7179500000002</v>
      </c>
      <c r="Q98" s="17">
        <f t="shared" si="145"/>
        <v>7704.5863325000009</v>
      </c>
      <c r="R98" s="17">
        <f t="shared" si="145"/>
        <v>7861.180980000001</v>
      </c>
      <c r="S98" s="17">
        <f t="shared" si="145"/>
        <v>8137.7905950000004</v>
      </c>
      <c r="T98" s="17">
        <f t="shared" si="145"/>
        <v>8303.5460275000005</v>
      </c>
      <c r="U98" s="17">
        <f t="shared" si="145"/>
        <v>8651.9326600000004</v>
      </c>
      <c r="V98" s="17">
        <f t="shared" si="145"/>
        <v>8822.1958400000003</v>
      </c>
      <c r="W98" s="17">
        <f t="shared" si="145"/>
        <v>8877.6895225000007</v>
      </c>
      <c r="X98" s="17">
        <f t="shared" si="145"/>
        <v>9047.9456050000008</v>
      </c>
      <c r="Y98" s="17">
        <f t="shared" si="145"/>
        <v>9218.2087849999989</v>
      </c>
      <c r="Z98" s="17">
        <f t="shared" si="145"/>
        <v>9801.3982524999992</v>
      </c>
      <c r="AA98" s="17">
        <f t="shared" si="145"/>
        <v>9801.3982524999992</v>
      </c>
      <c r="AB98" s="17">
        <f t="shared" si="145"/>
        <v>9801.3982524999992</v>
      </c>
      <c r="AC98" s="17">
        <f t="shared" si="145"/>
        <v>9801.3982524999992</v>
      </c>
      <c r="AD98" s="17">
        <f t="shared" si="145"/>
        <v>9801.3982524999992</v>
      </c>
      <c r="AE98" s="17">
        <f t="shared" si="145"/>
        <v>9755.0557525000004</v>
      </c>
      <c r="AF98" s="17">
        <f t="shared" si="145"/>
        <v>9755.0557525000004</v>
      </c>
      <c r="AG98" s="17">
        <f t="shared" si="145"/>
        <v>9708.7132525000015</v>
      </c>
      <c r="AH98" s="17">
        <f t="shared" si="145"/>
        <v>9708.7132525000015</v>
      </c>
      <c r="AI98" s="17">
        <f t="shared" si="145"/>
        <v>9755.0557525000004</v>
      </c>
      <c r="AJ98" s="17">
        <f t="shared" si="145"/>
        <v>9755.0557525000004</v>
      </c>
      <c r="AK98" s="17">
        <f t="shared" si="145"/>
        <v>9801.3982524999992</v>
      </c>
      <c r="AL98" s="17">
        <f t="shared" si="145"/>
        <v>9801.3982524999992</v>
      </c>
      <c r="AM98" s="17">
        <f t="shared" si="145"/>
        <v>9801.3982524999992</v>
      </c>
      <c r="AN98" s="17">
        <f t="shared" si="145"/>
        <v>9801.3982524999992</v>
      </c>
      <c r="AO98" s="17">
        <f t="shared" si="145"/>
        <v>9801.3982524999992</v>
      </c>
      <c r="AP98" s="17">
        <f t="shared" si="145"/>
        <v>9801.3982524999992</v>
      </c>
      <c r="AQ98" s="17">
        <f t="shared" si="145"/>
        <v>9801.3982524999992</v>
      </c>
      <c r="AR98" s="17">
        <f t="shared" si="145"/>
        <v>9801.3982524999992</v>
      </c>
      <c r="AS98" s="17">
        <f t="shared" ref="AS98:AT98" si="146">AS74+AS95</f>
        <v>4073.2723675000002</v>
      </c>
      <c r="AT98" s="17">
        <f t="shared" si="146"/>
        <v>5146.5838725000003</v>
      </c>
      <c r="AU98" s="17">
        <f t="shared" ref="AU98:BT98" si="147">AU74+AU95</f>
        <v>5146.8214300000009</v>
      </c>
      <c r="AV98" s="17">
        <f t="shared" si="147"/>
        <v>5146.8214300000009</v>
      </c>
      <c r="AW98" s="17">
        <f t="shared" si="147"/>
        <v>5146.8214300000009</v>
      </c>
      <c r="AX98" s="17">
        <f t="shared" si="147"/>
        <v>3509.2741225000009</v>
      </c>
      <c r="AY98" s="17">
        <f t="shared" si="147"/>
        <v>3509.2741225000009</v>
      </c>
      <c r="AZ98" s="17">
        <f t="shared" si="147"/>
        <v>3509.2741225000009</v>
      </c>
      <c r="BA98" s="17">
        <f t="shared" si="147"/>
        <v>3509.2741225000009</v>
      </c>
      <c r="BB98" s="17">
        <f t="shared" si="147"/>
        <v>3509.2741225000009</v>
      </c>
      <c r="BC98" s="17">
        <f t="shared" si="147"/>
        <v>3509.2741225000009</v>
      </c>
      <c r="BD98" s="17">
        <f t="shared" si="147"/>
        <v>3509.2741225000009</v>
      </c>
      <c r="BE98" s="17">
        <f t="shared" si="147"/>
        <v>3509.2741225000009</v>
      </c>
      <c r="BF98" s="17">
        <f t="shared" si="147"/>
        <v>3509.2741225000009</v>
      </c>
      <c r="BG98" s="17">
        <f t="shared" si="147"/>
        <v>3509.2741225000009</v>
      </c>
      <c r="BH98" s="17">
        <f t="shared" si="147"/>
        <v>3509.2741225000009</v>
      </c>
      <c r="BI98" s="17">
        <f t="shared" si="147"/>
        <v>3509.2741225000009</v>
      </c>
      <c r="BJ98" s="17">
        <f t="shared" si="147"/>
        <v>3509.2741225000009</v>
      </c>
      <c r="BK98" s="17">
        <f t="shared" si="147"/>
        <v>3509.2741225000009</v>
      </c>
      <c r="BL98" s="17">
        <f t="shared" si="147"/>
        <v>3509.2741225000009</v>
      </c>
      <c r="BM98" s="17">
        <f t="shared" si="147"/>
        <v>3509.2741225000009</v>
      </c>
      <c r="BN98" s="17">
        <f t="shared" si="147"/>
        <v>3509.2741225000009</v>
      </c>
      <c r="BO98" s="17">
        <f t="shared" si="147"/>
        <v>3631.6037100000003</v>
      </c>
      <c r="BP98" s="17">
        <f t="shared" si="147"/>
        <v>3631.6037100000003</v>
      </c>
      <c r="BQ98" s="17">
        <f t="shared" si="147"/>
        <v>3631.6037100000003</v>
      </c>
      <c r="BR98" s="17">
        <f t="shared" si="147"/>
        <v>3631.6037100000003</v>
      </c>
      <c r="BS98" s="17">
        <f t="shared" si="147"/>
        <v>3631.6037100000003</v>
      </c>
      <c r="BT98" s="17">
        <f t="shared" si="147"/>
        <v>3631.6037100000003</v>
      </c>
    </row>
    <row r="102" spans="1:72" s="369" customFormat="1" x14ac:dyDescent="0.25">
      <c r="A102" s="371" t="s">
        <v>255</v>
      </c>
      <c r="B102" s="420"/>
      <c r="C102" s="420"/>
      <c r="D102" s="420"/>
      <c r="E102" s="420"/>
      <c r="F102" s="420"/>
      <c r="G102" s="420"/>
      <c r="H102" s="420"/>
      <c r="I102" s="420"/>
      <c r="J102" s="420"/>
      <c r="K102" s="420"/>
      <c r="L102" s="420"/>
      <c r="M102" s="420"/>
      <c r="N102" s="420"/>
      <c r="O102" s="420"/>
      <c r="P102" s="420"/>
      <c r="Q102" s="420"/>
      <c r="R102" s="420"/>
      <c r="S102" s="420"/>
      <c r="T102" s="420"/>
      <c r="U102" s="420"/>
      <c r="V102" s="420"/>
      <c r="W102" s="420"/>
      <c r="X102" s="420"/>
      <c r="Y102" s="420"/>
      <c r="Z102" s="420"/>
      <c r="AA102" s="420"/>
      <c r="AB102" s="420"/>
      <c r="AC102" s="420"/>
      <c r="AD102" s="420"/>
      <c r="AE102" s="420"/>
      <c r="AF102" s="420"/>
      <c r="AG102" s="420"/>
      <c r="AH102" s="420"/>
      <c r="AI102" s="420"/>
      <c r="AJ102" s="420"/>
      <c r="AK102" s="420"/>
      <c r="AL102" s="420"/>
      <c r="AM102" s="420"/>
      <c r="AN102" s="420"/>
      <c r="AO102" s="420"/>
      <c r="AP102" s="420"/>
      <c r="AQ102" s="420"/>
      <c r="AR102" s="420"/>
      <c r="AS102" s="420"/>
      <c r="AT102" s="420"/>
      <c r="AU102" s="420"/>
      <c r="AV102" s="420"/>
      <c r="AW102" s="420"/>
      <c r="AX102" s="420"/>
      <c r="AY102" s="420"/>
      <c r="AZ102" s="420"/>
      <c r="BA102" s="420"/>
      <c r="BB102" s="420"/>
      <c r="BC102" s="420"/>
      <c r="BD102" s="420"/>
      <c r="BE102" s="420"/>
      <c r="BF102" s="420"/>
      <c r="BG102" s="420"/>
      <c r="BH102" s="420"/>
      <c r="BI102" s="420"/>
      <c r="BJ102" s="420"/>
      <c r="BK102" s="420"/>
      <c r="BL102" s="420"/>
      <c r="BM102" s="420"/>
      <c r="BN102" s="420"/>
      <c r="BO102" s="420"/>
      <c r="BP102" s="420"/>
      <c r="BQ102" s="420"/>
      <c r="BR102" s="420"/>
      <c r="BS102" s="420"/>
      <c r="BT102" s="420"/>
    </row>
    <row r="103" spans="1:72" x14ac:dyDescent="0.25">
      <c r="B103" t="s">
        <v>349</v>
      </c>
      <c r="P103" s="38">
        <f t="shared" ref="P103:AH103" si="148">P3</f>
        <v>50990</v>
      </c>
      <c r="Q103" s="38">
        <f t="shared" si="148"/>
        <v>52963</v>
      </c>
      <c r="R103" s="38">
        <f t="shared" si="148"/>
        <v>52963</v>
      </c>
      <c r="S103" s="38">
        <f t="shared" si="148"/>
        <v>52963</v>
      </c>
      <c r="T103" s="38">
        <f t="shared" si="148"/>
        <v>52963</v>
      </c>
      <c r="U103" s="38">
        <f t="shared" si="148"/>
        <v>52963</v>
      </c>
      <c r="V103" s="38">
        <f t="shared" si="148"/>
        <v>52963</v>
      </c>
      <c r="W103" s="38">
        <f t="shared" si="148"/>
        <v>52963</v>
      </c>
      <c r="X103" s="38">
        <f t="shared" si="148"/>
        <v>52963</v>
      </c>
      <c r="Y103" s="38">
        <f t="shared" si="148"/>
        <v>52963</v>
      </c>
      <c r="Z103" s="38">
        <f t="shared" si="148"/>
        <v>52963</v>
      </c>
      <c r="AA103" s="38">
        <f t="shared" si="148"/>
        <v>52963</v>
      </c>
      <c r="AB103" s="38">
        <f t="shared" si="148"/>
        <v>52963</v>
      </c>
      <c r="AC103" s="38">
        <f t="shared" si="148"/>
        <v>52963</v>
      </c>
      <c r="AD103" s="38">
        <f t="shared" si="148"/>
        <v>52963</v>
      </c>
      <c r="AE103" s="38">
        <f t="shared" si="148"/>
        <v>52963</v>
      </c>
      <c r="AF103" s="38">
        <f t="shared" si="148"/>
        <v>52963</v>
      </c>
      <c r="AG103" s="38">
        <f t="shared" si="148"/>
        <v>52963</v>
      </c>
      <c r="AH103" s="38">
        <f t="shared" si="148"/>
        <v>52963</v>
      </c>
      <c r="AI103">
        <v>52963</v>
      </c>
    </row>
    <row r="104" spans="1:72" x14ac:dyDescent="0.25">
      <c r="B104" t="s">
        <v>351</v>
      </c>
      <c r="P104" s="38">
        <f t="shared" ref="P104:AH104" si="149">P4</f>
        <v>3970.2015000000001</v>
      </c>
      <c r="Q104" s="38">
        <f t="shared" si="149"/>
        <v>4222.9428000000007</v>
      </c>
      <c r="R104" s="38">
        <f t="shared" si="149"/>
        <v>4222.9428000000007</v>
      </c>
      <c r="S104" s="38">
        <f t="shared" si="149"/>
        <v>4222.9428000000007</v>
      </c>
      <c r="T104" s="38">
        <f t="shared" si="149"/>
        <v>4222.9428000000007</v>
      </c>
      <c r="U104" s="38">
        <f t="shared" si="149"/>
        <v>4222.9428000000007</v>
      </c>
      <c r="V104" s="38">
        <f t="shared" si="149"/>
        <v>4222.9428000000007</v>
      </c>
      <c r="W104" s="38">
        <f t="shared" si="149"/>
        <v>4222.9428000000007</v>
      </c>
      <c r="X104" s="38">
        <f t="shared" si="149"/>
        <v>4222.9428000000007</v>
      </c>
      <c r="Y104" s="38">
        <f t="shared" si="149"/>
        <v>4222.9428000000007</v>
      </c>
      <c r="Z104" s="38">
        <f t="shared" si="149"/>
        <v>4222.9428000000007</v>
      </c>
      <c r="AA104" s="38">
        <f t="shared" si="149"/>
        <v>4222.9428000000007</v>
      </c>
      <c r="AB104" s="38">
        <f t="shared" si="149"/>
        <v>4222.9428000000007</v>
      </c>
      <c r="AC104" s="38">
        <f t="shared" si="149"/>
        <v>4222.9428000000007</v>
      </c>
      <c r="AD104" s="38">
        <f t="shared" si="149"/>
        <v>4222.9428000000007</v>
      </c>
      <c r="AE104" s="38">
        <f t="shared" si="149"/>
        <v>4222.9428000000007</v>
      </c>
      <c r="AF104" s="38">
        <f t="shared" si="149"/>
        <v>4222.9428000000007</v>
      </c>
      <c r="AG104" s="38">
        <f t="shared" si="149"/>
        <v>4222.9428000000007</v>
      </c>
      <c r="AH104" s="38">
        <f t="shared" si="149"/>
        <v>4222.9428000000007</v>
      </c>
      <c r="AI104">
        <v>4222.9428000000007</v>
      </c>
    </row>
    <row r="105" spans="1:72" x14ac:dyDescent="0.25">
      <c r="B105" t="s">
        <v>352</v>
      </c>
      <c r="P105" s="38">
        <f t="shared" ref="P105:AH105" si="150">P5</f>
        <v>662.87</v>
      </c>
      <c r="Q105" s="38">
        <f t="shared" si="150"/>
        <v>688.51900000000001</v>
      </c>
      <c r="R105" s="38">
        <f t="shared" si="150"/>
        <v>688.51900000000001</v>
      </c>
      <c r="S105" s="38">
        <f t="shared" si="150"/>
        <v>688.51900000000001</v>
      </c>
      <c r="T105" s="38">
        <f t="shared" si="150"/>
        <v>688.51900000000001</v>
      </c>
      <c r="U105" s="38">
        <f t="shared" si="150"/>
        <v>688.51900000000001</v>
      </c>
      <c r="V105" s="38">
        <f t="shared" si="150"/>
        <v>688.51900000000001</v>
      </c>
      <c r="W105" s="38">
        <f t="shared" si="150"/>
        <v>688.51900000000001</v>
      </c>
      <c r="X105" s="38">
        <f t="shared" si="150"/>
        <v>688.51900000000001</v>
      </c>
      <c r="Y105" s="38">
        <f t="shared" si="150"/>
        <v>688.51900000000001</v>
      </c>
      <c r="Z105" s="38">
        <f t="shared" si="150"/>
        <v>688.51900000000001</v>
      </c>
      <c r="AA105" s="38">
        <f t="shared" si="150"/>
        <v>688.51900000000001</v>
      </c>
      <c r="AB105" s="38">
        <f t="shared" si="150"/>
        <v>688.51900000000001</v>
      </c>
      <c r="AC105" s="38">
        <f t="shared" si="150"/>
        <v>688.51900000000001</v>
      </c>
      <c r="AD105" s="38">
        <f t="shared" si="150"/>
        <v>688.51900000000001</v>
      </c>
      <c r="AE105" s="38">
        <f t="shared" si="150"/>
        <v>688.51900000000001</v>
      </c>
      <c r="AF105" s="38">
        <f t="shared" si="150"/>
        <v>688.51900000000001</v>
      </c>
      <c r="AG105" s="38">
        <f t="shared" si="150"/>
        <v>688.51900000000001</v>
      </c>
      <c r="AH105" s="38">
        <f t="shared" si="150"/>
        <v>688.51900000000001</v>
      </c>
      <c r="AI105">
        <v>688.51900000000001</v>
      </c>
    </row>
    <row r="107" spans="1:72" x14ac:dyDescent="0.25">
      <c r="B107" t="s">
        <v>356</v>
      </c>
      <c r="P107" s="36">
        <f>Sommaire!O122+Sommaire!C133</f>
        <v>53423.622000000032</v>
      </c>
      <c r="Q107" s="36">
        <f>Sommaire!Q122</f>
        <v>54422.280000000028</v>
      </c>
      <c r="R107" s="36">
        <f>Sommaire!R122</f>
        <v>55420.938000000031</v>
      </c>
      <c r="S107" s="36">
        <f>Sommaire!S122</f>
        <v>56419.596000000034</v>
      </c>
      <c r="T107" s="36">
        <f>Sommaire!T122</f>
        <v>57418.254000000001</v>
      </c>
      <c r="U107" s="36">
        <f>Sommaire!U122</f>
        <v>58416.912000000004</v>
      </c>
      <c r="V107" s="36">
        <f>Sommaire!V122</f>
        <v>59415.570000000007</v>
      </c>
      <c r="W107" s="36">
        <f>Sommaire!W122</f>
        <v>60414.22800000001</v>
      </c>
      <c r="X107" s="36">
        <f>Sommaire!X122</f>
        <v>61412.886000000013</v>
      </c>
    </row>
    <row r="108" spans="1:72" x14ac:dyDescent="0.25">
      <c r="B108" t="s">
        <v>358</v>
      </c>
      <c r="P108" s="36">
        <f>Sommaire!P126</f>
        <v>3668</v>
      </c>
      <c r="Q108" s="36">
        <f>Sommaire!Q126</f>
        <v>3668.301255669654</v>
      </c>
      <c r="R108" s="36">
        <f>Sommaire!R126</f>
        <v>3668.301255669654</v>
      </c>
      <c r="S108" s="36">
        <f>Sommaire!S126</f>
        <v>3668.301255669654</v>
      </c>
      <c r="T108" s="36">
        <f>Sommaire!T126</f>
        <v>3668.301255669654</v>
      </c>
      <c r="U108" s="36">
        <f>Sommaire!U126</f>
        <v>3668.301255669654</v>
      </c>
      <c r="V108" s="36">
        <f>Sommaire!V126</f>
        <v>3668.301255669654</v>
      </c>
      <c r="W108" s="36">
        <f>Sommaire!W126</f>
        <v>4338.4634167167915</v>
      </c>
      <c r="X108" s="36">
        <f>Sommaire!X126</f>
        <v>4338.4634167167915</v>
      </c>
    </row>
    <row r="111" spans="1:72" x14ac:dyDescent="0.25">
      <c r="A111" t="s">
        <v>362</v>
      </c>
    </row>
    <row r="112" spans="1:72" x14ac:dyDescent="0.25">
      <c r="B112" t="s">
        <v>335</v>
      </c>
      <c r="P112">
        <v>1150</v>
      </c>
      <c r="Q112">
        <v>1150</v>
      </c>
      <c r="R112">
        <v>1150</v>
      </c>
      <c r="S112">
        <v>1150</v>
      </c>
      <c r="T112">
        <v>1150</v>
      </c>
      <c r="U112">
        <v>1150</v>
      </c>
      <c r="V112">
        <v>1150</v>
      </c>
      <c r="W112">
        <v>1150</v>
      </c>
      <c r="X112">
        <v>1150</v>
      </c>
      <c r="Y112">
        <f t="shared" ref="Y112:AH112" si="151">Y12</f>
        <v>1150</v>
      </c>
      <c r="Z112">
        <f t="shared" si="151"/>
        <v>1150</v>
      </c>
      <c r="AA112">
        <f t="shared" si="151"/>
        <v>1150</v>
      </c>
      <c r="AB112">
        <f t="shared" si="151"/>
        <v>1150</v>
      </c>
      <c r="AC112">
        <f t="shared" si="151"/>
        <v>1150</v>
      </c>
      <c r="AD112">
        <f t="shared" si="151"/>
        <v>1150</v>
      </c>
      <c r="AE112">
        <f t="shared" si="151"/>
        <v>1150</v>
      </c>
      <c r="AF112">
        <f t="shared" si="151"/>
        <v>1150</v>
      </c>
      <c r="AG112">
        <f t="shared" si="151"/>
        <v>1150</v>
      </c>
      <c r="AH112">
        <f t="shared" si="151"/>
        <v>1150</v>
      </c>
    </row>
    <row r="113" spans="1:35" x14ac:dyDescent="0.25">
      <c r="B113" t="s">
        <v>303</v>
      </c>
      <c r="P113">
        <v>3970</v>
      </c>
      <c r="Q113" s="38">
        <f>Q104</f>
        <v>4222.9428000000007</v>
      </c>
      <c r="R113" s="38">
        <f t="shared" ref="R113:X113" si="152">R104</f>
        <v>4222.9428000000007</v>
      </c>
      <c r="S113" s="38">
        <f t="shared" si="152"/>
        <v>4222.9428000000007</v>
      </c>
      <c r="T113" s="38">
        <f t="shared" si="152"/>
        <v>4222.9428000000007</v>
      </c>
      <c r="U113" s="38">
        <f t="shared" si="152"/>
        <v>4222.9428000000007</v>
      </c>
      <c r="V113" s="38">
        <f t="shared" si="152"/>
        <v>4222.9428000000007</v>
      </c>
      <c r="W113" s="38">
        <f t="shared" si="152"/>
        <v>4222.9428000000007</v>
      </c>
      <c r="X113" s="38">
        <f t="shared" si="152"/>
        <v>4222.9428000000007</v>
      </c>
      <c r="Y113">
        <f t="shared" ref="Y113:AH113" si="153">Y13</f>
        <v>4222.9428000000007</v>
      </c>
      <c r="Z113">
        <f t="shared" si="153"/>
        <v>4222.9428000000007</v>
      </c>
      <c r="AA113">
        <f t="shared" si="153"/>
        <v>4222.9428000000007</v>
      </c>
      <c r="AB113">
        <f t="shared" si="153"/>
        <v>4222.9428000000007</v>
      </c>
      <c r="AC113">
        <f t="shared" si="153"/>
        <v>4222.9428000000007</v>
      </c>
      <c r="AD113">
        <f t="shared" si="153"/>
        <v>4222.9428000000007</v>
      </c>
      <c r="AE113">
        <f t="shared" si="153"/>
        <v>4222.9428000000007</v>
      </c>
      <c r="AF113">
        <f t="shared" si="153"/>
        <v>4222.9428000000007</v>
      </c>
      <c r="AG113">
        <f t="shared" si="153"/>
        <v>4222.9428000000007</v>
      </c>
      <c r="AH113">
        <f t="shared" si="153"/>
        <v>4222.9428000000007</v>
      </c>
    </row>
    <row r="114" spans="1:35" x14ac:dyDescent="0.25">
      <c r="B114" t="s">
        <v>336</v>
      </c>
      <c r="P114">
        <f>15012*0.15</f>
        <v>2251.7999999999997</v>
      </c>
      <c r="Q114">
        <f>15012*0.15</f>
        <v>2251.7999999999997</v>
      </c>
      <c r="R114">
        <f t="shared" ref="R114:X114" si="154">15012*0.15</f>
        <v>2251.7999999999997</v>
      </c>
      <c r="S114">
        <f t="shared" si="154"/>
        <v>2251.7999999999997</v>
      </c>
      <c r="T114">
        <f t="shared" si="154"/>
        <v>2251.7999999999997</v>
      </c>
      <c r="U114">
        <f t="shared" si="154"/>
        <v>2251.7999999999997</v>
      </c>
      <c r="V114">
        <f t="shared" si="154"/>
        <v>2251.7999999999997</v>
      </c>
      <c r="W114">
        <f t="shared" si="154"/>
        <v>2251.7999999999997</v>
      </c>
      <c r="X114">
        <f t="shared" si="154"/>
        <v>2251.7999999999997</v>
      </c>
      <c r="Y114">
        <f t="shared" ref="Y114:AH114" si="155">Y14</f>
        <v>2251.8000000000002</v>
      </c>
      <c r="Z114">
        <f t="shared" si="155"/>
        <v>2251.8000000000002</v>
      </c>
      <c r="AA114">
        <f t="shared" si="155"/>
        <v>2251.8000000000002</v>
      </c>
      <c r="AB114">
        <f t="shared" si="155"/>
        <v>2251.8000000000002</v>
      </c>
      <c r="AC114">
        <f t="shared" si="155"/>
        <v>2251.8000000000002</v>
      </c>
      <c r="AD114">
        <f t="shared" si="155"/>
        <v>2251.8000000000002</v>
      </c>
      <c r="AE114">
        <f t="shared" si="155"/>
        <v>2251.8000000000002</v>
      </c>
      <c r="AF114">
        <f t="shared" si="155"/>
        <v>2251.8000000000002</v>
      </c>
      <c r="AG114">
        <f t="shared" si="155"/>
        <v>2251.8000000000002</v>
      </c>
      <c r="AH114">
        <f t="shared" si="155"/>
        <v>2251.8000000000002</v>
      </c>
    </row>
    <row r="115" spans="1:35" x14ac:dyDescent="0.25">
      <c r="B115" t="s">
        <v>363</v>
      </c>
      <c r="AF115">
        <f>1302.5*0.15</f>
        <v>195.375</v>
      </c>
      <c r="AG115">
        <f>AF115</f>
        <v>195.375</v>
      </c>
      <c r="AH115">
        <f>AG115</f>
        <v>195.375</v>
      </c>
    </row>
    <row r="116" spans="1:35" x14ac:dyDescent="0.25">
      <c r="B116" t="s">
        <v>364</v>
      </c>
      <c r="AE116">
        <f>5768*0.15</f>
        <v>865.19999999999993</v>
      </c>
      <c r="AF116">
        <f>1317.32*0.15</f>
        <v>197.59799999999998</v>
      </c>
      <c r="AG116">
        <f>AF116</f>
        <v>197.59799999999998</v>
      </c>
      <c r="AH116">
        <f>AG116</f>
        <v>197.59799999999998</v>
      </c>
    </row>
    <row r="117" spans="1:35" x14ac:dyDescent="0.25">
      <c r="B117" t="s">
        <v>338</v>
      </c>
      <c r="P117">
        <f>P16</f>
        <v>66.287000000000006</v>
      </c>
      <c r="Q117">
        <f>68.9</f>
        <v>68.900000000000006</v>
      </c>
      <c r="R117">
        <f t="shared" ref="R117:X117" si="156">68.9</f>
        <v>68.900000000000006</v>
      </c>
      <c r="S117">
        <f t="shared" si="156"/>
        <v>68.900000000000006</v>
      </c>
      <c r="T117">
        <f t="shared" si="156"/>
        <v>68.900000000000006</v>
      </c>
      <c r="U117">
        <f t="shared" si="156"/>
        <v>68.900000000000006</v>
      </c>
      <c r="V117">
        <f t="shared" si="156"/>
        <v>68.900000000000006</v>
      </c>
      <c r="W117">
        <f t="shared" si="156"/>
        <v>68.900000000000006</v>
      </c>
      <c r="X117">
        <f t="shared" si="156"/>
        <v>68.900000000000006</v>
      </c>
      <c r="Y117">
        <f t="shared" ref="Y117:AH117" si="157">Y16</f>
        <v>68.851900000000001</v>
      </c>
      <c r="Z117">
        <f t="shared" si="157"/>
        <v>68.851900000000001</v>
      </c>
      <c r="AA117">
        <f t="shared" si="157"/>
        <v>68.851900000000001</v>
      </c>
      <c r="AB117">
        <f t="shared" si="157"/>
        <v>68.851900000000001</v>
      </c>
      <c r="AC117">
        <f t="shared" si="157"/>
        <v>68.851900000000001</v>
      </c>
      <c r="AD117">
        <f t="shared" si="157"/>
        <v>68.851900000000001</v>
      </c>
      <c r="AE117">
        <f t="shared" si="157"/>
        <v>68.851900000000001</v>
      </c>
      <c r="AF117">
        <f t="shared" si="157"/>
        <v>68.851900000000001</v>
      </c>
      <c r="AG117">
        <f t="shared" si="157"/>
        <v>68.851900000000001</v>
      </c>
      <c r="AH117">
        <f t="shared" si="157"/>
        <v>68.851900000000001</v>
      </c>
    </row>
    <row r="118" spans="1:35" x14ac:dyDescent="0.25">
      <c r="B118" t="s">
        <v>365</v>
      </c>
      <c r="AE118">
        <v>29.6</v>
      </c>
      <c r="AF118">
        <v>29.6</v>
      </c>
      <c r="AG118">
        <f>AF118</f>
        <v>29.6</v>
      </c>
      <c r="AH118">
        <f>AG118</f>
        <v>29.6</v>
      </c>
    </row>
    <row r="119" spans="1:35" x14ac:dyDescent="0.25">
      <c r="B119" t="s">
        <v>339</v>
      </c>
      <c r="P119">
        <v>7021.25</v>
      </c>
      <c r="Q119">
        <f>7365.25</f>
        <v>7365.25</v>
      </c>
      <c r="R119">
        <f t="shared" ref="R119:X119" si="158">7365.25</f>
        <v>7365.25</v>
      </c>
      <c r="S119">
        <f t="shared" si="158"/>
        <v>7365.25</v>
      </c>
      <c r="T119">
        <f t="shared" si="158"/>
        <v>7365.25</v>
      </c>
      <c r="U119">
        <f t="shared" si="158"/>
        <v>7365.25</v>
      </c>
      <c r="V119">
        <f t="shared" si="158"/>
        <v>7365.25</v>
      </c>
      <c r="W119">
        <f t="shared" si="158"/>
        <v>7365.25</v>
      </c>
      <c r="X119">
        <f t="shared" si="158"/>
        <v>7365.25</v>
      </c>
      <c r="Y119">
        <v>7365.25</v>
      </c>
      <c r="Z119">
        <v>7365.25</v>
      </c>
      <c r="AA119">
        <v>7365.25</v>
      </c>
      <c r="AB119">
        <v>7365.25</v>
      </c>
      <c r="AC119">
        <v>7365.25</v>
      </c>
      <c r="AD119">
        <v>7365.25</v>
      </c>
      <c r="AE119">
        <v>7365.25</v>
      </c>
      <c r="AF119">
        <v>7365.25</v>
      </c>
      <c r="AG119">
        <f>AF119</f>
        <v>7365.25</v>
      </c>
      <c r="AH119">
        <f>AG119</f>
        <v>7365.25</v>
      </c>
    </row>
    <row r="120" spans="1:35" x14ac:dyDescent="0.25">
      <c r="B120" t="s">
        <v>340</v>
      </c>
      <c r="P120">
        <f>P119-(P117+P114)</f>
        <v>4703.1630000000005</v>
      </c>
      <c r="Q120">
        <f t="shared" ref="Q120:X120" si="159">Q119-(Q117+Q114)</f>
        <v>5044.55</v>
      </c>
      <c r="R120">
        <f t="shared" si="159"/>
        <v>5044.55</v>
      </c>
      <c r="S120">
        <f t="shared" si="159"/>
        <v>5044.55</v>
      </c>
      <c r="T120">
        <f t="shared" si="159"/>
        <v>5044.55</v>
      </c>
      <c r="U120">
        <f t="shared" si="159"/>
        <v>5044.55</v>
      </c>
      <c r="V120">
        <f t="shared" si="159"/>
        <v>5044.55</v>
      </c>
      <c r="W120">
        <f t="shared" si="159"/>
        <v>5044.55</v>
      </c>
      <c r="X120">
        <f t="shared" si="159"/>
        <v>5044.55</v>
      </c>
      <c r="Y120">
        <f>Y119-(Y114+Y117)</f>
        <v>5044.5980999999992</v>
      </c>
      <c r="Z120">
        <f t="shared" ref="Z120:AD120" si="160">Z119-(Z114+Z117)</f>
        <v>5044.5980999999992</v>
      </c>
      <c r="AA120">
        <f t="shared" si="160"/>
        <v>5044.5980999999992</v>
      </c>
      <c r="AB120">
        <f t="shared" si="160"/>
        <v>5044.5980999999992</v>
      </c>
      <c r="AC120">
        <f t="shared" si="160"/>
        <v>5044.5980999999992</v>
      </c>
      <c r="AD120">
        <f t="shared" si="160"/>
        <v>5044.5980999999992</v>
      </c>
      <c r="AE120">
        <f>AE119-(AE114+AE117+AE116+AE118)</f>
        <v>4149.7981</v>
      </c>
      <c r="AF120">
        <f>AF119-(AF114+AF117+AF116+AF118+AF115)</f>
        <v>4622.0250999999998</v>
      </c>
      <c r="AG120">
        <f t="shared" ref="AG120:AH120" si="161">AG119-(AG114+AG117+AG116+AG118+AG115)</f>
        <v>4622.0250999999998</v>
      </c>
      <c r="AH120">
        <f t="shared" si="161"/>
        <v>4622.0250999999998</v>
      </c>
    </row>
    <row r="122" spans="1:35" x14ac:dyDescent="0.25">
      <c r="A122" t="s">
        <v>366</v>
      </c>
    </row>
    <row r="123" spans="1:35" x14ac:dyDescent="0.25">
      <c r="B123" t="s">
        <v>341</v>
      </c>
      <c r="P123">
        <v>3970</v>
      </c>
      <c r="Q123" s="38">
        <f>Q104</f>
        <v>4222.9428000000007</v>
      </c>
      <c r="R123" s="38">
        <f t="shared" ref="R123:X123" si="162">R104</f>
        <v>4222.9428000000007</v>
      </c>
      <c r="S123" s="38">
        <f t="shared" si="162"/>
        <v>4222.9428000000007</v>
      </c>
      <c r="T123" s="38">
        <f t="shared" si="162"/>
        <v>4222.9428000000007</v>
      </c>
      <c r="U123" s="38">
        <f t="shared" si="162"/>
        <v>4222.9428000000007</v>
      </c>
      <c r="V123" s="38">
        <f t="shared" si="162"/>
        <v>4222.9428000000007</v>
      </c>
      <c r="W123" s="38">
        <f t="shared" si="162"/>
        <v>4222.9428000000007</v>
      </c>
      <c r="X123" s="38">
        <f t="shared" si="162"/>
        <v>4222.9428000000007</v>
      </c>
      <c r="Y123" s="38">
        <f t="shared" ref="Y123:AH123" si="163">Y21</f>
        <v>4222.9428000000007</v>
      </c>
      <c r="Z123" s="38">
        <f t="shared" si="163"/>
        <v>4222.9428000000007</v>
      </c>
      <c r="AA123" s="38">
        <f t="shared" si="163"/>
        <v>4222.9428000000007</v>
      </c>
      <c r="AB123" s="38">
        <f t="shared" si="163"/>
        <v>4222.9428000000007</v>
      </c>
      <c r="AC123" s="38">
        <f t="shared" si="163"/>
        <v>4222.9428000000007</v>
      </c>
      <c r="AD123" s="38">
        <f t="shared" si="163"/>
        <v>4222.9428000000007</v>
      </c>
      <c r="AE123" s="38">
        <f t="shared" si="163"/>
        <v>4222.9428000000007</v>
      </c>
      <c r="AF123" s="38">
        <f t="shared" si="163"/>
        <v>4222.9428000000007</v>
      </c>
      <c r="AG123" s="38">
        <f t="shared" si="163"/>
        <v>4222.9428000000007</v>
      </c>
      <c r="AH123" s="38">
        <f t="shared" si="163"/>
        <v>4222.9428000000007</v>
      </c>
      <c r="AI123" s="38"/>
    </row>
    <row r="124" spans="1:35" x14ac:dyDescent="0.25">
      <c r="B124" t="s">
        <v>332</v>
      </c>
      <c r="P124">
        <v>663</v>
      </c>
      <c r="Q124" s="38">
        <f>Q105</f>
        <v>688.51900000000001</v>
      </c>
      <c r="R124" s="38">
        <f t="shared" ref="R124:X124" si="164">R105</f>
        <v>688.51900000000001</v>
      </c>
      <c r="S124" s="38">
        <f t="shared" si="164"/>
        <v>688.51900000000001</v>
      </c>
      <c r="T124" s="38">
        <f t="shared" si="164"/>
        <v>688.51900000000001</v>
      </c>
      <c r="U124" s="38">
        <f t="shared" si="164"/>
        <v>688.51900000000001</v>
      </c>
      <c r="V124" s="38">
        <f t="shared" si="164"/>
        <v>688.51900000000001</v>
      </c>
      <c r="W124" s="38">
        <f t="shared" si="164"/>
        <v>688.51900000000001</v>
      </c>
      <c r="X124" s="38">
        <f t="shared" si="164"/>
        <v>688.51900000000001</v>
      </c>
      <c r="Y124" s="38">
        <f t="shared" ref="Y124:AH124" si="165">Y22</f>
        <v>688.51900000000001</v>
      </c>
      <c r="Z124" s="38">
        <f t="shared" si="165"/>
        <v>688.51900000000001</v>
      </c>
      <c r="AA124" s="38">
        <f t="shared" si="165"/>
        <v>688.51900000000001</v>
      </c>
      <c r="AB124" s="38">
        <f t="shared" si="165"/>
        <v>688.51900000000001</v>
      </c>
      <c r="AC124" s="38">
        <f t="shared" si="165"/>
        <v>688.51900000000001</v>
      </c>
      <c r="AD124" s="38">
        <f t="shared" si="165"/>
        <v>688.51900000000001</v>
      </c>
      <c r="AE124" s="38">
        <f t="shared" si="165"/>
        <v>688.51900000000001</v>
      </c>
      <c r="AF124" s="38">
        <f t="shared" si="165"/>
        <v>688.51900000000001</v>
      </c>
      <c r="AG124" s="38">
        <f t="shared" si="165"/>
        <v>688.51900000000001</v>
      </c>
      <c r="AH124" s="38">
        <f t="shared" si="165"/>
        <v>688.51900000000001</v>
      </c>
      <c r="AI124" s="38"/>
    </row>
    <row r="125" spans="1:35" x14ac:dyDescent="0.25">
      <c r="B125" t="s">
        <v>367</v>
      </c>
      <c r="P125">
        <f>'B.P. Coût place garderie'!D77</f>
        <v>2841.8</v>
      </c>
      <c r="Q125">
        <f>'B.P. Coût place garderie'!E77</f>
        <v>2937.8</v>
      </c>
      <c r="R125">
        <f>'B.P. Coût place garderie'!F77</f>
        <v>2973.8</v>
      </c>
      <c r="S125">
        <f>'B.P. Coût place garderie'!G77</f>
        <v>1623.6</v>
      </c>
      <c r="T125">
        <f>'B.P. Coût place garderie'!H77</f>
        <v>1623.6</v>
      </c>
      <c r="U125">
        <f>'B.P. Coût place garderie'!I77</f>
        <v>1623.6</v>
      </c>
      <c r="V125">
        <f>'B.P. Coût place garderie'!J77</f>
        <v>1623.6</v>
      </c>
      <c r="W125">
        <f>'B.P. Coût place garderie'!K77</f>
        <v>1623.6</v>
      </c>
      <c r="X125">
        <f>'B.P. Coût place garderie'!L77</f>
        <v>1623.6</v>
      </c>
      <c r="Y125" s="38"/>
      <c r="Z125" s="38"/>
      <c r="AA125" s="38"/>
      <c r="AB125" s="38"/>
      <c r="AC125" s="38"/>
      <c r="AD125" s="38"/>
      <c r="AE125" s="38"/>
      <c r="AF125" s="38"/>
      <c r="AG125" s="38"/>
      <c r="AH125" s="38"/>
      <c r="AI125" s="38"/>
    </row>
    <row r="126" spans="1:35" x14ac:dyDescent="0.25">
      <c r="B126" t="s">
        <v>342</v>
      </c>
      <c r="P126">
        <f>11809*0.15</f>
        <v>1771.35</v>
      </c>
      <c r="Q126">
        <f t="shared" ref="Q126:X126" si="166">11809*0.15</f>
        <v>1771.35</v>
      </c>
      <c r="R126">
        <f t="shared" si="166"/>
        <v>1771.35</v>
      </c>
      <c r="S126">
        <f t="shared" si="166"/>
        <v>1771.35</v>
      </c>
      <c r="T126">
        <f t="shared" si="166"/>
        <v>1771.35</v>
      </c>
      <c r="U126">
        <f t="shared" si="166"/>
        <v>1771.35</v>
      </c>
      <c r="V126">
        <f t="shared" si="166"/>
        <v>1771.35</v>
      </c>
      <c r="W126">
        <f t="shared" si="166"/>
        <v>1771.35</v>
      </c>
      <c r="X126">
        <f t="shared" si="166"/>
        <v>1771.35</v>
      </c>
      <c r="Y126" s="38">
        <f t="shared" ref="Y126:AH126" si="167">Y23</f>
        <v>1771.35</v>
      </c>
      <c r="Z126" s="38">
        <f t="shared" si="167"/>
        <v>1771.35</v>
      </c>
      <c r="AA126" s="38">
        <f t="shared" si="167"/>
        <v>1771.35</v>
      </c>
      <c r="AB126" s="38">
        <f t="shared" si="167"/>
        <v>1771.35</v>
      </c>
      <c r="AC126" s="38">
        <f t="shared" si="167"/>
        <v>1771.35</v>
      </c>
      <c r="AD126" s="38">
        <f t="shared" si="167"/>
        <v>1771.35</v>
      </c>
      <c r="AE126" s="38">
        <f t="shared" si="167"/>
        <v>1771.35</v>
      </c>
      <c r="AF126" s="38">
        <f t="shared" si="167"/>
        <v>1771.35</v>
      </c>
      <c r="AG126" s="38">
        <f t="shared" si="167"/>
        <v>1771.35</v>
      </c>
      <c r="AH126" s="38">
        <f t="shared" si="167"/>
        <v>1771.35</v>
      </c>
      <c r="AI126" s="38"/>
    </row>
    <row r="127" spans="1:35" x14ac:dyDescent="0.25">
      <c r="B127" t="s">
        <v>368</v>
      </c>
      <c r="Y127">
        <f>11809*0.15</f>
        <v>1771.35</v>
      </c>
      <c r="Z127">
        <f t="shared" ref="Z127:AE127" si="168">11809*0.15</f>
        <v>1771.35</v>
      </c>
      <c r="AA127">
        <f t="shared" si="168"/>
        <v>1771.35</v>
      </c>
      <c r="AB127">
        <f t="shared" si="168"/>
        <v>1771.35</v>
      </c>
      <c r="AC127">
        <f t="shared" si="168"/>
        <v>1771.35</v>
      </c>
      <c r="AD127">
        <f t="shared" si="168"/>
        <v>1771.35</v>
      </c>
      <c r="AE127">
        <f t="shared" si="168"/>
        <v>1771.35</v>
      </c>
    </row>
    <row r="128" spans="1:35" x14ac:dyDescent="0.25">
      <c r="B128" t="s">
        <v>343</v>
      </c>
      <c r="P128">
        <f>(662.87+279.43+2564.46)*0.15</f>
        <v>526.01400000000001</v>
      </c>
      <c r="Q128">
        <f>(2671+672+290.24)*0.15</f>
        <v>544.98599999999999</v>
      </c>
      <c r="R128">
        <f t="shared" ref="R128:X128" si="169">(2671+672+290.24)*0.15</f>
        <v>544.98599999999999</v>
      </c>
      <c r="S128">
        <f t="shared" si="169"/>
        <v>544.98599999999999</v>
      </c>
      <c r="T128">
        <f t="shared" si="169"/>
        <v>544.98599999999999</v>
      </c>
      <c r="U128">
        <f t="shared" si="169"/>
        <v>544.98599999999999</v>
      </c>
      <c r="V128">
        <f t="shared" si="169"/>
        <v>544.98599999999999</v>
      </c>
      <c r="W128">
        <f t="shared" si="169"/>
        <v>544.98599999999999</v>
      </c>
      <c r="X128">
        <f t="shared" si="169"/>
        <v>544.98599999999999</v>
      </c>
      <c r="Y128">
        <f t="shared" ref="Y128:AH128" si="170">Y24</f>
        <v>544.98929999999996</v>
      </c>
      <c r="Z128">
        <f t="shared" si="170"/>
        <v>544.98929999999996</v>
      </c>
      <c r="AA128">
        <f t="shared" si="170"/>
        <v>544.98929999999996</v>
      </c>
      <c r="AB128">
        <f t="shared" si="170"/>
        <v>544.98929999999996</v>
      </c>
      <c r="AC128">
        <f t="shared" si="170"/>
        <v>544.98929999999996</v>
      </c>
      <c r="AD128">
        <f t="shared" si="170"/>
        <v>544.98929999999996</v>
      </c>
      <c r="AE128">
        <f t="shared" si="170"/>
        <v>544.98929999999996</v>
      </c>
      <c r="AF128">
        <f t="shared" si="170"/>
        <v>544.98929999999996</v>
      </c>
      <c r="AG128">
        <f t="shared" si="170"/>
        <v>544.98929999999996</v>
      </c>
      <c r="AH128">
        <f t="shared" si="170"/>
        <v>544.98929999999996</v>
      </c>
    </row>
    <row r="129" spans="1:35" ht="14.25" customHeight="1" x14ac:dyDescent="0.25">
      <c r="B129" t="s">
        <v>344</v>
      </c>
      <c r="P129">
        <f>1195*0.15</f>
        <v>179.25</v>
      </c>
      <c r="Q129">
        <f t="shared" ref="Q129:X129" si="171">1195*0.15</f>
        <v>179.25</v>
      </c>
      <c r="R129">
        <f t="shared" si="171"/>
        <v>179.25</v>
      </c>
      <c r="S129">
        <f t="shared" si="171"/>
        <v>179.25</v>
      </c>
      <c r="T129">
        <f t="shared" si="171"/>
        <v>179.25</v>
      </c>
      <c r="U129">
        <f t="shared" si="171"/>
        <v>179.25</v>
      </c>
      <c r="V129">
        <f t="shared" si="171"/>
        <v>179.25</v>
      </c>
      <c r="W129">
        <f t="shared" si="171"/>
        <v>179.25</v>
      </c>
      <c r="X129">
        <f t="shared" si="171"/>
        <v>179.25</v>
      </c>
      <c r="Y129">
        <f t="shared" ref="Y129:AH129" si="172">Y25</f>
        <v>179.25</v>
      </c>
      <c r="Z129">
        <f t="shared" si="172"/>
        <v>179.25</v>
      </c>
      <c r="AA129">
        <f t="shared" si="172"/>
        <v>179.25</v>
      </c>
      <c r="AB129">
        <f t="shared" si="172"/>
        <v>179.25</v>
      </c>
      <c r="AC129">
        <f t="shared" si="172"/>
        <v>179.25</v>
      </c>
      <c r="AD129">
        <f t="shared" si="172"/>
        <v>179.25</v>
      </c>
      <c r="AE129">
        <f t="shared" si="172"/>
        <v>179.25</v>
      </c>
      <c r="AF129">
        <f t="shared" si="172"/>
        <v>179.25</v>
      </c>
      <c r="AG129">
        <f t="shared" si="172"/>
        <v>179.25</v>
      </c>
      <c r="AH129">
        <f t="shared" si="172"/>
        <v>179.25</v>
      </c>
    </row>
    <row r="130" spans="1:35" ht="14.25" customHeight="1" x14ac:dyDescent="0.25">
      <c r="B130" t="s">
        <v>370</v>
      </c>
      <c r="AE130">
        <f>370*0.15</f>
        <v>55.5</v>
      </c>
      <c r="AF130">
        <f>AE130</f>
        <v>55.5</v>
      </c>
      <c r="AG130">
        <f>AF130</f>
        <v>55.5</v>
      </c>
      <c r="AH130">
        <f>AG130</f>
        <v>55.5</v>
      </c>
    </row>
    <row r="131" spans="1:35" x14ac:dyDescent="0.25">
      <c r="B131" t="s">
        <v>345</v>
      </c>
      <c r="P131">
        <v>6527.25</v>
      </c>
      <c r="Q131">
        <v>6766.98</v>
      </c>
      <c r="R131">
        <v>6761.58</v>
      </c>
      <c r="S131">
        <v>6964.11</v>
      </c>
      <c r="T131">
        <v>6964.11</v>
      </c>
      <c r="U131">
        <v>6964.11</v>
      </c>
      <c r="V131">
        <v>6964.11</v>
      </c>
      <c r="W131">
        <v>6964.11</v>
      </c>
      <c r="X131">
        <v>6964.11</v>
      </c>
      <c r="Y131">
        <v>7287.43</v>
      </c>
      <c r="Z131">
        <v>7287.43</v>
      </c>
      <c r="AA131">
        <v>7287.43</v>
      </c>
      <c r="AB131">
        <v>7287.43</v>
      </c>
      <c r="AC131">
        <v>7287.43</v>
      </c>
      <c r="AD131">
        <v>7287.43</v>
      </c>
      <c r="AE131">
        <v>7287.43</v>
      </c>
      <c r="AF131">
        <v>7287.43</v>
      </c>
      <c r="AG131">
        <f>AF131</f>
        <v>7287.43</v>
      </c>
      <c r="AH131">
        <f>AG131</f>
        <v>7287.43</v>
      </c>
    </row>
    <row r="132" spans="1:35" x14ac:dyDescent="0.25">
      <c r="B132" t="s">
        <v>346</v>
      </c>
      <c r="P132">
        <f>P131-(P126+P128+P129)</f>
        <v>4050.636</v>
      </c>
      <c r="Q132">
        <f t="shared" ref="Q132:X132" si="173">Q131-(Q126+Q128+Q129)</f>
        <v>4271.3940000000002</v>
      </c>
      <c r="R132">
        <f t="shared" si="173"/>
        <v>4265.9940000000006</v>
      </c>
      <c r="S132">
        <f t="shared" si="173"/>
        <v>4468.5239999999994</v>
      </c>
      <c r="T132">
        <f t="shared" si="173"/>
        <v>4468.5239999999994</v>
      </c>
      <c r="U132">
        <f t="shared" si="173"/>
        <v>4468.5239999999994</v>
      </c>
      <c r="V132">
        <f t="shared" si="173"/>
        <v>4468.5239999999994</v>
      </c>
      <c r="W132">
        <f t="shared" si="173"/>
        <v>4468.5239999999994</v>
      </c>
      <c r="X132">
        <f t="shared" si="173"/>
        <v>4468.5239999999994</v>
      </c>
      <c r="Y132" s="38">
        <f t="shared" ref="Y132:AD132" si="174">Y131-(Y126+Y127+Y128+Y129)</f>
        <v>3020.4907000000003</v>
      </c>
      <c r="Z132" s="38">
        <f t="shared" si="174"/>
        <v>3020.4907000000003</v>
      </c>
      <c r="AA132" s="38">
        <f t="shared" si="174"/>
        <v>3020.4907000000003</v>
      </c>
      <c r="AB132" s="38">
        <f t="shared" si="174"/>
        <v>3020.4907000000003</v>
      </c>
      <c r="AC132" s="38">
        <f t="shared" si="174"/>
        <v>3020.4907000000003</v>
      </c>
      <c r="AD132" s="38">
        <f t="shared" si="174"/>
        <v>3020.4907000000003</v>
      </c>
      <c r="AE132" s="38">
        <f>AE131-(AE126+AE127+AE128+AE129+AE130)</f>
        <v>2964.9907000000003</v>
      </c>
      <c r="AF132" s="38">
        <f>AF131-(AF126+AF127+AF128+AF129+AF130)</f>
        <v>4736.3407000000007</v>
      </c>
      <c r="AG132" s="38">
        <f>AG131-(AG126+AG127+AG128+AG129+AG130)</f>
        <v>4736.3407000000007</v>
      </c>
      <c r="AH132" s="38">
        <f>AH131-(AH126+AH127+AH128+AH129+AH130)</f>
        <v>4736.3407000000007</v>
      </c>
      <c r="AI132" s="38"/>
    </row>
    <row r="133" spans="1:35" x14ac:dyDescent="0.25">
      <c r="B133" t="s">
        <v>347</v>
      </c>
      <c r="P133">
        <f>P132*0.165</f>
        <v>668.35494000000006</v>
      </c>
      <c r="Q133">
        <f t="shared" ref="Q133:X133" si="175">Q132*0.165</f>
        <v>704.78001000000006</v>
      </c>
      <c r="R133">
        <f t="shared" si="175"/>
        <v>703.8890100000001</v>
      </c>
      <c r="S133">
        <f t="shared" si="175"/>
        <v>737.3064599999999</v>
      </c>
      <c r="T133">
        <f t="shared" si="175"/>
        <v>737.3064599999999</v>
      </c>
      <c r="U133">
        <f t="shared" si="175"/>
        <v>737.3064599999999</v>
      </c>
      <c r="V133">
        <f t="shared" si="175"/>
        <v>737.3064599999999</v>
      </c>
      <c r="W133">
        <f t="shared" si="175"/>
        <v>737.3064599999999</v>
      </c>
      <c r="X133">
        <f t="shared" si="175"/>
        <v>737.3064599999999</v>
      </c>
      <c r="Y133">
        <f>Y132*0.165</f>
        <v>498.38096550000006</v>
      </c>
      <c r="Z133">
        <f t="shared" ref="Z133:AH133" si="176">Z132*0.165</f>
        <v>498.38096550000006</v>
      </c>
      <c r="AA133">
        <f t="shared" si="176"/>
        <v>498.38096550000006</v>
      </c>
      <c r="AB133">
        <f t="shared" si="176"/>
        <v>498.38096550000006</v>
      </c>
      <c r="AC133">
        <f t="shared" si="176"/>
        <v>498.38096550000006</v>
      </c>
      <c r="AD133">
        <f t="shared" si="176"/>
        <v>498.38096550000006</v>
      </c>
      <c r="AE133">
        <f t="shared" si="176"/>
        <v>489.22346550000009</v>
      </c>
      <c r="AF133">
        <f t="shared" si="176"/>
        <v>781.49621550000018</v>
      </c>
      <c r="AG133">
        <f t="shared" si="176"/>
        <v>781.49621550000018</v>
      </c>
      <c r="AH133">
        <f t="shared" si="176"/>
        <v>781.49621550000018</v>
      </c>
    </row>
    <row r="134" spans="1:35" x14ac:dyDescent="0.25">
      <c r="B134" t="s">
        <v>348</v>
      </c>
      <c r="P134">
        <f>P132-P133</f>
        <v>3382.2810599999998</v>
      </c>
      <c r="Q134">
        <f t="shared" ref="Q134:X134" si="177">Q132-Q133</f>
        <v>3566.6139900000003</v>
      </c>
      <c r="R134">
        <f t="shared" si="177"/>
        <v>3562.1049900000007</v>
      </c>
      <c r="S134">
        <f t="shared" si="177"/>
        <v>3731.2175399999996</v>
      </c>
      <c r="T134">
        <f t="shared" si="177"/>
        <v>3731.2175399999996</v>
      </c>
      <c r="U134">
        <f t="shared" si="177"/>
        <v>3731.2175399999996</v>
      </c>
      <c r="V134">
        <f t="shared" si="177"/>
        <v>3731.2175399999996</v>
      </c>
      <c r="W134">
        <f t="shared" si="177"/>
        <v>3731.2175399999996</v>
      </c>
      <c r="X134">
        <f t="shared" si="177"/>
        <v>3731.2175399999996</v>
      </c>
      <c r="Y134" s="38">
        <f>Y132-Y133</f>
        <v>2522.1097345000003</v>
      </c>
      <c r="Z134" s="38">
        <f t="shared" ref="Z134:AH134" si="178">Z132-Z133</f>
        <v>2522.1097345000003</v>
      </c>
      <c r="AA134" s="38">
        <f t="shared" si="178"/>
        <v>2522.1097345000003</v>
      </c>
      <c r="AB134" s="38">
        <f t="shared" si="178"/>
        <v>2522.1097345000003</v>
      </c>
      <c r="AC134" s="38">
        <f t="shared" si="178"/>
        <v>2522.1097345000003</v>
      </c>
      <c r="AD134" s="38">
        <f t="shared" si="178"/>
        <v>2522.1097345000003</v>
      </c>
      <c r="AE134" s="38">
        <f t="shared" si="178"/>
        <v>2475.7672345000001</v>
      </c>
      <c r="AF134" s="38">
        <f t="shared" si="178"/>
        <v>3954.8444845000004</v>
      </c>
      <c r="AG134" s="38">
        <f t="shared" si="178"/>
        <v>3954.8444845000004</v>
      </c>
      <c r="AH134" s="38">
        <f t="shared" si="178"/>
        <v>3954.8444845000004</v>
      </c>
      <c r="AI134" s="38"/>
    </row>
    <row r="137" spans="1:35" x14ac:dyDescent="0.25">
      <c r="A137" t="s">
        <v>371</v>
      </c>
    </row>
    <row r="138" spans="1:35" x14ac:dyDescent="0.25">
      <c r="B138" t="s">
        <v>335</v>
      </c>
      <c r="P138">
        <v>1150</v>
      </c>
      <c r="Q138">
        <v>1150</v>
      </c>
      <c r="R138">
        <v>1150</v>
      </c>
      <c r="S138">
        <v>1150</v>
      </c>
      <c r="T138">
        <v>1150</v>
      </c>
      <c r="U138">
        <v>1150</v>
      </c>
      <c r="V138">
        <v>1150</v>
      </c>
      <c r="W138">
        <v>1150</v>
      </c>
      <c r="X138">
        <v>1150</v>
      </c>
    </row>
    <row r="139" spans="1:35" x14ac:dyDescent="0.25">
      <c r="B139" t="s">
        <v>372</v>
      </c>
      <c r="P139">
        <v>3668</v>
      </c>
      <c r="Q139">
        <f>Sommaire!Q126</f>
        <v>3668.301255669654</v>
      </c>
      <c r="R139">
        <f>Sommaire!R126</f>
        <v>3668.301255669654</v>
      </c>
      <c r="S139">
        <f>Sommaire!S126</f>
        <v>3668.301255669654</v>
      </c>
      <c r="T139">
        <f>Sommaire!T126</f>
        <v>3668.301255669654</v>
      </c>
      <c r="U139">
        <f>Sommaire!U126</f>
        <v>3668.301255669654</v>
      </c>
      <c r="V139">
        <f>Sommaire!V126</f>
        <v>3668.301255669654</v>
      </c>
      <c r="W139">
        <f>Sommaire!W126</f>
        <v>4338.4634167167915</v>
      </c>
      <c r="X139">
        <f>Sommaire!X126</f>
        <v>4338.4634167167915</v>
      </c>
    </row>
    <row r="141" spans="1:35" x14ac:dyDescent="0.25">
      <c r="B141" t="s">
        <v>336</v>
      </c>
      <c r="P141">
        <f>15012*0.15</f>
        <v>2251.7999999999997</v>
      </c>
      <c r="Q141">
        <f>15012*0.15</f>
        <v>2251.7999999999997</v>
      </c>
      <c r="R141">
        <f t="shared" ref="R141:X141" si="179">15012*0.15</f>
        <v>2251.7999999999997</v>
      </c>
      <c r="S141">
        <f t="shared" si="179"/>
        <v>2251.7999999999997</v>
      </c>
      <c r="T141">
        <f t="shared" si="179"/>
        <v>2251.7999999999997</v>
      </c>
      <c r="U141">
        <f t="shared" si="179"/>
        <v>2251.7999999999997</v>
      </c>
      <c r="V141">
        <f t="shared" si="179"/>
        <v>2251.7999999999997</v>
      </c>
      <c r="W141">
        <f t="shared" si="179"/>
        <v>2251.7999999999997</v>
      </c>
      <c r="X141">
        <f t="shared" si="179"/>
        <v>2251.7999999999997</v>
      </c>
    </row>
    <row r="142" spans="1:35" x14ac:dyDescent="0.25">
      <c r="B142" t="s">
        <v>339</v>
      </c>
      <c r="P142">
        <v>7568.45</v>
      </c>
      <c r="Q142">
        <v>7768.05</v>
      </c>
      <c r="R142">
        <v>7967.85</v>
      </c>
      <c r="S142">
        <v>8167.65</v>
      </c>
      <c r="T142">
        <v>8367.25</v>
      </c>
      <c r="U142">
        <v>8567.0499999999993</v>
      </c>
      <c r="V142">
        <v>8766.85</v>
      </c>
      <c r="W142">
        <v>8832.36</v>
      </c>
      <c r="X142">
        <v>9032.16</v>
      </c>
    </row>
    <row r="143" spans="1:35" x14ac:dyDescent="0.25">
      <c r="B143" t="s">
        <v>340</v>
      </c>
      <c r="P143">
        <f>P142-P141</f>
        <v>5316.65</v>
      </c>
      <c r="Q143">
        <f t="shared" ref="Q143:X143" si="180">Q142-Q141</f>
        <v>5516.25</v>
      </c>
      <c r="R143">
        <f t="shared" si="180"/>
        <v>5716.0500000000011</v>
      </c>
      <c r="S143">
        <f t="shared" si="180"/>
        <v>5915.85</v>
      </c>
      <c r="T143">
        <f t="shared" si="180"/>
        <v>6115.4500000000007</v>
      </c>
      <c r="U143">
        <f t="shared" si="180"/>
        <v>6315.25</v>
      </c>
      <c r="V143">
        <f t="shared" si="180"/>
        <v>6515.0500000000011</v>
      </c>
      <c r="W143">
        <f t="shared" si="180"/>
        <v>6580.5600000000013</v>
      </c>
      <c r="X143">
        <f t="shared" si="180"/>
        <v>6780.3600000000006</v>
      </c>
    </row>
    <row r="145" spans="1:24" x14ac:dyDescent="0.25">
      <c r="A145" t="s">
        <v>374</v>
      </c>
    </row>
    <row r="146" spans="1:24" x14ac:dyDescent="0.25">
      <c r="B146" t="s">
        <v>375</v>
      </c>
      <c r="P146">
        <f>P139</f>
        <v>3668</v>
      </c>
      <c r="Q146">
        <f t="shared" ref="Q146:X146" si="181">Q139</f>
        <v>3668.301255669654</v>
      </c>
      <c r="R146">
        <f t="shared" si="181"/>
        <v>3668.301255669654</v>
      </c>
      <c r="S146">
        <f t="shared" si="181"/>
        <v>3668.301255669654</v>
      </c>
      <c r="T146">
        <f t="shared" si="181"/>
        <v>3668.301255669654</v>
      </c>
      <c r="U146">
        <f t="shared" si="181"/>
        <v>3668.301255669654</v>
      </c>
      <c r="V146">
        <f t="shared" si="181"/>
        <v>3668.301255669654</v>
      </c>
      <c r="W146">
        <f t="shared" si="181"/>
        <v>4338.4634167167915</v>
      </c>
      <c r="X146">
        <f t="shared" si="181"/>
        <v>4338.4634167167915</v>
      </c>
    </row>
    <row r="147" spans="1:24" x14ac:dyDescent="0.25">
      <c r="B147" t="s">
        <v>342</v>
      </c>
      <c r="P147">
        <f>11809*0.15</f>
        <v>1771.35</v>
      </c>
      <c r="Q147">
        <f t="shared" ref="Q147:X147" si="182">11809*0.15</f>
        <v>1771.35</v>
      </c>
      <c r="R147">
        <f t="shared" si="182"/>
        <v>1771.35</v>
      </c>
      <c r="S147">
        <f t="shared" si="182"/>
        <v>1771.35</v>
      </c>
      <c r="T147">
        <f t="shared" si="182"/>
        <v>1771.35</v>
      </c>
      <c r="U147">
        <f t="shared" si="182"/>
        <v>1771.35</v>
      </c>
      <c r="V147">
        <f t="shared" si="182"/>
        <v>1771.35</v>
      </c>
      <c r="W147">
        <f t="shared" si="182"/>
        <v>1771.35</v>
      </c>
      <c r="X147">
        <f t="shared" si="182"/>
        <v>1771.35</v>
      </c>
    </row>
    <row r="148" spans="1:24" x14ac:dyDescent="0.25">
      <c r="B148" t="s">
        <v>343</v>
      </c>
      <c r="P148">
        <f>(2695.9+672.1+292.76)*0.15</f>
        <v>549.11400000000003</v>
      </c>
      <c r="Q148">
        <f>(2749.79+672.1+298.23)*0.15</f>
        <v>558.01799999999992</v>
      </c>
      <c r="R148">
        <f>(2803.73+672.1+303.71)*0.15</f>
        <v>566.93099999999993</v>
      </c>
      <c r="S148">
        <f>(2829.6+672.1+309.18)*0.15</f>
        <v>571.63199999999995</v>
      </c>
      <c r="T148">
        <f>(2829.6+672.1+314.65)*0.15</f>
        <v>572.45249999999999</v>
      </c>
      <c r="U148">
        <f>(2829.6+672.1+320.13)*0.15</f>
        <v>573.27449999999999</v>
      </c>
      <c r="V148">
        <f>(2829.6+672.1+325.6)*0.15</f>
        <v>574.09499999999991</v>
      </c>
      <c r="W148">
        <f>(2829.6+672.1+331.07)*0.15</f>
        <v>574.91549999999995</v>
      </c>
      <c r="X148">
        <f>(2829.6+672.1+336.54)*0.15</f>
        <v>575.73599999999999</v>
      </c>
    </row>
    <row r="149" spans="1:24" x14ac:dyDescent="0.25">
      <c r="B149" t="s">
        <v>344</v>
      </c>
      <c r="P149">
        <f>1195*0.15</f>
        <v>179.25</v>
      </c>
      <c r="Q149">
        <f t="shared" ref="Q149:X149" si="183">1195*0.15</f>
        <v>179.25</v>
      </c>
      <c r="R149">
        <f t="shared" si="183"/>
        <v>179.25</v>
      </c>
      <c r="S149">
        <f t="shared" si="183"/>
        <v>179.25</v>
      </c>
      <c r="T149">
        <f t="shared" si="183"/>
        <v>179.25</v>
      </c>
      <c r="U149">
        <f t="shared" si="183"/>
        <v>179.25</v>
      </c>
      <c r="V149">
        <f t="shared" si="183"/>
        <v>179.25</v>
      </c>
      <c r="W149">
        <f t="shared" si="183"/>
        <v>179.25</v>
      </c>
      <c r="X149">
        <f t="shared" si="183"/>
        <v>179.25</v>
      </c>
    </row>
    <row r="150" spans="1:24" x14ac:dyDescent="0.25">
      <c r="B150" t="s">
        <v>345</v>
      </c>
      <c r="P150">
        <v>7636.96</v>
      </c>
      <c r="Q150">
        <v>7841.55</v>
      </c>
      <c r="R150">
        <v>8046.34</v>
      </c>
      <c r="S150">
        <v>8251.14</v>
      </c>
      <c r="T150">
        <v>8455.73</v>
      </c>
      <c r="U150">
        <v>8660.52</v>
      </c>
      <c r="V150">
        <v>8865.32</v>
      </c>
      <c r="W150">
        <v>8932.4599999999991</v>
      </c>
      <c r="X150">
        <v>9137.26</v>
      </c>
    </row>
    <row r="151" spans="1:24" x14ac:dyDescent="0.25">
      <c r="B151" t="s">
        <v>346</v>
      </c>
      <c r="P151">
        <f>P150-(P149+P148+P147)</f>
        <v>5137.2460000000001</v>
      </c>
      <c r="Q151">
        <f t="shared" ref="Q151:X151" si="184">Q150-(Q149+Q148+Q147)</f>
        <v>5332.9320000000007</v>
      </c>
      <c r="R151">
        <f t="shared" si="184"/>
        <v>5528.8090000000002</v>
      </c>
      <c r="S151">
        <f t="shared" si="184"/>
        <v>5728.9079999999994</v>
      </c>
      <c r="T151">
        <f t="shared" si="184"/>
        <v>5932.6774999999998</v>
      </c>
      <c r="U151">
        <f t="shared" si="184"/>
        <v>6136.6455000000005</v>
      </c>
      <c r="V151">
        <f t="shared" si="184"/>
        <v>6340.625</v>
      </c>
      <c r="W151">
        <f t="shared" si="184"/>
        <v>6406.9444999999996</v>
      </c>
      <c r="X151">
        <f t="shared" si="184"/>
        <v>6610.9240000000009</v>
      </c>
    </row>
    <row r="152" spans="1:24" x14ac:dyDescent="0.25">
      <c r="B152" t="s">
        <v>347</v>
      </c>
      <c r="P152">
        <f>P151*0.165</f>
        <v>847.64559000000008</v>
      </c>
      <c r="Q152">
        <f t="shared" ref="Q152:X152" si="185">Q151*0.165</f>
        <v>879.93378000000018</v>
      </c>
      <c r="R152">
        <f t="shared" si="185"/>
        <v>912.25348500000007</v>
      </c>
      <c r="S152">
        <f t="shared" si="185"/>
        <v>945.26981999999998</v>
      </c>
      <c r="T152">
        <f t="shared" si="185"/>
        <v>978.89178749999996</v>
      </c>
      <c r="U152">
        <f t="shared" si="185"/>
        <v>1012.5465075000002</v>
      </c>
      <c r="V152">
        <f t="shared" si="185"/>
        <v>1046.203125</v>
      </c>
      <c r="W152">
        <f t="shared" si="185"/>
        <v>1057.1458425000001</v>
      </c>
      <c r="X152">
        <f t="shared" si="185"/>
        <v>1090.8024600000001</v>
      </c>
    </row>
    <row r="153" spans="1:24" x14ac:dyDescent="0.25">
      <c r="B153" t="s">
        <v>348</v>
      </c>
      <c r="P153">
        <f>P151-P152</f>
        <v>4289.60041</v>
      </c>
      <c r="Q153">
        <f t="shared" ref="Q153:X153" si="186">Q151-Q152</f>
        <v>4452.9982200000004</v>
      </c>
      <c r="R153">
        <f t="shared" si="186"/>
        <v>4616.555515</v>
      </c>
      <c r="S153">
        <f t="shared" si="186"/>
        <v>4783.6381799999999</v>
      </c>
      <c r="T153">
        <f t="shared" si="186"/>
        <v>4953.7857125</v>
      </c>
      <c r="U153">
        <f t="shared" si="186"/>
        <v>5124.0989925000003</v>
      </c>
      <c r="V153">
        <f t="shared" si="186"/>
        <v>5294.421875</v>
      </c>
      <c r="W153">
        <f t="shared" si="186"/>
        <v>5349.7986574999995</v>
      </c>
      <c r="X153">
        <f t="shared" si="186"/>
        <v>5520.121540000001</v>
      </c>
    </row>
    <row r="155" spans="1:24" x14ac:dyDescent="0.25">
      <c r="A155" t="s">
        <v>377</v>
      </c>
      <c r="B155" t="s">
        <v>378</v>
      </c>
      <c r="P155">
        <f>P120+P143</f>
        <v>10019.813</v>
      </c>
      <c r="Q155">
        <f t="shared" ref="Q155:X155" si="187">Q120+Q143</f>
        <v>10560.8</v>
      </c>
      <c r="R155">
        <f t="shared" si="187"/>
        <v>10760.600000000002</v>
      </c>
      <c r="S155">
        <f t="shared" si="187"/>
        <v>10960.400000000001</v>
      </c>
      <c r="T155">
        <f t="shared" si="187"/>
        <v>11160</v>
      </c>
      <c r="U155">
        <f t="shared" si="187"/>
        <v>11359.8</v>
      </c>
      <c r="V155">
        <f t="shared" si="187"/>
        <v>11559.600000000002</v>
      </c>
      <c r="W155">
        <f t="shared" si="187"/>
        <v>11625.11</v>
      </c>
      <c r="X155">
        <f t="shared" si="187"/>
        <v>11824.91</v>
      </c>
    </row>
    <row r="156" spans="1:24" x14ac:dyDescent="0.25">
      <c r="B156" t="s">
        <v>379</v>
      </c>
      <c r="P156">
        <f>P134+P153</f>
        <v>7671.8814700000003</v>
      </c>
      <c r="Q156">
        <f t="shared" ref="Q156:X156" si="188">Q134+Q153</f>
        <v>8019.6122100000011</v>
      </c>
      <c r="R156">
        <f t="shared" si="188"/>
        <v>8178.6605050000007</v>
      </c>
      <c r="S156">
        <f t="shared" si="188"/>
        <v>8514.8557199999996</v>
      </c>
      <c r="T156">
        <f t="shared" si="188"/>
        <v>8685.0032524999988</v>
      </c>
      <c r="U156">
        <f t="shared" si="188"/>
        <v>8855.3165325000009</v>
      </c>
      <c r="V156">
        <f t="shared" si="188"/>
        <v>9025.6394149999996</v>
      </c>
      <c r="W156">
        <f t="shared" si="188"/>
        <v>9081.0161974999992</v>
      </c>
      <c r="X156">
        <f t="shared" si="188"/>
        <v>9251.3390800000016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0"/>
  <sheetViews>
    <sheetView zoomScale="80" zoomScaleNormal="80" workbookViewId="0">
      <selection activeCell="C25" sqref="C25"/>
    </sheetView>
  </sheetViews>
  <sheetFormatPr baseColWidth="10" defaultColWidth="11.42578125" defaultRowHeight="15" x14ac:dyDescent="0.25"/>
  <cols>
    <col min="2" max="2" width="24.7109375" customWidth="1"/>
  </cols>
  <sheetData>
    <row r="1" spans="2:18" x14ac:dyDescent="0.25">
      <c r="C1">
        <v>14</v>
      </c>
      <c r="D1">
        <v>15</v>
      </c>
      <c r="E1">
        <v>16</v>
      </c>
      <c r="F1">
        <v>17</v>
      </c>
      <c r="G1">
        <v>18</v>
      </c>
      <c r="H1">
        <v>19</v>
      </c>
      <c r="I1">
        <v>20</v>
      </c>
      <c r="J1">
        <v>21</v>
      </c>
      <c r="K1">
        <v>22</v>
      </c>
      <c r="L1">
        <v>23</v>
      </c>
      <c r="M1">
        <v>24</v>
      </c>
      <c r="N1">
        <v>25</v>
      </c>
      <c r="O1">
        <v>26</v>
      </c>
      <c r="P1">
        <v>27</v>
      </c>
      <c r="Q1">
        <v>28</v>
      </c>
      <c r="R1">
        <v>29</v>
      </c>
    </row>
    <row r="2" spans="2:18" x14ac:dyDescent="0.25">
      <c r="C2">
        <v>31</v>
      </c>
      <c r="D2">
        <v>32</v>
      </c>
      <c r="E2">
        <v>33</v>
      </c>
      <c r="F2">
        <v>34</v>
      </c>
      <c r="G2">
        <v>35</v>
      </c>
      <c r="H2">
        <v>36</v>
      </c>
      <c r="I2">
        <v>37</v>
      </c>
      <c r="J2">
        <v>38</v>
      </c>
      <c r="K2">
        <v>39</v>
      </c>
      <c r="L2">
        <v>40</v>
      </c>
      <c r="M2">
        <v>41</v>
      </c>
      <c r="N2">
        <v>42</v>
      </c>
      <c r="O2">
        <v>43</v>
      </c>
      <c r="P2">
        <v>44</v>
      </c>
      <c r="Q2">
        <v>45</v>
      </c>
      <c r="R2">
        <v>46</v>
      </c>
    </row>
    <row r="3" spans="2:18" x14ac:dyDescent="0.25">
      <c r="B3" t="s">
        <v>380</v>
      </c>
      <c r="C3">
        <f>'Détail impôt'!P33+'Détail impôt'!P34-'Détail impôt'!P51-'Détail impôt'!P52</f>
        <v>29811.597692307692</v>
      </c>
      <c r="D3">
        <f>'Détail impôt'!Q33+'Détail impôt'!Q34-'Détail impôt'!Q51-'Détail impôt'!Q52</f>
        <v>47590</v>
      </c>
      <c r="E3">
        <f>'Détail impôt'!R33+'Détail impôt'!R34-'Détail impôt'!R51-'Détail impôt'!R52</f>
        <v>47590</v>
      </c>
      <c r="F3">
        <f>'Détail impôt'!S33+'Détail impôt'!S34-'Détail impôt'!S51-'Détail impôt'!S52</f>
        <v>47590</v>
      </c>
      <c r="G3">
        <f>'Détail impôt'!T33+'Détail impôt'!T34-'Détail impôt'!T51-'Détail impôt'!T52</f>
        <v>47590</v>
      </c>
      <c r="H3">
        <f>'Détail impôt'!U33+'Détail impôt'!U34-'Détail impôt'!U51-'Détail impôt'!U52</f>
        <v>47590</v>
      </c>
      <c r="I3">
        <f>'Détail impôt'!V33+'Détail impôt'!V34-'Détail impôt'!V51-'Détail impôt'!V52</f>
        <v>47590</v>
      </c>
      <c r="J3">
        <f>'Détail impôt'!W33+'Détail impôt'!W34-'Détail impôt'!W51-'Détail impôt'!W52</f>
        <v>47590</v>
      </c>
      <c r="K3">
        <f>'Détail impôt'!X33+'Détail impôt'!X34-'Détail impôt'!X51-'Détail impôt'!X52</f>
        <v>47590</v>
      </c>
      <c r="L3">
        <f>'Détail impôt'!Y33+'Détail impôt'!Y34-'Détail impôt'!Y51-'Détail impôt'!Y52</f>
        <v>47590</v>
      </c>
      <c r="M3">
        <f>'Détail impôt'!Z33+'Détail impôt'!Z34-'Détail impôt'!Z51-'Détail impôt'!Z52</f>
        <v>47590</v>
      </c>
      <c r="N3">
        <f>'Détail impôt'!AA33+'Détail impôt'!AA34-'Détail impôt'!AA51-'Détail impôt'!AA52</f>
        <v>47590</v>
      </c>
      <c r="O3">
        <f>'Détail impôt'!AB33+'Détail impôt'!AB34-'Détail impôt'!AB51-'Détail impôt'!AB52</f>
        <v>47590</v>
      </c>
      <c r="P3">
        <f>'Détail impôt'!AC33+'Détail impôt'!AC34-'Détail impôt'!AC51-'Détail impôt'!AC52</f>
        <v>47590</v>
      </c>
      <c r="Q3">
        <f>'Détail impôt'!AD33+'Détail impôt'!AD34-'Détail impôt'!AD51-'Détail impôt'!AD52</f>
        <v>47590</v>
      </c>
      <c r="R3">
        <f>'Détail impôt'!AE33+'Détail impôt'!AE34-'Détail impôt'!AE51-'Détail impôt'!AE52</f>
        <v>47590</v>
      </c>
    </row>
    <row r="4" spans="2:18" x14ac:dyDescent="0.25">
      <c r="B4" t="s">
        <v>381</v>
      </c>
      <c r="C4">
        <f>'Détail impôt'!P42+'Détail impôt'!P43-'Détail impôt'!P77-'Détail impôt'!P78</f>
        <v>46354.160576923103</v>
      </c>
      <c r="D4">
        <f>'Détail impôt'!Q42+'Détail impôt'!Q43-'Détail impôt'!Q77-'Détail impôt'!Q78</f>
        <v>49603.978744330372</v>
      </c>
      <c r="E4">
        <f>'Détail impôt'!R42+'Détail impôt'!R43-'Détail impôt'!R77-'Détail impôt'!R78</f>
        <v>50602.636744330375</v>
      </c>
      <c r="F4">
        <f>'Détail impôt'!S42+'Détail impôt'!S43-'Détail impôt'!S77-'Détail impôt'!S78</f>
        <v>51601.294744330378</v>
      </c>
      <c r="G4">
        <f>'Détail impôt'!T42+'Détail impôt'!T43-'Détail impôt'!T77-'Détail impôt'!T78</f>
        <v>52599.952744330345</v>
      </c>
      <c r="H4">
        <f>'Détail impôt'!U42+'Détail impôt'!U43-'Détail impôt'!U77-'Détail impôt'!U78</f>
        <v>53598.610744330348</v>
      </c>
      <c r="I4">
        <f>'Détail impôt'!V42+'Détail impôt'!V43-'Détail impôt'!V77-'Détail impôt'!V78</f>
        <v>54597.268744330351</v>
      </c>
      <c r="J4">
        <f>'Détail impôt'!W42+'Détail impôt'!W43-'Détail impôt'!W77-'Détail impôt'!W78</f>
        <v>54925.76458328322</v>
      </c>
      <c r="K4">
        <f>'Détail impôt'!X42+'Détail impôt'!X43-'Détail impôt'!X77-'Détail impôt'!X78</f>
        <v>55924.422583283224</v>
      </c>
      <c r="L4">
        <f>'Détail impôt'!Y42+'Détail impôt'!Y43-'Détail impôt'!Y77-'Détail impôt'!Y78</f>
        <v>56923.080583283227</v>
      </c>
      <c r="M4">
        <f>'Détail impôt'!Z42+'Détail impôt'!Z43-'Détail impôt'!Z77-'Détail impôt'!Z78</f>
        <v>57567.474583283212</v>
      </c>
      <c r="N4">
        <f>'Détail impôt'!AA42+'Détail impôt'!AA43-'Détail impôt'!AA77-'Détail impôt'!AA78</f>
        <v>57567.474583283212</v>
      </c>
      <c r="O4">
        <f>'Détail impôt'!AB42+'Détail impôt'!AB43-'Détail impôt'!AB77-'Détail impôt'!AB78</f>
        <v>57567.474583283212</v>
      </c>
      <c r="P4">
        <f>'Détail impôt'!AC42+'Détail impôt'!AC43-'Détail impôt'!AC77-'Détail impôt'!AC78</f>
        <v>57567.474583283212</v>
      </c>
      <c r="Q4">
        <f>'Détail impôt'!AD42+'Détail impôt'!AD43-'Détail impôt'!AD77-'Détail impôt'!AD78</f>
        <v>57567.474583283212</v>
      </c>
      <c r="R4">
        <f>'Détail impôt'!AE42+'Détail impôt'!AE43-'Détail impôt'!AE77-'Détail impôt'!AE78</f>
        <v>57567.474583283212</v>
      </c>
    </row>
    <row r="5" spans="2:18" x14ac:dyDescent="0.25">
      <c r="B5" t="s">
        <v>382</v>
      </c>
      <c r="C5">
        <f>SUM(C3:C4)</f>
        <v>76165.758269230791</v>
      </c>
      <c r="D5">
        <f t="shared" ref="D5:R5" si="0">SUM(D3:D4)</f>
        <v>97193.978744330379</v>
      </c>
      <c r="E5">
        <f t="shared" si="0"/>
        <v>98192.636744330375</v>
      </c>
      <c r="F5">
        <f t="shared" si="0"/>
        <v>99191.294744330371</v>
      </c>
      <c r="G5">
        <f t="shared" si="0"/>
        <v>100189.95274433034</v>
      </c>
      <c r="H5">
        <f t="shared" si="0"/>
        <v>101188.61074433035</v>
      </c>
      <c r="I5">
        <f t="shared" si="0"/>
        <v>102187.26874433036</v>
      </c>
      <c r="J5">
        <f t="shared" si="0"/>
        <v>102515.76458328322</v>
      </c>
      <c r="K5">
        <f t="shared" si="0"/>
        <v>103514.42258328322</v>
      </c>
      <c r="L5">
        <f t="shared" si="0"/>
        <v>104513.08058328323</v>
      </c>
      <c r="M5">
        <f t="shared" si="0"/>
        <v>105157.47458328321</v>
      </c>
      <c r="N5">
        <f t="shared" si="0"/>
        <v>105157.47458328321</v>
      </c>
      <c r="O5">
        <f t="shared" si="0"/>
        <v>105157.47458328321</v>
      </c>
      <c r="P5">
        <f t="shared" si="0"/>
        <v>105157.47458328321</v>
      </c>
      <c r="Q5">
        <f t="shared" si="0"/>
        <v>105157.47458328321</v>
      </c>
      <c r="R5">
        <f t="shared" si="0"/>
        <v>105157.47458328321</v>
      </c>
    </row>
    <row r="7" spans="2:18" x14ac:dyDescent="0.25">
      <c r="B7" t="s">
        <v>383</v>
      </c>
      <c r="C7">
        <f>2472</f>
        <v>2472</v>
      </c>
      <c r="D7">
        <f>2472</f>
        <v>2472</v>
      </c>
      <c r="E7">
        <f>2472</f>
        <v>2472</v>
      </c>
      <c r="F7">
        <f>2472</f>
        <v>2472</v>
      </c>
      <c r="G7">
        <f>2472</f>
        <v>2472</v>
      </c>
      <c r="H7">
        <f>2472</f>
        <v>2472</v>
      </c>
      <c r="I7">
        <f>2472</f>
        <v>2472</v>
      </c>
      <c r="J7">
        <f>2472</f>
        <v>2472</v>
      </c>
      <c r="K7">
        <f>2472</f>
        <v>2472</v>
      </c>
      <c r="L7">
        <f>2472</f>
        <v>2472</v>
      </c>
      <c r="M7">
        <f>2472</f>
        <v>2472</v>
      </c>
      <c r="N7">
        <f>2472</f>
        <v>2472</v>
      </c>
      <c r="O7">
        <f>2472</f>
        <v>2472</v>
      </c>
      <c r="P7">
        <f>2472</f>
        <v>2472</v>
      </c>
      <c r="Q7">
        <f>2472</f>
        <v>2472</v>
      </c>
      <c r="R7">
        <f>2472</f>
        <v>2472</v>
      </c>
    </row>
    <row r="8" spans="2:18" x14ac:dyDescent="0.25">
      <c r="B8" t="s">
        <v>384</v>
      </c>
      <c r="C8">
        <v>1735</v>
      </c>
      <c r="D8">
        <v>1735</v>
      </c>
      <c r="E8">
        <v>1735</v>
      </c>
      <c r="F8">
        <v>1735</v>
      </c>
      <c r="G8">
        <v>1735</v>
      </c>
      <c r="H8">
        <v>1735</v>
      </c>
      <c r="I8">
        <v>1735</v>
      </c>
      <c r="J8">
        <v>1735</v>
      </c>
      <c r="K8">
        <v>1735</v>
      </c>
      <c r="L8">
        <v>1735</v>
      </c>
      <c r="M8">
        <v>1735</v>
      </c>
      <c r="N8">
        <v>1735</v>
      </c>
      <c r="O8">
        <v>1735</v>
      </c>
      <c r="P8">
        <v>1735</v>
      </c>
      <c r="Q8">
        <v>1735</v>
      </c>
      <c r="R8">
        <v>1735</v>
      </c>
    </row>
    <row r="10" spans="2:18" x14ac:dyDescent="0.25">
      <c r="B10" t="s">
        <v>385</v>
      </c>
      <c r="C10">
        <f>4020.5*12</f>
        <v>48246</v>
      </c>
      <c r="D10">
        <f t="shared" ref="D10:R10" si="1">4020.5*12</f>
        <v>48246</v>
      </c>
      <c r="E10">
        <f t="shared" si="1"/>
        <v>48246</v>
      </c>
      <c r="F10">
        <f t="shared" si="1"/>
        <v>48246</v>
      </c>
      <c r="G10">
        <f t="shared" si="1"/>
        <v>48246</v>
      </c>
      <c r="H10">
        <f t="shared" si="1"/>
        <v>48246</v>
      </c>
      <c r="I10">
        <f t="shared" si="1"/>
        <v>48246</v>
      </c>
      <c r="J10">
        <f t="shared" si="1"/>
        <v>48246</v>
      </c>
      <c r="K10">
        <f t="shared" si="1"/>
        <v>48246</v>
      </c>
      <c r="L10">
        <f t="shared" si="1"/>
        <v>48246</v>
      </c>
      <c r="M10">
        <f t="shared" si="1"/>
        <v>48246</v>
      </c>
      <c r="N10">
        <f t="shared" si="1"/>
        <v>48246</v>
      </c>
      <c r="O10">
        <f t="shared" si="1"/>
        <v>48246</v>
      </c>
      <c r="P10">
        <f t="shared" si="1"/>
        <v>48246</v>
      </c>
      <c r="Q10">
        <f t="shared" si="1"/>
        <v>48246</v>
      </c>
      <c r="R10">
        <f t="shared" si="1"/>
        <v>48246</v>
      </c>
    </row>
    <row r="11" spans="2:18" x14ac:dyDescent="0.25">
      <c r="B11" t="s">
        <v>386</v>
      </c>
      <c r="C11">
        <f>C5-C10</f>
        <v>27919.758269230791</v>
      </c>
      <c r="D11">
        <f t="shared" ref="D11:R11" si="2">D5-D10</f>
        <v>48947.978744330379</v>
      </c>
      <c r="E11">
        <f t="shared" si="2"/>
        <v>49946.636744330375</v>
      </c>
      <c r="F11">
        <f t="shared" si="2"/>
        <v>50945.294744330371</v>
      </c>
      <c r="G11">
        <f t="shared" si="2"/>
        <v>51943.952744330338</v>
      </c>
      <c r="H11">
        <f t="shared" si="2"/>
        <v>52942.610744330348</v>
      </c>
      <c r="I11">
        <f t="shared" si="2"/>
        <v>53941.268744330358</v>
      </c>
      <c r="J11">
        <f t="shared" si="2"/>
        <v>54269.76458328322</v>
      </c>
      <c r="K11">
        <f t="shared" si="2"/>
        <v>55268.422583283216</v>
      </c>
      <c r="L11">
        <f t="shared" si="2"/>
        <v>56267.080583283227</v>
      </c>
      <c r="M11">
        <f t="shared" si="2"/>
        <v>56911.474583283212</v>
      </c>
      <c r="N11">
        <f t="shared" si="2"/>
        <v>56911.474583283212</v>
      </c>
      <c r="O11">
        <f t="shared" si="2"/>
        <v>56911.474583283212</v>
      </c>
      <c r="P11">
        <f t="shared" si="2"/>
        <v>56911.474583283212</v>
      </c>
      <c r="Q11">
        <f t="shared" si="2"/>
        <v>56911.474583283212</v>
      </c>
      <c r="R11">
        <f t="shared" si="2"/>
        <v>56911.474583283212</v>
      </c>
    </row>
    <row r="12" spans="2:18" x14ac:dyDescent="0.25">
      <c r="B12" t="s">
        <v>387</v>
      </c>
      <c r="C12" s="45">
        <v>0.04</v>
      </c>
      <c r="D12" s="45">
        <v>0.04</v>
      </c>
      <c r="E12" s="45">
        <v>0.04</v>
      </c>
      <c r="F12" s="45">
        <v>0.04</v>
      </c>
      <c r="G12" s="45">
        <v>0.04</v>
      </c>
      <c r="H12" s="45">
        <v>0.04</v>
      </c>
      <c r="I12" s="45">
        <v>0.04</v>
      </c>
      <c r="J12" s="45">
        <v>0.04</v>
      </c>
      <c r="K12" s="45">
        <v>0.04</v>
      </c>
      <c r="L12" s="45">
        <v>0.04</v>
      </c>
      <c r="M12" s="45">
        <v>0.04</v>
      </c>
      <c r="N12" s="45">
        <v>0.04</v>
      </c>
      <c r="O12" s="45">
        <v>0.04</v>
      </c>
      <c r="P12" s="45">
        <v>0.04</v>
      </c>
      <c r="Q12" s="45">
        <v>0.04</v>
      </c>
      <c r="R12" s="45">
        <v>0.04</v>
      </c>
    </row>
    <row r="13" spans="2:18" x14ac:dyDescent="0.25">
      <c r="B13" t="s">
        <v>388</v>
      </c>
      <c r="C13">
        <f>C12*C11</f>
        <v>1116.7903307692318</v>
      </c>
      <c r="D13">
        <f t="shared" ref="D13:R13" si="3">D12*D11</f>
        <v>1957.9191497732152</v>
      </c>
      <c r="E13">
        <f t="shared" si="3"/>
        <v>1997.865469773215</v>
      </c>
      <c r="F13">
        <f t="shared" si="3"/>
        <v>2037.811789773215</v>
      </c>
      <c r="G13">
        <f t="shared" si="3"/>
        <v>2077.7581097732136</v>
      </c>
      <c r="H13">
        <f t="shared" si="3"/>
        <v>2117.7044297732141</v>
      </c>
      <c r="I13">
        <f t="shared" si="3"/>
        <v>2157.6507497732146</v>
      </c>
      <c r="J13">
        <f t="shared" si="3"/>
        <v>2170.7905833313289</v>
      </c>
      <c r="K13">
        <f t="shared" si="3"/>
        <v>2210.7369033313289</v>
      </c>
      <c r="L13">
        <f t="shared" si="3"/>
        <v>2250.6832233313289</v>
      </c>
      <c r="M13">
        <f t="shared" si="3"/>
        <v>2276.4589833313285</v>
      </c>
      <c r="N13">
        <f t="shared" si="3"/>
        <v>2276.4589833313285</v>
      </c>
      <c r="O13">
        <f t="shared" si="3"/>
        <v>2276.4589833313285</v>
      </c>
      <c r="P13">
        <f t="shared" si="3"/>
        <v>2276.4589833313285</v>
      </c>
      <c r="Q13">
        <f t="shared" si="3"/>
        <v>2276.4589833313285</v>
      </c>
      <c r="R13">
        <f t="shared" si="3"/>
        <v>2276.4589833313285</v>
      </c>
    </row>
    <row r="15" spans="2:18" x14ac:dyDescent="0.25">
      <c r="B15" t="s">
        <v>389</v>
      </c>
      <c r="C15">
        <f>C7+C8-C13</f>
        <v>3090.2096692307682</v>
      </c>
      <c r="D15">
        <f t="shared" ref="D15:R15" si="4">D7+D8-D13</f>
        <v>2249.0808502267846</v>
      </c>
      <c r="E15">
        <f t="shared" si="4"/>
        <v>2209.134530226785</v>
      </c>
      <c r="F15">
        <f t="shared" si="4"/>
        <v>2169.188210226785</v>
      </c>
      <c r="G15">
        <f t="shared" si="4"/>
        <v>2129.2418902267864</v>
      </c>
      <c r="H15">
        <f t="shared" si="4"/>
        <v>2089.2955702267859</v>
      </c>
      <c r="I15">
        <f t="shared" si="4"/>
        <v>2049.3492502267854</v>
      </c>
      <c r="J15">
        <f t="shared" si="4"/>
        <v>2036.2094166686711</v>
      </c>
      <c r="K15">
        <f t="shared" si="4"/>
        <v>1996.2630966686711</v>
      </c>
      <c r="L15">
        <f t="shared" si="4"/>
        <v>1956.3167766686711</v>
      </c>
      <c r="M15">
        <f t="shared" si="4"/>
        <v>1930.5410166686715</v>
      </c>
      <c r="N15">
        <f t="shared" si="4"/>
        <v>1930.5410166686715</v>
      </c>
      <c r="O15">
        <f t="shared" si="4"/>
        <v>1930.5410166686715</v>
      </c>
      <c r="P15">
        <f t="shared" si="4"/>
        <v>1930.5410166686715</v>
      </c>
      <c r="Q15">
        <f t="shared" si="4"/>
        <v>1930.5410166686715</v>
      </c>
      <c r="R15">
        <f t="shared" si="4"/>
        <v>1930.5410166686715</v>
      </c>
    </row>
    <row r="16" spans="2:18" x14ac:dyDescent="0.25">
      <c r="B16" t="s">
        <v>390</v>
      </c>
      <c r="C16">
        <f>C15/2</f>
        <v>1545.1048346153841</v>
      </c>
      <c r="D16">
        <f t="shared" ref="D16:R16" si="5">D15/2</f>
        <v>1124.5404251133923</v>
      </c>
      <c r="E16">
        <f t="shared" si="5"/>
        <v>1104.5672651133925</v>
      </c>
      <c r="F16">
        <f t="shared" si="5"/>
        <v>1084.5941051133925</v>
      </c>
      <c r="G16">
        <f t="shared" si="5"/>
        <v>1064.6209451133932</v>
      </c>
      <c r="H16">
        <f t="shared" si="5"/>
        <v>1044.647785113393</v>
      </c>
      <c r="I16">
        <f t="shared" si="5"/>
        <v>1024.6746251133927</v>
      </c>
      <c r="J16">
        <f t="shared" si="5"/>
        <v>1018.1047083343356</v>
      </c>
      <c r="K16">
        <f t="shared" si="5"/>
        <v>998.13154833433555</v>
      </c>
      <c r="L16">
        <f t="shared" si="5"/>
        <v>978.15838833433554</v>
      </c>
      <c r="M16">
        <f t="shared" si="5"/>
        <v>965.27050833433577</v>
      </c>
      <c r="N16">
        <f t="shared" si="5"/>
        <v>965.27050833433577</v>
      </c>
      <c r="O16">
        <f t="shared" si="5"/>
        <v>965.27050833433577</v>
      </c>
      <c r="P16">
        <f t="shared" si="5"/>
        <v>965.27050833433577</v>
      </c>
      <c r="Q16">
        <f t="shared" si="5"/>
        <v>965.27050833433577</v>
      </c>
      <c r="R16">
        <f t="shared" si="5"/>
        <v>965.27050833433577</v>
      </c>
    </row>
    <row r="19" spans="2:2" x14ac:dyDescent="0.25">
      <c r="B19" t="s">
        <v>129</v>
      </c>
    </row>
    <row r="20" spans="2:2" x14ac:dyDescent="0.25">
      <c r="B20" t="s">
        <v>391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BU105"/>
  <sheetViews>
    <sheetView topLeftCell="A19" zoomScale="70" zoomScaleNormal="70" workbookViewId="0">
      <pane xSplit="2" topLeftCell="BG1" activePane="topRight" state="frozen"/>
      <selection pane="topRight" activeCell="BG67" sqref="BG67"/>
    </sheetView>
  </sheetViews>
  <sheetFormatPr baseColWidth="10" defaultColWidth="9.140625" defaultRowHeight="15" x14ac:dyDescent="0.25"/>
  <cols>
    <col min="2" max="2" width="74.140625" customWidth="1"/>
    <col min="6" max="6" width="12.140625" customWidth="1"/>
    <col min="7" max="7" width="12" customWidth="1"/>
    <col min="8" max="8" width="11.7109375" customWidth="1"/>
    <col min="9" max="9" width="11" customWidth="1"/>
    <col min="10" max="10" width="11.7109375" customWidth="1"/>
    <col min="11" max="11" width="11.85546875" customWidth="1"/>
    <col min="12" max="12" width="11.28515625" customWidth="1"/>
    <col min="13" max="13" width="12.42578125" customWidth="1"/>
    <col min="14" max="14" width="11.42578125" customWidth="1"/>
    <col min="15" max="15" width="12.42578125" customWidth="1"/>
    <col min="16" max="16" width="12.7109375" customWidth="1"/>
    <col min="17" max="18" width="12.42578125" customWidth="1"/>
    <col min="19" max="19" width="12.7109375" customWidth="1"/>
    <col min="20" max="20" width="11.85546875" customWidth="1"/>
    <col min="21" max="22" width="13" customWidth="1"/>
    <col min="23" max="23" width="11.85546875" customWidth="1"/>
    <col min="24" max="25" width="12" customWidth="1"/>
    <col min="26" max="26" width="11.5703125" customWidth="1"/>
    <col min="27" max="27" width="11.7109375" customWidth="1"/>
    <col min="28" max="28" width="12.5703125" customWidth="1"/>
    <col min="29" max="29" width="11.5703125" customWidth="1"/>
    <col min="30" max="30" width="11.7109375" customWidth="1"/>
    <col min="31" max="31" width="12" customWidth="1"/>
    <col min="32" max="32" width="12.28515625" customWidth="1"/>
    <col min="33" max="33" width="12.85546875" customWidth="1"/>
    <col min="34" max="34" width="11.140625" customWidth="1"/>
    <col min="35" max="35" width="11.5703125" customWidth="1"/>
    <col min="36" max="36" width="11.140625" customWidth="1"/>
    <col min="37" max="38" width="13.140625" customWidth="1"/>
    <col min="39" max="40" width="11.5703125" customWidth="1"/>
    <col min="41" max="41" width="11.140625" customWidth="1"/>
    <col min="42" max="42" width="11.42578125" customWidth="1"/>
    <col min="43" max="44" width="11.85546875" customWidth="1"/>
    <col min="45" max="45" width="11.5703125" customWidth="1"/>
    <col min="46" max="46" width="13.28515625" customWidth="1"/>
    <col min="47" max="47" width="11.42578125" customWidth="1"/>
    <col min="48" max="48" width="11.5703125" customWidth="1"/>
    <col min="49" max="50" width="11.42578125" customWidth="1"/>
    <col min="51" max="52" width="11" customWidth="1"/>
    <col min="53" max="53" width="12.140625" customWidth="1"/>
    <col min="54" max="54" width="11.140625" customWidth="1"/>
    <col min="55" max="55" width="11.42578125" customWidth="1"/>
    <col min="56" max="56" width="11.140625" customWidth="1"/>
    <col min="57" max="57" width="11.85546875" customWidth="1"/>
    <col min="58" max="58" width="11.140625" customWidth="1"/>
    <col min="59" max="60" width="11" customWidth="1"/>
    <col min="61" max="61" width="11.85546875" customWidth="1"/>
    <col min="62" max="62" width="11.140625" customWidth="1"/>
    <col min="63" max="63" width="11.85546875" customWidth="1"/>
    <col min="64" max="64" width="11.42578125" customWidth="1"/>
    <col min="65" max="65" width="11.5703125" customWidth="1"/>
    <col min="66" max="66" width="12.42578125" customWidth="1"/>
    <col min="67" max="67" width="12" customWidth="1"/>
    <col min="68" max="68" width="11.42578125" customWidth="1"/>
    <col min="69" max="69" width="11.140625" customWidth="1"/>
    <col min="70" max="70" width="11" customWidth="1"/>
    <col min="71" max="71" width="11.7109375" customWidth="1"/>
    <col min="72" max="72" width="11.5703125" customWidth="1"/>
  </cols>
  <sheetData>
    <row r="2" spans="2:72" ht="18.75" x14ac:dyDescent="0.3">
      <c r="B2" s="11" t="s">
        <v>8</v>
      </c>
      <c r="C2" s="11" t="s">
        <v>392</v>
      </c>
      <c r="AS2" t="s">
        <v>393</v>
      </c>
    </row>
    <row r="3" spans="2:72" ht="15.75" thickBot="1" x14ac:dyDescent="0.3"/>
    <row r="4" spans="2:72" x14ac:dyDescent="0.25">
      <c r="B4" s="6" t="s">
        <v>0</v>
      </c>
      <c r="C4" s="207">
        <v>1</v>
      </c>
      <c r="D4" s="207">
        <v>2</v>
      </c>
      <c r="E4" s="207">
        <v>3</v>
      </c>
      <c r="F4" s="207">
        <v>4</v>
      </c>
      <c r="G4" s="207">
        <v>5</v>
      </c>
      <c r="H4" s="207">
        <v>6</v>
      </c>
      <c r="I4" s="207">
        <v>7</v>
      </c>
      <c r="J4" s="207">
        <v>8</v>
      </c>
      <c r="K4" s="207">
        <v>9</v>
      </c>
      <c r="L4" s="207">
        <v>10</v>
      </c>
      <c r="M4" s="207">
        <v>11</v>
      </c>
      <c r="N4" s="207">
        <v>12</v>
      </c>
      <c r="O4" s="207">
        <v>13</v>
      </c>
      <c r="P4" s="207">
        <v>14</v>
      </c>
      <c r="Q4" s="207">
        <v>15</v>
      </c>
      <c r="R4" s="207">
        <v>16</v>
      </c>
      <c r="S4" s="207">
        <v>17</v>
      </c>
      <c r="T4" s="207">
        <v>18</v>
      </c>
      <c r="U4" s="207">
        <v>19</v>
      </c>
      <c r="V4" s="207">
        <v>20</v>
      </c>
      <c r="W4" s="207">
        <v>21</v>
      </c>
      <c r="X4" s="207">
        <v>22</v>
      </c>
      <c r="Y4" s="207">
        <v>23</v>
      </c>
      <c r="Z4" s="207">
        <v>24</v>
      </c>
      <c r="AA4" s="207">
        <v>25</v>
      </c>
      <c r="AB4" s="207">
        <v>26</v>
      </c>
      <c r="AC4" s="207">
        <v>27</v>
      </c>
      <c r="AD4" s="207">
        <v>28</v>
      </c>
      <c r="AE4" s="207">
        <v>29</v>
      </c>
      <c r="AF4" s="207">
        <v>30</v>
      </c>
      <c r="AG4" s="207">
        <v>31</v>
      </c>
      <c r="AH4" s="207">
        <v>32</v>
      </c>
      <c r="AI4" s="207">
        <v>33</v>
      </c>
      <c r="AJ4" s="207">
        <v>34</v>
      </c>
      <c r="AK4" s="207">
        <v>35</v>
      </c>
      <c r="AL4" s="207">
        <v>36</v>
      </c>
      <c r="AM4" s="207">
        <v>37</v>
      </c>
      <c r="AN4" s="207">
        <v>38</v>
      </c>
      <c r="AO4" s="207">
        <v>39</v>
      </c>
      <c r="AP4" s="207">
        <v>40</v>
      </c>
      <c r="AQ4" s="207">
        <v>41</v>
      </c>
      <c r="AR4" s="386">
        <v>42</v>
      </c>
      <c r="AS4" s="211">
        <v>43</v>
      </c>
      <c r="AT4" s="211">
        <v>44</v>
      </c>
      <c r="AU4" s="211">
        <v>45</v>
      </c>
      <c r="AV4" s="211">
        <v>46</v>
      </c>
      <c r="AW4" s="211">
        <v>47</v>
      </c>
      <c r="AX4" s="211">
        <v>48</v>
      </c>
      <c r="AY4" s="211">
        <v>49</v>
      </c>
      <c r="AZ4" s="211">
        <v>50</v>
      </c>
      <c r="BA4" s="211">
        <v>51</v>
      </c>
      <c r="BB4" s="211">
        <v>52</v>
      </c>
      <c r="BC4" s="211">
        <v>53</v>
      </c>
      <c r="BD4" s="211">
        <v>54</v>
      </c>
      <c r="BE4" s="211">
        <v>55</v>
      </c>
      <c r="BF4" s="211">
        <v>56</v>
      </c>
      <c r="BG4" s="211">
        <v>57</v>
      </c>
      <c r="BH4" s="211">
        <v>58</v>
      </c>
      <c r="BI4" s="211">
        <v>59</v>
      </c>
      <c r="BJ4" s="211">
        <v>60</v>
      </c>
      <c r="BK4" s="211">
        <v>61</v>
      </c>
      <c r="BL4" s="211">
        <v>62</v>
      </c>
      <c r="BM4" s="211">
        <v>63</v>
      </c>
      <c r="BN4" s="211">
        <v>64</v>
      </c>
      <c r="BO4" s="211">
        <v>65</v>
      </c>
      <c r="BP4" s="211">
        <v>66</v>
      </c>
      <c r="BQ4" s="211">
        <v>67</v>
      </c>
      <c r="BR4" s="211">
        <v>68</v>
      </c>
      <c r="BS4" s="211">
        <v>69</v>
      </c>
      <c r="BT4" s="389">
        <v>70</v>
      </c>
    </row>
    <row r="5" spans="2:72" x14ac:dyDescent="0.25">
      <c r="B5" s="8" t="s">
        <v>1</v>
      </c>
      <c r="C5" s="36">
        <v>18</v>
      </c>
      <c r="D5" s="36">
        <v>19</v>
      </c>
      <c r="E5" s="36">
        <v>20</v>
      </c>
      <c r="F5" s="36">
        <v>21</v>
      </c>
      <c r="G5" s="36">
        <v>22</v>
      </c>
      <c r="H5" s="36">
        <v>23</v>
      </c>
      <c r="I5" s="36">
        <v>24</v>
      </c>
      <c r="J5" s="36">
        <v>25</v>
      </c>
      <c r="K5" s="36">
        <v>26</v>
      </c>
      <c r="L5" s="36">
        <v>27</v>
      </c>
      <c r="M5" s="36">
        <v>28</v>
      </c>
      <c r="N5" s="36">
        <v>29</v>
      </c>
      <c r="O5" s="36">
        <v>30</v>
      </c>
      <c r="P5" s="36">
        <v>31</v>
      </c>
      <c r="Q5" s="36">
        <v>32</v>
      </c>
      <c r="R5" s="36">
        <v>33</v>
      </c>
      <c r="S5" s="36">
        <v>34</v>
      </c>
      <c r="T5" s="36">
        <v>35</v>
      </c>
      <c r="U5" s="36">
        <v>36</v>
      </c>
      <c r="V5" s="36">
        <v>37</v>
      </c>
      <c r="W5" s="36">
        <v>38</v>
      </c>
      <c r="X5" s="36">
        <v>39</v>
      </c>
      <c r="Y5" s="36">
        <v>40</v>
      </c>
      <c r="Z5" s="36">
        <v>41</v>
      </c>
      <c r="AA5" s="36">
        <v>42</v>
      </c>
      <c r="AB5" s="36">
        <v>43</v>
      </c>
      <c r="AC5" s="36">
        <v>44</v>
      </c>
      <c r="AD5" s="36">
        <v>45</v>
      </c>
      <c r="AE5" s="36">
        <v>46</v>
      </c>
      <c r="AF5" s="36">
        <v>47</v>
      </c>
      <c r="AG5" s="36">
        <v>48</v>
      </c>
      <c r="AH5" s="36">
        <v>49</v>
      </c>
      <c r="AI5" s="36">
        <v>50</v>
      </c>
      <c r="AJ5" s="36">
        <v>51</v>
      </c>
      <c r="AK5" s="36">
        <v>52</v>
      </c>
      <c r="AL5" s="36">
        <v>53</v>
      </c>
      <c r="AM5" s="36">
        <v>54</v>
      </c>
      <c r="AN5" s="36">
        <v>55</v>
      </c>
      <c r="AO5" s="36">
        <v>56</v>
      </c>
      <c r="AP5" s="36">
        <v>57</v>
      </c>
      <c r="AQ5" s="36">
        <v>58</v>
      </c>
      <c r="AR5" s="294">
        <v>59</v>
      </c>
      <c r="AS5" s="75">
        <v>60</v>
      </c>
      <c r="AT5" s="75">
        <v>61</v>
      </c>
      <c r="AU5" s="75">
        <v>62</v>
      </c>
      <c r="AV5" s="75">
        <v>63</v>
      </c>
      <c r="AW5" s="75">
        <v>64</v>
      </c>
      <c r="AX5" s="75">
        <v>65</v>
      </c>
      <c r="AY5" s="75">
        <v>66</v>
      </c>
      <c r="AZ5" s="75">
        <v>67</v>
      </c>
      <c r="BA5" s="75">
        <v>68</v>
      </c>
      <c r="BB5" s="75">
        <v>69</v>
      </c>
      <c r="BC5" s="75">
        <v>70</v>
      </c>
      <c r="BD5" s="75">
        <v>71</v>
      </c>
      <c r="BE5" s="75">
        <v>72</v>
      </c>
      <c r="BF5" s="75">
        <v>73</v>
      </c>
      <c r="BG5" s="75">
        <v>74</v>
      </c>
      <c r="BH5" s="75">
        <v>75</v>
      </c>
      <c r="BI5" s="75">
        <v>76</v>
      </c>
      <c r="BJ5" s="75">
        <v>77</v>
      </c>
      <c r="BK5" s="75">
        <v>78</v>
      </c>
      <c r="BL5" s="75">
        <v>79</v>
      </c>
      <c r="BM5" s="75">
        <v>80</v>
      </c>
      <c r="BN5" s="75">
        <v>81</v>
      </c>
      <c r="BO5" s="75">
        <v>82</v>
      </c>
      <c r="BP5" s="75">
        <v>83</v>
      </c>
      <c r="BQ5" s="75">
        <v>84</v>
      </c>
      <c r="BR5" s="75">
        <v>85</v>
      </c>
      <c r="BS5" s="75">
        <v>86</v>
      </c>
      <c r="BT5" s="390">
        <v>87</v>
      </c>
    </row>
    <row r="6" spans="2:72" x14ac:dyDescent="0.25">
      <c r="B6" s="8" t="s">
        <v>394</v>
      </c>
      <c r="C6" s="36">
        <f>Sommaire!C4+Sommaire!C9+Sommaire!C23+Sommaire!C33</f>
        <v>8100.356580593425</v>
      </c>
      <c r="D6" s="36">
        <f>Sommaire!D4+Sommaire!D9+Sommaire!D23+Sommaire!D33</f>
        <v>8100.356580593425</v>
      </c>
      <c r="E6" s="36">
        <f>Sommaire!E4+Sommaire!E9+Sommaire!E23+Sommaire!E33</f>
        <v>8100.356580593425</v>
      </c>
      <c r="F6" s="36">
        <f>Sommaire!F4+Sommaire!F9+Sommaire!F23+Sommaire!F33</f>
        <v>36716</v>
      </c>
      <c r="G6" s="36">
        <f>Sommaire!G4+Sommaire!G9+Sommaire!G23+Sommaire!G33</f>
        <v>37885</v>
      </c>
      <c r="H6" s="36">
        <f>Sommaire!H4+Sommaire!H9+Sommaire!H23+Sommaire!H33</f>
        <v>39381.951031999997</v>
      </c>
      <c r="I6" s="36">
        <f>Sommaire!I4+Sommaire!I9+Sommaire!I23+Sommaire!I33</f>
        <v>40628.158122000001</v>
      </c>
      <c r="J6" s="36">
        <f>Sommaire!J4+Sommaire!J9+Sommaire!J23+Sommaire!J33</f>
        <v>42065.206793999998</v>
      </c>
      <c r="K6" s="36">
        <f>Sommaire!K4+Sommaire!K9+Sommaire!K23+Sommaire!K33</f>
        <v>43354.459344000003</v>
      </c>
      <c r="L6" s="36">
        <f>Sommaire!L4+Sommaire!L9+Sommaire!L23+Sommaire!L33</f>
        <v>44924.214553999998</v>
      </c>
      <c r="M6" s="36">
        <f>Sommaire!M4+Sommaire!M9+Sommaire!M23+Sommaire!M33</f>
        <v>46394.404304000003</v>
      </c>
      <c r="N6" s="36">
        <f>Sommaire!N4+Sommaire!N9+Sommaire!N23+Sommaire!N33</f>
        <v>47964.119513999998</v>
      </c>
      <c r="O6" s="36">
        <f>Sommaire!O4+Sommaire!O9+Sommaire!O23+Sommaire!O33</f>
        <v>49550.173071999998</v>
      </c>
      <c r="P6" s="36">
        <f>Sommaire!P4+Sommaire!P9+Sommaire!P23+Sommaire!P33</f>
        <v>51271.712090000001</v>
      </c>
      <c r="Q6" s="36">
        <f>Sommaire!Q4+Sommaire!Q9+Sommaire!Q23+Sommaire!Q33</f>
        <v>53141.5</v>
      </c>
      <c r="R6" s="36">
        <f>Sommaire!R4+Sommaire!R9+Sommaire!R23+Sommaire!R33</f>
        <v>53141.5</v>
      </c>
      <c r="S6" s="36">
        <f>Sommaire!S4+Sommaire!S9+Sommaire!S23+Sommaire!S33</f>
        <v>53141.5</v>
      </c>
      <c r="T6" s="36">
        <f>Sommaire!T4+Sommaire!T9+Sommaire!T23+Sommaire!T33</f>
        <v>53141.5</v>
      </c>
      <c r="U6" s="36">
        <f>Sommaire!U4+Sommaire!U9+Sommaire!U23+Sommaire!U33</f>
        <v>53141.5</v>
      </c>
      <c r="V6" s="36">
        <f>Sommaire!V4+Sommaire!V9+Sommaire!V23+Sommaire!V33</f>
        <v>53141.5</v>
      </c>
      <c r="W6" s="36">
        <f>Sommaire!W4+Sommaire!W9+Sommaire!W23+Sommaire!W33</f>
        <v>53141.5</v>
      </c>
      <c r="X6" s="36">
        <f>Sommaire!X4+Sommaire!X9+Sommaire!X23+Sommaire!X33</f>
        <v>53141.5</v>
      </c>
      <c r="Y6" s="36">
        <f>Sommaire!Y4+Sommaire!Y9+Sommaire!Y23+Sommaire!Y33</f>
        <v>53141.5</v>
      </c>
      <c r="Z6" s="36">
        <f>Sommaire!Z4+Sommaire!Z9+Sommaire!Z23+Sommaire!Z33</f>
        <v>53141.5</v>
      </c>
      <c r="AA6" s="36">
        <f>Sommaire!AA4+Sommaire!AA9+Sommaire!AA23+Sommaire!AA33</f>
        <v>53141.5</v>
      </c>
      <c r="AB6" s="36">
        <f>Sommaire!AB4+Sommaire!AB9+Sommaire!AB23+Sommaire!AB33</f>
        <v>53141.5</v>
      </c>
      <c r="AC6" s="36">
        <f>Sommaire!AC4+Sommaire!AC9+Sommaire!AC23+Sommaire!AC33</f>
        <v>53141.5</v>
      </c>
      <c r="AD6" s="36">
        <f>Sommaire!AD4+Sommaire!AD9+Sommaire!AD23+Sommaire!AD33</f>
        <v>53141.5</v>
      </c>
      <c r="AE6" s="36">
        <f>Sommaire!AE4+Sommaire!AE9+Sommaire!AE23+Sommaire!AE33</f>
        <v>53141.5</v>
      </c>
      <c r="AF6" s="36">
        <f>Sommaire!AF4+Sommaire!AF9+Sommaire!AF23+Sommaire!AF33</f>
        <v>53141.5</v>
      </c>
      <c r="AG6" s="36">
        <f>Sommaire!AG4+Sommaire!AG9+Sommaire!AG23+Sommaire!AG33</f>
        <v>53141.5</v>
      </c>
      <c r="AH6" s="36">
        <f>Sommaire!AH4+Sommaire!AH9+Sommaire!AH23+Sommaire!AH33</f>
        <v>53141.5</v>
      </c>
      <c r="AI6" s="36">
        <f>Sommaire!AI4+Sommaire!AI9+Sommaire!AI23+Sommaire!AI33</f>
        <v>53141.5</v>
      </c>
      <c r="AJ6" s="36">
        <f>Sommaire!AJ4+Sommaire!AJ9+Sommaire!AJ23+Sommaire!AJ33</f>
        <v>53141.5</v>
      </c>
      <c r="AK6" s="36">
        <f>Sommaire!AK4+Sommaire!AK9+Sommaire!AK23+Sommaire!AK33</f>
        <v>53141.5</v>
      </c>
      <c r="AL6" s="36">
        <f>Sommaire!AL4+Sommaire!AL9+Sommaire!AL23+Sommaire!AL33</f>
        <v>53141.5</v>
      </c>
      <c r="AM6" s="36">
        <f>Sommaire!AM4+Sommaire!AM9+Sommaire!AM23+Sommaire!AM33</f>
        <v>53141.5</v>
      </c>
      <c r="AN6" s="36">
        <f>Sommaire!AN4+Sommaire!AN9+Sommaire!AN23+Sommaire!AN33</f>
        <v>53141.5</v>
      </c>
      <c r="AO6" s="36">
        <f>Sommaire!AO4+Sommaire!AO9+Sommaire!AO23+Sommaire!AO33</f>
        <v>53141.5</v>
      </c>
      <c r="AP6" s="36">
        <f>Sommaire!AP4+Sommaire!AP9+Sommaire!AP23+Sommaire!AP33</f>
        <v>53141.5</v>
      </c>
      <c r="AQ6" s="36">
        <f>Sommaire!AQ4+Sommaire!AQ9+Sommaire!AQ23+Sommaire!AQ33</f>
        <v>53141.5</v>
      </c>
      <c r="AR6" s="294">
        <f>Sommaire!AR4+Sommaire!AR9+Sommaire!AR23+Sommaire!AR33</f>
        <v>53141.5</v>
      </c>
      <c r="AS6" s="36">
        <f>Sommaire!AS4+Sommaire!AS9+Sommaire!AS23+Sommaire!AS33</f>
        <v>42082.38</v>
      </c>
      <c r="AT6" s="36">
        <f>Sommaire!AT4+Sommaire!AT9+Sommaire!AT23+Sommaire!AT33</f>
        <v>49861.181210084033</v>
      </c>
      <c r="AU6" s="36">
        <f>Sommaire!AU4+Sommaire!AU9+Sommaire!AU23+Sommaire!AU33</f>
        <v>49861.181210084033</v>
      </c>
      <c r="AV6" s="36">
        <f>Sommaire!AV4+Sommaire!AV9+Sommaire!AV23+Sommaire!AV33</f>
        <v>49861.181210084033</v>
      </c>
      <c r="AW6" s="36">
        <f>Sommaire!AW4+Sommaire!AW9+Sommaire!AW23+Sommaire!AW33</f>
        <v>49861.181210084033</v>
      </c>
      <c r="AX6" s="36">
        <f>Sommaire!AX4+Sommaire!AX9+Sommaire!AX23+Sommaire!AX33</f>
        <v>44441.556210084033</v>
      </c>
      <c r="AY6" s="36">
        <f>Sommaire!AY4+Sommaire!AY9+Sommaire!AY23+Sommaire!AY33</f>
        <v>44441.556210084033</v>
      </c>
      <c r="AZ6" s="36">
        <f>Sommaire!AZ4+Sommaire!AZ9+Sommaire!AZ23+Sommaire!AZ33</f>
        <v>44441.556210084033</v>
      </c>
      <c r="BA6" s="36">
        <f>Sommaire!BA4+Sommaire!BA9+Sommaire!BA23+Sommaire!BA33</f>
        <v>44441.556210084033</v>
      </c>
      <c r="BB6" s="36">
        <f>Sommaire!BB4+Sommaire!BB9+Sommaire!BB23+Sommaire!BB33</f>
        <v>44441.556210084033</v>
      </c>
      <c r="BC6" s="36">
        <f>Sommaire!BC4+Sommaire!BC9+Sommaire!BC23+Sommaire!BC33</f>
        <v>44441.556210084033</v>
      </c>
      <c r="BD6" s="36">
        <f>Sommaire!BD4+Sommaire!BD9+Sommaire!BD23+Sommaire!BD33</f>
        <v>44441.556210084033</v>
      </c>
      <c r="BE6" s="36">
        <f>Sommaire!BE4+Sommaire!BE9+Sommaire!BE23+Sommaire!BE33</f>
        <v>44441.556210084033</v>
      </c>
      <c r="BF6" s="36">
        <f>Sommaire!BF4+Sommaire!BF9+Sommaire!BF23+Sommaire!BF33</f>
        <v>44441.556210084033</v>
      </c>
      <c r="BG6" s="36">
        <f>Sommaire!BG4+Sommaire!BG9+Sommaire!BG23+Sommaire!BG33</f>
        <v>44441.556210084033</v>
      </c>
      <c r="BH6" s="36">
        <f>Sommaire!BH4+Sommaire!BH9+Sommaire!BH23+Sommaire!BH33</f>
        <v>45046.556210084033</v>
      </c>
      <c r="BI6" s="36">
        <f>Sommaire!BI4+Sommaire!BI9+Sommaire!BI23+Sommaire!BI33</f>
        <v>45046.556210084033</v>
      </c>
      <c r="BJ6" s="36">
        <f>Sommaire!BJ4+Sommaire!BJ9+Sommaire!BJ23+Sommaire!BJ33</f>
        <v>45046.556210084033</v>
      </c>
      <c r="BK6" s="36">
        <f>Sommaire!BK4+Sommaire!BK9+Sommaire!BK23+Sommaire!BK33</f>
        <v>45046.556210084033</v>
      </c>
      <c r="BL6" s="36">
        <f>Sommaire!BL4+Sommaire!BL9+Sommaire!BL23+Sommaire!BL33</f>
        <v>45046.556210084033</v>
      </c>
      <c r="BM6" s="36">
        <f>Sommaire!BM4+Sommaire!BM9+Sommaire!BM23+Sommaire!BM33</f>
        <v>45046.556210084033</v>
      </c>
      <c r="BN6" s="36">
        <f>Sommaire!BN4+Sommaire!BN9+Sommaire!BN23+Sommaire!BN33</f>
        <v>45046.556210084033</v>
      </c>
      <c r="BO6" s="36">
        <f>Sommaire!BO4+Sommaire!BO9+Sommaire!BO23+Sommaire!BO33</f>
        <v>45046.556210084033</v>
      </c>
      <c r="BP6" s="36">
        <f>Sommaire!BP4+Sommaire!BP9+Sommaire!BP23+Sommaire!BP33</f>
        <v>45046.556210084033</v>
      </c>
      <c r="BQ6" s="36">
        <f>Sommaire!BQ4+Sommaire!BQ9+Sommaire!BQ23+Sommaire!BQ33</f>
        <v>45046.556210084033</v>
      </c>
      <c r="BR6" s="36">
        <f>Sommaire!BR4+Sommaire!BR9+Sommaire!BR23+Sommaire!BR33</f>
        <v>45046.556210084033</v>
      </c>
      <c r="BS6" s="36">
        <f>Sommaire!BS4+Sommaire!BS9+Sommaire!BS23+Sommaire!BS33</f>
        <v>45046.556210084033</v>
      </c>
      <c r="BT6" s="294">
        <f>Sommaire!BT4+Sommaire!BT9+Sommaire!BT23+Sommaire!BT33</f>
        <v>45046.556210084033</v>
      </c>
    </row>
    <row r="7" spans="2:72" s="316" customFormat="1" x14ac:dyDescent="0.25">
      <c r="B7" s="393" t="s">
        <v>395</v>
      </c>
      <c r="C7" s="295">
        <f>Sommaire!C38</f>
        <v>7743.6465805934249</v>
      </c>
      <c r="D7" s="295">
        <f>Sommaire!D38</f>
        <v>7743.6465805934249</v>
      </c>
      <c r="E7" s="295">
        <f>Sommaire!E38</f>
        <v>7743.6465805934249</v>
      </c>
      <c r="F7" s="295">
        <f>Sommaire!F38</f>
        <v>27461.092982239996</v>
      </c>
      <c r="G7" s="295">
        <f>Sommaire!G38</f>
        <v>28113.673734519998</v>
      </c>
      <c r="H7" s="295">
        <f>Sommaire!H38</f>
        <v>28927.350966440001</v>
      </c>
      <c r="I7" s="295">
        <f>Sommaire!I38</f>
        <v>29560.506084240002</v>
      </c>
      <c r="J7" s="295">
        <f>Sommaire!J38</f>
        <v>30274.22368848</v>
      </c>
      <c r="K7" s="295">
        <f>Sommaire!K38</f>
        <v>30899.198559480003</v>
      </c>
      <c r="L7" s="295">
        <f>Sommaire!L38</f>
        <v>31660.451007680003</v>
      </c>
      <c r="M7" s="295">
        <f>Sommaire!M38</f>
        <v>32373.185202679997</v>
      </c>
      <c r="N7" s="295">
        <f>Sommaire!N38</f>
        <v>33134.220650880001</v>
      </c>
      <c r="O7" s="295">
        <f>Sommaire!O38</f>
        <v>33873.031563240002</v>
      </c>
      <c r="P7" s="295">
        <f>Sommaire!P38</f>
        <v>34690.480228799999</v>
      </c>
      <c r="Q7" s="295">
        <f>Sommaire!Q38</f>
        <v>35550.923549809988</v>
      </c>
      <c r="R7" s="295">
        <f>Sommaire!R38</f>
        <v>35550.991115499994</v>
      </c>
      <c r="S7" s="295">
        <f>Sommaire!S38</f>
        <v>35550.991115499994</v>
      </c>
      <c r="T7" s="295">
        <f>Sommaire!T38</f>
        <v>35550.991115499994</v>
      </c>
      <c r="U7" s="295">
        <f>Sommaire!U38</f>
        <v>35550.991115499994</v>
      </c>
      <c r="V7" s="295">
        <f>Sommaire!V38</f>
        <v>35550.991115499994</v>
      </c>
      <c r="W7" s="295">
        <f>Sommaire!W38</f>
        <v>35550.991115499994</v>
      </c>
      <c r="X7" s="295">
        <f>Sommaire!X38</f>
        <v>35550.991115499994</v>
      </c>
      <c r="Y7" s="295">
        <f>Sommaire!Y38</f>
        <v>35550.991115499994</v>
      </c>
      <c r="Z7" s="295">
        <f>Sommaire!Z38</f>
        <v>35550.991115499994</v>
      </c>
      <c r="AA7" s="295">
        <f>Sommaire!AA38</f>
        <v>35550.991115499994</v>
      </c>
      <c r="AB7" s="295">
        <f>Sommaire!AB38</f>
        <v>35550.991115499994</v>
      </c>
      <c r="AC7" s="295">
        <f>Sommaire!AC38</f>
        <v>35550.991115499994</v>
      </c>
      <c r="AD7" s="295">
        <f>Sommaire!AD38</f>
        <v>35550.991115499994</v>
      </c>
      <c r="AE7" s="295">
        <f>Sommaire!AE38</f>
        <v>35550.991115499994</v>
      </c>
      <c r="AF7" s="295">
        <f>Sommaire!AF38</f>
        <v>35550.991115499994</v>
      </c>
      <c r="AG7" s="295">
        <f>Sommaire!AG38</f>
        <v>35550.991115499994</v>
      </c>
      <c r="AH7" s="295">
        <f>Sommaire!AH38</f>
        <v>35550.991115499994</v>
      </c>
      <c r="AI7" s="295">
        <f>Sommaire!AI38</f>
        <v>35550.991115499994</v>
      </c>
      <c r="AJ7" s="295">
        <f>Sommaire!AJ38</f>
        <v>35550.991115499994</v>
      </c>
      <c r="AK7" s="295">
        <f>Sommaire!AK38</f>
        <v>35550.991115499994</v>
      </c>
      <c r="AL7" s="295">
        <f>Sommaire!AL38</f>
        <v>35550.991115499994</v>
      </c>
      <c r="AM7" s="295">
        <f>Sommaire!AM38</f>
        <v>35550.991115499994</v>
      </c>
      <c r="AN7" s="295">
        <f>Sommaire!AN38</f>
        <v>35550.991115499994</v>
      </c>
      <c r="AO7" s="295">
        <f>Sommaire!AO38</f>
        <v>35550.991115499994</v>
      </c>
      <c r="AP7" s="295">
        <f>Sommaire!AP38</f>
        <v>35550.991115499994</v>
      </c>
      <c r="AQ7" s="295">
        <f>Sommaire!AQ38</f>
        <v>35550.991115499994</v>
      </c>
      <c r="AR7" s="398">
        <f>Sommaire!AR38</f>
        <v>35550.991115499994</v>
      </c>
      <c r="AS7" s="295">
        <f>Sommaire!AS38</f>
        <v>34375.025999999998</v>
      </c>
      <c r="AT7" s="295">
        <f>Sommaire!AT38</f>
        <v>39087.796610084028</v>
      </c>
      <c r="AU7" s="295">
        <f>Sommaire!AU38</f>
        <v>39087.796610084028</v>
      </c>
      <c r="AV7" s="295">
        <f>Sommaire!AV38</f>
        <v>39087.796610084028</v>
      </c>
      <c r="AW7" s="295">
        <f>Sommaire!AW38</f>
        <v>39087.796610084028</v>
      </c>
      <c r="AX7" s="295">
        <f>Sommaire!AX38</f>
        <v>37145.640660084035</v>
      </c>
      <c r="AY7" s="295">
        <f>Sommaire!AY38</f>
        <v>37145.640660084035</v>
      </c>
      <c r="AZ7" s="295">
        <f>Sommaire!AZ38</f>
        <v>37145.640660084035</v>
      </c>
      <c r="BA7" s="295">
        <f>Sommaire!BA38</f>
        <v>37145.640660084035</v>
      </c>
      <c r="BB7" s="295">
        <f>Sommaire!BB38</f>
        <v>37145.640660084035</v>
      </c>
      <c r="BC7" s="295">
        <f>Sommaire!BC38</f>
        <v>37145.640660084035</v>
      </c>
      <c r="BD7" s="295">
        <f>Sommaire!BD38</f>
        <v>37145.640660084035</v>
      </c>
      <c r="BE7" s="295">
        <f>Sommaire!BE38</f>
        <v>37145.640660084035</v>
      </c>
      <c r="BF7" s="295">
        <f>Sommaire!BF38</f>
        <v>37145.640660084035</v>
      </c>
      <c r="BG7" s="295">
        <f>Sommaire!BG38</f>
        <v>37145.640660084035</v>
      </c>
      <c r="BH7" s="295">
        <f>Sommaire!BH38</f>
        <v>36022.991134813201</v>
      </c>
      <c r="BI7" s="295">
        <f>Sommaire!BI38</f>
        <v>36022.991134813201</v>
      </c>
      <c r="BJ7" s="295">
        <f>Sommaire!BJ38</f>
        <v>36022.991134813201</v>
      </c>
      <c r="BK7" s="295">
        <f>Sommaire!BK38</f>
        <v>36022.991134813201</v>
      </c>
      <c r="BL7" s="295">
        <f>Sommaire!BL38</f>
        <v>36022.991134813201</v>
      </c>
      <c r="BM7" s="295">
        <f>Sommaire!BM38</f>
        <v>36022.991134813201</v>
      </c>
      <c r="BN7" s="295">
        <f>Sommaire!BN38</f>
        <v>36022.991134813201</v>
      </c>
      <c r="BO7" s="295">
        <f>Sommaire!BO38</f>
        <v>36022.991134813201</v>
      </c>
      <c r="BP7" s="295">
        <f>Sommaire!BP38</f>
        <v>36022.991134813201</v>
      </c>
      <c r="BQ7" s="295">
        <f>Sommaire!BQ38</f>
        <v>36022.991134813201</v>
      </c>
      <c r="BR7" s="295">
        <f>Sommaire!BR38</f>
        <v>36022.991134813201</v>
      </c>
      <c r="BS7" s="295">
        <f>Sommaire!BS38</f>
        <v>36022.991134813201</v>
      </c>
      <c r="BT7" s="398">
        <f>Sommaire!BT38</f>
        <v>36022.991134813201</v>
      </c>
    </row>
    <row r="8" spans="2:72" x14ac:dyDescent="0.25">
      <c r="B8" s="9" t="s">
        <v>396</v>
      </c>
      <c r="C8" s="36">
        <f t="shared" ref="C8:AH8" si="0">C9+C11+C17+C18</f>
        <v>9492.7293167499993</v>
      </c>
      <c r="D8" s="36">
        <f t="shared" si="0"/>
        <v>9492.7293167499993</v>
      </c>
      <c r="E8" s="36">
        <f>E9+E11+E17+E18</f>
        <v>9492.7293167499993</v>
      </c>
      <c r="F8" s="36">
        <f t="shared" si="0"/>
        <v>25937.03</v>
      </c>
      <c r="G8" s="36">
        <f t="shared" si="0"/>
        <v>25937.03</v>
      </c>
      <c r="H8" s="36">
        <f t="shared" si="0"/>
        <v>25937.03</v>
      </c>
      <c r="I8" s="36">
        <f t="shared" si="0"/>
        <v>25937.03</v>
      </c>
      <c r="J8" s="36">
        <f t="shared" si="0"/>
        <v>33215.623739988121</v>
      </c>
      <c r="K8" s="36">
        <f t="shared" si="0"/>
        <v>33215.623739988121</v>
      </c>
      <c r="L8" s="36">
        <f t="shared" si="0"/>
        <v>33215.623739988121</v>
      </c>
      <c r="M8" s="36">
        <f t="shared" si="0"/>
        <v>33215.623739988121</v>
      </c>
      <c r="N8" s="36">
        <f t="shared" si="0"/>
        <v>33215.623739988121</v>
      </c>
      <c r="O8" s="36">
        <f t="shared" si="0"/>
        <v>33888.050000000003</v>
      </c>
      <c r="P8" s="36">
        <f t="shared" si="0"/>
        <v>33888.050000000003</v>
      </c>
      <c r="Q8" s="36">
        <f t="shared" si="0"/>
        <v>33888.050000000003</v>
      </c>
      <c r="R8" s="36">
        <f t="shared" si="0"/>
        <v>33888.050000000003</v>
      </c>
      <c r="S8" s="36">
        <f t="shared" si="0"/>
        <v>33888.050000000003</v>
      </c>
      <c r="T8" s="36">
        <f t="shared" si="0"/>
        <v>34116.5</v>
      </c>
      <c r="U8" s="36">
        <f t="shared" si="0"/>
        <v>34116.5</v>
      </c>
      <c r="V8" s="36">
        <f t="shared" si="0"/>
        <v>34116.5</v>
      </c>
      <c r="W8" s="36">
        <f t="shared" si="0"/>
        <v>34116.5</v>
      </c>
      <c r="X8" s="36">
        <f t="shared" si="0"/>
        <v>34116.5</v>
      </c>
      <c r="Y8" s="36">
        <f t="shared" si="0"/>
        <v>34295.39</v>
      </c>
      <c r="Z8" s="36">
        <f t="shared" si="0"/>
        <v>34295.39</v>
      </c>
      <c r="AA8" s="36">
        <f t="shared" si="0"/>
        <v>34295.39</v>
      </c>
      <c r="AB8" s="36">
        <f t="shared" si="0"/>
        <v>34295.39</v>
      </c>
      <c r="AC8" s="36">
        <f t="shared" si="0"/>
        <v>34295.39</v>
      </c>
      <c r="AD8" s="36">
        <f t="shared" si="0"/>
        <v>34424.720000000008</v>
      </c>
      <c r="AE8" s="36">
        <f t="shared" si="0"/>
        <v>34424.720000000008</v>
      </c>
      <c r="AF8" s="36">
        <f t="shared" si="0"/>
        <v>34424.720000000008</v>
      </c>
      <c r="AG8" s="36">
        <f t="shared" si="0"/>
        <v>34424.720000000008</v>
      </c>
      <c r="AH8" s="36">
        <f t="shared" si="0"/>
        <v>34424.720000000008</v>
      </c>
      <c r="AI8" s="36">
        <f t="shared" ref="AI8:BN8" si="1">AI9+AI11+AI17+AI18</f>
        <v>34504.49</v>
      </c>
      <c r="AJ8" s="36">
        <f t="shared" si="1"/>
        <v>34504.49</v>
      </c>
      <c r="AK8" s="36">
        <f t="shared" si="1"/>
        <v>34504.49</v>
      </c>
      <c r="AL8" s="36">
        <f t="shared" si="1"/>
        <v>34504.49</v>
      </c>
      <c r="AM8" s="36">
        <f t="shared" si="1"/>
        <v>34504.49</v>
      </c>
      <c r="AN8" s="36">
        <f t="shared" si="1"/>
        <v>34534.699999999997</v>
      </c>
      <c r="AO8" s="36">
        <f t="shared" si="1"/>
        <v>34534.699999999997</v>
      </c>
      <c r="AP8" s="36">
        <f t="shared" si="1"/>
        <v>34534.699999999997</v>
      </c>
      <c r="AQ8" s="36">
        <f t="shared" si="1"/>
        <v>34534.699999999997</v>
      </c>
      <c r="AR8" s="294">
        <f t="shared" si="1"/>
        <v>34534.699999999997</v>
      </c>
      <c r="AS8" s="75">
        <f t="shared" si="1"/>
        <v>34515.35</v>
      </c>
      <c r="AT8" s="75">
        <f t="shared" si="1"/>
        <v>34515.35</v>
      </c>
      <c r="AU8" s="75">
        <f t="shared" si="1"/>
        <v>34515.35</v>
      </c>
      <c r="AV8" s="75">
        <f t="shared" si="1"/>
        <v>34515.35</v>
      </c>
      <c r="AW8" s="75">
        <f t="shared" si="1"/>
        <v>34515.35</v>
      </c>
      <c r="AX8" s="75">
        <f t="shared" si="1"/>
        <v>34446.44</v>
      </c>
      <c r="AY8" s="75">
        <f t="shared" si="1"/>
        <v>34446.44</v>
      </c>
      <c r="AZ8" s="75">
        <f t="shared" si="1"/>
        <v>34446.44</v>
      </c>
      <c r="BA8" s="75">
        <f t="shared" si="1"/>
        <v>34446.44</v>
      </c>
      <c r="BB8" s="75">
        <f t="shared" si="1"/>
        <v>34446.44</v>
      </c>
      <c r="BC8" s="75">
        <f t="shared" si="1"/>
        <v>34327.97</v>
      </c>
      <c r="BD8" s="75">
        <f t="shared" si="1"/>
        <v>34327.97</v>
      </c>
      <c r="BE8" s="75">
        <f t="shared" si="1"/>
        <v>34327.97</v>
      </c>
      <c r="BF8" s="75">
        <f t="shared" si="1"/>
        <v>34327.97</v>
      </c>
      <c r="BG8" s="75">
        <f t="shared" si="1"/>
        <v>34327.97</v>
      </c>
      <c r="BH8" s="75">
        <f t="shared" si="1"/>
        <v>34159.94</v>
      </c>
      <c r="BI8" s="75">
        <f t="shared" si="1"/>
        <v>34159.94</v>
      </c>
      <c r="BJ8" s="75">
        <f t="shared" si="1"/>
        <v>34159.94</v>
      </c>
      <c r="BK8" s="75">
        <f t="shared" si="1"/>
        <v>34159.94</v>
      </c>
      <c r="BL8" s="75">
        <f t="shared" si="1"/>
        <v>34159.94</v>
      </c>
      <c r="BM8" s="75">
        <f t="shared" si="1"/>
        <v>33942.35</v>
      </c>
      <c r="BN8" s="75">
        <f t="shared" si="1"/>
        <v>33942.35</v>
      </c>
      <c r="BO8" s="75">
        <f t="shared" ref="BO8:BT8" si="2">BO9+BO11+BO17+BO18</f>
        <v>33942.35</v>
      </c>
      <c r="BP8" s="75">
        <f t="shared" si="2"/>
        <v>33942.35</v>
      </c>
      <c r="BQ8" s="75">
        <f t="shared" si="2"/>
        <v>33942.35</v>
      </c>
      <c r="BR8" s="75">
        <f t="shared" si="2"/>
        <v>33675.199999999997</v>
      </c>
      <c r="BS8" s="75">
        <f t="shared" si="2"/>
        <v>33675.199999999997</v>
      </c>
      <c r="BT8" s="390">
        <f t="shared" si="2"/>
        <v>33675.199999999997</v>
      </c>
    </row>
    <row r="9" spans="2:72" x14ac:dyDescent="0.25">
      <c r="B9" s="16" t="s">
        <v>397</v>
      </c>
      <c r="C9" s="36">
        <f>'Calculs source'!X7</f>
        <v>370</v>
      </c>
      <c r="D9" s="36">
        <f>C9</f>
        <v>370</v>
      </c>
      <c r="E9" s="36">
        <f>D9</f>
        <v>370</v>
      </c>
      <c r="F9" s="36"/>
      <c r="G9" s="36"/>
      <c r="H9" s="36"/>
      <c r="I9" s="203"/>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294"/>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390"/>
    </row>
    <row r="10" spans="2:72" x14ac:dyDescent="0.25">
      <c r="C10" s="36"/>
      <c r="D10" s="36"/>
      <c r="E10" s="36"/>
      <c r="F10" s="36"/>
      <c r="G10" s="36"/>
      <c r="H10" s="36"/>
      <c r="I10" s="203"/>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294"/>
      <c r="AS10" s="75"/>
      <c r="AT10" s="75"/>
      <c r="AU10" s="75"/>
      <c r="AV10" s="75"/>
      <c r="AW10" s="75"/>
      <c r="AX10" s="75"/>
      <c r="AY10" s="75"/>
      <c r="AZ10" s="75"/>
      <c r="BA10" s="75"/>
      <c r="BB10" s="75"/>
      <c r="BC10" s="75"/>
      <c r="BD10" s="75"/>
      <c r="BE10" s="75"/>
      <c r="BF10" s="75"/>
      <c r="BG10" s="75"/>
      <c r="BH10" s="75"/>
      <c r="BI10" s="75"/>
      <c r="BJ10" s="75"/>
      <c r="BK10" s="75"/>
      <c r="BL10" s="75"/>
      <c r="BM10" s="75"/>
      <c r="BN10" s="75"/>
      <c r="BO10" s="75"/>
      <c r="BP10" s="75"/>
      <c r="BQ10" s="75"/>
      <c r="BR10" s="75"/>
      <c r="BS10" s="75"/>
      <c r="BT10" s="390"/>
    </row>
    <row r="11" spans="2:72" s="278" customFormat="1" ht="19.5" thickBot="1" x14ac:dyDescent="0.35">
      <c r="B11" s="399" t="s">
        <v>398</v>
      </c>
      <c r="C11" s="387">
        <f t="shared" ref="C11:BN11" si="3">C13+C14</f>
        <v>7934.5329999999994</v>
      </c>
      <c r="D11" s="387">
        <f t="shared" si="3"/>
        <v>7934.5329999999994</v>
      </c>
      <c r="E11" s="387">
        <f t="shared" si="3"/>
        <v>7934.5329999999994</v>
      </c>
      <c r="F11" s="387">
        <f t="shared" si="3"/>
        <v>24178.048721461186</v>
      </c>
      <c r="G11" s="387">
        <f t="shared" si="3"/>
        <v>24178.048721461186</v>
      </c>
      <c r="H11" s="387">
        <f t="shared" si="3"/>
        <v>24178.048721461186</v>
      </c>
      <c r="I11" s="387">
        <f t="shared" si="3"/>
        <v>24178.048721461186</v>
      </c>
      <c r="J11" s="387">
        <f t="shared" si="3"/>
        <v>30976.208547499999</v>
      </c>
      <c r="K11" s="387">
        <f t="shared" si="3"/>
        <v>30976.208547499999</v>
      </c>
      <c r="L11" s="387">
        <f t="shared" si="3"/>
        <v>30976.208547499999</v>
      </c>
      <c r="M11" s="387">
        <f t="shared" si="3"/>
        <v>30976.208547499999</v>
      </c>
      <c r="N11" s="387">
        <f t="shared" si="3"/>
        <v>30976.208547499999</v>
      </c>
      <c r="O11" s="387">
        <f t="shared" si="3"/>
        <v>31564.927682104804</v>
      </c>
      <c r="P11" s="387">
        <f t="shared" si="3"/>
        <v>31564.927682104804</v>
      </c>
      <c r="Q11" s="387">
        <f t="shared" si="3"/>
        <v>31564.927682104804</v>
      </c>
      <c r="R11" s="387">
        <f t="shared" si="3"/>
        <v>31564.927682104804</v>
      </c>
      <c r="S11" s="387">
        <f t="shared" si="3"/>
        <v>31564.927682104804</v>
      </c>
      <c r="T11" s="387">
        <f t="shared" si="3"/>
        <v>31772.922594042182</v>
      </c>
      <c r="U11" s="387">
        <f t="shared" si="3"/>
        <v>31772.922594042182</v>
      </c>
      <c r="V11" s="387">
        <f t="shared" si="3"/>
        <v>31772.922594042182</v>
      </c>
      <c r="W11" s="387">
        <f t="shared" si="3"/>
        <v>31772.922594042182</v>
      </c>
      <c r="X11" s="387">
        <f t="shared" si="3"/>
        <v>31772.922594042182</v>
      </c>
      <c r="Y11" s="387">
        <f t="shared" si="3"/>
        <v>31943.238519243314</v>
      </c>
      <c r="Z11" s="387">
        <f t="shared" si="3"/>
        <v>31943.238519243314</v>
      </c>
      <c r="AA11" s="387">
        <f t="shared" si="3"/>
        <v>31943.238519243314</v>
      </c>
      <c r="AB11" s="387">
        <f t="shared" si="3"/>
        <v>31943.238519243314</v>
      </c>
      <c r="AC11" s="387">
        <f t="shared" si="3"/>
        <v>31943.238519243314</v>
      </c>
      <c r="AD11" s="387">
        <f t="shared" si="3"/>
        <v>32075.8754577082</v>
      </c>
      <c r="AE11" s="387">
        <f t="shared" si="3"/>
        <v>32075.8754577082</v>
      </c>
      <c r="AF11" s="387">
        <f t="shared" si="3"/>
        <v>32075.8754577082</v>
      </c>
      <c r="AG11" s="387">
        <f t="shared" si="3"/>
        <v>32075.8754577082</v>
      </c>
      <c r="AH11" s="387">
        <f t="shared" si="3"/>
        <v>32075.8754577082</v>
      </c>
      <c r="AI11" s="387">
        <f t="shared" si="3"/>
        <v>32170.833409436833</v>
      </c>
      <c r="AJ11" s="387">
        <f t="shared" si="3"/>
        <v>32170.833409436833</v>
      </c>
      <c r="AK11" s="387">
        <f t="shared" si="3"/>
        <v>32170.833409436833</v>
      </c>
      <c r="AL11" s="387">
        <f t="shared" si="3"/>
        <v>32170.833409436833</v>
      </c>
      <c r="AM11" s="387">
        <f t="shared" si="3"/>
        <v>32170.833409436833</v>
      </c>
      <c r="AN11" s="387">
        <f t="shared" si="3"/>
        <v>32228.11237442922</v>
      </c>
      <c r="AO11" s="387">
        <f t="shared" si="3"/>
        <v>32228.11237442922</v>
      </c>
      <c r="AP11" s="387">
        <f t="shared" si="3"/>
        <v>32228.11237442922</v>
      </c>
      <c r="AQ11" s="387">
        <f t="shared" si="3"/>
        <v>32228.11237442922</v>
      </c>
      <c r="AR11" s="387">
        <f t="shared" si="3"/>
        <v>32228.11237442922</v>
      </c>
      <c r="AS11" s="387">
        <f t="shared" si="3"/>
        <v>32247.712352685365</v>
      </c>
      <c r="AT11" s="387">
        <f t="shared" si="3"/>
        <v>32247.712352685365</v>
      </c>
      <c r="AU11" s="387">
        <f t="shared" si="3"/>
        <v>32247.712352685365</v>
      </c>
      <c r="AV11" s="387">
        <f t="shared" si="3"/>
        <v>32247.712352685365</v>
      </c>
      <c r="AW11" s="387">
        <f t="shared" si="3"/>
        <v>32247.712352685365</v>
      </c>
      <c r="AX11" s="387">
        <f t="shared" si="3"/>
        <v>32229.63334420526</v>
      </c>
      <c r="AY11" s="387">
        <f t="shared" si="3"/>
        <v>32229.63334420526</v>
      </c>
      <c r="AZ11" s="387">
        <f t="shared" si="3"/>
        <v>32229.63334420526</v>
      </c>
      <c r="BA11" s="387">
        <f t="shared" si="3"/>
        <v>32229.63334420526</v>
      </c>
      <c r="BB11" s="387">
        <f t="shared" si="3"/>
        <v>32229.63334420526</v>
      </c>
      <c r="BC11" s="387">
        <f t="shared" si="3"/>
        <v>32173.875348988913</v>
      </c>
      <c r="BD11" s="387">
        <f t="shared" si="3"/>
        <v>32173.875348988913</v>
      </c>
      <c r="BE11" s="387">
        <f t="shared" si="3"/>
        <v>32173.875348988913</v>
      </c>
      <c r="BF11" s="387">
        <f t="shared" si="3"/>
        <v>32173.875348988913</v>
      </c>
      <c r="BG11" s="387">
        <f t="shared" si="3"/>
        <v>32173.875348988913</v>
      </c>
      <c r="BH11" s="387">
        <f t="shared" si="3"/>
        <v>32080.43836703631</v>
      </c>
      <c r="BI11" s="387">
        <f t="shared" si="3"/>
        <v>32080.43836703631</v>
      </c>
      <c r="BJ11" s="387">
        <f t="shared" si="3"/>
        <v>32080.43836703631</v>
      </c>
      <c r="BK11" s="387">
        <f t="shared" si="3"/>
        <v>32080.43836703631</v>
      </c>
      <c r="BL11" s="387">
        <f t="shared" si="3"/>
        <v>32080.43836703631</v>
      </c>
      <c r="BM11" s="387">
        <f t="shared" si="3"/>
        <v>31949.322398347467</v>
      </c>
      <c r="BN11" s="387">
        <f t="shared" si="3"/>
        <v>31949.322398347467</v>
      </c>
      <c r="BO11" s="387">
        <f t="shared" ref="BO11:BS11" si="4">BO13+BO14</f>
        <v>31949.322398347467</v>
      </c>
      <c r="BP11" s="387">
        <f t="shared" si="4"/>
        <v>31949.322398347467</v>
      </c>
      <c r="BQ11" s="387">
        <f t="shared" si="4"/>
        <v>31949.322398347467</v>
      </c>
      <c r="BR11" s="387">
        <f t="shared" si="4"/>
        <v>31780.527442922375</v>
      </c>
      <c r="BS11" s="387">
        <f t="shared" si="4"/>
        <v>31780.527442922375</v>
      </c>
      <c r="BT11" s="387">
        <f>BT13+BT14</f>
        <v>31780.527442922375</v>
      </c>
    </row>
    <row r="12" spans="2:72" s="385" customFormat="1" ht="18.75" x14ac:dyDescent="0.3">
      <c r="B12" s="401" t="s">
        <v>399</v>
      </c>
      <c r="C12" s="400"/>
      <c r="D12" s="400"/>
      <c r="E12" s="400"/>
      <c r="F12" s="383">
        <f>(F15/(1-'Valid. 3e quintile'!$T$6)*'Valid. 3e quintile'!$T$6)</f>
        <v>12094.661822484111</v>
      </c>
      <c r="G12" s="383">
        <f>(G15/(1-'Valid. 3e quintile'!$T$6)*'Valid. 3e quintile'!$T$6)</f>
        <v>12239.184501319438</v>
      </c>
      <c r="H12" s="383">
        <f>(H15/(1-'Valid. 3e quintile'!$T$6)*'Valid. 3e quintile'!$T$6)</f>
        <v>12419.384136159326</v>
      </c>
      <c r="I12" s="383">
        <f>(I15/(1-'Valid. 3e quintile'!$T$6)*'Valid. 3e quintile'!$T$6)</f>
        <v>12559.604750118673</v>
      </c>
      <c r="J12" s="383">
        <f>(J15/(1-'Valid. 3e quintile'!$T$6)*'Valid. 3e quintile'!$T$6)</f>
        <v>12717.666997183602</v>
      </c>
      <c r="K12" s="383">
        <f>(K15/(1-'Valid. 3e quintile'!$T$6)*'Valid. 3e quintile'!$T$6)</f>
        <v>12856.075986793105</v>
      </c>
      <c r="L12" s="383">
        <f>(L15/(1-'Valid. 3e quintile'!$T$6)*'Valid. 3e quintile'!$T$6)</f>
        <v>13024.665456677762</v>
      </c>
      <c r="M12" s="383">
        <f>(M15/(1-'Valid. 3e quintile'!$T$6)*'Valid. 3e quintile'!$T$6)</f>
        <v>13182.509914699323</v>
      </c>
      <c r="N12" s="383">
        <f>(N15/(1-'Valid. 3e quintile'!$T$6)*'Valid. 3e quintile'!$T$6)</f>
        <v>13351.051327050571</v>
      </c>
      <c r="O12" s="383">
        <f>(O15/(1-'Valid. 3e quintile'!$T$6)*'Valid. 3e quintile'!$T$6)</f>
        <v>13514.670820628937</v>
      </c>
      <c r="P12" s="383">
        <f>(P15/(1-'Valid. 3e quintile'!$T$6)*'Valid. 3e quintile'!$T$6)</f>
        <v>13695.705689561764</v>
      </c>
      <c r="Q12" s="383">
        <f>(Q15/(1-'Valid. 3e quintile'!$T$6)*'Valid. 3e quintile'!$T$6)</f>
        <v>13886.262296240495</v>
      </c>
      <c r="R12" s="383">
        <f>(R15/(1-'Valid. 3e quintile'!$T$6)*'Valid. 3e quintile'!$T$6)</f>
        <v>13886.262296240495</v>
      </c>
      <c r="S12" s="383">
        <f>(S15/(1-'Valid. 3e quintile'!$T$6)*'Valid. 3e quintile'!$T$6)</f>
        <v>13886.262296240495</v>
      </c>
      <c r="T12" s="383">
        <f>(T15/(1-'Valid. 3e quintile'!$T$6)*'Valid. 3e quintile'!$T$6)</f>
        <v>13886.262296240495</v>
      </c>
      <c r="U12" s="383">
        <f>(U15/(1-'Valid. 3e quintile'!$T$6)*'Valid. 3e quintile'!$T$6)</f>
        <v>13886.262296240495</v>
      </c>
      <c r="V12" s="383">
        <f>(V15/(1-'Valid. 3e quintile'!$T$6)*'Valid. 3e quintile'!$T$6)</f>
        <v>13886.262296240495</v>
      </c>
      <c r="W12" s="383">
        <f>(W15/(1-'Valid. 3e quintile'!$T$6)*'Valid. 3e quintile'!$T$6)</f>
        <v>13886.262296240495</v>
      </c>
      <c r="X12" s="383">
        <f>(X15/(1-'Valid. 3e quintile'!$T$6)*'Valid. 3e quintile'!$T$6)</f>
        <v>13886.262296240495</v>
      </c>
      <c r="Y12" s="383">
        <f>(Y15/(1-'Valid. 3e quintile'!$T$6)*'Valid. 3e quintile'!$T$6)</f>
        <v>13886.262296240495</v>
      </c>
      <c r="Z12" s="383">
        <f>(Z15/(1-'Valid. 3e quintile'!$T$6)*'Valid. 3e quintile'!$T$6)</f>
        <v>13886.262296240495</v>
      </c>
      <c r="AA12" s="383">
        <f>(AA15/(1-'Valid. 3e quintile'!$T$6)*'Valid. 3e quintile'!$T$6)</f>
        <v>13886.262296240495</v>
      </c>
      <c r="AB12" s="383">
        <f>(AB15/(1-'Valid. 3e quintile'!$T$6)*'Valid. 3e quintile'!$T$6)</f>
        <v>13886.262296240495</v>
      </c>
      <c r="AC12" s="383">
        <f>(AC15/(1-'Valid. 3e quintile'!$T$6)*'Valid. 3e quintile'!$T$6)</f>
        <v>13886.262296240495</v>
      </c>
      <c r="AD12" s="383">
        <f>(AD15/(1-'Valid. 3e quintile'!$T$6)*'Valid. 3e quintile'!$T$6)</f>
        <v>13886.262296240495</v>
      </c>
      <c r="AE12" s="383">
        <f>(AE15/(1-'Valid. 3e quintile'!$T$6)*'Valid. 3e quintile'!$T$6)</f>
        <v>13886.262296240495</v>
      </c>
      <c r="AF12" s="383">
        <f>(AF15/(1-'Valid. 3e quintile'!$T$6)*'Valid. 3e quintile'!$T$6)</f>
        <v>13886.262296240495</v>
      </c>
      <c r="AG12" s="383">
        <f>(AG15/(1-'Valid. 3e quintile'!$T$6)*'Valid. 3e quintile'!$T$6)</f>
        <v>13886.262296240495</v>
      </c>
      <c r="AH12" s="383">
        <f>(AH15/(1-'Valid. 3e quintile'!$T$6)*'Valid. 3e quintile'!$T$6)</f>
        <v>13886.262296240495</v>
      </c>
      <c r="AI12" s="383">
        <f>(AI15/(1-'Valid. 3e quintile'!$T$6)*'Valid. 3e quintile'!$T$6)</f>
        <v>13886.262296240495</v>
      </c>
      <c r="AJ12" s="383">
        <f>(AJ15/(1-'Valid. 3e quintile'!$T$6)*'Valid. 3e quintile'!$T$6)</f>
        <v>13886.262296240495</v>
      </c>
      <c r="AK12" s="383">
        <f>(AK15/(1-'Valid. 3e quintile'!$T$6)*'Valid. 3e quintile'!$T$6)</f>
        <v>13886.262296240495</v>
      </c>
      <c r="AL12" s="383">
        <f>(AL15/(1-'Valid. 3e quintile'!$T$6)*'Valid. 3e quintile'!$T$6)</f>
        <v>13886.262296240495</v>
      </c>
      <c r="AM12" s="383">
        <f>(AM15/(1-'Valid. 3e quintile'!$T$6)*'Valid. 3e quintile'!$T$6)</f>
        <v>13886.262296240495</v>
      </c>
      <c r="AN12" s="383">
        <f>(AN15/(1-'Valid. 3e quintile'!$T$6)*'Valid. 3e quintile'!$T$6)</f>
        <v>13886.262296240495</v>
      </c>
      <c r="AO12" s="383">
        <f>(AO15/(1-'Valid. 3e quintile'!$T$6)*'Valid. 3e quintile'!$T$6)</f>
        <v>13886.262296240495</v>
      </c>
      <c r="AP12" s="383">
        <f>(AP15/(1-'Valid. 3e quintile'!$T$6)*'Valid. 3e quintile'!$T$6)</f>
        <v>13886.262296240495</v>
      </c>
      <c r="AQ12" s="383">
        <f>(AQ15/(1-'Valid. 3e quintile'!$T$6)*'Valid. 3e quintile'!$T$6)</f>
        <v>13886.262296240495</v>
      </c>
      <c r="AR12" s="388">
        <f>(AR15/(1-'Valid. 3e quintile'!$T$6)*'Valid. 3e quintile'!$T$6)</f>
        <v>13886.262296240495</v>
      </c>
      <c r="AS12" s="383">
        <f>(AS15/(1-'Valid. 3e quintile'!$T$6)*'Valid. 3e quintile'!$T$6)</f>
        <v>13625.844158959115</v>
      </c>
      <c r="AT12" s="383">
        <f>(AT15/(1-'Valid. 3e quintile'!$T$6)*'Valid. 3e quintile'!$T$6)</f>
        <v>13625.844158959115</v>
      </c>
      <c r="AU12" s="383">
        <f>(AU15/(1-'Valid. 3e quintile'!$T$6)*'Valid. 3e quintile'!$T$6)</f>
        <v>13625.844158959115</v>
      </c>
      <c r="AV12" s="383">
        <f>(AV15/(1-'Valid. 3e quintile'!$T$6)*'Valid. 3e quintile'!$T$6)</f>
        <v>13625.844158959115</v>
      </c>
      <c r="AW12" s="383">
        <f>(AW15/(1-'Valid. 3e quintile'!$T$6)*'Valid. 3e quintile'!$T$6)</f>
        <v>13625.844158959115</v>
      </c>
      <c r="AX12" s="383">
        <f>(AX15/(1-'Valid. 3e quintile'!$T$6)*'Valid. 3e quintile'!$T$6)</f>
        <v>14463.659948508386</v>
      </c>
      <c r="AY12" s="383">
        <f>(AY15/(1-'Valid. 3e quintile'!$T$6)*'Valid. 3e quintile'!$T$6)</f>
        <v>14463.659948508386</v>
      </c>
      <c r="AZ12" s="383">
        <f>(AZ15/(1-'Valid. 3e quintile'!$T$6)*'Valid. 3e quintile'!$T$6)</f>
        <v>14463.659948508386</v>
      </c>
      <c r="BA12" s="383">
        <f>(BA15/(1-'Valid. 3e quintile'!$T$6)*'Valid. 3e quintile'!$T$6)</f>
        <v>14463.659948508386</v>
      </c>
      <c r="BB12" s="383">
        <f>(BB15/(1-'Valid. 3e quintile'!$T$6)*'Valid. 3e quintile'!$T$6)</f>
        <v>14463.659948508386</v>
      </c>
      <c r="BC12" s="383">
        <f>(BC15/(1-'Valid. 3e quintile'!$T$6)*'Valid. 3e quintile'!$T$6)</f>
        <v>14463.659948508386</v>
      </c>
      <c r="BD12" s="383">
        <f>(BD15/(1-'Valid. 3e quintile'!$T$6)*'Valid. 3e quintile'!$T$6)</f>
        <v>14463.659948508386</v>
      </c>
      <c r="BE12" s="383">
        <f>(BE15/(1-'Valid. 3e quintile'!$T$6)*'Valid. 3e quintile'!$T$6)</f>
        <v>14463.659948508386</v>
      </c>
      <c r="BF12" s="383">
        <f>(BF15/(1-'Valid. 3e quintile'!$T$6)*'Valid. 3e quintile'!$T$6)</f>
        <v>14463.659948508386</v>
      </c>
      <c r="BG12" s="383">
        <f>(BG15/(1-'Valid. 3e quintile'!$T$6)*'Valid. 3e quintile'!$T$6)</f>
        <v>14463.659948508386</v>
      </c>
      <c r="BH12" s="383">
        <f>(BH15/(1-'Valid. 3e quintile'!$T$6)*'Valid. 3e quintile'!$T$6)</f>
        <v>14463.659948508386</v>
      </c>
      <c r="BI12" s="383">
        <f>(BI15/(1-'Valid. 3e quintile'!$T$6)*'Valid. 3e quintile'!$T$6)</f>
        <v>14463.659948508386</v>
      </c>
      <c r="BJ12" s="383">
        <f>(BJ15/(1-'Valid. 3e quintile'!$T$6)*'Valid. 3e quintile'!$T$6)</f>
        <v>14463.659948508386</v>
      </c>
      <c r="BK12" s="383">
        <f>(BK15/(1-'Valid. 3e quintile'!$T$6)*'Valid. 3e quintile'!$T$6)</f>
        <v>14463.659948508386</v>
      </c>
      <c r="BL12" s="383">
        <f>(BL15/(1-'Valid. 3e quintile'!$T$6)*'Valid. 3e quintile'!$T$6)</f>
        <v>14463.659948508386</v>
      </c>
      <c r="BM12" s="383">
        <f>(BM15/(1-'Valid. 3e quintile'!$T$6)*'Valid. 3e quintile'!$T$6)</f>
        <v>14463.659948508386</v>
      </c>
      <c r="BN12" s="383">
        <f>(BN15/(1-'Valid. 3e quintile'!$T$6)*'Valid. 3e quintile'!$T$6)</f>
        <v>14463.659948508386</v>
      </c>
      <c r="BO12" s="383">
        <f>(BO15/(1-'Valid. 3e quintile'!$T$6)*'Valid. 3e quintile'!$T$6)</f>
        <v>14463.659948508386</v>
      </c>
      <c r="BP12" s="383">
        <f>(BP15/(1-'Valid. 3e quintile'!$T$6)*'Valid. 3e quintile'!$T$6)</f>
        <v>14463.659948508386</v>
      </c>
      <c r="BQ12" s="383">
        <f>(BQ15/(1-'Valid. 3e quintile'!$T$6)*'Valid. 3e quintile'!$T$6)</f>
        <v>14463.659948508386</v>
      </c>
      <c r="BR12" s="383">
        <f>(BR15/(1-'Valid. 3e quintile'!$T$6)*'Valid. 3e quintile'!$T$6)</f>
        <v>14463.659948508386</v>
      </c>
      <c r="BS12" s="383">
        <f>(BS15/(1-'Valid. 3e quintile'!$T$6)*'Valid. 3e quintile'!$T$6)</f>
        <v>14463.659948508386</v>
      </c>
      <c r="BT12" s="388">
        <f>(BT15/(1-'Valid. 3e quintile'!$T$6)*'Valid. 3e quintile'!$T$6)</f>
        <v>14463.659948508386</v>
      </c>
    </row>
    <row r="13" spans="2:72" s="4" customFormat="1" ht="18.75" x14ac:dyDescent="0.3">
      <c r="B13" s="289" t="s">
        <v>400</v>
      </c>
      <c r="C13" s="290"/>
      <c r="D13" s="290"/>
      <c r="E13" s="290"/>
      <c r="F13" s="203">
        <v>12431.93</v>
      </c>
      <c r="G13" s="203">
        <f>F13</f>
        <v>12431.93</v>
      </c>
      <c r="H13" s="203">
        <f t="shared" ref="H13:I13" si="5">G13</f>
        <v>12431.93</v>
      </c>
      <c r="I13" s="203">
        <f t="shared" si="5"/>
        <v>12431.93</v>
      </c>
      <c r="J13" s="203">
        <v>16021.85</v>
      </c>
      <c r="K13" s="203">
        <f>J13</f>
        <v>16021.85</v>
      </c>
      <c r="L13" s="203">
        <f t="shared" ref="L13:N13" si="6">K13</f>
        <v>16021.85</v>
      </c>
      <c r="M13" s="203">
        <f t="shared" si="6"/>
        <v>16021.85</v>
      </c>
      <c r="N13" s="203">
        <f t="shared" si="6"/>
        <v>16021.85</v>
      </c>
      <c r="O13" s="203">
        <v>16051.59</v>
      </c>
      <c r="P13" s="203">
        <f>O13</f>
        <v>16051.59</v>
      </c>
      <c r="Q13" s="203">
        <f t="shared" ref="Q13:S13" si="7">P13</f>
        <v>16051.59</v>
      </c>
      <c r="R13" s="203">
        <f t="shared" si="7"/>
        <v>16051.59</v>
      </c>
      <c r="S13" s="203">
        <f t="shared" si="7"/>
        <v>16051.59</v>
      </c>
      <c r="T13" s="203">
        <v>16122.99</v>
      </c>
      <c r="U13" s="203">
        <f>T13</f>
        <v>16122.99</v>
      </c>
      <c r="V13" s="203">
        <f t="shared" ref="V13:X13" si="8">U13</f>
        <v>16122.99</v>
      </c>
      <c r="W13" s="203">
        <f t="shared" si="8"/>
        <v>16122.99</v>
      </c>
      <c r="X13" s="203">
        <f t="shared" si="8"/>
        <v>16122.99</v>
      </c>
      <c r="Y13" s="203">
        <v>16236.05</v>
      </c>
      <c r="Z13" s="203">
        <f>Y13</f>
        <v>16236.05</v>
      </c>
      <c r="AA13" s="203">
        <f t="shared" ref="AA13:AC13" si="9">Z13</f>
        <v>16236.05</v>
      </c>
      <c r="AB13" s="203">
        <f t="shared" si="9"/>
        <v>16236.05</v>
      </c>
      <c r="AC13" s="203">
        <f t="shared" si="9"/>
        <v>16236.05</v>
      </c>
      <c r="AD13" s="203">
        <v>16390.77</v>
      </c>
      <c r="AE13" s="203">
        <f>AD13</f>
        <v>16390.77</v>
      </c>
      <c r="AF13" s="203">
        <f t="shared" ref="AF13:AH13" si="10">AE13</f>
        <v>16390.77</v>
      </c>
      <c r="AG13" s="203">
        <f t="shared" si="10"/>
        <v>16390.77</v>
      </c>
      <c r="AH13" s="203">
        <f t="shared" si="10"/>
        <v>16390.77</v>
      </c>
      <c r="AI13" s="203">
        <v>16587.150000000001</v>
      </c>
      <c r="AJ13" s="203">
        <f>AI13</f>
        <v>16587.150000000001</v>
      </c>
      <c r="AK13" s="203">
        <f t="shared" ref="AK13:AM13" si="11">AJ13</f>
        <v>16587.150000000001</v>
      </c>
      <c r="AL13" s="203">
        <f t="shared" si="11"/>
        <v>16587.150000000001</v>
      </c>
      <c r="AM13" s="203">
        <f t="shared" si="11"/>
        <v>16587.150000000001</v>
      </c>
      <c r="AN13" s="203">
        <v>16825.189999999999</v>
      </c>
      <c r="AO13" s="203">
        <f>AN13</f>
        <v>16825.189999999999</v>
      </c>
      <c r="AP13" s="203">
        <f t="shared" ref="AP13:AR13" si="12">AO13</f>
        <v>16825.189999999999</v>
      </c>
      <c r="AQ13" s="203">
        <f t="shared" si="12"/>
        <v>16825.189999999999</v>
      </c>
      <c r="AR13" s="203">
        <f t="shared" si="12"/>
        <v>16825.189999999999</v>
      </c>
      <c r="AS13" s="203">
        <v>17104.89</v>
      </c>
      <c r="AT13" s="203">
        <f>AS13</f>
        <v>17104.89</v>
      </c>
      <c r="AU13" s="203">
        <f t="shared" ref="AU13:AW13" si="13">AT13</f>
        <v>17104.89</v>
      </c>
      <c r="AV13" s="203">
        <f t="shared" si="13"/>
        <v>17104.89</v>
      </c>
      <c r="AW13" s="203">
        <f t="shared" si="13"/>
        <v>17104.89</v>
      </c>
      <c r="AX13" s="203">
        <v>17426.25</v>
      </c>
      <c r="AY13" s="203">
        <f>AX13</f>
        <v>17426.25</v>
      </c>
      <c r="AZ13" s="203">
        <f t="shared" ref="AZ13:BB13" si="14">AY13</f>
        <v>17426.25</v>
      </c>
      <c r="BA13" s="203">
        <f t="shared" si="14"/>
        <v>17426.25</v>
      </c>
      <c r="BB13" s="203">
        <f t="shared" si="14"/>
        <v>17426.25</v>
      </c>
      <c r="BC13" s="203">
        <v>17789.27</v>
      </c>
      <c r="BD13" s="203">
        <f>BC13</f>
        <v>17789.27</v>
      </c>
      <c r="BE13" s="203">
        <f t="shared" ref="BE13:BG13" si="15">BD13</f>
        <v>17789.27</v>
      </c>
      <c r="BF13" s="203">
        <f t="shared" si="15"/>
        <v>17789.27</v>
      </c>
      <c r="BG13" s="203">
        <f t="shared" si="15"/>
        <v>17789.27</v>
      </c>
      <c r="BH13" s="203">
        <v>18193.95</v>
      </c>
      <c r="BI13" s="203">
        <f>BH13</f>
        <v>18193.95</v>
      </c>
      <c r="BJ13" s="203">
        <f t="shared" ref="BJ13:BL13" si="16">BI13</f>
        <v>18193.95</v>
      </c>
      <c r="BK13" s="203">
        <f t="shared" si="16"/>
        <v>18193.95</v>
      </c>
      <c r="BL13" s="203">
        <f t="shared" si="16"/>
        <v>18193.95</v>
      </c>
      <c r="BM13" s="203">
        <v>18640.29</v>
      </c>
      <c r="BN13" s="203">
        <f>BM13</f>
        <v>18640.29</v>
      </c>
      <c r="BO13" s="203">
        <f t="shared" ref="BO13:BQ13" si="17">BN13</f>
        <v>18640.29</v>
      </c>
      <c r="BP13" s="203">
        <f t="shared" si="17"/>
        <v>18640.29</v>
      </c>
      <c r="BQ13" s="203">
        <f t="shared" si="17"/>
        <v>18640.29</v>
      </c>
      <c r="BR13" s="203">
        <v>19128.29</v>
      </c>
      <c r="BS13" s="203">
        <f>BR13</f>
        <v>19128.29</v>
      </c>
      <c r="BT13" s="203">
        <f t="shared" ref="BT13" si="18">BS13</f>
        <v>19128.29</v>
      </c>
    </row>
    <row r="14" spans="2:72" s="4" customFormat="1" ht="18.75" x14ac:dyDescent="0.3">
      <c r="B14" s="289" t="s">
        <v>401</v>
      </c>
      <c r="C14" s="203">
        <f>9332*(1-0.14975)</f>
        <v>7934.5329999999994</v>
      </c>
      <c r="D14" s="203">
        <f>C14</f>
        <v>7934.5329999999994</v>
      </c>
      <c r="E14" s="203">
        <f t="shared" ref="E14" si="19">D14</f>
        <v>7934.5329999999994</v>
      </c>
      <c r="F14" s="203">
        <f>13505.1/(1+0.14975)</f>
        <v>11746.118721461187</v>
      </c>
      <c r="G14" s="203">
        <f>F14</f>
        <v>11746.118721461187</v>
      </c>
      <c r="H14" s="203">
        <f>G14</f>
        <v>11746.118721461187</v>
      </c>
      <c r="I14" s="203">
        <f t="shared" ref="I14" si="20">H14</f>
        <v>11746.118721461187</v>
      </c>
      <c r="J14" s="203">
        <f>17588.19*(1-0.14975)</f>
        <v>14954.358547499998</v>
      </c>
      <c r="K14" s="203">
        <f>J14</f>
        <v>14954.358547499998</v>
      </c>
      <c r="L14" s="203">
        <f t="shared" ref="L14:N14" si="21">K14</f>
        <v>14954.358547499998</v>
      </c>
      <c r="M14" s="203">
        <f t="shared" si="21"/>
        <v>14954.358547499998</v>
      </c>
      <c r="N14" s="203">
        <f t="shared" si="21"/>
        <v>14954.358547499998</v>
      </c>
      <c r="O14" s="203">
        <f>17836.46/(1+0.14975)</f>
        <v>15513.337682104804</v>
      </c>
      <c r="P14" s="203">
        <f>O14</f>
        <v>15513.337682104804</v>
      </c>
      <c r="Q14" s="203">
        <f>P14</f>
        <v>15513.337682104804</v>
      </c>
      <c r="R14" s="203">
        <f>Q14</f>
        <v>15513.337682104804</v>
      </c>
      <c r="S14" s="203">
        <f>R14</f>
        <v>15513.337682104804</v>
      </c>
      <c r="T14" s="203">
        <f>17993.51/(1+0.14975)</f>
        <v>15649.93259404218</v>
      </c>
      <c r="U14" s="203">
        <f>T14</f>
        <v>15649.93259404218</v>
      </c>
      <c r="V14" s="203">
        <f>U14</f>
        <v>15649.93259404218</v>
      </c>
      <c r="W14" s="203">
        <f>V14</f>
        <v>15649.93259404218</v>
      </c>
      <c r="X14" s="203">
        <f>W14</f>
        <v>15649.93259404218</v>
      </c>
      <c r="Y14" s="203">
        <f>18059.34/(1+0.14975)</f>
        <v>15707.188519243313</v>
      </c>
      <c r="Z14" s="203">
        <f>Y14</f>
        <v>15707.188519243313</v>
      </c>
      <c r="AA14" s="203">
        <f t="shared" ref="AA14:AC14" si="22">Z14</f>
        <v>15707.188519243313</v>
      </c>
      <c r="AB14" s="203">
        <f t="shared" si="22"/>
        <v>15707.188519243313</v>
      </c>
      <c r="AC14" s="203">
        <f t="shared" si="22"/>
        <v>15707.188519243313</v>
      </c>
      <c r="AD14" s="203">
        <f>18033.95/(1+0.14975)</f>
        <v>15685.105457708198</v>
      </c>
      <c r="AE14" s="203">
        <f>AD14</f>
        <v>15685.105457708198</v>
      </c>
      <c r="AF14" s="203">
        <f>AE14</f>
        <v>15685.105457708198</v>
      </c>
      <c r="AG14" s="203">
        <f>AF14</f>
        <v>15685.105457708198</v>
      </c>
      <c r="AH14" s="203">
        <f>AG14</f>
        <v>15685.105457708198</v>
      </c>
      <c r="AI14" s="203">
        <f>17917.34/(1+0.14975)</f>
        <v>15583.683409436833</v>
      </c>
      <c r="AJ14" s="203">
        <f>AI14</f>
        <v>15583.683409436833</v>
      </c>
      <c r="AK14" s="203">
        <f>AJ14</f>
        <v>15583.683409436833</v>
      </c>
      <c r="AL14" s="203">
        <f>AK14</f>
        <v>15583.683409436833</v>
      </c>
      <c r="AM14" s="203">
        <f>AL14</f>
        <v>15583.683409436833</v>
      </c>
      <c r="AN14" s="203">
        <f>17709.51/(1+0.14975)</f>
        <v>15402.922374429221</v>
      </c>
      <c r="AO14" s="203">
        <f>AN14</f>
        <v>15402.922374429221</v>
      </c>
      <c r="AP14" s="203">
        <f>AO14</f>
        <v>15402.922374429221</v>
      </c>
      <c r="AQ14" s="203">
        <f>AP14</f>
        <v>15402.922374429221</v>
      </c>
      <c r="AR14" s="299">
        <f>AQ14</f>
        <v>15402.922374429221</v>
      </c>
      <c r="AS14" s="203">
        <f>17410.46/(1+0.14975)</f>
        <v>15142.822352685365</v>
      </c>
      <c r="AT14" s="203">
        <f>AS14</f>
        <v>15142.822352685365</v>
      </c>
      <c r="AU14" s="203">
        <f>AT14</f>
        <v>15142.822352685365</v>
      </c>
      <c r="AV14" s="203">
        <f>AU14</f>
        <v>15142.822352685365</v>
      </c>
      <c r="AW14" s="203">
        <f>AV14</f>
        <v>15142.822352685365</v>
      </c>
      <c r="AX14" s="203">
        <f>17020.19/(1+0.14975)</f>
        <v>14803.38334420526</v>
      </c>
      <c r="AY14" s="203">
        <f>AX14</f>
        <v>14803.38334420526</v>
      </c>
      <c r="AZ14" s="203">
        <f>AY14</f>
        <v>14803.38334420526</v>
      </c>
      <c r="BA14" s="203">
        <f>AZ14</f>
        <v>14803.38334420526</v>
      </c>
      <c r="BB14" s="203">
        <f>BA14</f>
        <v>14803.38334420526</v>
      </c>
      <c r="BC14" s="203">
        <f>16538.7/(1+0.14975)</f>
        <v>14384.605348988911</v>
      </c>
      <c r="BD14" s="203">
        <f>BC14</f>
        <v>14384.605348988911</v>
      </c>
      <c r="BE14" s="203">
        <f>BD14</f>
        <v>14384.605348988911</v>
      </c>
      <c r="BF14" s="203">
        <f>BE14</f>
        <v>14384.605348988911</v>
      </c>
      <c r="BG14" s="203">
        <f>BF14</f>
        <v>14384.605348988911</v>
      </c>
      <c r="BH14" s="203">
        <f>15965.99/(1+0.14975)</f>
        <v>13886.488367036311</v>
      </c>
      <c r="BI14" s="203">
        <f>BH14</f>
        <v>13886.488367036311</v>
      </c>
      <c r="BJ14" s="203">
        <f t="shared" ref="BJ14:BL14" si="23">BI14</f>
        <v>13886.488367036311</v>
      </c>
      <c r="BK14" s="203">
        <f t="shared" si="23"/>
        <v>13886.488367036311</v>
      </c>
      <c r="BL14" s="203">
        <f t="shared" si="23"/>
        <v>13886.488367036311</v>
      </c>
      <c r="BM14" s="203">
        <f>15302.06/(1+0.14975)</f>
        <v>13309.032398347466</v>
      </c>
      <c r="BN14" s="203">
        <f>BM14</f>
        <v>13309.032398347466</v>
      </c>
      <c r="BO14" s="203">
        <f>BN14</f>
        <v>13309.032398347466</v>
      </c>
      <c r="BP14" s="203">
        <f>BO14</f>
        <v>13309.032398347466</v>
      </c>
      <c r="BQ14" s="203">
        <f>BP14</f>
        <v>13309.032398347466</v>
      </c>
      <c r="BR14" s="203">
        <f>14546.91/(1+0.14975)</f>
        <v>12652.237442922375</v>
      </c>
      <c r="BS14" s="203">
        <f>BR14</f>
        <v>12652.237442922375</v>
      </c>
      <c r="BT14" s="299">
        <f>BS14</f>
        <v>12652.237442922375</v>
      </c>
    </row>
    <row r="15" spans="2:72" s="385" customFormat="1" ht="18.75" x14ac:dyDescent="0.3">
      <c r="B15" s="382" t="s">
        <v>402</v>
      </c>
      <c r="C15" s="383">
        <f>C16/0.14975</f>
        <v>7805.1336354616096</v>
      </c>
      <c r="D15" s="383">
        <f t="shared" ref="D15:BO15" si="24">D16/0.14975</f>
        <v>7805.1336354616096</v>
      </c>
      <c r="E15" s="383">
        <f t="shared" si="24"/>
        <v>7805.1336354616096</v>
      </c>
      <c r="F15" s="383">
        <f t="shared" si="24"/>
        <v>12215.424709003872</v>
      </c>
      <c r="G15" s="383">
        <f t="shared" si="24"/>
        <v>12361.390419163257</v>
      </c>
      <c r="H15" s="383">
        <f t="shared" si="24"/>
        <v>12543.389312913601</v>
      </c>
      <c r="I15" s="383">
        <f t="shared" si="24"/>
        <v>12685.010002901518</v>
      </c>
      <c r="J15" s="383">
        <f t="shared" si="24"/>
        <v>12844.650471291317</v>
      </c>
      <c r="K15" s="383">
        <f t="shared" si="24"/>
        <v>12984.441448206531</v>
      </c>
      <c r="L15" s="383">
        <f t="shared" si="24"/>
        <v>13154.714251723739</v>
      </c>
      <c r="M15" s="383">
        <f t="shared" si="24"/>
        <v>13314.134756488203</v>
      </c>
      <c r="N15" s="383">
        <f t="shared" si="24"/>
        <v>13484.359022626715</v>
      </c>
      <c r="O15" s="383">
        <f t="shared" si="24"/>
        <v>13649.612225574174</v>
      </c>
      <c r="P15" s="383">
        <f t="shared" si="24"/>
        <v>13832.454693070231</v>
      </c>
      <c r="Q15" s="383">
        <f t="shared" si="24"/>
        <v>14024.913971043596</v>
      </c>
      <c r="R15" s="383">
        <f t="shared" si="24"/>
        <v>14024.913971043596</v>
      </c>
      <c r="S15" s="383">
        <f t="shared" si="24"/>
        <v>14024.913971043596</v>
      </c>
      <c r="T15" s="383">
        <f t="shared" si="24"/>
        <v>14024.913971043596</v>
      </c>
      <c r="U15" s="383">
        <f t="shared" si="24"/>
        <v>14024.913971043596</v>
      </c>
      <c r="V15" s="383">
        <f t="shared" si="24"/>
        <v>14024.913971043596</v>
      </c>
      <c r="W15" s="383">
        <f t="shared" si="24"/>
        <v>14024.913971043596</v>
      </c>
      <c r="X15" s="383">
        <f t="shared" si="24"/>
        <v>14024.913971043596</v>
      </c>
      <c r="Y15" s="383">
        <f t="shared" si="24"/>
        <v>14024.913971043596</v>
      </c>
      <c r="Z15" s="383">
        <f t="shared" si="24"/>
        <v>14024.913971043596</v>
      </c>
      <c r="AA15" s="383">
        <f t="shared" si="24"/>
        <v>14024.913971043596</v>
      </c>
      <c r="AB15" s="383">
        <f t="shared" si="24"/>
        <v>14024.913971043596</v>
      </c>
      <c r="AC15" s="383">
        <f t="shared" si="24"/>
        <v>14024.913971043596</v>
      </c>
      <c r="AD15" s="383">
        <f t="shared" si="24"/>
        <v>14024.913971043596</v>
      </c>
      <c r="AE15" s="383">
        <f t="shared" si="24"/>
        <v>14024.913971043596</v>
      </c>
      <c r="AF15" s="383">
        <f t="shared" si="24"/>
        <v>14024.913971043596</v>
      </c>
      <c r="AG15" s="383">
        <f t="shared" si="24"/>
        <v>14024.913971043596</v>
      </c>
      <c r="AH15" s="383">
        <f t="shared" si="24"/>
        <v>14024.913971043596</v>
      </c>
      <c r="AI15" s="383">
        <f t="shared" si="24"/>
        <v>14024.913971043596</v>
      </c>
      <c r="AJ15" s="383">
        <f t="shared" si="24"/>
        <v>14024.913971043596</v>
      </c>
      <c r="AK15" s="383">
        <f t="shared" si="24"/>
        <v>14024.913971043596</v>
      </c>
      <c r="AL15" s="383">
        <f t="shared" si="24"/>
        <v>14024.913971043596</v>
      </c>
      <c r="AM15" s="383">
        <f t="shared" si="24"/>
        <v>14024.913971043596</v>
      </c>
      <c r="AN15" s="383">
        <f t="shared" si="24"/>
        <v>14024.913971043596</v>
      </c>
      <c r="AO15" s="383">
        <f t="shared" si="24"/>
        <v>14024.913971043596</v>
      </c>
      <c r="AP15" s="383">
        <f t="shared" si="24"/>
        <v>14024.913971043596</v>
      </c>
      <c r="AQ15" s="383">
        <f t="shared" si="24"/>
        <v>14024.913971043596</v>
      </c>
      <c r="AR15" s="388">
        <f t="shared" si="24"/>
        <v>14024.913971043596</v>
      </c>
      <c r="AS15" s="383">
        <f t="shared" si="24"/>
        <v>13761.89560843787</v>
      </c>
      <c r="AT15" s="383">
        <f t="shared" si="24"/>
        <v>13761.89560843787</v>
      </c>
      <c r="AU15" s="383">
        <f t="shared" si="24"/>
        <v>13761.89560843787</v>
      </c>
      <c r="AV15" s="383">
        <f t="shared" si="24"/>
        <v>13761.89560843787</v>
      </c>
      <c r="AW15" s="383">
        <f t="shared" si="24"/>
        <v>13761.89560843787</v>
      </c>
      <c r="AX15" s="383">
        <f t="shared" si="24"/>
        <v>14608.076828505398</v>
      </c>
      <c r="AY15" s="383">
        <f t="shared" si="24"/>
        <v>14608.076828505398</v>
      </c>
      <c r="AZ15" s="383">
        <f t="shared" si="24"/>
        <v>14608.076828505398</v>
      </c>
      <c r="BA15" s="383">
        <f t="shared" si="24"/>
        <v>14608.076828505398</v>
      </c>
      <c r="BB15" s="383">
        <f t="shared" si="24"/>
        <v>14608.076828505398</v>
      </c>
      <c r="BC15" s="383">
        <f t="shared" si="24"/>
        <v>14608.076828505398</v>
      </c>
      <c r="BD15" s="383">
        <f t="shared" si="24"/>
        <v>14608.076828505398</v>
      </c>
      <c r="BE15" s="383">
        <f t="shared" si="24"/>
        <v>14608.076828505398</v>
      </c>
      <c r="BF15" s="383">
        <f t="shared" si="24"/>
        <v>14608.076828505398</v>
      </c>
      <c r="BG15" s="383">
        <f t="shared" si="24"/>
        <v>14608.076828505398</v>
      </c>
      <c r="BH15" s="383">
        <f t="shared" si="24"/>
        <v>14608.076828505398</v>
      </c>
      <c r="BI15" s="383">
        <f t="shared" si="24"/>
        <v>14608.076828505398</v>
      </c>
      <c r="BJ15" s="383">
        <f t="shared" si="24"/>
        <v>14608.076828505398</v>
      </c>
      <c r="BK15" s="383">
        <f t="shared" si="24"/>
        <v>14608.076828505398</v>
      </c>
      <c r="BL15" s="383">
        <f t="shared" si="24"/>
        <v>14608.076828505398</v>
      </c>
      <c r="BM15" s="383">
        <f t="shared" si="24"/>
        <v>14608.076828505398</v>
      </c>
      <c r="BN15" s="383">
        <f t="shared" si="24"/>
        <v>14608.076828505398</v>
      </c>
      <c r="BO15" s="383">
        <f t="shared" si="24"/>
        <v>14608.076828505398</v>
      </c>
      <c r="BP15" s="383">
        <f t="shared" ref="BP15:BT15" si="25">BP16/0.14975</f>
        <v>14608.076828505398</v>
      </c>
      <c r="BQ15" s="383">
        <f t="shared" si="25"/>
        <v>14608.076828505398</v>
      </c>
      <c r="BR15" s="383">
        <f t="shared" si="25"/>
        <v>14608.076828505398</v>
      </c>
      <c r="BS15" s="383">
        <f t="shared" si="25"/>
        <v>14608.076828505398</v>
      </c>
      <c r="BT15" s="388">
        <f t="shared" si="25"/>
        <v>14608.076828505398</v>
      </c>
    </row>
    <row r="16" spans="2:72" s="385" customFormat="1" ht="18.75" x14ac:dyDescent="0.3">
      <c r="B16" s="382" t="s">
        <v>403</v>
      </c>
      <c r="C16" s="383">
        <f>'Taxes consommation - détail'!O48</f>
        <v>1168.818761910376</v>
      </c>
      <c r="D16" s="383">
        <f>C16</f>
        <v>1168.818761910376</v>
      </c>
      <c r="E16" s="383">
        <f>'Taxes consommation - détail'!I48</f>
        <v>1168.818761910376</v>
      </c>
      <c r="F16" s="383">
        <f>'Taxes consommation - détail'!I56</f>
        <v>1829.2598501733296</v>
      </c>
      <c r="G16" s="383">
        <f>'Taxes consommation - détail'!I57</f>
        <v>1851.1182152696977</v>
      </c>
      <c r="H16" s="383">
        <f>'Taxes consommation - détail'!I58</f>
        <v>1878.3725496088116</v>
      </c>
      <c r="I16" s="383">
        <f>'Taxes consommation - détail'!I60</f>
        <v>1899.580247934502</v>
      </c>
      <c r="J16" s="383">
        <f>'Taxes consommation - détail'!I62</f>
        <v>1923.4864080758746</v>
      </c>
      <c r="K16" s="383">
        <f>'Taxes consommation - détail'!I63</f>
        <v>1944.4201068689279</v>
      </c>
      <c r="L16" s="383">
        <f>'Taxes consommation - détail'!I65</f>
        <v>1969.9184591956298</v>
      </c>
      <c r="M16" s="383">
        <f>'Taxes consommation - détail'!I67</f>
        <v>1993.7916797841085</v>
      </c>
      <c r="N16" s="383">
        <f>'Taxes consommation - détail'!I68</f>
        <v>2019.2827636383506</v>
      </c>
      <c r="O16" s="383">
        <f>'Taxes consommation - détail'!I70</f>
        <v>2044.0294307797324</v>
      </c>
      <c r="P16" s="383">
        <f>'Taxes consommation - détail'!I71</f>
        <v>2071.4100902872669</v>
      </c>
      <c r="Q16" s="383">
        <f>'Taxes consommation - détail'!$I$72</f>
        <v>2100.2308671637784</v>
      </c>
      <c r="R16" s="383">
        <f>'Taxes consommation - détail'!$I$72</f>
        <v>2100.2308671637784</v>
      </c>
      <c r="S16" s="383">
        <f>'Taxes consommation - détail'!$I$72</f>
        <v>2100.2308671637784</v>
      </c>
      <c r="T16" s="383">
        <f>'Taxes consommation - détail'!$I$72</f>
        <v>2100.2308671637784</v>
      </c>
      <c r="U16" s="383">
        <f>'Taxes consommation - détail'!$I$72</f>
        <v>2100.2308671637784</v>
      </c>
      <c r="V16" s="383">
        <f>'Taxes consommation - détail'!$I$72</f>
        <v>2100.2308671637784</v>
      </c>
      <c r="W16" s="383">
        <f>'Taxes consommation - détail'!$I$72</f>
        <v>2100.2308671637784</v>
      </c>
      <c r="X16" s="383">
        <f>'Taxes consommation - détail'!$I$72</f>
        <v>2100.2308671637784</v>
      </c>
      <c r="Y16" s="383">
        <f>'Taxes consommation - détail'!$I$72</f>
        <v>2100.2308671637784</v>
      </c>
      <c r="Z16" s="383">
        <f>'Taxes consommation - détail'!$I$72</f>
        <v>2100.2308671637784</v>
      </c>
      <c r="AA16" s="383">
        <f>'Taxes consommation - détail'!$I$72</f>
        <v>2100.2308671637784</v>
      </c>
      <c r="AB16" s="383">
        <f>'Taxes consommation - détail'!$I$72</f>
        <v>2100.2308671637784</v>
      </c>
      <c r="AC16" s="383">
        <f>'Taxes consommation - détail'!$I$72</f>
        <v>2100.2308671637784</v>
      </c>
      <c r="AD16" s="383">
        <f>'Taxes consommation - détail'!$I$72</f>
        <v>2100.2308671637784</v>
      </c>
      <c r="AE16" s="383">
        <f>'Taxes consommation - détail'!$I$72</f>
        <v>2100.2308671637784</v>
      </c>
      <c r="AF16" s="383">
        <f>'Taxes consommation - détail'!$I$72</f>
        <v>2100.2308671637784</v>
      </c>
      <c r="AG16" s="383">
        <f>'Taxes consommation - détail'!$I$72</f>
        <v>2100.2308671637784</v>
      </c>
      <c r="AH16" s="383">
        <f>'Taxes consommation - détail'!$I$72</f>
        <v>2100.2308671637784</v>
      </c>
      <c r="AI16" s="383">
        <f>'Taxes consommation - détail'!$I$72</f>
        <v>2100.2308671637784</v>
      </c>
      <c r="AJ16" s="383">
        <f>'Taxes consommation - détail'!$I$72</f>
        <v>2100.2308671637784</v>
      </c>
      <c r="AK16" s="383">
        <f>'Taxes consommation - détail'!$I$72</f>
        <v>2100.2308671637784</v>
      </c>
      <c r="AL16" s="383">
        <f>'Taxes consommation - détail'!$I$72</f>
        <v>2100.2308671637784</v>
      </c>
      <c r="AM16" s="383">
        <f>'Taxes consommation - détail'!$I$72</f>
        <v>2100.2308671637784</v>
      </c>
      <c r="AN16" s="383">
        <f>'Taxes consommation - détail'!$I$72</f>
        <v>2100.2308671637784</v>
      </c>
      <c r="AO16" s="383">
        <f>'Taxes consommation - détail'!$I$72</f>
        <v>2100.2308671637784</v>
      </c>
      <c r="AP16" s="383">
        <f>'Taxes consommation - détail'!$I$72</f>
        <v>2100.2308671637784</v>
      </c>
      <c r="AQ16" s="383">
        <f>'Taxes consommation - détail'!$I$72</f>
        <v>2100.2308671637784</v>
      </c>
      <c r="AR16" s="388">
        <f>'Taxes consommation - détail'!$I$72</f>
        <v>2100.2308671637784</v>
      </c>
      <c r="AS16" s="383">
        <f>'Taxes consommation - détail'!$I$59</f>
        <v>2060.843867363571</v>
      </c>
      <c r="AT16" s="383">
        <f>'Taxes consommation - détail'!$I$59</f>
        <v>2060.843867363571</v>
      </c>
      <c r="AU16" s="383">
        <f>'Taxes consommation - détail'!$I$59</f>
        <v>2060.843867363571</v>
      </c>
      <c r="AV16" s="383">
        <f>'Taxes consommation - détail'!$I$59</f>
        <v>2060.843867363571</v>
      </c>
      <c r="AW16" s="383">
        <f>'Taxes consommation - détail'!$I$59</f>
        <v>2060.843867363571</v>
      </c>
      <c r="AX16" s="383">
        <f>'Taxes consommation - détail'!$I$52</f>
        <v>2187.5595050686834</v>
      </c>
      <c r="AY16" s="383">
        <f>'Taxes consommation - détail'!$I$52</f>
        <v>2187.5595050686834</v>
      </c>
      <c r="AZ16" s="383">
        <f>'Taxes consommation - détail'!$I$52</f>
        <v>2187.5595050686834</v>
      </c>
      <c r="BA16" s="383">
        <f>'Taxes consommation - détail'!$I$52</f>
        <v>2187.5595050686834</v>
      </c>
      <c r="BB16" s="383">
        <f>'Taxes consommation - détail'!$I$52</f>
        <v>2187.5595050686834</v>
      </c>
      <c r="BC16" s="383">
        <f>'Taxes consommation - détail'!$I$52</f>
        <v>2187.5595050686834</v>
      </c>
      <c r="BD16" s="383">
        <f>'Taxes consommation - détail'!$I$52</f>
        <v>2187.5595050686834</v>
      </c>
      <c r="BE16" s="383">
        <f>'Taxes consommation - détail'!$I$52</f>
        <v>2187.5595050686834</v>
      </c>
      <c r="BF16" s="383">
        <f>'Taxes consommation - détail'!$I$52</f>
        <v>2187.5595050686834</v>
      </c>
      <c r="BG16" s="383">
        <f>'Taxes consommation - détail'!$I$52</f>
        <v>2187.5595050686834</v>
      </c>
      <c r="BH16" s="383">
        <f>'Taxes consommation - détail'!$I$52</f>
        <v>2187.5595050686834</v>
      </c>
      <c r="BI16" s="383">
        <f>'Taxes consommation - détail'!$I$52</f>
        <v>2187.5595050686834</v>
      </c>
      <c r="BJ16" s="383">
        <f>'Taxes consommation - détail'!$I$52</f>
        <v>2187.5595050686834</v>
      </c>
      <c r="BK16" s="383">
        <f>'Taxes consommation - détail'!$I$52</f>
        <v>2187.5595050686834</v>
      </c>
      <c r="BL16" s="383">
        <f>'Taxes consommation - détail'!$I$52</f>
        <v>2187.5595050686834</v>
      </c>
      <c r="BM16" s="383">
        <f>'Taxes consommation - détail'!$I$52</f>
        <v>2187.5595050686834</v>
      </c>
      <c r="BN16" s="383">
        <f>'Taxes consommation - détail'!$I$52</f>
        <v>2187.5595050686834</v>
      </c>
      <c r="BO16" s="383">
        <f>'Taxes consommation - détail'!$I$52</f>
        <v>2187.5595050686834</v>
      </c>
      <c r="BP16" s="383">
        <f>'Taxes consommation - détail'!$I$52</f>
        <v>2187.5595050686834</v>
      </c>
      <c r="BQ16" s="383">
        <f>'Taxes consommation - détail'!$I$52</f>
        <v>2187.5595050686834</v>
      </c>
      <c r="BR16" s="383">
        <f>'Taxes consommation - détail'!$I$52</f>
        <v>2187.5595050686834</v>
      </c>
      <c r="BS16" s="383">
        <f>'Taxes consommation - détail'!$I$52</f>
        <v>2187.5595050686834</v>
      </c>
      <c r="BT16" s="388">
        <f>'Taxes consommation - détail'!$I$52</f>
        <v>2187.5595050686834</v>
      </c>
    </row>
    <row r="17" spans="2:72" x14ac:dyDescent="0.25">
      <c r="B17" s="17" t="s">
        <v>404</v>
      </c>
      <c r="C17" s="36">
        <f>C14*0.05</f>
        <v>396.72665000000001</v>
      </c>
      <c r="D17" s="36">
        <f t="shared" ref="D17:BO17" si="26">D14*0.05</f>
        <v>396.72665000000001</v>
      </c>
      <c r="E17" s="36">
        <f t="shared" si="26"/>
        <v>396.72665000000001</v>
      </c>
      <c r="F17" s="36">
        <f t="shared" si="26"/>
        <v>587.30593607305934</v>
      </c>
      <c r="G17" s="36">
        <f t="shared" si="26"/>
        <v>587.30593607305934</v>
      </c>
      <c r="H17" s="36">
        <f t="shared" si="26"/>
        <v>587.30593607305934</v>
      </c>
      <c r="I17" s="36">
        <f t="shared" si="26"/>
        <v>587.30593607305934</v>
      </c>
      <c r="J17" s="36">
        <f t="shared" si="26"/>
        <v>747.71792737499993</v>
      </c>
      <c r="K17" s="36">
        <f t="shared" si="26"/>
        <v>747.71792737499993</v>
      </c>
      <c r="L17" s="36">
        <f t="shared" si="26"/>
        <v>747.71792737499993</v>
      </c>
      <c r="M17" s="36">
        <f t="shared" si="26"/>
        <v>747.71792737499993</v>
      </c>
      <c r="N17" s="36">
        <f t="shared" si="26"/>
        <v>747.71792737499993</v>
      </c>
      <c r="O17" s="36">
        <f t="shared" si="26"/>
        <v>775.66688410524023</v>
      </c>
      <c r="P17" s="36">
        <f t="shared" si="26"/>
        <v>775.66688410524023</v>
      </c>
      <c r="Q17" s="36">
        <f t="shared" si="26"/>
        <v>775.66688410524023</v>
      </c>
      <c r="R17" s="36">
        <f t="shared" si="26"/>
        <v>775.66688410524023</v>
      </c>
      <c r="S17" s="36">
        <f t="shared" si="26"/>
        <v>775.66688410524023</v>
      </c>
      <c r="T17" s="36">
        <f t="shared" si="26"/>
        <v>782.49662970210909</v>
      </c>
      <c r="U17" s="36">
        <f t="shared" si="26"/>
        <v>782.49662970210909</v>
      </c>
      <c r="V17" s="36">
        <f t="shared" si="26"/>
        <v>782.49662970210909</v>
      </c>
      <c r="W17" s="36">
        <f t="shared" si="26"/>
        <v>782.49662970210909</v>
      </c>
      <c r="X17" s="36">
        <f t="shared" si="26"/>
        <v>782.49662970210909</v>
      </c>
      <c r="Y17" s="36">
        <f t="shared" si="26"/>
        <v>785.35942596216569</v>
      </c>
      <c r="Z17" s="36">
        <f t="shared" si="26"/>
        <v>785.35942596216569</v>
      </c>
      <c r="AA17" s="36">
        <f t="shared" si="26"/>
        <v>785.35942596216569</v>
      </c>
      <c r="AB17" s="36">
        <f t="shared" si="26"/>
        <v>785.35942596216569</v>
      </c>
      <c r="AC17" s="36">
        <f t="shared" si="26"/>
        <v>785.35942596216569</v>
      </c>
      <c r="AD17" s="36">
        <f t="shared" si="26"/>
        <v>784.25527288540991</v>
      </c>
      <c r="AE17" s="36">
        <f t="shared" si="26"/>
        <v>784.25527288540991</v>
      </c>
      <c r="AF17" s="36">
        <f t="shared" si="26"/>
        <v>784.25527288540991</v>
      </c>
      <c r="AG17" s="36">
        <f t="shared" si="26"/>
        <v>784.25527288540991</v>
      </c>
      <c r="AH17" s="36">
        <f t="shared" si="26"/>
        <v>784.25527288540991</v>
      </c>
      <c r="AI17" s="36">
        <f t="shared" si="26"/>
        <v>779.18417047184175</v>
      </c>
      <c r="AJ17" s="36">
        <f t="shared" si="26"/>
        <v>779.18417047184175</v>
      </c>
      <c r="AK17" s="36">
        <f t="shared" si="26"/>
        <v>779.18417047184175</v>
      </c>
      <c r="AL17" s="36">
        <f t="shared" si="26"/>
        <v>779.18417047184175</v>
      </c>
      <c r="AM17" s="36">
        <f t="shared" si="26"/>
        <v>779.18417047184175</v>
      </c>
      <c r="AN17" s="36">
        <f t="shared" si="26"/>
        <v>770.14611872146111</v>
      </c>
      <c r="AO17" s="36">
        <f t="shared" si="26"/>
        <v>770.14611872146111</v>
      </c>
      <c r="AP17" s="36">
        <f t="shared" si="26"/>
        <v>770.14611872146111</v>
      </c>
      <c r="AQ17" s="36">
        <f t="shared" si="26"/>
        <v>770.14611872146111</v>
      </c>
      <c r="AR17" s="294">
        <f t="shared" si="26"/>
        <v>770.14611872146111</v>
      </c>
      <c r="AS17" s="36">
        <f t="shared" si="26"/>
        <v>757.14111763426831</v>
      </c>
      <c r="AT17" s="36">
        <f t="shared" si="26"/>
        <v>757.14111763426831</v>
      </c>
      <c r="AU17" s="36">
        <f t="shared" si="26"/>
        <v>757.14111763426831</v>
      </c>
      <c r="AV17" s="36">
        <f t="shared" si="26"/>
        <v>757.14111763426831</v>
      </c>
      <c r="AW17" s="36">
        <f t="shared" si="26"/>
        <v>757.14111763426831</v>
      </c>
      <c r="AX17" s="36">
        <f t="shared" si="26"/>
        <v>740.16916721026303</v>
      </c>
      <c r="AY17" s="36">
        <f t="shared" si="26"/>
        <v>740.16916721026303</v>
      </c>
      <c r="AZ17" s="36">
        <f t="shared" si="26"/>
        <v>740.16916721026303</v>
      </c>
      <c r="BA17" s="36">
        <f t="shared" si="26"/>
        <v>740.16916721026303</v>
      </c>
      <c r="BB17" s="36">
        <f t="shared" si="26"/>
        <v>740.16916721026303</v>
      </c>
      <c r="BC17" s="36">
        <f t="shared" si="26"/>
        <v>719.23026744944559</v>
      </c>
      <c r="BD17" s="36">
        <f t="shared" si="26"/>
        <v>719.23026744944559</v>
      </c>
      <c r="BE17" s="36">
        <f t="shared" si="26"/>
        <v>719.23026744944559</v>
      </c>
      <c r="BF17" s="36">
        <f t="shared" si="26"/>
        <v>719.23026744944559</v>
      </c>
      <c r="BG17" s="36">
        <f t="shared" si="26"/>
        <v>719.23026744944559</v>
      </c>
      <c r="BH17" s="36">
        <f t="shared" si="26"/>
        <v>694.32441835181555</v>
      </c>
      <c r="BI17" s="36">
        <f t="shared" si="26"/>
        <v>694.32441835181555</v>
      </c>
      <c r="BJ17" s="36">
        <f t="shared" si="26"/>
        <v>694.32441835181555</v>
      </c>
      <c r="BK17" s="36">
        <f t="shared" si="26"/>
        <v>694.32441835181555</v>
      </c>
      <c r="BL17" s="36">
        <f t="shared" si="26"/>
        <v>694.32441835181555</v>
      </c>
      <c r="BM17" s="36">
        <f t="shared" si="26"/>
        <v>665.45161991737336</v>
      </c>
      <c r="BN17" s="36">
        <f t="shared" si="26"/>
        <v>665.45161991737336</v>
      </c>
      <c r="BO17" s="36">
        <f t="shared" si="26"/>
        <v>665.45161991737336</v>
      </c>
      <c r="BP17" s="36">
        <f t="shared" ref="BP17:BT17" si="27">BP14*0.05</f>
        <v>665.45161991737336</v>
      </c>
      <c r="BQ17" s="36">
        <f t="shared" si="27"/>
        <v>665.45161991737336</v>
      </c>
      <c r="BR17" s="36">
        <f t="shared" si="27"/>
        <v>632.6118721461188</v>
      </c>
      <c r="BS17" s="36">
        <f t="shared" si="27"/>
        <v>632.6118721461188</v>
      </c>
      <c r="BT17" s="294">
        <f t="shared" si="27"/>
        <v>632.6118721461188</v>
      </c>
    </row>
    <row r="18" spans="2:72" x14ac:dyDescent="0.25">
      <c r="B18" s="313" t="s">
        <v>405</v>
      </c>
      <c r="C18" s="391">
        <f>C14*0.09975</f>
        <v>791.46966674999999</v>
      </c>
      <c r="D18" s="391">
        <f t="shared" ref="D18:BO18" si="28">D14*0.09975</f>
        <v>791.46966674999999</v>
      </c>
      <c r="E18" s="391">
        <f t="shared" si="28"/>
        <v>791.46966674999999</v>
      </c>
      <c r="F18" s="391">
        <f t="shared" si="28"/>
        <v>1171.6753424657536</v>
      </c>
      <c r="G18" s="391">
        <f t="shared" si="28"/>
        <v>1171.6753424657536</v>
      </c>
      <c r="H18" s="391">
        <f t="shared" si="28"/>
        <v>1171.6753424657536</v>
      </c>
      <c r="I18" s="391">
        <f t="shared" si="28"/>
        <v>1171.6753424657536</v>
      </c>
      <c r="J18" s="391">
        <f t="shared" si="28"/>
        <v>1491.6972651131248</v>
      </c>
      <c r="K18" s="391">
        <f t="shared" si="28"/>
        <v>1491.6972651131248</v>
      </c>
      <c r="L18" s="391">
        <f t="shared" si="28"/>
        <v>1491.6972651131248</v>
      </c>
      <c r="M18" s="391">
        <f t="shared" si="28"/>
        <v>1491.6972651131248</v>
      </c>
      <c r="N18" s="391">
        <f t="shared" si="28"/>
        <v>1491.6972651131248</v>
      </c>
      <c r="O18" s="391">
        <f t="shared" si="28"/>
        <v>1547.4554337899542</v>
      </c>
      <c r="P18" s="391">
        <f t="shared" si="28"/>
        <v>1547.4554337899542</v>
      </c>
      <c r="Q18" s="391">
        <f t="shared" si="28"/>
        <v>1547.4554337899542</v>
      </c>
      <c r="R18" s="391">
        <f t="shared" si="28"/>
        <v>1547.4554337899542</v>
      </c>
      <c r="S18" s="391">
        <f t="shared" si="28"/>
        <v>1547.4554337899542</v>
      </c>
      <c r="T18" s="391">
        <f t="shared" si="28"/>
        <v>1561.0807762557076</v>
      </c>
      <c r="U18" s="391">
        <f t="shared" si="28"/>
        <v>1561.0807762557076</v>
      </c>
      <c r="V18" s="391">
        <f t="shared" si="28"/>
        <v>1561.0807762557076</v>
      </c>
      <c r="W18" s="391">
        <f t="shared" si="28"/>
        <v>1561.0807762557076</v>
      </c>
      <c r="X18" s="391">
        <f t="shared" si="28"/>
        <v>1561.0807762557076</v>
      </c>
      <c r="Y18" s="391">
        <f t="shared" si="28"/>
        <v>1566.7920547945205</v>
      </c>
      <c r="Z18" s="391">
        <f t="shared" si="28"/>
        <v>1566.7920547945205</v>
      </c>
      <c r="AA18" s="391">
        <f t="shared" si="28"/>
        <v>1566.7920547945205</v>
      </c>
      <c r="AB18" s="391">
        <f t="shared" si="28"/>
        <v>1566.7920547945205</v>
      </c>
      <c r="AC18" s="391">
        <f t="shared" si="28"/>
        <v>1566.7920547945205</v>
      </c>
      <c r="AD18" s="391">
        <f t="shared" si="28"/>
        <v>1564.5892694063928</v>
      </c>
      <c r="AE18" s="391">
        <f t="shared" si="28"/>
        <v>1564.5892694063928</v>
      </c>
      <c r="AF18" s="391">
        <f t="shared" si="28"/>
        <v>1564.5892694063928</v>
      </c>
      <c r="AG18" s="391">
        <f t="shared" si="28"/>
        <v>1564.5892694063928</v>
      </c>
      <c r="AH18" s="391">
        <f t="shared" si="28"/>
        <v>1564.5892694063928</v>
      </c>
      <c r="AI18" s="391">
        <f t="shared" si="28"/>
        <v>1554.4724200913242</v>
      </c>
      <c r="AJ18" s="391">
        <f t="shared" si="28"/>
        <v>1554.4724200913242</v>
      </c>
      <c r="AK18" s="391">
        <f t="shared" si="28"/>
        <v>1554.4724200913242</v>
      </c>
      <c r="AL18" s="391">
        <f t="shared" si="28"/>
        <v>1554.4724200913242</v>
      </c>
      <c r="AM18" s="391">
        <f t="shared" si="28"/>
        <v>1554.4724200913242</v>
      </c>
      <c r="AN18" s="391">
        <f t="shared" si="28"/>
        <v>1536.4415068493149</v>
      </c>
      <c r="AO18" s="391">
        <f t="shared" si="28"/>
        <v>1536.4415068493149</v>
      </c>
      <c r="AP18" s="391">
        <f t="shared" si="28"/>
        <v>1536.4415068493149</v>
      </c>
      <c r="AQ18" s="391">
        <f t="shared" si="28"/>
        <v>1536.4415068493149</v>
      </c>
      <c r="AR18" s="392">
        <f t="shared" si="28"/>
        <v>1536.4415068493149</v>
      </c>
      <c r="AS18" s="391">
        <f t="shared" si="28"/>
        <v>1510.4965296803653</v>
      </c>
      <c r="AT18" s="391">
        <f t="shared" si="28"/>
        <v>1510.4965296803653</v>
      </c>
      <c r="AU18" s="391">
        <f t="shared" si="28"/>
        <v>1510.4965296803653</v>
      </c>
      <c r="AV18" s="391">
        <f t="shared" si="28"/>
        <v>1510.4965296803653</v>
      </c>
      <c r="AW18" s="391">
        <f t="shared" si="28"/>
        <v>1510.4965296803653</v>
      </c>
      <c r="AX18" s="391">
        <f t="shared" si="28"/>
        <v>1476.6374885844748</v>
      </c>
      <c r="AY18" s="391">
        <f t="shared" si="28"/>
        <v>1476.6374885844748</v>
      </c>
      <c r="AZ18" s="391">
        <f t="shared" si="28"/>
        <v>1476.6374885844748</v>
      </c>
      <c r="BA18" s="391">
        <f t="shared" si="28"/>
        <v>1476.6374885844748</v>
      </c>
      <c r="BB18" s="391">
        <f t="shared" si="28"/>
        <v>1476.6374885844748</v>
      </c>
      <c r="BC18" s="391">
        <f t="shared" si="28"/>
        <v>1434.864383561644</v>
      </c>
      <c r="BD18" s="391">
        <f t="shared" si="28"/>
        <v>1434.864383561644</v>
      </c>
      <c r="BE18" s="391">
        <f t="shared" si="28"/>
        <v>1434.864383561644</v>
      </c>
      <c r="BF18" s="391">
        <f t="shared" si="28"/>
        <v>1434.864383561644</v>
      </c>
      <c r="BG18" s="391">
        <f t="shared" si="28"/>
        <v>1434.864383561644</v>
      </c>
      <c r="BH18" s="391">
        <f t="shared" si="28"/>
        <v>1385.1772146118722</v>
      </c>
      <c r="BI18" s="391">
        <f t="shared" si="28"/>
        <v>1385.1772146118722</v>
      </c>
      <c r="BJ18" s="391">
        <f t="shared" si="28"/>
        <v>1385.1772146118722</v>
      </c>
      <c r="BK18" s="391">
        <f t="shared" si="28"/>
        <v>1385.1772146118722</v>
      </c>
      <c r="BL18" s="391">
        <f t="shared" si="28"/>
        <v>1385.1772146118722</v>
      </c>
      <c r="BM18" s="391">
        <f t="shared" si="28"/>
        <v>1327.5759817351598</v>
      </c>
      <c r="BN18" s="391">
        <f t="shared" si="28"/>
        <v>1327.5759817351598</v>
      </c>
      <c r="BO18" s="391">
        <f t="shared" si="28"/>
        <v>1327.5759817351598</v>
      </c>
      <c r="BP18" s="391">
        <f t="shared" ref="BP18:BT18" si="29">BP14*0.09975</f>
        <v>1327.5759817351598</v>
      </c>
      <c r="BQ18" s="391">
        <f t="shared" si="29"/>
        <v>1327.5759817351598</v>
      </c>
      <c r="BR18" s="391">
        <f t="shared" si="29"/>
        <v>1262.060684931507</v>
      </c>
      <c r="BS18" s="391">
        <f t="shared" si="29"/>
        <v>1262.060684931507</v>
      </c>
      <c r="BT18" s="392">
        <f t="shared" si="29"/>
        <v>1262.060684931507</v>
      </c>
    </row>
    <row r="19" spans="2:72" x14ac:dyDescent="0.25">
      <c r="B19" s="17"/>
    </row>
    <row r="20" spans="2:72" hidden="1" x14ac:dyDescent="0.25">
      <c r="B20" s="165" t="s">
        <v>406</v>
      </c>
      <c r="F20" s="46" t="s">
        <v>407</v>
      </c>
      <c r="G20" s="46"/>
      <c r="H20" s="46"/>
      <c r="I20" s="46"/>
      <c r="J20" s="46"/>
      <c r="K20" s="46"/>
      <c r="L20" s="46"/>
      <c r="M20" s="46"/>
      <c r="N20" s="46"/>
    </row>
    <row r="21" spans="2:72" ht="15.75" hidden="1" customHeight="1" x14ac:dyDescent="0.25">
      <c r="B21" s="17"/>
      <c r="H21" t="s">
        <v>408</v>
      </c>
      <c r="L21" t="s">
        <v>409</v>
      </c>
      <c r="O21" t="s">
        <v>410</v>
      </c>
      <c r="S21" t="s">
        <v>411</v>
      </c>
    </row>
    <row r="22" spans="2:72" hidden="1" x14ac:dyDescent="0.25">
      <c r="H22" t="s">
        <v>412</v>
      </c>
      <c r="I22" t="s">
        <v>413</v>
      </c>
      <c r="L22" t="s">
        <v>412</v>
      </c>
      <c r="M22" t="s">
        <v>414</v>
      </c>
      <c r="N22" t="s">
        <v>415</v>
      </c>
      <c r="S22" t="s">
        <v>416</v>
      </c>
      <c r="T22" t="s">
        <v>417</v>
      </c>
    </row>
    <row r="23" spans="2:72" hidden="1" x14ac:dyDescent="0.25">
      <c r="B23" s="66" t="s">
        <v>418</v>
      </c>
      <c r="C23" s="64"/>
      <c r="F23" t="s">
        <v>419</v>
      </c>
      <c r="H23">
        <v>18521</v>
      </c>
      <c r="I23">
        <f>Q15</f>
        <v>14024.913971043596</v>
      </c>
      <c r="K23" t="s">
        <v>420</v>
      </c>
      <c r="L23" s="187">
        <v>0.43</v>
      </c>
      <c r="M23" s="200">
        <f>'Valid. hyp. cons p. seule'!R6</f>
        <v>0.58046180683097215</v>
      </c>
      <c r="N23" s="201">
        <f>'Valid. 3e quintile'!T6</f>
        <v>0.49751619792954377</v>
      </c>
      <c r="O23" t="s">
        <v>421</v>
      </c>
      <c r="S23" s="36">
        <f>F12</f>
        <v>12094.661822484111</v>
      </c>
      <c r="T23">
        <f>'Valid. hyp. cons p. seule'!P6/'Paramètres Indexation'!F26*100</f>
        <v>16616.443131022119</v>
      </c>
    </row>
    <row r="24" spans="2:72" hidden="1" x14ac:dyDescent="0.25">
      <c r="B24" s="66" t="s">
        <v>422</v>
      </c>
      <c r="C24" s="64"/>
      <c r="F24" t="s">
        <v>423</v>
      </c>
      <c r="H24">
        <v>39900</v>
      </c>
      <c r="I24">
        <f>M77</f>
        <v>25760.925225097453</v>
      </c>
      <c r="K24" s="17" t="s">
        <v>424</v>
      </c>
      <c r="L24" s="187">
        <v>0.39</v>
      </c>
      <c r="M24" s="200">
        <f>'Valid. couple sans enfant'!R6</f>
        <v>0.48462009075752771</v>
      </c>
      <c r="N24" s="202">
        <f>N23</f>
        <v>0.49751619792954377</v>
      </c>
      <c r="O24" t="s">
        <v>425</v>
      </c>
      <c r="S24">
        <f>L74</f>
        <v>24470</v>
      </c>
      <c r="T24">
        <f>'Valid. couple sans enfant'!P6/'Paramètres Indexation'!F26*100</f>
        <v>24968.388305133703</v>
      </c>
    </row>
    <row r="25" spans="2:72" hidden="1" x14ac:dyDescent="0.25">
      <c r="B25" s="66" t="s">
        <v>426</v>
      </c>
      <c r="C25" s="64"/>
      <c r="F25" t="s">
        <v>427</v>
      </c>
      <c r="H25">
        <v>35082</v>
      </c>
      <c r="I25">
        <f>Q77</f>
        <v>31838.294759641009</v>
      </c>
      <c r="K25" t="s">
        <v>420</v>
      </c>
      <c r="L25" s="45">
        <v>0.56000000000000005</v>
      </c>
      <c r="M25" s="201">
        <f>'Valid. hyp. cons. famille'!R6</f>
        <v>0.48928075751684086</v>
      </c>
      <c r="N25" s="201">
        <f>N23</f>
        <v>0.49751619792954377</v>
      </c>
      <c r="O25" t="s">
        <v>420</v>
      </c>
      <c r="S25">
        <f>P74</f>
        <v>30086</v>
      </c>
      <c r="T25">
        <f>'Valid. hyp. cons. famille'!P6/'Paramètres Indexation'!F26*100</f>
        <v>34490.309102674742</v>
      </c>
    </row>
    <row r="26" spans="2:72" hidden="1" x14ac:dyDescent="0.25">
      <c r="B26" s="64" t="s">
        <v>428</v>
      </c>
      <c r="C26" s="64"/>
      <c r="F26" t="s">
        <v>429</v>
      </c>
      <c r="H26" s="35">
        <v>19207</v>
      </c>
      <c r="I26" s="35">
        <f>Y100</f>
        <v>19702.890698639763</v>
      </c>
      <c r="K26" t="s">
        <v>424</v>
      </c>
      <c r="L26" s="45">
        <v>0.57999999999999996</v>
      </c>
      <c r="M26" s="201">
        <f>'Valid. hyp. mono'!R6</f>
        <v>0.55067302246359051</v>
      </c>
      <c r="N26" s="201">
        <f>N23</f>
        <v>0.49751619792954377</v>
      </c>
      <c r="O26" t="s">
        <v>420</v>
      </c>
      <c r="S26" s="36">
        <f>Y97</f>
        <v>23225</v>
      </c>
      <c r="T26">
        <f>'Valid. hyp. mono'!P6/'Paramètres Indexation'!F26*100</f>
        <v>22806.089185362238</v>
      </c>
    </row>
    <row r="27" spans="2:72" hidden="1" x14ac:dyDescent="0.25"/>
    <row r="28" spans="2:72" hidden="1" x14ac:dyDescent="0.25"/>
    <row r="29" spans="2:72" hidden="1" x14ac:dyDescent="0.25"/>
    <row r="30" spans="2:72" hidden="1" x14ac:dyDescent="0.25"/>
    <row r="31" spans="2:72" hidden="1" x14ac:dyDescent="0.25">
      <c r="B31" s="64" t="s">
        <v>430</v>
      </c>
      <c r="C31" s="64"/>
      <c r="D31" s="64"/>
      <c r="E31" s="64"/>
      <c r="F31" s="64"/>
      <c r="G31" s="64"/>
      <c r="H31" s="64"/>
      <c r="I31" s="64"/>
      <c r="J31" s="64"/>
      <c r="K31" s="64"/>
      <c r="L31" s="64"/>
    </row>
    <row r="32" spans="2:72" hidden="1" x14ac:dyDescent="0.25">
      <c r="B32" s="64"/>
      <c r="C32" s="64"/>
      <c r="D32" s="64"/>
      <c r="E32" s="64"/>
      <c r="F32" s="64"/>
      <c r="G32" s="64"/>
      <c r="H32" s="64"/>
      <c r="I32" s="64"/>
      <c r="J32" s="64"/>
      <c r="K32" s="64"/>
      <c r="L32" s="64"/>
    </row>
    <row r="33" spans="2:12" hidden="1" x14ac:dyDescent="0.25">
      <c r="B33" s="64" t="s">
        <v>431</v>
      </c>
      <c r="C33" s="64"/>
      <c r="D33" s="64"/>
      <c r="E33" s="64"/>
      <c r="F33" s="64"/>
      <c r="G33" s="64"/>
      <c r="H33" s="64"/>
      <c r="I33" s="64"/>
      <c r="J33" s="64"/>
      <c r="K33" s="64"/>
      <c r="L33" s="64"/>
    </row>
    <row r="34" spans="2:12" hidden="1" x14ac:dyDescent="0.25">
      <c r="B34" s="64" t="s">
        <v>432</v>
      </c>
      <c r="C34" s="64"/>
      <c r="D34" s="64"/>
      <c r="E34" s="64"/>
      <c r="F34" s="64"/>
      <c r="G34" s="64"/>
      <c r="H34" s="64"/>
      <c r="I34" s="64"/>
      <c r="J34" s="64"/>
      <c r="K34" s="64"/>
      <c r="L34" s="64"/>
    </row>
    <row r="35" spans="2:12" hidden="1" x14ac:dyDescent="0.25">
      <c r="B35" s="64" t="s">
        <v>433</v>
      </c>
      <c r="C35" s="64"/>
      <c r="D35" s="64"/>
      <c r="E35" s="64"/>
      <c r="F35" s="64"/>
      <c r="G35" s="64"/>
      <c r="H35" s="64"/>
      <c r="I35" s="64"/>
      <c r="J35" s="64"/>
      <c r="K35" s="64"/>
      <c r="L35" s="64"/>
    </row>
    <row r="36" spans="2:12" hidden="1" x14ac:dyDescent="0.25">
      <c r="B36" s="64" t="s">
        <v>434</v>
      </c>
      <c r="C36" s="64"/>
      <c r="D36" s="64"/>
      <c r="E36" s="64"/>
      <c r="F36" s="64"/>
      <c r="G36" s="64"/>
      <c r="H36" s="64"/>
      <c r="I36" s="64"/>
      <c r="J36" s="64"/>
      <c r="K36" s="64"/>
      <c r="L36" s="64"/>
    </row>
    <row r="37" spans="2:12" hidden="1" x14ac:dyDescent="0.25">
      <c r="B37" s="64"/>
      <c r="C37" s="64"/>
      <c r="D37" s="64"/>
      <c r="E37" s="64"/>
      <c r="F37" s="64"/>
      <c r="G37" s="64"/>
      <c r="H37" s="64"/>
      <c r="I37" s="64"/>
      <c r="J37" s="64"/>
      <c r="K37" s="64"/>
      <c r="L37" s="64"/>
    </row>
    <row r="38" spans="2:12" hidden="1" x14ac:dyDescent="0.25">
      <c r="B38" s="64"/>
      <c r="C38" s="64" t="s">
        <v>435</v>
      </c>
      <c r="D38" s="64"/>
      <c r="E38" s="64"/>
      <c r="F38" s="64"/>
      <c r="G38" s="64"/>
      <c r="H38" s="64"/>
      <c r="I38" s="64"/>
      <c r="J38" s="64"/>
      <c r="K38" s="64"/>
      <c r="L38" s="64"/>
    </row>
    <row r="39" spans="2:12" hidden="1" x14ac:dyDescent="0.25">
      <c r="B39" s="64"/>
      <c r="C39" s="64">
        <v>2016</v>
      </c>
      <c r="D39" s="64"/>
      <c r="E39" s="64"/>
      <c r="F39" s="64"/>
      <c r="G39" s="64"/>
      <c r="H39" s="64"/>
      <c r="I39" s="64"/>
      <c r="J39" s="64"/>
      <c r="K39" s="64"/>
      <c r="L39" s="64"/>
    </row>
    <row r="40" spans="2:12" hidden="1" x14ac:dyDescent="0.25">
      <c r="B40" s="64"/>
      <c r="C40" s="64" t="s">
        <v>436</v>
      </c>
      <c r="D40" s="64" t="s">
        <v>437</v>
      </c>
      <c r="E40" s="64" t="s">
        <v>438</v>
      </c>
      <c r="F40" s="64" t="s">
        <v>439</v>
      </c>
      <c r="G40" s="64" t="s">
        <v>440</v>
      </c>
      <c r="H40" s="64" t="s">
        <v>441</v>
      </c>
      <c r="I40" s="64"/>
      <c r="J40" s="64"/>
      <c r="K40" s="64"/>
      <c r="L40" s="64"/>
    </row>
    <row r="41" spans="2:12" hidden="1" x14ac:dyDescent="0.25">
      <c r="B41" s="64" t="s">
        <v>442</v>
      </c>
      <c r="C41" s="64" t="s">
        <v>443</v>
      </c>
      <c r="D41" s="64" t="s">
        <v>443</v>
      </c>
      <c r="E41" s="64" t="s">
        <v>443</v>
      </c>
      <c r="F41" s="64" t="s">
        <v>443</v>
      </c>
      <c r="G41" s="64" t="s">
        <v>443</v>
      </c>
      <c r="H41" s="64" t="s">
        <v>443</v>
      </c>
      <c r="I41" s="64"/>
      <c r="J41" s="64"/>
      <c r="K41" s="64"/>
      <c r="L41" s="64"/>
    </row>
    <row r="42" spans="2:12" ht="15.75" hidden="1" thickBot="1" x14ac:dyDescent="0.3">
      <c r="B42" s="64"/>
      <c r="C42" s="64" t="s">
        <v>444</v>
      </c>
      <c r="D42" s="64"/>
      <c r="E42" s="64"/>
      <c r="F42" s="64"/>
      <c r="G42" s="64"/>
      <c r="H42" s="64"/>
      <c r="I42" s="64"/>
      <c r="J42" s="64"/>
      <c r="K42" s="64"/>
      <c r="L42" s="64"/>
    </row>
    <row r="43" spans="2:12" ht="15.75" hidden="1" thickBot="1" x14ac:dyDescent="0.3">
      <c r="B43" s="64" t="s">
        <v>445</v>
      </c>
      <c r="C43" s="64">
        <v>70853</v>
      </c>
      <c r="D43" s="64">
        <v>25887</v>
      </c>
      <c r="E43" s="64">
        <v>40715</v>
      </c>
      <c r="F43" s="65">
        <v>58795</v>
      </c>
      <c r="G43" s="64">
        <v>85364</v>
      </c>
      <c r="H43" s="64">
        <v>143330</v>
      </c>
      <c r="I43" s="64"/>
      <c r="J43" s="64"/>
      <c r="K43" s="64"/>
      <c r="L43" s="64"/>
    </row>
    <row r="44" spans="2:12" hidden="1" x14ac:dyDescent="0.25">
      <c r="B44" s="64"/>
      <c r="C44" s="64"/>
      <c r="D44" s="64"/>
      <c r="E44" s="64"/>
      <c r="F44" s="64"/>
      <c r="G44" s="64"/>
      <c r="H44" s="64"/>
      <c r="I44" s="64"/>
      <c r="J44" s="64"/>
      <c r="K44" s="64"/>
      <c r="L44" s="64"/>
    </row>
    <row r="45" spans="2:12" hidden="1" x14ac:dyDescent="0.25">
      <c r="B45" s="64"/>
      <c r="C45" s="64"/>
      <c r="D45" s="64"/>
      <c r="E45" s="64"/>
      <c r="F45" s="64"/>
      <c r="G45" s="64"/>
      <c r="H45" s="64"/>
      <c r="I45" s="64"/>
      <c r="J45" s="64"/>
      <c r="K45" s="64"/>
      <c r="L45" s="64"/>
    </row>
    <row r="46" spans="2:12" hidden="1" x14ac:dyDescent="0.25">
      <c r="B46" s="64" t="s">
        <v>446</v>
      </c>
      <c r="C46" s="64"/>
      <c r="D46" s="64"/>
      <c r="E46" s="64"/>
      <c r="F46" s="64"/>
      <c r="G46" s="64"/>
      <c r="H46" s="64"/>
      <c r="I46" s="64"/>
      <c r="J46" s="64"/>
      <c r="K46" s="64"/>
      <c r="L46" s="64"/>
    </row>
    <row r="47" spans="2:12" hidden="1" x14ac:dyDescent="0.25">
      <c r="B47" s="64" t="s">
        <v>447</v>
      </c>
      <c r="C47" s="64" t="s">
        <v>448</v>
      </c>
      <c r="D47" s="64"/>
      <c r="E47" s="64"/>
      <c r="F47" s="64"/>
      <c r="G47" s="64"/>
      <c r="H47" s="64"/>
      <c r="I47" s="64"/>
      <c r="J47" s="64"/>
      <c r="K47" s="64"/>
      <c r="L47" s="64"/>
    </row>
    <row r="48" spans="2:12" hidden="1" x14ac:dyDescent="0.25">
      <c r="B48" s="64" t="s">
        <v>449</v>
      </c>
      <c r="C48" s="64" t="s">
        <v>450</v>
      </c>
      <c r="D48" s="64"/>
      <c r="E48" s="64"/>
      <c r="F48" s="64"/>
      <c r="G48" s="64"/>
      <c r="H48" s="64"/>
      <c r="I48" s="64"/>
      <c r="J48" s="64"/>
      <c r="K48" s="64"/>
      <c r="L48" s="64"/>
    </row>
    <row r="49" spans="2:67" hidden="1" x14ac:dyDescent="0.25">
      <c r="B49" s="64"/>
      <c r="C49" s="64"/>
      <c r="D49" s="64"/>
      <c r="E49" s="64"/>
      <c r="F49" s="64"/>
      <c r="G49" s="64"/>
      <c r="H49" s="64"/>
      <c r="I49" s="64"/>
      <c r="J49" s="64"/>
      <c r="K49" s="64"/>
      <c r="L49" s="64"/>
    </row>
    <row r="50" spans="2:67" hidden="1" x14ac:dyDescent="0.25">
      <c r="B50" s="64" t="s">
        <v>451</v>
      </c>
      <c r="C50" s="64"/>
      <c r="D50" s="64"/>
      <c r="E50" s="64"/>
      <c r="F50" s="64"/>
      <c r="G50" s="64"/>
      <c r="H50" s="64"/>
      <c r="I50" s="64"/>
      <c r="J50" s="64"/>
      <c r="K50" s="64"/>
      <c r="L50" s="64"/>
    </row>
    <row r="51" spans="2:67" hidden="1" x14ac:dyDescent="0.25">
      <c r="B51" s="64">
        <v>1</v>
      </c>
      <c r="C51" s="64" t="s">
        <v>452</v>
      </c>
      <c r="D51" s="64"/>
      <c r="E51" s="64"/>
      <c r="F51" s="64"/>
      <c r="G51" s="64"/>
      <c r="H51" s="64"/>
      <c r="I51" s="64"/>
      <c r="J51" s="64"/>
      <c r="K51" s="64"/>
      <c r="L51" s="64"/>
    </row>
    <row r="52" spans="2:67" hidden="1" x14ac:dyDescent="0.25">
      <c r="B52" s="64">
        <v>2</v>
      </c>
      <c r="C52" s="64" t="s">
        <v>453</v>
      </c>
      <c r="D52" s="64"/>
      <c r="E52" s="64"/>
      <c r="F52" s="64"/>
      <c r="G52" s="64"/>
      <c r="H52" s="64"/>
      <c r="I52" s="64"/>
      <c r="J52" s="64"/>
      <c r="K52" s="64"/>
      <c r="L52" s="64"/>
    </row>
    <row r="53" spans="2:67" hidden="1" x14ac:dyDescent="0.25">
      <c r="B53" s="64">
        <v>3</v>
      </c>
      <c r="C53" s="64" t="s">
        <v>454</v>
      </c>
      <c r="D53" s="64"/>
      <c r="E53" s="64"/>
      <c r="F53" s="64"/>
      <c r="G53" s="64"/>
      <c r="H53" s="64"/>
      <c r="I53" s="64"/>
      <c r="J53" s="64"/>
      <c r="K53" s="64"/>
      <c r="L53" s="64"/>
    </row>
    <row r="54" spans="2:67" hidden="1" x14ac:dyDescent="0.25">
      <c r="B54" s="64">
        <v>4</v>
      </c>
      <c r="C54" s="64" t="s">
        <v>455</v>
      </c>
      <c r="D54" s="64"/>
      <c r="E54" s="64"/>
      <c r="F54" s="64"/>
      <c r="G54" s="64"/>
      <c r="H54" s="64"/>
      <c r="I54" s="64"/>
      <c r="J54" s="64"/>
      <c r="K54" s="64"/>
      <c r="L54" s="64"/>
    </row>
    <row r="55" spans="2:67" hidden="1" x14ac:dyDescent="0.25">
      <c r="B55" s="64">
        <v>5</v>
      </c>
      <c r="C55" s="64" t="s">
        <v>456</v>
      </c>
      <c r="D55" s="64"/>
      <c r="E55" s="64"/>
      <c r="F55" s="64"/>
      <c r="G55" s="64"/>
      <c r="H55" s="64"/>
      <c r="I55" s="64"/>
      <c r="J55" s="64"/>
      <c r="K55" s="64"/>
      <c r="L55" s="64"/>
    </row>
    <row r="56" spans="2:67" hidden="1" x14ac:dyDescent="0.25">
      <c r="B56" s="64"/>
      <c r="C56" s="64"/>
      <c r="D56" s="64"/>
      <c r="E56" s="64"/>
      <c r="F56" s="64"/>
      <c r="G56" s="64"/>
      <c r="H56" s="64"/>
      <c r="I56" s="64"/>
      <c r="J56" s="64"/>
      <c r="K56" s="64"/>
      <c r="L56" s="64"/>
    </row>
    <row r="57" spans="2:67" hidden="1" x14ac:dyDescent="0.25">
      <c r="B57" s="64" t="s">
        <v>457</v>
      </c>
      <c r="C57" s="64"/>
      <c r="D57" s="64"/>
      <c r="E57" s="64"/>
      <c r="F57" s="64"/>
      <c r="G57" s="64"/>
      <c r="H57" s="64"/>
      <c r="I57" s="64"/>
      <c r="J57" s="64"/>
      <c r="K57" s="64"/>
      <c r="L57" s="64"/>
    </row>
    <row r="58" spans="2:67" hidden="1" x14ac:dyDescent="0.25">
      <c r="B58" s="64" t="s">
        <v>458</v>
      </c>
      <c r="C58" s="64"/>
      <c r="D58" s="64"/>
      <c r="E58" s="64"/>
      <c r="F58" s="64"/>
      <c r="G58" s="64"/>
      <c r="H58" s="64"/>
      <c r="I58" s="64"/>
      <c r="J58" s="64"/>
      <c r="K58" s="64"/>
      <c r="L58" s="64"/>
    </row>
    <row r="59" spans="2:67" hidden="1" x14ac:dyDescent="0.25"/>
    <row r="60" spans="2:67" ht="14.25" hidden="1" customHeight="1" x14ac:dyDescent="0.25"/>
    <row r="61" spans="2:67" x14ac:dyDescent="0.25">
      <c r="B61" s="4"/>
      <c r="C61" s="4"/>
      <c r="D61" s="4"/>
      <c r="E61" s="4"/>
    </row>
    <row r="63" spans="2:67" ht="18.75" x14ac:dyDescent="0.3">
      <c r="B63" s="11" t="s">
        <v>53</v>
      </c>
      <c r="C63" s="11" t="s">
        <v>459</v>
      </c>
      <c r="BO63" t="s">
        <v>460</v>
      </c>
    </row>
    <row r="64" spans="2:67" ht="15.75" thickBot="1" x14ac:dyDescent="0.3">
      <c r="L64" t="s">
        <v>461</v>
      </c>
      <c r="N64" s="419" t="s">
        <v>275</v>
      </c>
      <c r="P64" s="419" t="s">
        <v>295</v>
      </c>
      <c r="S64" t="s">
        <v>462</v>
      </c>
      <c r="U64" t="s">
        <v>463</v>
      </c>
      <c r="AH64" s="10"/>
      <c r="AI64" s="10" t="s">
        <v>464</v>
      </c>
      <c r="AJ64" s="10"/>
      <c r="AK64" s="10" t="s">
        <v>465</v>
      </c>
      <c r="AS64" t="s">
        <v>393</v>
      </c>
    </row>
    <row r="65" spans="2:72" x14ac:dyDescent="0.25">
      <c r="B65" s="6" t="s">
        <v>0</v>
      </c>
      <c r="C65" s="207">
        <v>1</v>
      </c>
      <c r="D65" s="207">
        <v>2</v>
      </c>
      <c r="E65" s="207">
        <v>3</v>
      </c>
      <c r="F65" s="207">
        <v>4</v>
      </c>
      <c r="G65" s="207">
        <v>5</v>
      </c>
      <c r="H65" s="207">
        <v>6</v>
      </c>
      <c r="I65" s="207">
        <v>7</v>
      </c>
      <c r="J65" s="207">
        <v>8</v>
      </c>
      <c r="K65" s="207">
        <v>9</v>
      </c>
      <c r="L65" s="215">
        <v>10</v>
      </c>
      <c r="M65" s="207">
        <v>11</v>
      </c>
      <c r="N65" s="233">
        <v>12</v>
      </c>
      <c r="O65" s="207">
        <v>13</v>
      </c>
      <c r="P65" s="233">
        <v>14</v>
      </c>
      <c r="Q65" s="207">
        <v>15</v>
      </c>
      <c r="R65" s="207">
        <v>16</v>
      </c>
      <c r="S65" s="215">
        <v>17</v>
      </c>
      <c r="T65" s="207">
        <v>18</v>
      </c>
      <c r="U65" s="215">
        <v>19</v>
      </c>
      <c r="V65" s="207">
        <v>20</v>
      </c>
      <c r="W65" s="207">
        <v>21</v>
      </c>
      <c r="X65" s="207">
        <v>22</v>
      </c>
      <c r="Y65" s="207">
        <v>23</v>
      </c>
      <c r="Z65" s="207">
        <v>24</v>
      </c>
      <c r="AA65" s="207">
        <v>25</v>
      </c>
      <c r="AB65" s="207">
        <v>26</v>
      </c>
      <c r="AC65" s="207">
        <v>27</v>
      </c>
      <c r="AD65" s="207">
        <v>28</v>
      </c>
      <c r="AE65" s="207">
        <v>29</v>
      </c>
      <c r="AF65" s="207">
        <v>30</v>
      </c>
      <c r="AG65" s="207">
        <v>31</v>
      </c>
      <c r="AH65" s="36">
        <v>32</v>
      </c>
      <c r="AI65" s="215">
        <v>33</v>
      </c>
      <c r="AJ65" s="36">
        <v>34</v>
      </c>
      <c r="AK65" s="215">
        <v>35</v>
      </c>
      <c r="AL65" s="207">
        <v>36</v>
      </c>
      <c r="AM65" s="207">
        <v>37</v>
      </c>
      <c r="AN65" s="207">
        <v>38</v>
      </c>
      <c r="AO65" s="207">
        <v>39</v>
      </c>
      <c r="AP65" s="207">
        <v>40</v>
      </c>
      <c r="AQ65" s="207">
        <v>41</v>
      </c>
      <c r="AR65" s="207">
        <v>42</v>
      </c>
      <c r="AS65" s="220">
        <v>43</v>
      </c>
      <c r="AT65" s="211">
        <v>44</v>
      </c>
      <c r="AU65" s="211">
        <v>45</v>
      </c>
      <c r="AV65" s="211">
        <v>46</v>
      </c>
      <c r="AW65" s="211">
        <v>47</v>
      </c>
      <c r="AX65" s="211">
        <v>48</v>
      </c>
      <c r="AY65" s="211">
        <v>49</v>
      </c>
      <c r="AZ65" s="211">
        <v>50</v>
      </c>
      <c r="BA65" s="211">
        <v>51</v>
      </c>
      <c r="BB65" s="211">
        <v>52</v>
      </c>
      <c r="BC65" s="211">
        <v>53</v>
      </c>
      <c r="BD65" s="211">
        <v>54</v>
      </c>
      <c r="BE65" s="211">
        <v>55</v>
      </c>
      <c r="BF65" s="211">
        <v>56</v>
      </c>
      <c r="BG65" s="211">
        <v>57</v>
      </c>
      <c r="BH65" s="211">
        <v>58</v>
      </c>
      <c r="BI65" s="211">
        <v>59</v>
      </c>
      <c r="BJ65" s="211">
        <v>60</v>
      </c>
      <c r="BK65" s="211">
        <v>61</v>
      </c>
      <c r="BL65" s="211">
        <v>62</v>
      </c>
      <c r="BM65" s="211">
        <v>63</v>
      </c>
      <c r="BN65" s="211">
        <v>64</v>
      </c>
      <c r="BO65" s="220">
        <v>65</v>
      </c>
      <c r="BP65" s="211">
        <v>66</v>
      </c>
      <c r="BQ65" s="211">
        <v>67</v>
      </c>
      <c r="BR65" s="211">
        <v>68</v>
      </c>
      <c r="BS65" s="211">
        <v>69</v>
      </c>
      <c r="BT65" s="212">
        <v>70</v>
      </c>
    </row>
    <row r="66" spans="2:72" x14ac:dyDescent="0.25">
      <c r="B66" s="8" t="s">
        <v>1</v>
      </c>
      <c r="C66" s="36">
        <v>18</v>
      </c>
      <c r="D66" s="36">
        <v>19</v>
      </c>
      <c r="E66" s="36">
        <v>20</v>
      </c>
      <c r="F66" s="36">
        <v>21</v>
      </c>
      <c r="G66" s="36">
        <v>22</v>
      </c>
      <c r="H66" s="36">
        <v>23</v>
      </c>
      <c r="I66" s="36">
        <v>24</v>
      </c>
      <c r="J66" s="36">
        <v>25</v>
      </c>
      <c r="K66" s="36">
        <v>26</v>
      </c>
      <c r="L66" s="209">
        <v>27</v>
      </c>
      <c r="M66" s="36">
        <v>28</v>
      </c>
      <c r="N66" s="234">
        <v>29</v>
      </c>
      <c r="O66" s="36">
        <v>30</v>
      </c>
      <c r="P66" s="234">
        <v>31</v>
      </c>
      <c r="Q66" s="36">
        <v>32</v>
      </c>
      <c r="R66" s="36">
        <v>33</v>
      </c>
      <c r="S66" s="209">
        <v>34</v>
      </c>
      <c r="T66" s="36">
        <v>35</v>
      </c>
      <c r="U66" s="209">
        <v>36</v>
      </c>
      <c r="V66" s="36">
        <v>37</v>
      </c>
      <c r="W66" s="36">
        <v>38</v>
      </c>
      <c r="X66" s="36">
        <v>39</v>
      </c>
      <c r="Y66" s="36">
        <v>40</v>
      </c>
      <c r="Z66" s="36">
        <v>41</v>
      </c>
      <c r="AA66" s="36">
        <v>42</v>
      </c>
      <c r="AB66" s="36">
        <v>43</v>
      </c>
      <c r="AC66" s="36">
        <v>44</v>
      </c>
      <c r="AD66" s="36">
        <v>45</v>
      </c>
      <c r="AE66" s="36">
        <v>46</v>
      </c>
      <c r="AF66" s="36">
        <v>47</v>
      </c>
      <c r="AG66" s="36">
        <v>48</v>
      </c>
      <c r="AH66" s="36">
        <v>49</v>
      </c>
      <c r="AI66" s="209">
        <v>50</v>
      </c>
      <c r="AJ66" s="36">
        <v>51</v>
      </c>
      <c r="AK66" s="209">
        <v>52</v>
      </c>
      <c r="AL66" s="36">
        <v>53</v>
      </c>
      <c r="AM66" s="36">
        <v>54</v>
      </c>
      <c r="AN66" s="36">
        <v>55</v>
      </c>
      <c r="AO66" s="36">
        <v>56</v>
      </c>
      <c r="AP66" s="36">
        <v>57</v>
      </c>
      <c r="AQ66" s="36">
        <v>58</v>
      </c>
      <c r="AR66" s="36">
        <v>59</v>
      </c>
      <c r="AS66" s="221">
        <v>60</v>
      </c>
      <c r="AT66" s="75">
        <v>61</v>
      </c>
      <c r="AU66" s="75">
        <v>62</v>
      </c>
      <c r="AV66" s="75">
        <v>63</v>
      </c>
      <c r="AW66" s="75">
        <v>64</v>
      </c>
      <c r="AX66" s="75">
        <v>65</v>
      </c>
      <c r="AY66" s="75">
        <v>66</v>
      </c>
      <c r="AZ66" s="75">
        <v>67</v>
      </c>
      <c r="BA66" s="75">
        <v>68</v>
      </c>
      <c r="BB66" s="75">
        <v>69</v>
      </c>
      <c r="BC66" s="75">
        <v>70</v>
      </c>
      <c r="BD66" s="75">
        <v>71</v>
      </c>
      <c r="BE66" s="75">
        <v>72</v>
      </c>
      <c r="BF66" s="75">
        <v>73</v>
      </c>
      <c r="BG66" s="75">
        <v>74</v>
      </c>
      <c r="BH66" s="75">
        <v>75</v>
      </c>
      <c r="BI66" s="75">
        <v>76</v>
      </c>
      <c r="BJ66" s="75">
        <v>77</v>
      </c>
      <c r="BK66" s="75">
        <v>78</v>
      </c>
      <c r="BL66" s="75">
        <v>79</v>
      </c>
      <c r="BM66" s="75">
        <v>80</v>
      </c>
      <c r="BN66" s="75">
        <v>81</v>
      </c>
      <c r="BO66" s="221">
        <v>82</v>
      </c>
      <c r="BP66" s="75">
        <v>83</v>
      </c>
      <c r="BQ66" s="75">
        <v>84</v>
      </c>
      <c r="BR66" s="75">
        <v>85</v>
      </c>
      <c r="BS66" s="75">
        <v>86</v>
      </c>
      <c r="BT66" s="213">
        <v>87</v>
      </c>
    </row>
    <row r="67" spans="2:72" s="17" customFormat="1" x14ac:dyDescent="0.25">
      <c r="B67" s="9" t="s">
        <v>466</v>
      </c>
      <c r="C67" s="204">
        <f>Sommaire!C63+Sommaire!C75+Sommaire!C93</f>
        <v>8100.356580593425</v>
      </c>
      <c r="D67" s="204">
        <f>Sommaire!D63+Sommaire!D75+Sommaire!D93</f>
        <v>8100.356580593425</v>
      </c>
      <c r="E67" s="204">
        <f>Sommaire!E63+Sommaire!E75+Sommaire!E93</f>
        <v>8100.356580593425</v>
      </c>
      <c r="F67" s="204">
        <f>Sommaire!F63+Sommaire!F75+Sommaire!F93</f>
        <v>36716</v>
      </c>
      <c r="G67" s="204">
        <f>Sommaire!G63+Sommaire!G75+Sommaire!G93</f>
        <v>37885</v>
      </c>
      <c r="H67" s="204">
        <f>Sommaire!H63+Sommaire!H75+Sommaire!H93</f>
        <v>39381.951031999997</v>
      </c>
      <c r="I67" s="204">
        <f>Sommaire!I63+Sommaire!I75+Sommaire!I93</f>
        <v>40628.158122000001</v>
      </c>
      <c r="J67" s="204">
        <f>Sommaire!J63+Sommaire!J75+Sommaire!J93</f>
        <v>42065.206793999998</v>
      </c>
      <c r="K67" s="297">
        <f>Sommaire!K63+Sommaire!K75+Sommaire!K93</f>
        <v>43354.459344000003</v>
      </c>
      <c r="L67" s="204">
        <f>Sommaire!L63+Sommaire!L75+Sommaire!L93</f>
        <v>93442.99000000002</v>
      </c>
      <c r="M67" s="204">
        <f>Sommaire!M63+Sommaire!M75+Sommaire!M93</f>
        <v>96066.64800000003</v>
      </c>
      <c r="N67" s="407">
        <f>Sommaire!N63+Sommaire!N75+Sommaire!N93</f>
        <v>53121.297884615415</v>
      </c>
      <c r="O67" s="204">
        <f>Sommaire!O63+Sommaire!O75+Sommaire!O93</f>
        <v>105453.59400000004</v>
      </c>
      <c r="P67" s="407">
        <f>Sommaire!P63+Sommaire!P75+Sommaire!P93</f>
        <v>60631.153103846184</v>
      </c>
      <c r="Q67" s="204">
        <f>Sommaire!Q63+Sommaire!Q75+Sommaire!Q93</f>
        <v>115988.51442511342</v>
      </c>
      <c r="R67" s="204">
        <f>Sommaire!R63+Sommaire!R75+Sommaire!R93</f>
        <v>116993.43526511342</v>
      </c>
      <c r="S67" s="277">
        <f>Sommaire!S63+Sommaire!S75+Sommaire!S93</f>
        <v>117845.35010511342</v>
      </c>
      <c r="T67" s="204">
        <f>Sommaire!T63+Sommaire!T75+Sommaire!T93</f>
        <v>117834.17494511339</v>
      </c>
      <c r="U67" s="277">
        <f>Sommaire!U63+Sommaire!U75+Sommaire!U93</f>
        <v>118654.88978511341</v>
      </c>
      <c r="V67" s="204">
        <f>Sommaire!V63+Sommaire!V75+Sommaire!V93</f>
        <v>118541.6746251134</v>
      </c>
      <c r="W67" s="204">
        <f>Sommaire!W63+Sommaire!W75+Sommaire!W93</f>
        <v>119508.51270833434</v>
      </c>
      <c r="X67" s="204">
        <f>Sommaire!X63+Sommaire!X75+Sommaire!X93</f>
        <v>120410.29754833435</v>
      </c>
      <c r="Y67" s="204">
        <f>Sommaire!Y63+Sommaire!Y75+Sommaire!Y93</f>
        <v>121312.08238833435</v>
      </c>
      <c r="Z67" s="204">
        <f>Sommaire!Z63+Sommaire!Z75+Sommaire!Z93</f>
        <v>121708.92850833433</v>
      </c>
      <c r="AA67" s="204">
        <f>Sommaire!AA63+Sommaire!AA75+Sommaire!AA93</f>
        <v>121708.92850833433</v>
      </c>
      <c r="AB67" s="204">
        <f>Sommaire!AB63+Sommaire!AB75+Sommaire!AB93</f>
        <v>121708.92850833433</v>
      </c>
      <c r="AC67" s="204">
        <f>Sommaire!AC63+Sommaire!AC75+Sommaire!AC93</f>
        <v>121708.92850833433</v>
      </c>
      <c r="AD67" s="204">
        <f>Sommaire!AD63+Sommaire!AD75+Sommaire!AD93</f>
        <v>121708.92850833433</v>
      </c>
      <c r="AE67" s="204">
        <f>Sommaire!AE63+Sommaire!AE75+Sommaire!AE93</f>
        <v>121608.92850833433</v>
      </c>
      <c r="AF67" s="204">
        <f>Sommaire!AF63+Sommaire!AF75+Sommaire!AF93</f>
        <v>118489.758</v>
      </c>
      <c r="AG67" s="204">
        <f>Sommaire!AG63+Sommaire!AG75+Sommaire!AG93</f>
        <v>118389.758</v>
      </c>
      <c r="AH67" s="204">
        <f>Sommaire!AH63+Sommaire!AH75+Sommaire!AH93</f>
        <v>116018.93799999999</v>
      </c>
      <c r="AI67" s="277">
        <f>Sommaire!AI63+Sommaire!AI75+Sommaire!AI93</f>
        <v>116018.93799999999</v>
      </c>
      <c r="AJ67" s="204">
        <f>Sommaire!AJ63+Sommaire!AJ75+Sommaire!AJ93</f>
        <v>116018.93799999999</v>
      </c>
      <c r="AK67" s="277">
        <f>Sommaire!AK63+Sommaire!AK75+Sommaire!AK93</f>
        <v>116018.93799999999</v>
      </c>
      <c r="AL67" s="204">
        <f>Sommaire!AL63+Sommaire!AL75+Sommaire!AL93</f>
        <v>116018.93799999999</v>
      </c>
      <c r="AM67" s="204">
        <f>Sommaire!AM63+Sommaire!AM75+Sommaire!AM93</f>
        <v>116018.93799999999</v>
      </c>
      <c r="AN67" s="204">
        <f>Sommaire!AN63+Sommaire!AN75+Sommaire!AN93</f>
        <v>116018.93799999999</v>
      </c>
      <c r="AO67" s="204">
        <f>Sommaire!AO63+Sommaire!AO75+Sommaire!AO93</f>
        <v>116018.93799999999</v>
      </c>
      <c r="AP67" s="204">
        <f>Sommaire!AP63+Sommaire!AP75+Sommaire!AP93</f>
        <v>116018.93799999999</v>
      </c>
      <c r="AQ67" s="204">
        <f>Sommaire!AQ63+Sommaire!AQ75+Sommaire!AQ93</f>
        <v>116018.93799999999</v>
      </c>
      <c r="AR67" s="204">
        <f>Sommaire!AR63+Sommaire!AR75+Sommaire!AR93</f>
        <v>116018.93799999999</v>
      </c>
      <c r="AS67" s="277">
        <f>Sommaire!AS63+Sommaire!AS75+Sommaire!AS93</f>
        <v>60802.418966658624</v>
      </c>
      <c r="AT67" s="204">
        <f>Sommaire!AT63+Sommaire!AT75+Sommaire!AT93</f>
        <v>69307.540176742652</v>
      </c>
      <c r="AU67" s="204">
        <f>Sommaire!AU63+Sommaire!AU75+Sommaire!AU93</f>
        <v>76428.85017674265</v>
      </c>
      <c r="AV67" s="204">
        <f>Sommaire!AV63+Sommaire!AV75+Sommaire!AV93</f>
        <v>76428.85017674265</v>
      </c>
      <c r="AW67" s="204">
        <f>Sommaire!AW63+Sommaire!AW75+Sommaire!AW93</f>
        <v>76428.85017674265</v>
      </c>
      <c r="AX67" s="204">
        <f>Sommaire!AX63+Sommaire!AX75+Sommaire!AX93</f>
        <v>70574.225176742664</v>
      </c>
      <c r="AY67" s="204">
        <f>Sommaire!AY63+Sommaire!AY75+Sommaire!AY93</f>
        <v>70574.225176742664</v>
      </c>
      <c r="AZ67" s="204">
        <f>Sommaire!AZ63+Sommaire!AZ75+Sommaire!AZ93</f>
        <v>70574.225176742664</v>
      </c>
      <c r="BA67" s="204">
        <f>Sommaire!BA63+Sommaire!BA75+Sommaire!BA93</f>
        <v>70574.225176742664</v>
      </c>
      <c r="BB67" s="204">
        <f>Sommaire!BB63+Sommaire!BB75+Sommaire!BB93</f>
        <v>70574.225176742664</v>
      </c>
      <c r="BC67" s="204">
        <f>Sommaire!BC63+Sommaire!BC75+Sommaire!BC93</f>
        <v>70574.225176742664</v>
      </c>
      <c r="BD67" s="204">
        <f>Sommaire!BD63+Sommaire!BD75+Sommaire!BD93</f>
        <v>70574.225176742664</v>
      </c>
      <c r="BE67" s="204">
        <f>Sommaire!BE63+Sommaire!BE75+Sommaire!BE93</f>
        <v>70574.225176742664</v>
      </c>
      <c r="BF67" s="204">
        <f>Sommaire!BF63+Sommaire!BF75+Sommaire!BF93</f>
        <v>70574.225176742664</v>
      </c>
      <c r="BG67" s="204">
        <f>Sommaire!BG63+Sommaire!BG75+Sommaire!BG93</f>
        <v>70574.225176742664</v>
      </c>
      <c r="BH67" s="204">
        <f>Sommaire!BH63+Sommaire!BH75+Sommaire!BH93</f>
        <v>71388.59517674266</v>
      </c>
      <c r="BI67" s="204">
        <f>Sommaire!BI63+Sommaire!BI75+Sommaire!BI93</f>
        <v>71388.59517674266</v>
      </c>
      <c r="BJ67" s="204">
        <f>Sommaire!BJ63+Sommaire!BJ75+Sommaire!BJ93</f>
        <v>71388.59517674266</v>
      </c>
      <c r="BK67" s="204">
        <f>Sommaire!BK63+Sommaire!BK75+Sommaire!BK93</f>
        <v>71388.59517674266</v>
      </c>
      <c r="BL67" s="204">
        <f>Sommaire!BL63+Sommaire!BL75+Sommaire!BL93</f>
        <v>71388.59517674266</v>
      </c>
      <c r="BM67" s="204">
        <f>Sommaire!BM63+Sommaire!BM75+Sommaire!BM93</f>
        <v>71388.59517674266</v>
      </c>
      <c r="BN67" s="297">
        <f>Sommaire!BN63+Sommaire!BN75+Sommaire!BN93</f>
        <v>71361.895176742662</v>
      </c>
      <c r="BO67" s="204">
        <f>Sommaire!BO63+Sommaire!BO75+Sommaire!BO93</f>
        <v>48740.120822581019</v>
      </c>
      <c r="BP67" s="204">
        <f>Sommaire!BP63+Sommaire!BP75+Sommaire!BP93</f>
        <v>48740.120822581019</v>
      </c>
      <c r="BQ67" s="204">
        <f>Sommaire!BQ63+Sommaire!BQ75+Sommaire!BQ93</f>
        <v>48740.120822581019</v>
      </c>
      <c r="BR67" s="204">
        <f>Sommaire!BR63+Sommaire!BR75+Sommaire!BR93</f>
        <v>48740.120822581019</v>
      </c>
      <c r="BS67" s="204">
        <f>Sommaire!BS63+Sommaire!BS75+Sommaire!BS93</f>
        <v>48740.120822581019</v>
      </c>
      <c r="BT67" s="297">
        <f>Sommaire!BT63+Sommaire!BT75+Sommaire!BT93</f>
        <v>48740.120822581019</v>
      </c>
    </row>
    <row r="68" spans="2:72" s="35" customFormat="1" x14ac:dyDescent="0.25">
      <c r="B68" s="393" t="s">
        <v>395</v>
      </c>
      <c r="C68" s="295">
        <f t="shared" ref="C68:K68" si="30">C7</f>
        <v>7743.6465805934249</v>
      </c>
      <c r="D68" s="295">
        <f t="shared" si="30"/>
        <v>7743.6465805934249</v>
      </c>
      <c r="E68" s="295">
        <f t="shared" si="30"/>
        <v>7743.6465805934249</v>
      </c>
      <c r="F68" s="295">
        <f t="shared" si="30"/>
        <v>27461.092982239996</v>
      </c>
      <c r="G68" s="295">
        <f t="shared" si="30"/>
        <v>28113.673734519998</v>
      </c>
      <c r="H68" s="295">
        <f t="shared" si="30"/>
        <v>28927.350966440001</v>
      </c>
      <c r="I68" s="295">
        <f t="shared" si="30"/>
        <v>29560.506084240002</v>
      </c>
      <c r="J68" s="295">
        <f t="shared" si="30"/>
        <v>30274.22368848</v>
      </c>
      <c r="K68" s="398">
        <f t="shared" si="30"/>
        <v>30899.198559480003</v>
      </c>
      <c r="L68" s="295">
        <f>Sommaire!L96</f>
        <v>67170.661820000023</v>
      </c>
      <c r="M68" s="398">
        <f>Sommaire!M96</f>
        <v>66336.389651830366</v>
      </c>
      <c r="N68" s="408">
        <f>Sommaire!N96</f>
        <v>65688.346269615417</v>
      </c>
      <c r="O68" s="398">
        <f>Sommaire!O96</f>
        <v>70214.206401830379</v>
      </c>
      <c r="P68" s="408">
        <f>Sommaire!P96</f>
        <v>69275.194153846183</v>
      </c>
      <c r="Q68" s="295">
        <f>Sommaire!Q96</f>
        <v>75069.51769694376</v>
      </c>
      <c r="R68" s="398">
        <f>Sommaire!R96</f>
        <v>75544.061129443784</v>
      </c>
      <c r="S68" s="295">
        <f>Sommaire!S96</f>
        <v>77173.366354443773</v>
      </c>
      <c r="T68" s="398">
        <f>Sommaire!T96</f>
        <v>76718.305761943746</v>
      </c>
      <c r="U68" s="295">
        <f>Sommaire!U96</f>
        <v>79360.903969443738</v>
      </c>
      <c r="V68" s="295">
        <f>Sommaire!V96</f>
        <v>78871.695629443726</v>
      </c>
      <c r="W68" s="295">
        <f>Sommaire!W96</f>
        <v>79042.237869117555</v>
      </c>
      <c r="X68" s="295">
        <f>Sommaire!X96</f>
        <v>79568.03662661757</v>
      </c>
      <c r="Y68" s="295">
        <f>Sommaire!Y96</f>
        <v>80094.818286617563</v>
      </c>
      <c r="Z68" s="295">
        <f>Sommaire!Z96</f>
        <v>83022.79493911755</v>
      </c>
      <c r="AA68" s="295">
        <f>Sommaire!AA96</f>
        <v>83022.79493911755</v>
      </c>
      <c r="AB68" s="295">
        <f>Sommaire!AB96</f>
        <v>83022.79493911755</v>
      </c>
      <c r="AC68" s="295">
        <f>Sommaire!AC96</f>
        <v>83022.79493911755</v>
      </c>
      <c r="AD68" s="295">
        <f>Sommaire!AD96</f>
        <v>83022.79493911755</v>
      </c>
      <c r="AE68" s="295">
        <f>Sommaire!AE96</f>
        <v>83863.937439117537</v>
      </c>
      <c r="AF68" s="295">
        <f>Sommaire!AF96</f>
        <v>80077.053930783208</v>
      </c>
      <c r="AG68" s="295">
        <f>Sommaire!AG96</f>
        <v>80918.196430783195</v>
      </c>
      <c r="AH68" s="398">
        <f>Sommaire!AH96</f>
        <v>77879.663430783214</v>
      </c>
      <c r="AI68" s="295">
        <f>Sommaire!AI96</f>
        <v>77606.233930783215</v>
      </c>
      <c r="AJ68" s="398">
        <f>Sommaire!AJ96</f>
        <v>77606.233930783215</v>
      </c>
      <c r="AK68" s="295">
        <f>Sommaire!AK96</f>
        <v>77332.804430783202</v>
      </c>
      <c r="AL68" s="295">
        <f>Sommaire!AL96</f>
        <v>77332.804430783202</v>
      </c>
      <c r="AM68" s="295">
        <f>Sommaire!AM96</f>
        <v>77332.804430783202</v>
      </c>
      <c r="AN68" s="295">
        <f>Sommaire!AN96</f>
        <v>77332.804430783202</v>
      </c>
      <c r="AO68" s="295">
        <f>Sommaire!AO96</f>
        <v>77332.804430783202</v>
      </c>
      <c r="AP68" s="295">
        <f>Sommaire!AP96</f>
        <v>77332.804430783202</v>
      </c>
      <c r="AQ68" s="295">
        <f>Sommaire!AQ96</f>
        <v>77332.804430783202</v>
      </c>
      <c r="AR68" s="295">
        <f>Sommaire!AR96</f>
        <v>77332.804430783202</v>
      </c>
      <c r="AS68" s="298">
        <f>Sommaire!AS96</f>
        <v>50719.726099158623</v>
      </c>
      <c r="AT68" s="295">
        <f>Sommaire!AT96</f>
        <v>56449.136304242653</v>
      </c>
      <c r="AU68" s="295">
        <f>Sommaire!AU96</f>
        <v>62624.744746742654</v>
      </c>
      <c r="AV68" s="295">
        <f>Sommaire!AV96</f>
        <v>62624.744746742654</v>
      </c>
      <c r="AW68" s="295">
        <f>Sommaire!AW96</f>
        <v>62624.744746742654</v>
      </c>
      <c r="AX68" s="295">
        <f>Sommaire!AX96</f>
        <v>60260.015054242656</v>
      </c>
      <c r="AY68" s="295">
        <f>Sommaire!AY96</f>
        <v>60260.015054242656</v>
      </c>
      <c r="AZ68" s="295">
        <f>Sommaire!AZ96</f>
        <v>60260.015054242656</v>
      </c>
      <c r="BA68" s="295">
        <f>Sommaire!BA96</f>
        <v>60260.015054242656</v>
      </c>
      <c r="BB68" s="295">
        <f>Sommaire!BB96</f>
        <v>60260.015054242656</v>
      </c>
      <c r="BC68" s="295">
        <f>Sommaire!BC96</f>
        <v>60260.015054242656</v>
      </c>
      <c r="BD68" s="295">
        <f>Sommaire!BD96</f>
        <v>60260.015054242656</v>
      </c>
      <c r="BE68" s="295">
        <f>Sommaire!BE96</f>
        <v>60260.015054242656</v>
      </c>
      <c r="BF68" s="295">
        <f>Sommaire!BF96</f>
        <v>60260.015054242656</v>
      </c>
      <c r="BG68" s="295">
        <f>Sommaire!BG96</f>
        <v>60260.015054242656</v>
      </c>
      <c r="BH68" s="295">
        <f>Sommaire!BH96</f>
        <v>57619.086003700992</v>
      </c>
      <c r="BI68" s="295">
        <f>Sommaire!BI96</f>
        <v>57619.086003700992</v>
      </c>
      <c r="BJ68" s="295">
        <f>Sommaire!BJ96</f>
        <v>57619.086003700992</v>
      </c>
      <c r="BK68" s="295">
        <f>Sommaire!BK96</f>
        <v>57619.086003700992</v>
      </c>
      <c r="BL68" s="295">
        <f>Sommaire!BL96</f>
        <v>57619.086003700992</v>
      </c>
      <c r="BM68" s="295">
        <f>Sommaire!BM96</f>
        <v>57619.086003700992</v>
      </c>
      <c r="BN68" s="398">
        <f>Sommaire!BN96</f>
        <v>57592.386003700994</v>
      </c>
      <c r="BO68" s="295">
        <f>Sommaire!BO96</f>
        <v>38158.117087310195</v>
      </c>
      <c r="BP68" s="295">
        <f>Sommaire!BP96</f>
        <v>38158.117087310195</v>
      </c>
      <c r="BQ68" s="295">
        <f>Sommaire!BQ96</f>
        <v>38158.117087310195</v>
      </c>
      <c r="BR68" s="295">
        <f>Sommaire!BR96</f>
        <v>38158.11708731018</v>
      </c>
      <c r="BS68" s="295">
        <f>Sommaire!BS96</f>
        <v>38158.11708731018</v>
      </c>
      <c r="BT68" s="398">
        <f>Sommaire!BT96</f>
        <v>38158.11708731018</v>
      </c>
    </row>
    <row r="69" spans="2:72" x14ac:dyDescent="0.25">
      <c r="B69" s="9" t="s">
        <v>467</v>
      </c>
      <c r="C69" s="36"/>
      <c r="D69" s="36"/>
      <c r="E69" s="36"/>
      <c r="F69" s="36"/>
      <c r="G69" s="36"/>
      <c r="H69" s="36"/>
      <c r="I69" s="36"/>
      <c r="J69" s="36"/>
      <c r="K69" s="36"/>
      <c r="L69" s="209"/>
      <c r="M69" s="36"/>
      <c r="N69" s="234">
        <f>Sommaire!N91</f>
        <v>30949.84</v>
      </c>
      <c r="O69" s="294"/>
      <c r="P69" s="403">
        <f>Sommaire!P91</f>
        <v>33140.79</v>
      </c>
      <c r="Q69" s="36"/>
      <c r="R69" s="294"/>
      <c r="S69" s="36"/>
      <c r="T69" s="294"/>
      <c r="U69" s="36"/>
      <c r="V69" s="36"/>
      <c r="W69" s="36"/>
      <c r="X69" s="36"/>
      <c r="Y69" s="36"/>
      <c r="Z69" s="36"/>
      <c r="AA69" s="36"/>
      <c r="AB69" s="36"/>
      <c r="AC69" s="36"/>
      <c r="AD69" s="36"/>
      <c r="AE69" s="36"/>
      <c r="AF69" s="36"/>
      <c r="AG69" s="36"/>
      <c r="AH69" s="36"/>
      <c r="AI69" s="209"/>
      <c r="AJ69" s="36"/>
      <c r="AK69" s="209"/>
      <c r="AL69" s="36"/>
      <c r="AM69" s="36"/>
      <c r="AN69" s="36"/>
      <c r="AO69" s="36"/>
      <c r="AP69" s="36"/>
      <c r="AQ69" s="36"/>
      <c r="AR69" s="36"/>
      <c r="AS69" s="209"/>
      <c r="AT69" s="36"/>
      <c r="AU69" s="36"/>
      <c r="AV69" s="36"/>
      <c r="AW69" s="36"/>
      <c r="AX69" s="36"/>
      <c r="AY69" s="36"/>
      <c r="AZ69" s="36"/>
      <c r="BA69" s="36"/>
      <c r="BB69" s="36"/>
      <c r="BC69" s="36"/>
      <c r="BD69" s="36"/>
      <c r="BE69" s="36"/>
      <c r="BF69" s="36"/>
      <c r="BG69" s="36"/>
      <c r="BH69" s="36"/>
      <c r="BI69" s="36"/>
      <c r="BJ69" s="36"/>
      <c r="BK69" s="36"/>
      <c r="BL69" s="36"/>
      <c r="BM69" s="36"/>
      <c r="BN69" s="36"/>
      <c r="BO69" s="209"/>
      <c r="BP69" s="36"/>
      <c r="BQ69" s="36"/>
      <c r="BR69" s="36"/>
      <c r="BS69" s="36"/>
      <c r="BT69" s="294"/>
    </row>
    <row r="70" spans="2:72" x14ac:dyDescent="0.25">
      <c r="B70" s="9" t="s">
        <v>396</v>
      </c>
      <c r="C70" s="36">
        <f t="shared" ref="C70:K70" si="31">C8</f>
        <v>9492.7293167499993</v>
      </c>
      <c r="D70" s="36">
        <f t="shared" si="31"/>
        <v>9492.7293167499993</v>
      </c>
      <c r="E70" s="36">
        <f t="shared" si="31"/>
        <v>9492.7293167499993</v>
      </c>
      <c r="F70" s="36">
        <f t="shared" si="31"/>
        <v>25937.03</v>
      </c>
      <c r="G70" s="36">
        <f t="shared" si="31"/>
        <v>25937.03</v>
      </c>
      <c r="H70" s="36">
        <f t="shared" si="31"/>
        <v>25937.03</v>
      </c>
      <c r="I70" s="36">
        <f t="shared" si="31"/>
        <v>25937.03</v>
      </c>
      <c r="J70" s="36">
        <f t="shared" si="31"/>
        <v>33215.623739988121</v>
      </c>
      <c r="K70" s="36">
        <f t="shared" si="31"/>
        <v>33215.623739988121</v>
      </c>
      <c r="L70" s="209">
        <f>L73+L71+L72+L79+L80</f>
        <v>54947.86</v>
      </c>
      <c r="M70" s="294">
        <f t="shared" ref="M70:AJ70" si="32">M73+M71+M72+M79+M80</f>
        <v>54947.86</v>
      </c>
      <c r="N70" s="403">
        <f t="shared" si="32"/>
        <v>55003</v>
      </c>
      <c r="O70" s="294">
        <f>O73+O72+O71+O79+O80</f>
        <v>67555.899999999994</v>
      </c>
      <c r="P70" s="403">
        <f t="shared" ref="P70:Y70" si="33">P73+P72+P71+P79+P80</f>
        <v>67555.899999999994</v>
      </c>
      <c r="Q70" s="36">
        <f t="shared" si="33"/>
        <v>70584.800000000003</v>
      </c>
      <c r="R70" s="294">
        <f t="shared" si="33"/>
        <v>70584.800000000003</v>
      </c>
      <c r="S70" s="36">
        <f t="shared" si="33"/>
        <v>70115.399999999994</v>
      </c>
      <c r="T70" s="36">
        <f t="shared" si="33"/>
        <v>72224.800000000017</v>
      </c>
      <c r="U70" s="209">
        <f t="shared" si="33"/>
        <v>71755.400000000009</v>
      </c>
      <c r="V70" s="36">
        <f t="shared" si="33"/>
        <v>71755.400000000009</v>
      </c>
      <c r="W70" s="36">
        <f t="shared" si="33"/>
        <v>71755.400000000009</v>
      </c>
      <c r="X70" s="36">
        <f t="shared" si="33"/>
        <v>71755.400000000009</v>
      </c>
      <c r="Y70" s="36">
        <f t="shared" si="33"/>
        <v>73526.200370000006</v>
      </c>
      <c r="Z70" s="36">
        <f t="shared" si="32"/>
        <v>70279.000370000009</v>
      </c>
      <c r="AA70" s="36">
        <f t="shared" si="32"/>
        <v>70279.000370000009</v>
      </c>
      <c r="AB70" s="36">
        <f t="shared" si="32"/>
        <v>70279.000370000009</v>
      </c>
      <c r="AC70" s="36">
        <f t="shared" si="32"/>
        <v>70279.000370000009</v>
      </c>
      <c r="AD70" s="36">
        <f t="shared" si="32"/>
        <v>71711.199999999997</v>
      </c>
      <c r="AE70" s="36">
        <f t="shared" si="32"/>
        <v>72081.2</v>
      </c>
      <c r="AF70" s="36">
        <f t="shared" si="32"/>
        <v>72081.2</v>
      </c>
      <c r="AG70" s="36">
        <f t="shared" si="32"/>
        <v>72451.199999999997</v>
      </c>
      <c r="AH70" s="36">
        <f t="shared" si="32"/>
        <v>71515.3</v>
      </c>
      <c r="AI70" s="209">
        <f t="shared" si="32"/>
        <v>72238.89999999998</v>
      </c>
      <c r="AJ70" s="209">
        <f t="shared" si="32"/>
        <v>72238.89999999998</v>
      </c>
      <c r="AK70" s="209">
        <f t="shared" ref="AK70:AR70" si="34">AK73+AK71+AK79+AK80</f>
        <v>65143.639999999992</v>
      </c>
      <c r="AL70" s="36">
        <f t="shared" si="34"/>
        <v>65143.639999999992</v>
      </c>
      <c r="AM70" s="36">
        <f t="shared" si="34"/>
        <v>65143.639999999992</v>
      </c>
      <c r="AN70" s="36">
        <f t="shared" si="34"/>
        <v>64910.97</v>
      </c>
      <c r="AO70" s="36">
        <f t="shared" si="34"/>
        <v>64910.97</v>
      </c>
      <c r="AP70" s="36">
        <f t="shared" si="34"/>
        <v>64910.97</v>
      </c>
      <c r="AQ70" s="36">
        <f t="shared" si="34"/>
        <v>64910.97</v>
      </c>
      <c r="AR70" s="36">
        <f t="shared" si="34"/>
        <v>64910.97</v>
      </c>
      <c r="AS70" s="209">
        <f t="shared" ref="AS70:BT70" si="35">AS73+AS71+AS79+AS80</f>
        <v>49498.11</v>
      </c>
      <c r="AT70" s="36">
        <f t="shared" si="35"/>
        <v>49498.11</v>
      </c>
      <c r="AU70" s="36">
        <f t="shared" si="35"/>
        <v>54797.570000000007</v>
      </c>
      <c r="AV70" s="36">
        <f t="shared" si="35"/>
        <v>54797.570000000007</v>
      </c>
      <c r="AW70" s="36">
        <f t="shared" si="35"/>
        <v>54797.570000000007</v>
      </c>
      <c r="AX70" s="36">
        <f t="shared" si="35"/>
        <v>54353.69999999999</v>
      </c>
      <c r="AY70" s="36">
        <f t="shared" si="35"/>
        <v>54353.69999999999</v>
      </c>
      <c r="AZ70" s="36">
        <f t="shared" si="35"/>
        <v>54353.69999999999</v>
      </c>
      <c r="BA70" s="36">
        <f t="shared" si="35"/>
        <v>54353.69999999999</v>
      </c>
      <c r="BB70" s="36">
        <f t="shared" si="35"/>
        <v>54353.69999999999</v>
      </c>
      <c r="BC70" s="36">
        <f t="shared" si="35"/>
        <v>53804.229999999996</v>
      </c>
      <c r="BD70" s="36">
        <f t="shared" si="35"/>
        <v>53804.229999999996</v>
      </c>
      <c r="BE70" s="36">
        <f t="shared" si="35"/>
        <v>53804.229999999996</v>
      </c>
      <c r="BF70" s="36">
        <f t="shared" si="35"/>
        <v>53804.229999999996</v>
      </c>
      <c r="BG70" s="36">
        <f t="shared" si="35"/>
        <v>53804.229999999996</v>
      </c>
      <c r="BH70" s="36">
        <f t="shared" si="35"/>
        <v>53149.159999999996</v>
      </c>
      <c r="BI70" s="36">
        <f t="shared" si="35"/>
        <v>53149.159999999996</v>
      </c>
      <c r="BJ70" s="36">
        <f t="shared" si="35"/>
        <v>53149.159999999996</v>
      </c>
      <c r="BK70" s="36">
        <f t="shared" si="35"/>
        <v>53149.159999999996</v>
      </c>
      <c r="BL70" s="36">
        <f t="shared" si="35"/>
        <v>53149.159999999996</v>
      </c>
      <c r="BM70" s="36">
        <f t="shared" si="35"/>
        <v>52388.49</v>
      </c>
      <c r="BN70" s="36">
        <f t="shared" si="35"/>
        <v>52388.49</v>
      </c>
      <c r="BO70" s="209">
        <f t="shared" si="35"/>
        <v>33942.35</v>
      </c>
      <c r="BP70" s="36">
        <f t="shared" si="35"/>
        <v>33942.35</v>
      </c>
      <c r="BQ70" s="36">
        <f t="shared" si="35"/>
        <v>33942.35</v>
      </c>
      <c r="BR70" s="36">
        <f t="shared" si="35"/>
        <v>33675.199999999997</v>
      </c>
      <c r="BS70" s="36">
        <f t="shared" si="35"/>
        <v>33675.199999999997</v>
      </c>
      <c r="BT70" s="294">
        <f t="shared" si="35"/>
        <v>33675.199999999997</v>
      </c>
    </row>
    <row r="71" spans="2:72" x14ac:dyDescent="0.25">
      <c r="B71" s="16" t="s">
        <v>468</v>
      </c>
      <c r="C71" s="36">
        <f t="shared" ref="C71:K71" si="36">C9</f>
        <v>370</v>
      </c>
      <c r="D71" s="36">
        <f t="shared" si="36"/>
        <v>370</v>
      </c>
      <c r="E71" s="36">
        <f t="shared" si="36"/>
        <v>370</v>
      </c>
      <c r="F71" s="36">
        <f t="shared" si="36"/>
        <v>0</v>
      </c>
      <c r="G71" s="36">
        <f t="shared" si="36"/>
        <v>0</v>
      </c>
      <c r="H71" s="36">
        <f t="shared" si="36"/>
        <v>0</v>
      </c>
      <c r="I71" s="36">
        <f t="shared" si="36"/>
        <v>0</v>
      </c>
      <c r="J71" s="36">
        <f t="shared" si="36"/>
        <v>0</v>
      </c>
      <c r="K71" s="36">
        <f t="shared" si="36"/>
        <v>0</v>
      </c>
      <c r="L71" s="209">
        <v>0</v>
      </c>
      <c r="M71" s="36">
        <v>0</v>
      </c>
      <c r="N71" s="234"/>
      <c r="O71" s="404"/>
      <c r="P71" s="419"/>
      <c r="R71" s="404"/>
      <c r="T71" s="404"/>
      <c r="Z71" s="36"/>
      <c r="AA71" s="36"/>
      <c r="AB71" s="36"/>
      <c r="AC71" s="36"/>
      <c r="AD71" s="36"/>
      <c r="AE71" s="36">
        <v>370</v>
      </c>
      <c r="AF71" s="36">
        <v>370</v>
      </c>
      <c r="AG71" s="36">
        <f>370*2</f>
        <v>740</v>
      </c>
      <c r="AH71" s="36">
        <f>370*2</f>
        <v>740</v>
      </c>
      <c r="AI71" s="209">
        <v>370</v>
      </c>
      <c r="AJ71" s="36">
        <v>370</v>
      </c>
      <c r="AK71" s="209"/>
      <c r="AL71" s="36"/>
      <c r="AM71" s="36"/>
      <c r="AN71" s="36"/>
      <c r="AO71" s="36"/>
      <c r="AP71" s="36"/>
      <c r="AQ71" s="36"/>
      <c r="AR71" s="36"/>
      <c r="AS71" s="209"/>
      <c r="AT71" s="36"/>
      <c r="AU71" s="36"/>
      <c r="AV71" s="36"/>
      <c r="AW71" s="36"/>
      <c r="AX71" s="36"/>
      <c r="AY71" s="36"/>
      <c r="AZ71" s="36"/>
      <c r="BA71" s="36"/>
      <c r="BB71" s="36"/>
      <c r="BC71" s="36"/>
      <c r="BD71" s="36"/>
      <c r="BE71" s="36"/>
      <c r="BF71" s="36"/>
      <c r="BG71" s="36"/>
      <c r="BH71" s="36"/>
      <c r="BI71" s="36"/>
      <c r="BJ71" s="36"/>
      <c r="BK71" s="36"/>
      <c r="BL71" s="36"/>
      <c r="BM71" s="36"/>
      <c r="BN71" s="36"/>
      <c r="BO71" s="209"/>
      <c r="BP71" s="36"/>
      <c r="BQ71" s="36"/>
      <c r="BR71" s="36"/>
      <c r="BS71" s="36"/>
      <c r="BT71" s="294"/>
    </row>
    <row r="72" spans="2:72" x14ac:dyDescent="0.25">
      <c r="B72" s="16" t="s">
        <v>469</v>
      </c>
      <c r="C72" s="36"/>
      <c r="D72" s="36"/>
      <c r="E72" s="36"/>
      <c r="F72" s="36"/>
      <c r="G72" s="36"/>
      <c r="H72" s="36"/>
      <c r="I72" s="36"/>
      <c r="J72" s="36"/>
      <c r="K72" s="36"/>
      <c r="L72" s="209"/>
      <c r="M72" s="36"/>
      <c r="N72" s="234"/>
      <c r="O72" s="404">
        <f>'B.P. Coût place garderie'!C62</f>
        <v>2093</v>
      </c>
      <c r="P72" s="419">
        <f>'B.P. Coût place garderie'!D62</f>
        <v>2093</v>
      </c>
      <c r="Q72">
        <f>'B.P. Coût place garderie'!E62</f>
        <v>4186</v>
      </c>
      <c r="R72" s="404">
        <f>'B.P. Coût place garderie'!F62</f>
        <v>4186</v>
      </c>
      <c r="S72">
        <f>'B.P. Coût place garderie'!G62</f>
        <v>3716.6</v>
      </c>
      <c r="T72" s="404">
        <f>'B.P. Coût place garderie'!H62</f>
        <v>3716.6</v>
      </c>
      <c r="U72">
        <f>'B.P. Coût place garderie'!I62</f>
        <v>3247.2</v>
      </c>
      <c r="V72">
        <f>'B.P. Coût place garderie'!J62</f>
        <v>3247.2</v>
      </c>
      <c r="W72">
        <f>'B.P. Coût place garderie'!K62</f>
        <v>3247.2</v>
      </c>
      <c r="X72">
        <f>'B.P. Coût place garderie'!L62</f>
        <v>3247.2</v>
      </c>
      <c r="Y72">
        <f>'B.P. Coût place garderie'!M62</f>
        <v>3247.2</v>
      </c>
      <c r="Z72" s="36"/>
      <c r="AA72" s="36"/>
      <c r="AB72" s="36"/>
      <c r="AC72" s="36"/>
      <c r="AD72" s="36"/>
      <c r="AE72" s="36"/>
      <c r="AF72" s="36"/>
      <c r="AG72" s="36"/>
      <c r="AH72" s="36"/>
      <c r="AI72" s="209"/>
      <c r="AJ72" s="36"/>
      <c r="AK72" s="209"/>
      <c r="AL72" s="36"/>
      <c r="AM72" s="36"/>
      <c r="AN72" s="36"/>
      <c r="AO72" s="36"/>
      <c r="AP72" s="36"/>
      <c r="AQ72" s="36"/>
      <c r="AR72" s="36"/>
      <c r="AS72" s="209"/>
      <c r="AT72" s="36"/>
      <c r="AU72" s="36"/>
      <c r="AV72" s="36"/>
      <c r="AW72" s="36"/>
      <c r="AX72" s="36"/>
      <c r="AY72" s="36"/>
      <c r="AZ72" s="36"/>
      <c r="BA72" s="36"/>
      <c r="BB72" s="36"/>
      <c r="BC72" s="36"/>
      <c r="BD72" s="36"/>
      <c r="BE72" s="36"/>
      <c r="BF72" s="36"/>
      <c r="BG72" s="36"/>
      <c r="BH72" s="36"/>
      <c r="BI72" s="36"/>
      <c r="BJ72" s="36"/>
      <c r="BK72" s="36"/>
      <c r="BL72" s="36"/>
      <c r="BM72" s="36"/>
      <c r="BN72" s="36"/>
      <c r="BO72" s="209"/>
      <c r="BP72" s="36"/>
      <c r="BQ72" s="36"/>
      <c r="BR72" s="36"/>
      <c r="BS72" s="36"/>
      <c r="BT72" s="294"/>
    </row>
    <row r="73" spans="2:72" ht="19.5" thickBot="1" x14ac:dyDescent="0.35">
      <c r="B73" s="73" t="s">
        <v>398</v>
      </c>
      <c r="C73" s="208">
        <f>C75+C76</f>
        <v>7934.5329999999994</v>
      </c>
      <c r="D73" s="208">
        <f t="shared" ref="D73:BO73" si="37">D75+D76</f>
        <v>7934.5329999999994</v>
      </c>
      <c r="E73" s="208">
        <f t="shared" si="37"/>
        <v>7934.5329999999994</v>
      </c>
      <c r="F73" s="208">
        <f t="shared" si="37"/>
        <v>24178.048721461186</v>
      </c>
      <c r="G73" s="208">
        <f t="shared" si="37"/>
        <v>24178.048721461186</v>
      </c>
      <c r="H73" s="208">
        <f t="shared" si="37"/>
        <v>24178.048721461186</v>
      </c>
      <c r="I73" s="208">
        <f t="shared" si="37"/>
        <v>24178.048721461186</v>
      </c>
      <c r="J73" s="208">
        <f t="shared" si="37"/>
        <v>30976.208547499999</v>
      </c>
      <c r="K73" s="208">
        <f t="shared" si="37"/>
        <v>30976.208547499999</v>
      </c>
      <c r="L73" s="210">
        <f t="shared" si="37"/>
        <v>50764.91106110024</v>
      </c>
      <c r="M73" s="208">
        <f t="shared" si="37"/>
        <v>50764.91106110024</v>
      </c>
      <c r="N73" s="300">
        <f t="shared" si="37"/>
        <v>51038.077162426613</v>
      </c>
      <c r="O73" s="402">
        <f t="shared" si="37"/>
        <v>60757.479530332683</v>
      </c>
      <c r="P73" s="410">
        <f t="shared" si="37"/>
        <v>60757.479530332683</v>
      </c>
      <c r="Q73" s="208">
        <f t="shared" si="37"/>
        <v>61598.478601869967</v>
      </c>
      <c r="R73" s="402">
        <f t="shared" si="37"/>
        <v>61598.478601869967</v>
      </c>
      <c r="S73" s="208">
        <f t="shared" si="37"/>
        <v>61598.478601869967</v>
      </c>
      <c r="T73" s="402">
        <f t="shared" si="37"/>
        <v>63510.621480756687</v>
      </c>
      <c r="U73" s="208">
        <f t="shared" si="37"/>
        <v>63510.621480756687</v>
      </c>
      <c r="V73" s="208">
        <f t="shared" si="37"/>
        <v>63510.621480756687</v>
      </c>
      <c r="W73" s="208">
        <f t="shared" si="37"/>
        <v>63510.621480756687</v>
      </c>
      <c r="X73" s="208">
        <f t="shared" si="37"/>
        <v>63510.621480756687</v>
      </c>
      <c r="Y73" s="208">
        <f t="shared" si="37"/>
        <v>65099.697784300937</v>
      </c>
      <c r="Z73" s="208">
        <f t="shared" si="37"/>
        <v>65099.697784300937</v>
      </c>
      <c r="AA73" s="208">
        <f t="shared" si="37"/>
        <v>65099.697784300937</v>
      </c>
      <c r="AB73" s="208">
        <f t="shared" si="37"/>
        <v>65099.697784300937</v>
      </c>
      <c r="AC73" s="208">
        <f t="shared" si="37"/>
        <v>65099.697784300937</v>
      </c>
      <c r="AD73" s="208">
        <f t="shared" si="37"/>
        <v>66365.706547075446</v>
      </c>
      <c r="AE73" s="208">
        <f t="shared" si="37"/>
        <v>66365.706547075446</v>
      </c>
      <c r="AF73" s="208">
        <f t="shared" si="37"/>
        <v>66365.706547075446</v>
      </c>
      <c r="AG73" s="208">
        <f t="shared" si="37"/>
        <v>66365.706547075446</v>
      </c>
      <c r="AH73" s="208">
        <f t="shared" si="37"/>
        <v>65524.707475538162</v>
      </c>
      <c r="AI73" s="210">
        <f t="shared" si="37"/>
        <v>66467.649662970201</v>
      </c>
      <c r="AJ73" s="208">
        <f t="shared" si="37"/>
        <v>66467.649662970201</v>
      </c>
      <c r="AK73" s="210">
        <f t="shared" si="37"/>
        <v>60114.310182648398</v>
      </c>
      <c r="AL73" s="208">
        <f t="shared" si="37"/>
        <v>60114.310182648398</v>
      </c>
      <c r="AM73" s="208">
        <f t="shared" si="37"/>
        <v>60114.310182648398</v>
      </c>
      <c r="AN73" s="208">
        <f t="shared" si="37"/>
        <v>59886.935973037616</v>
      </c>
      <c r="AO73" s="208">
        <f t="shared" si="37"/>
        <v>59886.935973037616</v>
      </c>
      <c r="AP73" s="208">
        <f t="shared" si="37"/>
        <v>59886.935973037616</v>
      </c>
      <c r="AQ73" s="208">
        <f t="shared" si="37"/>
        <v>59886.935973037616</v>
      </c>
      <c r="AR73" s="208">
        <f t="shared" si="37"/>
        <v>59886.935973037616</v>
      </c>
      <c r="AS73" s="210">
        <f t="shared" si="37"/>
        <v>45556.97784300935</v>
      </c>
      <c r="AT73" s="208">
        <f t="shared" si="37"/>
        <v>45556.97784300935</v>
      </c>
      <c r="AU73" s="208">
        <f t="shared" si="37"/>
        <v>50398.014637964778</v>
      </c>
      <c r="AV73" s="208">
        <f t="shared" si="37"/>
        <v>50398.014637964778</v>
      </c>
      <c r="AW73" s="208">
        <f t="shared" si="37"/>
        <v>50398.014637964778</v>
      </c>
      <c r="AX73" s="208">
        <f t="shared" si="37"/>
        <v>49995.679993476835</v>
      </c>
      <c r="AY73" s="208">
        <f t="shared" si="37"/>
        <v>49995.679993476835</v>
      </c>
      <c r="AZ73" s="208">
        <f t="shared" si="37"/>
        <v>49995.679993476835</v>
      </c>
      <c r="BA73" s="208">
        <f t="shared" si="37"/>
        <v>49995.679993476835</v>
      </c>
      <c r="BB73" s="208">
        <f t="shared" si="37"/>
        <v>49995.679993476835</v>
      </c>
      <c r="BC73" s="208">
        <f t="shared" si="37"/>
        <v>49505.865131550338</v>
      </c>
      <c r="BD73" s="208">
        <f t="shared" si="37"/>
        <v>49505.865131550338</v>
      </c>
      <c r="BE73" s="208">
        <f t="shared" si="37"/>
        <v>49505.865131550338</v>
      </c>
      <c r="BF73" s="208">
        <f t="shared" si="37"/>
        <v>49505.865131550338</v>
      </c>
      <c r="BG73" s="208">
        <f t="shared" si="37"/>
        <v>49505.865131550338</v>
      </c>
      <c r="BH73" s="208">
        <f t="shared" si="37"/>
        <v>48928.570052185256</v>
      </c>
      <c r="BI73" s="208">
        <f t="shared" si="37"/>
        <v>48928.570052185256</v>
      </c>
      <c r="BJ73" s="208">
        <f t="shared" si="37"/>
        <v>48928.570052185256</v>
      </c>
      <c r="BK73" s="208">
        <f t="shared" si="37"/>
        <v>48928.570052185256</v>
      </c>
      <c r="BL73" s="208">
        <f t="shared" si="37"/>
        <v>48928.570052185256</v>
      </c>
      <c r="BM73" s="208">
        <f t="shared" si="37"/>
        <v>48263.794755381605</v>
      </c>
      <c r="BN73" s="208">
        <f t="shared" si="37"/>
        <v>48263.794755381605</v>
      </c>
      <c r="BO73" s="210">
        <f t="shared" si="37"/>
        <v>31949.322398347467</v>
      </c>
      <c r="BP73" s="208">
        <f t="shared" ref="BP73:BT73" si="38">BP75+BP76</f>
        <v>31949.322398347467</v>
      </c>
      <c r="BQ73" s="208">
        <f t="shared" si="38"/>
        <v>31949.322398347467</v>
      </c>
      <c r="BR73" s="208">
        <f t="shared" si="38"/>
        <v>31780.527442922375</v>
      </c>
      <c r="BS73" s="208">
        <f t="shared" si="38"/>
        <v>31780.527442922375</v>
      </c>
      <c r="BT73" s="402">
        <f t="shared" si="38"/>
        <v>31780.527442922375</v>
      </c>
    </row>
    <row r="74" spans="2:72" s="381" customFormat="1" ht="18.75" x14ac:dyDescent="0.3">
      <c r="B74" s="379" t="s">
        <v>399</v>
      </c>
      <c r="C74" s="400"/>
      <c r="D74" s="400"/>
      <c r="E74" s="400"/>
      <c r="F74" s="383">
        <f>F12</f>
        <v>12094.661822484111</v>
      </c>
      <c r="G74" s="383">
        <f t="shared" ref="G74:K74" si="39">G12</f>
        <v>12239.184501319438</v>
      </c>
      <c r="H74" s="383">
        <f t="shared" si="39"/>
        <v>12419.384136159326</v>
      </c>
      <c r="I74" s="383">
        <f t="shared" si="39"/>
        <v>12559.604750118673</v>
      </c>
      <c r="J74" s="383">
        <f t="shared" si="39"/>
        <v>12717.666997183602</v>
      </c>
      <c r="K74" s="383">
        <f t="shared" si="39"/>
        <v>12856.075986793105</v>
      </c>
      <c r="L74" s="384">
        <v>24470</v>
      </c>
      <c r="M74" s="383">
        <v>24470</v>
      </c>
      <c r="N74" s="394">
        <v>26933</v>
      </c>
      <c r="O74" s="388">
        <v>30790</v>
      </c>
      <c r="P74" s="411">
        <v>30086</v>
      </c>
      <c r="Q74" s="383">
        <v>31501</v>
      </c>
      <c r="R74" s="388">
        <v>31501</v>
      </c>
      <c r="S74" s="383">
        <v>31501</v>
      </c>
      <c r="T74" s="388">
        <v>31501</v>
      </c>
      <c r="U74" s="383">
        <v>31501</v>
      </c>
      <c r="V74" s="383">
        <v>32028</v>
      </c>
      <c r="W74" s="383">
        <v>32028</v>
      </c>
      <c r="X74" s="383">
        <v>32028</v>
      </c>
      <c r="Y74" s="383">
        <v>32028</v>
      </c>
      <c r="Z74" s="383">
        <v>32028</v>
      </c>
      <c r="AA74" s="383">
        <v>32372</v>
      </c>
      <c r="AB74" s="383">
        <v>32372</v>
      </c>
      <c r="AC74" s="383">
        <v>32372</v>
      </c>
      <c r="AD74" s="383">
        <v>32372</v>
      </c>
      <c r="AE74" s="383">
        <v>32372</v>
      </c>
      <c r="AF74" s="383">
        <v>32532</v>
      </c>
      <c r="AG74" s="383">
        <v>32532</v>
      </c>
      <c r="AH74" s="383">
        <v>32532</v>
      </c>
      <c r="AI74" s="384">
        <v>32532</v>
      </c>
      <c r="AJ74" s="383">
        <f>AI74</f>
        <v>32532</v>
      </c>
      <c r="AK74" s="384">
        <v>27062</v>
      </c>
      <c r="AL74" s="383">
        <v>27062</v>
      </c>
      <c r="AM74" s="383">
        <v>27062</v>
      </c>
      <c r="AN74" s="383">
        <v>27062</v>
      </c>
      <c r="AO74" s="383">
        <v>27062</v>
      </c>
      <c r="AP74" s="383">
        <v>27250</v>
      </c>
      <c r="AQ74" s="383">
        <v>27250</v>
      </c>
      <c r="AR74" s="383">
        <v>27250</v>
      </c>
      <c r="AS74" s="384">
        <v>20093</v>
      </c>
      <c r="AT74" s="383">
        <v>20093</v>
      </c>
      <c r="AU74" s="383">
        <v>20366</v>
      </c>
      <c r="AV74" s="383">
        <v>20366</v>
      </c>
      <c r="AW74" s="383">
        <v>20366</v>
      </c>
      <c r="AX74" s="383">
        <v>21040</v>
      </c>
      <c r="AY74" s="383">
        <v>21040</v>
      </c>
      <c r="AZ74" s="383">
        <v>21398</v>
      </c>
      <c r="BA74" s="383">
        <v>21398</v>
      </c>
      <c r="BB74" s="383">
        <v>21398</v>
      </c>
      <c r="BC74" s="383">
        <v>21398</v>
      </c>
      <c r="BD74" s="383">
        <v>21398</v>
      </c>
      <c r="BE74" s="383">
        <v>21841</v>
      </c>
      <c r="BF74" s="383">
        <v>21841</v>
      </c>
      <c r="BG74" s="383">
        <v>21841</v>
      </c>
      <c r="BH74" s="383">
        <v>21841</v>
      </c>
      <c r="BI74" s="383">
        <v>21841</v>
      </c>
      <c r="BJ74" s="383">
        <v>22369</v>
      </c>
      <c r="BK74" s="383">
        <v>21695</v>
      </c>
      <c r="BL74" s="383">
        <v>21695</v>
      </c>
      <c r="BM74" s="383">
        <v>21695</v>
      </c>
      <c r="BN74" s="383">
        <v>21695</v>
      </c>
      <c r="BO74" s="384">
        <f t="shared" ref="BO74:BT74" si="40">BO13</f>
        <v>18640.29</v>
      </c>
      <c r="BP74" s="383">
        <f t="shared" si="40"/>
        <v>18640.29</v>
      </c>
      <c r="BQ74" s="383">
        <f t="shared" si="40"/>
        <v>18640.29</v>
      </c>
      <c r="BR74" s="383">
        <f t="shared" si="40"/>
        <v>19128.29</v>
      </c>
      <c r="BS74" s="383">
        <f t="shared" si="40"/>
        <v>19128.29</v>
      </c>
      <c r="BT74" s="388">
        <f t="shared" si="40"/>
        <v>19128.29</v>
      </c>
    </row>
    <row r="75" spans="2:72" s="35" customFormat="1" ht="18.75" x14ac:dyDescent="0.3">
      <c r="B75" s="405" t="s">
        <v>400</v>
      </c>
      <c r="C75" s="279"/>
      <c r="D75" s="279"/>
      <c r="E75" s="279"/>
      <c r="F75" s="295">
        <f>F13</f>
        <v>12431.93</v>
      </c>
      <c r="G75" s="295">
        <f t="shared" ref="G75:K75" si="41">G13</f>
        <v>12431.93</v>
      </c>
      <c r="H75" s="295">
        <f t="shared" si="41"/>
        <v>12431.93</v>
      </c>
      <c r="I75" s="295">
        <f t="shared" si="41"/>
        <v>12431.93</v>
      </c>
      <c r="J75" s="295">
        <f t="shared" si="41"/>
        <v>16021.85</v>
      </c>
      <c r="K75" s="295">
        <f t="shared" si="41"/>
        <v>16021.85</v>
      </c>
      <c r="L75" s="298">
        <v>22832.03</v>
      </c>
      <c r="M75" s="398">
        <f>L75</f>
        <v>22832.03</v>
      </c>
      <c r="N75" s="408">
        <v>24561.13</v>
      </c>
      <c r="O75" s="398">
        <v>29335.64</v>
      </c>
      <c r="P75" s="408">
        <v>29335.64</v>
      </c>
      <c r="Q75" s="295">
        <v>29542.91</v>
      </c>
      <c r="R75" s="398">
        <f t="shared" ref="R75:S76" si="42">Q75</f>
        <v>29542.91</v>
      </c>
      <c r="S75" s="295">
        <f t="shared" si="42"/>
        <v>29542.91</v>
      </c>
      <c r="T75" s="398">
        <v>30137.81</v>
      </c>
      <c r="U75" s="295">
        <f>T75</f>
        <v>30137.81</v>
      </c>
      <c r="V75" s="295">
        <f t="shared" ref="V75:X76" si="43">U75</f>
        <v>30137.81</v>
      </c>
      <c r="W75" s="295">
        <f t="shared" si="43"/>
        <v>30137.81</v>
      </c>
      <c r="X75" s="295">
        <f t="shared" si="43"/>
        <v>30137.81</v>
      </c>
      <c r="Y75" s="295">
        <v>30513.37</v>
      </c>
      <c r="Z75" s="295">
        <f>Y75</f>
        <v>30513.37</v>
      </c>
      <c r="AA75" s="295">
        <f t="shared" ref="AA75:AC76" si="44">Z75</f>
        <v>30513.37</v>
      </c>
      <c r="AB75" s="295">
        <f t="shared" si="44"/>
        <v>30513.37</v>
      </c>
      <c r="AC75" s="295">
        <f t="shared" si="44"/>
        <v>30513.37</v>
      </c>
      <c r="AD75" s="295">
        <v>30669.59</v>
      </c>
      <c r="AE75" s="295">
        <v>30669.59</v>
      </c>
      <c r="AF75" s="295">
        <f>AD75</f>
        <v>30669.59</v>
      </c>
      <c r="AG75" s="295">
        <f>AF75</f>
        <v>30669.59</v>
      </c>
      <c r="AH75" s="398">
        <v>30462.32</v>
      </c>
      <c r="AI75" s="295">
        <v>30399.200000000001</v>
      </c>
      <c r="AJ75" s="295">
        <f>AI75</f>
        <v>30399.200000000001</v>
      </c>
      <c r="AK75" s="298">
        <v>26529.47</v>
      </c>
      <c r="AL75" s="295">
        <f>AK75</f>
        <v>26529.47</v>
      </c>
      <c r="AM75" s="295">
        <f t="shared" ref="AM75" si="45">AL75</f>
        <v>26529.47</v>
      </c>
      <c r="AN75" s="295">
        <v>26337.46</v>
      </c>
      <c r="AO75" s="295">
        <f>AN75</f>
        <v>26337.46</v>
      </c>
      <c r="AP75" s="295">
        <f t="shared" ref="AP75:AR76" si="46">AO75</f>
        <v>26337.46</v>
      </c>
      <c r="AQ75" s="295">
        <f t="shared" si="46"/>
        <v>26337.46</v>
      </c>
      <c r="AR75" s="295">
        <f t="shared" si="46"/>
        <v>26337.46</v>
      </c>
      <c r="AS75" s="298">
        <v>19238.900000000001</v>
      </c>
      <c r="AT75" s="295">
        <f>AS75</f>
        <v>19238.900000000001</v>
      </c>
      <c r="AU75" s="295">
        <v>21018.68</v>
      </c>
      <c r="AV75" s="295">
        <f>AU75</f>
        <v>21018.68</v>
      </c>
      <c r="AW75" s="295">
        <f t="shared" ref="AW75:AW76" si="47">AV75</f>
        <v>21018.68</v>
      </c>
      <c r="AX75" s="295">
        <v>20893.71</v>
      </c>
      <c r="AY75" s="295">
        <f>AX75</f>
        <v>20893.71</v>
      </c>
      <c r="AZ75" s="295">
        <f t="shared" ref="AZ75:BB76" si="48">AY75</f>
        <v>20893.71</v>
      </c>
      <c r="BA75" s="295">
        <f t="shared" si="48"/>
        <v>20893.71</v>
      </c>
      <c r="BB75" s="295">
        <f t="shared" si="48"/>
        <v>20893.71</v>
      </c>
      <c r="BC75" s="295">
        <v>20802.259999999998</v>
      </c>
      <c r="BD75" s="295">
        <f>BC75</f>
        <v>20802.259999999998</v>
      </c>
      <c r="BE75" s="295">
        <f t="shared" ref="BE75:BG76" si="49">BD75</f>
        <v>20802.259999999998</v>
      </c>
      <c r="BF75" s="295">
        <f t="shared" si="49"/>
        <v>20802.259999999998</v>
      </c>
      <c r="BG75" s="295">
        <f t="shared" si="49"/>
        <v>20802.259999999998</v>
      </c>
      <c r="BH75" s="295">
        <v>20744.330000000002</v>
      </c>
      <c r="BI75" s="295">
        <f>BH75</f>
        <v>20744.330000000002</v>
      </c>
      <c r="BJ75" s="295">
        <f t="shared" ref="BJ75:BL76" si="50">BI75</f>
        <v>20744.330000000002</v>
      </c>
      <c r="BK75" s="295">
        <f t="shared" si="50"/>
        <v>20744.330000000002</v>
      </c>
      <c r="BL75" s="295">
        <f t="shared" si="50"/>
        <v>20744.330000000002</v>
      </c>
      <c r="BM75" s="295">
        <v>20719.919999999998</v>
      </c>
      <c r="BN75" s="295">
        <f>BM75</f>
        <v>20719.919999999998</v>
      </c>
      <c r="BO75" s="298">
        <f>BO13</f>
        <v>18640.29</v>
      </c>
      <c r="BP75" s="295">
        <f t="shared" ref="BP75:BT76" si="51">BP13</f>
        <v>18640.29</v>
      </c>
      <c r="BQ75" s="295">
        <f t="shared" si="51"/>
        <v>18640.29</v>
      </c>
      <c r="BR75" s="295">
        <f t="shared" si="51"/>
        <v>19128.29</v>
      </c>
      <c r="BS75" s="295">
        <f t="shared" si="51"/>
        <v>19128.29</v>
      </c>
      <c r="BT75" s="398">
        <f t="shared" si="51"/>
        <v>19128.29</v>
      </c>
    </row>
    <row r="76" spans="2:72" s="35" customFormat="1" ht="18.75" x14ac:dyDescent="0.3">
      <c r="B76" s="405" t="s">
        <v>401</v>
      </c>
      <c r="C76" s="295">
        <f>C14</f>
        <v>7934.5329999999994</v>
      </c>
      <c r="D76" s="295">
        <f t="shared" ref="D76:K76" si="52">D14</f>
        <v>7934.5329999999994</v>
      </c>
      <c r="E76" s="295">
        <f t="shared" si="52"/>
        <v>7934.5329999999994</v>
      </c>
      <c r="F76" s="295">
        <f t="shared" si="52"/>
        <v>11746.118721461187</v>
      </c>
      <c r="G76" s="295">
        <f t="shared" si="52"/>
        <v>11746.118721461187</v>
      </c>
      <c r="H76" s="295">
        <f t="shared" si="52"/>
        <v>11746.118721461187</v>
      </c>
      <c r="I76" s="295">
        <f t="shared" si="52"/>
        <v>11746.118721461187</v>
      </c>
      <c r="J76" s="295">
        <f t="shared" si="52"/>
        <v>14954.358547499998</v>
      </c>
      <c r="K76" s="295">
        <f t="shared" si="52"/>
        <v>14954.358547499998</v>
      </c>
      <c r="L76" s="298">
        <f>32115.83/(1+0.14975)</f>
        <v>27932.881061100241</v>
      </c>
      <c r="M76" s="295">
        <f>L76</f>
        <v>27932.881061100241</v>
      </c>
      <c r="N76" s="409">
        <f>30441.87/(1+0.14975)</f>
        <v>26476.947162426612</v>
      </c>
      <c r="O76" s="398">
        <f>36127.26/(1+0.14975)</f>
        <v>31421.83953033268</v>
      </c>
      <c r="P76" s="408">
        <f>36127.26/(1+0.14975)</f>
        <v>31421.83953033268</v>
      </c>
      <c r="Q76" s="295">
        <f>36855.89/(1+0.14975)</f>
        <v>32055.568601869971</v>
      </c>
      <c r="R76" s="398">
        <f t="shared" si="42"/>
        <v>32055.568601869971</v>
      </c>
      <c r="S76" s="295">
        <f t="shared" si="42"/>
        <v>32055.568601869971</v>
      </c>
      <c r="T76" s="398">
        <f>38370.39/(1+0.14975)</f>
        <v>33372.811480756682</v>
      </c>
      <c r="U76" s="295">
        <f>T76</f>
        <v>33372.811480756682</v>
      </c>
      <c r="V76" s="295">
        <f t="shared" si="43"/>
        <v>33372.811480756682</v>
      </c>
      <c r="W76" s="295">
        <f t="shared" si="43"/>
        <v>33372.811480756682</v>
      </c>
      <c r="X76" s="295">
        <f t="shared" si="43"/>
        <v>33372.811480756682</v>
      </c>
      <c r="Y76" s="295">
        <f>39765.63037/(1+0.14975)</f>
        <v>34586.327784300935</v>
      </c>
      <c r="Z76" s="295">
        <f>Y76</f>
        <v>34586.327784300935</v>
      </c>
      <c r="AA76" s="295">
        <f t="shared" si="44"/>
        <v>34586.327784300935</v>
      </c>
      <c r="AB76" s="295">
        <f t="shared" si="44"/>
        <v>34586.327784300935</v>
      </c>
      <c r="AC76" s="295">
        <f t="shared" si="44"/>
        <v>34586.327784300935</v>
      </c>
      <c r="AD76" s="295">
        <f>41041.61/(1+0.14975)</f>
        <v>35696.116547075449</v>
      </c>
      <c r="AE76" s="295">
        <f>41041.61/(1+0.14975)</f>
        <v>35696.116547075449</v>
      </c>
      <c r="AF76" s="295">
        <f>AD76</f>
        <v>35696.116547075449</v>
      </c>
      <c r="AG76" s="295">
        <f>AF76</f>
        <v>35696.116547075449</v>
      </c>
      <c r="AH76" s="295">
        <f>40312.98/(1+0.14975)</f>
        <v>35062.387475538162</v>
      </c>
      <c r="AI76" s="298">
        <f>41469.7/(1+0.14975)</f>
        <v>36068.449662970204</v>
      </c>
      <c r="AJ76" s="295">
        <f>AI76</f>
        <v>36068.449662970204</v>
      </c>
      <c r="AK76" s="298">
        <f>38614.17/(1+0.14975)</f>
        <v>33584.840182648397</v>
      </c>
      <c r="AL76" s="295">
        <f>AK76</f>
        <v>33584.840182648397</v>
      </c>
      <c r="AM76" s="295">
        <f>AL76</f>
        <v>33584.840182648397</v>
      </c>
      <c r="AN76" s="295">
        <f>38573.51/(1+0.14975)</f>
        <v>33549.475973037617</v>
      </c>
      <c r="AO76" s="295">
        <f>AN76</f>
        <v>33549.475973037617</v>
      </c>
      <c r="AP76" s="295">
        <f t="shared" si="46"/>
        <v>33549.475973037617</v>
      </c>
      <c r="AQ76" s="295">
        <f t="shared" si="46"/>
        <v>33549.475973037617</v>
      </c>
      <c r="AR76" s="398">
        <f t="shared" si="46"/>
        <v>33549.475973037617</v>
      </c>
      <c r="AS76" s="295">
        <f>30259.21/(1+0.14975)</f>
        <v>26318.077843009349</v>
      </c>
      <c r="AT76" s="295">
        <f>AS76</f>
        <v>26318.077843009349</v>
      </c>
      <c r="AU76" s="295">
        <f>33778.89/(1+0.14975)</f>
        <v>29379.334637964774</v>
      </c>
      <c r="AV76" s="295">
        <f>AU76</f>
        <v>29379.334637964774</v>
      </c>
      <c r="AW76" s="295">
        <f t="shared" si="47"/>
        <v>29379.334637964774</v>
      </c>
      <c r="AX76" s="295">
        <f>33459.99/(1+0.14975)</f>
        <v>29101.96999347684</v>
      </c>
      <c r="AY76" s="295">
        <f>AX76</f>
        <v>29101.96999347684</v>
      </c>
      <c r="AZ76" s="295">
        <f t="shared" si="48"/>
        <v>29101.96999347684</v>
      </c>
      <c r="BA76" s="295">
        <f t="shared" si="48"/>
        <v>29101.96999347684</v>
      </c>
      <c r="BB76" s="295">
        <f t="shared" si="48"/>
        <v>29101.96999347684</v>
      </c>
      <c r="BC76" s="295">
        <f>33001.97/(1+0.14975)</f>
        <v>28703.605131550335</v>
      </c>
      <c r="BD76" s="295">
        <f>BC76</f>
        <v>28703.605131550335</v>
      </c>
      <c r="BE76" s="295">
        <f t="shared" si="49"/>
        <v>28703.605131550335</v>
      </c>
      <c r="BF76" s="295">
        <f t="shared" si="49"/>
        <v>28703.605131550335</v>
      </c>
      <c r="BG76" s="295">
        <f t="shared" si="49"/>
        <v>28703.605131550335</v>
      </c>
      <c r="BH76" s="295">
        <f>32404.83/(1+0.14975)</f>
        <v>28184.240052185258</v>
      </c>
      <c r="BI76" s="295">
        <f>BH76</f>
        <v>28184.240052185258</v>
      </c>
      <c r="BJ76" s="295">
        <f t="shared" si="50"/>
        <v>28184.240052185258</v>
      </c>
      <c r="BK76" s="295">
        <f t="shared" si="50"/>
        <v>28184.240052185258</v>
      </c>
      <c r="BL76" s="295">
        <f t="shared" si="50"/>
        <v>28184.240052185258</v>
      </c>
      <c r="BM76" s="295">
        <f>31668.57/(1+0.14975)</f>
        <v>27543.874755381603</v>
      </c>
      <c r="BN76" s="398">
        <f>BM76</f>
        <v>27543.874755381603</v>
      </c>
      <c r="BO76" s="295">
        <f>BO14</f>
        <v>13309.032398347466</v>
      </c>
      <c r="BP76" s="295">
        <f t="shared" si="51"/>
        <v>13309.032398347466</v>
      </c>
      <c r="BQ76" s="295">
        <f t="shared" si="51"/>
        <v>13309.032398347466</v>
      </c>
      <c r="BR76" s="295">
        <f t="shared" si="51"/>
        <v>12652.237442922375</v>
      </c>
      <c r="BS76" s="295">
        <f t="shared" si="51"/>
        <v>12652.237442922375</v>
      </c>
      <c r="BT76" s="398">
        <f t="shared" si="51"/>
        <v>12652.237442922375</v>
      </c>
    </row>
    <row r="77" spans="2:72" s="385" customFormat="1" ht="18.75" x14ac:dyDescent="0.3">
      <c r="B77" s="382" t="s">
        <v>402</v>
      </c>
      <c r="C77" s="383">
        <f>C78/0.14975</f>
        <v>7805.1336354616096</v>
      </c>
      <c r="D77" s="383">
        <f t="shared" ref="D77:K77" si="53">D15</f>
        <v>7805.1336354616096</v>
      </c>
      <c r="E77" s="383">
        <f t="shared" si="53"/>
        <v>7805.1336354616096</v>
      </c>
      <c r="F77" s="383">
        <f t="shared" si="53"/>
        <v>12215.424709003872</v>
      </c>
      <c r="G77" s="383">
        <f t="shared" si="53"/>
        <v>12361.390419163257</v>
      </c>
      <c r="H77" s="383">
        <f t="shared" si="53"/>
        <v>12543.389312913601</v>
      </c>
      <c r="I77" s="383">
        <f t="shared" si="53"/>
        <v>12685.010002901518</v>
      </c>
      <c r="J77" s="383">
        <f t="shared" si="53"/>
        <v>12844.650471291317</v>
      </c>
      <c r="K77" s="383">
        <f t="shared" si="53"/>
        <v>12984.441448206531</v>
      </c>
      <c r="L77" s="384">
        <f t="shared" ref="L77:BN77" si="54">L78/0.14975</f>
        <v>25974.716107103912</v>
      </c>
      <c r="M77" s="383">
        <f t="shared" si="54"/>
        <v>25760.925225097453</v>
      </c>
      <c r="N77" s="394">
        <f t="shared" si="54"/>
        <v>35588.142487248064</v>
      </c>
      <c r="O77" s="383">
        <f t="shared" si="54"/>
        <v>29381.321606706868</v>
      </c>
      <c r="P77" s="394">
        <f t="shared" si="54"/>
        <v>37533.641386171155</v>
      </c>
      <c r="Q77" s="383">
        <f t="shared" si="54"/>
        <v>31838.294759641009</v>
      </c>
      <c r="R77" s="388">
        <f t="shared" si="54"/>
        <v>31937.126151319724</v>
      </c>
      <c r="S77" s="383">
        <f t="shared" si="54"/>
        <v>32525.307088410191</v>
      </c>
      <c r="T77" s="388">
        <f t="shared" si="54"/>
        <v>32424.904296440698</v>
      </c>
      <c r="U77" s="383">
        <f t="shared" si="54"/>
        <v>33283.867908335837</v>
      </c>
      <c r="V77" s="383">
        <f t="shared" si="54"/>
        <v>33169.879470391927</v>
      </c>
      <c r="W77" s="383">
        <f t="shared" si="54"/>
        <v>33209.616821361611</v>
      </c>
      <c r="X77" s="383">
        <f t="shared" si="54"/>
        <v>33332.131043094363</v>
      </c>
      <c r="Y77" s="383">
        <f t="shared" si="54"/>
        <v>33454.874286925602</v>
      </c>
      <c r="Z77" s="383">
        <f t="shared" si="54"/>
        <v>34333.10135193829</v>
      </c>
      <c r="AA77" s="383">
        <f t="shared" si="54"/>
        <v>34333.10135193829</v>
      </c>
      <c r="AB77" s="383">
        <f t="shared" si="54"/>
        <v>34333.10135193829</v>
      </c>
      <c r="AC77" s="383">
        <f t="shared" si="54"/>
        <v>34333.10135193829</v>
      </c>
      <c r="AD77" s="383">
        <f t="shared" si="54"/>
        <v>34333.10135193829</v>
      </c>
      <c r="AE77" s="383">
        <f t="shared" si="54"/>
        <v>34333.10135193829</v>
      </c>
      <c r="AF77" s="383">
        <f t="shared" si="54"/>
        <v>34333.10135193829</v>
      </c>
      <c r="AG77" s="383">
        <f t="shared" si="54"/>
        <v>34333.10135193829</v>
      </c>
      <c r="AH77" s="383">
        <f>AG77</f>
        <v>34333.10135193829</v>
      </c>
      <c r="AI77" s="384">
        <f t="shared" si="54"/>
        <v>32292.821097901993</v>
      </c>
      <c r="AJ77" s="383">
        <f t="shared" si="54"/>
        <v>32292.821097901993</v>
      </c>
      <c r="AK77" s="384">
        <f t="shared" si="54"/>
        <v>30252.540843865692</v>
      </c>
      <c r="AL77" s="383">
        <f t="shared" si="54"/>
        <v>30252.540843865692</v>
      </c>
      <c r="AM77" s="383">
        <f t="shared" si="54"/>
        <v>30252.540843865692</v>
      </c>
      <c r="AN77" s="383">
        <f t="shared" si="54"/>
        <v>30252.540843865692</v>
      </c>
      <c r="AO77" s="383">
        <f t="shared" si="54"/>
        <v>30252.540843865692</v>
      </c>
      <c r="AP77" s="383">
        <f t="shared" si="54"/>
        <v>30252.540843865692</v>
      </c>
      <c r="AQ77" s="383">
        <f t="shared" si="54"/>
        <v>30252.540843865692</v>
      </c>
      <c r="AR77" s="383">
        <f t="shared" si="54"/>
        <v>30252.540843865692</v>
      </c>
      <c r="AS77" s="384">
        <f t="shared" si="54"/>
        <v>26923.522976793105</v>
      </c>
      <c r="AT77" s="383">
        <f t="shared" si="54"/>
        <v>26923.522976793105</v>
      </c>
      <c r="AU77" s="383">
        <f t="shared" si="54"/>
        <v>29407.163464709498</v>
      </c>
      <c r="AV77" s="383">
        <f t="shared" si="54"/>
        <v>29407.163464709498</v>
      </c>
      <c r="AW77" s="383">
        <f t="shared" si="54"/>
        <v>29407.163464709498</v>
      </c>
      <c r="AX77" s="383">
        <f t="shared" si="54"/>
        <v>28913.830477913802</v>
      </c>
      <c r="AY77" s="383">
        <f t="shared" si="54"/>
        <v>28913.830477913802</v>
      </c>
      <c r="AZ77" s="383">
        <f t="shared" si="54"/>
        <v>28913.830477913802</v>
      </c>
      <c r="BA77" s="383">
        <f t="shared" si="54"/>
        <v>28913.830477913802</v>
      </c>
      <c r="BB77" s="383">
        <f t="shared" si="54"/>
        <v>28913.830477913802</v>
      </c>
      <c r="BC77" s="383">
        <f t="shared" si="54"/>
        <v>28913.830477913802</v>
      </c>
      <c r="BD77" s="383">
        <f t="shared" si="54"/>
        <v>28913.830477913802</v>
      </c>
      <c r="BE77" s="383">
        <f t="shared" si="54"/>
        <v>28913.830477913802</v>
      </c>
      <c r="BF77" s="383">
        <f t="shared" si="54"/>
        <v>28913.830477913802</v>
      </c>
      <c r="BG77" s="383">
        <f t="shared" si="54"/>
        <v>28913.830477913802</v>
      </c>
      <c r="BH77" s="383">
        <f t="shared" si="54"/>
        <v>28913.830477913802</v>
      </c>
      <c r="BI77" s="383">
        <f t="shared" si="54"/>
        <v>28913.830477913802</v>
      </c>
      <c r="BJ77" s="383">
        <f t="shared" si="54"/>
        <v>28913.830477913802</v>
      </c>
      <c r="BK77" s="383">
        <f t="shared" si="54"/>
        <v>28362.876421494002</v>
      </c>
      <c r="BL77" s="383">
        <f t="shared" si="54"/>
        <v>24302.90375235086</v>
      </c>
      <c r="BM77" s="383">
        <f t="shared" si="54"/>
        <v>24302.90375235086</v>
      </c>
      <c r="BN77" s="383">
        <f t="shared" si="54"/>
        <v>24302.90375235086</v>
      </c>
      <c r="BO77" s="384">
        <f t="shared" ref="BO77:BT77" si="55">BO15</f>
        <v>14608.076828505398</v>
      </c>
      <c r="BP77" s="383">
        <f t="shared" si="55"/>
        <v>14608.076828505398</v>
      </c>
      <c r="BQ77" s="383">
        <f t="shared" si="55"/>
        <v>14608.076828505398</v>
      </c>
      <c r="BR77" s="383">
        <f t="shared" si="55"/>
        <v>14608.076828505398</v>
      </c>
      <c r="BS77" s="383">
        <f t="shared" si="55"/>
        <v>14608.076828505398</v>
      </c>
      <c r="BT77" s="388">
        <f t="shared" si="55"/>
        <v>14608.076828505398</v>
      </c>
    </row>
    <row r="78" spans="2:72" s="383" customFormat="1" ht="18.75" x14ac:dyDescent="0.3">
      <c r="B78" s="382" t="s">
        <v>403</v>
      </c>
      <c r="C78" s="383">
        <f t="shared" ref="C78:K78" si="56">C16</f>
        <v>1168.818761910376</v>
      </c>
      <c r="D78" s="383">
        <f t="shared" si="56"/>
        <v>1168.818761910376</v>
      </c>
      <c r="E78" s="383">
        <f t="shared" si="56"/>
        <v>1168.818761910376</v>
      </c>
      <c r="F78" s="383">
        <f t="shared" si="56"/>
        <v>1829.2598501733296</v>
      </c>
      <c r="G78" s="383">
        <f t="shared" si="56"/>
        <v>1851.1182152696977</v>
      </c>
      <c r="H78" s="383">
        <f t="shared" si="56"/>
        <v>1878.3725496088116</v>
      </c>
      <c r="I78" s="383">
        <f t="shared" si="56"/>
        <v>1899.580247934502</v>
      </c>
      <c r="J78" s="383">
        <f t="shared" si="56"/>
        <v>1923.4864080758746</v>
      </c>
      <c r="K78" s="383">
        <f t="shared" si="56"/>
        <v>1944.4201068689279</v>
      </c>
      <c r="L78" s="384">
        <f>'Taxes consommation - détail'!J79</f>
        <v>3889.7137370388109</v>
      </c>
      <c r="M78" s="383">
        <f>'Taxes consommation - détail'!J80</f>
        <v>3857.6985524583433</v>
      </c>
      <c r="N78" s="394">
        <f>'Taxes consommation - détail'!F75</f>
        <v>5329.3243374653975</v>
      </c>
      <c r="O78" s="383">
        <f>'Taxes consommation - détail'!F82</f>
        <v>4399.8529106043534</v>
      </c>
      <c r="P78" s="394">
        <f>'Taxes consommation - détail'!B77</f>
        <v>5620.6627975791307</v>
      </c>
      <c r="Q78" s="383">
        <f>'Taxes consommation - détail'!B84</f>
        <v>4767.7846402562409</v>
      </c>
      <c r="R78" s="383">
        <f>'Taxes consommation - détail'!B85</f>
        <v>4782.5846411601287</v>
      </c>
      <c r="S78" s="384">
        <f>'Taxes consommation - détail'!C86</f>
        <v>4870.6647364894261</v>
      </c>
      <c r="T78" s="388">
        <f>'Taxes consommation - détail'!C87</f>
        <v>4855.6294183919945</v>
      </c>
      <c r="U78" s="383">
        <f>'Taxes consommation - détail'!E88</f>
        <v>4984.2592192732909</v>
      </c>
      <c r="V78" s="383">
        <f>'Taxes consommation - détail'!E89</f>
        <v>4967.1894506911904</v>
      </c>
      <c r="W78" s="383">
        <f>'Taxes consommation - détail'!E90</f>
        <v>4973.140118998901</v>
      </c>
      <c r="X78" s="383">
        <f>'Taxes consommation - détail'!E91</f>
        <v>4991.4866237033802</v>
      </c>
      <c r="Y78" s="383">
        <f>'Taxes consommation - détail'!E92</f>
        <v>5009.8674244671092</v>
      </c>
      <c r="Z78" s="383">
        <f>'Taxes consommation - détail'!$E$93</f>
        <v>5141.3819274527586</v>
      </c>
      <c r="AA78" s="383">
        <f>'Taxes consommation - détail'!$E$93</f>
        <v>5141.3819274527586</v>
      </c>
      <c r="AB78" s="383">
        <f>'Taxes consommation - détail'!$E$93</f>
        <v>5141.3819274527586</v>
      </c>
      <c r="AC78" s="383">
        <f>'Taxes consommation - détail'!$E$93</f>
        <v>5141.3819274527586</v>
      </c>
      <c r="AD78" s="383">
        <f>'Taxes consommation - détail'!$E$93</f>
        <v>5141.3819274527586</v>
      </c>
      <c r="AE78" s="383">
        <f>'Taxes consommation - détail'!E93</f>
        <v>5141.3819274527586</v>
      </c>
      <c r="AF78" s="383">
        <f>AE78</f>
        <v>5141.3819274527586</v>
      </c>
      <c r="AG78" s="383">
        <f>AF78</f>
        <v>5141.3819274527586</v>
      </c>
      <c r="AH78" s="383">
        <f>AG78</f>
        <v>5141.3819274527586</v>
      </c>
      <c r="AI78" s="384">
        <f>'Taxes consommation - détail'!D93</f>
        <v>4835.8499594108234</v>
      </c>
      <c r="AJ78" s="383">
        <f>AI78</f>
        <v>4835.8499594108234</v>
      </c>
      <c r="AK78" s="384">
        <f>'Taxes consommation - détail'!$J$93</f>
        <v>4530.3179913688873</v>
      </c>
      <c r="AL78" s="383">
        <f>'Taxes consommation - détail'!$J$93</f>
        <v>4530.3179913688873</v>
      </c>
      <c r="AM78" s="383">
        <f>'Taxes consommation - détail'!$J$93</f>
        <v>4530.3179913688873</v>
      </c>
      <c r="AN78" s="383">
        <f>'Taxes consommation - détail'!$J$93</f>
        <v>4530.3179913688873</v>
      </c>
      <c r="AO78" s="383">
        <f>'Taxes consommation - détail'!$J$93</f>
        <v>4530.3179913688873</v>
      </c>
      <c r="AP78" s="383">
        <f>'Taxes consommation - détail'!$J$93</f>
        <v>4530.3179913688873</v>
      </c>
      <c r="AQ78" s="383">
        <f>'Taxes consommation - détail'!$J$93</f>
        <v>4530.3179913688873</v>
      </c>
      <c r="AR78" s="383">
        <f>'Taxes consommation - détail'!$J$93</f>
        <v>4530.3179913688873</v>
      </c>
      <c r="AS78" s="384">
        <f>'Taxes consommation - détail'!L74</f>
        <v>4031.7975657747675</v>
      </c>
      <c r="AT78" s="383">
        <f>AS78</f>
        <v>4031.7975657747675</v>
      </c>
      <c r="AU78" s="383">
        <f>'Taxes consommation - détail'!L69</f>
        <v>4403.7227288402473</v>
      </c>
      <c r="AV78" s="383">
        <f>AU78</f>
        <v>4403.7227288402473</v>
      </c>
      <c r="AW78" s="383">
        <f>AV78</f>
        <v>4403.7227288402473</v>
      </c>
      <c r="AX78" s="383">
        <f>'Taxes consommation - détail'!L55</f>
        <v>4329.8461140675918</v>
      </c>
      <c r="AY78" s="383">
        <f t="shared" ref="AY78:BJ78" si="57">AX78</f>
        <v>4329.8461140675918</v>
      </c>
      <c r="AZ78" s="383">
        <f t="shared" si="57"/>
        <v>4329.8461140675918</v>
      </c>
      <c r="BA78" s="383">
        <f t="shared" si="57"/>
        <v>4329.8461140675918</v>
      </c>
      <c r="BB78" s="383">
        <f t="shared" si="57"/>
        <v>4329.8461140675918</v>
      </c>
      <c r="BC78" s="383">
        <f t="shared" si="57"/>
        <v>4329.8461140675918</v>
      </c>
      <c r="BD78" s="383">
        <f t="shared" si="57"/>
        <v>4329.8461140675918</v>
      </c>
      <c r="BE78" s="383">
        <f t="shared" si="57"/>
        <v>4329.8461140675918</v>
      </c>
      <c r="BF78" s="383">
        <f t="shared" si="57"/>
        <v>4329.8461140675918</v>
      </c>
      <c r="BG78" s="383">
        <f t="shared" si="57"/>
        <v>4329.8461140675918</v>
      </c>
      <c r="BH78" s="383">
        <f t="shared" si="57"/>
        <v>4329.8461140675918</v>
      </c>
      <c r="BI78" s="383">
        <f t="shared" si="57"/>
        <v>4329.8461140675918</v>
      </c>
      <c r="BJ78" s="383">
        <f t="shared" si="57"/>
        <v>4329.8461140675918</v>
      </c>
      <c r="BK78" s="383">
        <f>'Taxes consommation - détail'!L53</f>
        <v>4247.3407441187264</v>
      </c>
      <c r="BL78" s="383">
        <f>'Taxes consommation - détail'!L52</f>
        <v>3639.3598369145411</v>
      </c>
      <c r="BM78" s="383">
        <f>BL78</f>
        <v>3639.3598369145411</v>
      </c>
      <c r="BN78" s="383">
        <f>BM78</f>
        <v>3639.3598369145411</v>
      </c>
      <c r="BO78" s="384">
        <f>'Taxes consommation - détail'!I52</f>
        <v>2187.5595050686834</v>
      </c>
      <c r="BP78" s="383">
        <f>BO78</f>
        <v>2187.5595050686834</v>
      </c>
      <c r="BQ78" s="383">
        <f>BP78</f>
        <v>2187.5595050686834</v>
      </c>
      <c r="BR78" s="383">
        <f>BQ78</f>
        <v>2187.5595050686834</v>
      </c>
      <c r="BS78" s="383">
        <f>BR78</f>
        <v>2187.5595050686834</v>
      </c>
      <c r="BT78" s="388">
        <f>BS78</f>
        <v>2187.5595050686834</v>
      </c>
    </row>
    <row r="79" spans="2:72" s="36" customFormat="1" x14ac:dyDescent="0.25">
      <c r="B79" s="204" t="s">
        <v>404</v>
      </c>
      <c r="C79" s="36">
        <f t="shared" ref="C79:K79" si="58">C17</f>
        <v>396.72665000000001</v>
      </c>
      <c r="D79" s="36">
        <f t="shared" si="58"/>
        <v>396.72665000000001</v>
      </c>
      <c r="E79" s="36">
        <f t="shared" si="58"/>
        <v>396.72665000000001</v>
      </c>
      <c r="F79" s="36">
        <f t="shared" si="58"/>
        <v>587.30593607305934</v>
      </c>
      <c r="G79" s="36">
        <f t="shared" si="58"/>
        <v>587.30593607305934</v>
      </c>
      <c r="H79" s="36">
        <f t="shared" si="58"/>
        <v>587.30593607305934</v>
      </c>
      <c r="I79" s="36">
        <f t="shared" si="58"/>
        <v>587.30593607305934</v>
      </c>
      <c r="J79" s="36">
        <f t="shared" si="58"/>
        <v>747.71792737499993</v>
      </c>
      <c r="K79" s="36">
        <f t="shared" si="58"/>
        <v>747.71792737499993</v>
      </c>
      <c r="L79" s="209">
        <f>L76*0.05</f>
        <v>1396.6440530550121</v>
      </c>
      <c r="M79" s="36">
        <f t="shared" ref="M79:BT79" si="59">M76*0.05</f>
        <v>1396.6440530550121</v>
      </c>
      <c r="N79" s="234">
        <f t="shared" si="59"/>
        <v>1323.8473581213307</v>
      </c>
      <c r="O79" s="36">
        <f t="shared" si="59"/>
        <v>1571.0919765166341</v>
      </c>
      <c r="P79" s="234">
        <f t="shared" si="59"/>
        <v>1571.0919765166341</v>
      </c>
      <c r="Q79" s="36">
        <f t="shared" si="59"/>
        <v>1602.7784300934986</v>
      </c>
      <c r="R79" s="36">
        <f t="shared" si="59"/>
        <v>1602.7784300934986</v>
      </c>
      <c r="S79" s="209">
        <f t="shared" si="59"/>
        <v>1602.7784300934986</v>
      </c>
      <c r="T79" s="36">
        <f t="shared" si="59"/>
        <v>1668.6405740378341</v>
      </c>
      <c r="U79" s="209">
        <f t="shared" si="59"/>
        <v>1668.6405740378341</v>
      </c>
      <c r="V79" s="36">
        <f t="shared" si="59"/>
        <v>1668.6405740378341</v>
      </c>
      <c r="W79" s="36">
        <f t="shared" si="59"/>
        <v>1668.6405740378341</v>
      </c>
      <c r="X79" s="36">
        <f t="shared" si="59"/>
        <v>1668.6405740378341</v>
      </c>
      <c r="Y79" s="36">
        <f t="shared" si="59"/>
        <v>1729.3163892150469</v>
      </c>
      <c r="Z79" s="36">
        <f t="shared" si="59"/>
        <v>1729.3163892150469</v>
      </c>
      <c r="AA79" s="36">
        <f t="shared" si="59"/>
        <v>1729.3163892150469</v>
      </c>
      <c r="AB79" s="36">
        <f t="shared" si="59"/>
        <v>1729.3163892150469</v>
      </c>
      <c r="AC79" s="36">
        <f t="shared" si="59"/>
        <v>1729.3163892150469</v>
      </c>
      <c r="AD79" s="36">
        <f t="shared" si="59"/>
        <v>1784.8058273537727</v>
      </c>
      <c r="AE79" s="36">
        <f t="shared" si="59"/>
        <v>1784.8058273537727</v>
      </c>
      <c r="AF79" s="36">
        <f t="shared" si="59"/>
        <v>1784.8058273537727</v>
      </c>
      <c r="AG79" s="36">
        <f t="shared" si="59"/>
        <v>1784.8058273537727</v>
      </c>
      <c r="AH79" s="36">
        <f t="shared" si="59"/>
        <v>1753.1193737769081</v>
      </c>
      <c r="AI79" s="209">
        <f t="shared" si="59"/>
        <v>1803.4224831485103</v>
      </c>
      <c r="AJ79" s="36">
        <f t="shared" si="59"/>
        <v>1803.4224831485103</v>
      </c>
      <c r="AK79" s="209">
        <f t="shared" si="59"/>
        <v>1679.24200913242</v>
      </c>
      <c r="AL79" s="36">
        <f t="shared" si="59"/>
        <v>1679.24200913242</v>
      </c>
      <c r="AM79" s="36">
        <f t="shared" si="59"/>
        <v>1679.24200913242</v>
      </c>
      <c r="AN79" s="36">
        <f t="shared" si="59"/>
        <v>1677.473798651881</v>
      </c>
      <c r="AO79" s="36">
        <f t="shared" si="59"/>
        <v>1677.473798651881</v>
      </c>
      <c r="AP79" s="36">
        <f t="shared" si="59"/>
        <v>1677.473798651881</v>
      </c>
      <c r="AQ79" s="36">
        <f t="shared" si="59"/>
        <v>1677.473798651881</v>
      </c>
      <c r="AR79" s="36">
        <f t="shared" si="59"/>
        <v>1677.473798651881</v>
      </c>
      <c r="AS79" s="209">
        <f t="shared" si="59"/>
        <v>1315.9038921504675</v>
      </c>
      <c r="AT79" s="36">
        <f t="shared" si="59"/>
        <v>1315.9038921504675</v>
      </c>
      <c r="AU79" s="36">
        <f t="shared" si="59"/>
        <v>1468.9667318982388</v>
      </c>
      <c r="AV79" s="36">
        <f t="shared" si="59"/>
        <v>1468.9667318982388</v>
      </c>
      <c r="AW79" s="36">
        <f t="shared" si="59"/>
        <v>1468.9667318982388</v>
      </c>
      <c r="AX79" s="36">
        <f t="shared" si="59"/>
        <v>1455.0984996738421</v>
      </c>
      <c r="AY79" s="36">
        <f t="shared" si="59"/>
        <v>1455.0984996738421</v>
      </c>
      <c r="AZ79" s="36">
        <f t="shared" si="59"/>
        <v>1455.0984996738421</v>
      </c>
      <c r="BA79" s="36">
        <f t="shared" si="59"/>
        <v>1455.0984996738421</v>
      </c>
      <c r="BB79" s="36">
        <f t="shared" si="59"/>
        <v>1455.0984996738421</v>
      </c>
      <c r="BC79" s="36">
        <f t="shared" si="59"/>
        <v>1435.180256577517</v>
      </c>
      <c r="BD79" s="36">
        <f t="shared" si="59"/>
        <v>1435.180256577517</v>
      </c>
      <c r="BE79" s="36">
        <f t="shared" si="59"/>
        <v>1435.180256577517</v>
      </c>
      <c r="BF79" s="36">
        <f t="shared" si="59"/>
        <v>1435.180256577517</v>
      </c>
      <c r="BG79" s="36">
        <f t="shared" si="59"/>
        <v>1435.180256577517</v>
      </c>
      <c r="BH79" s="36">
        <f t="shared" si="59"/>
        <v>1409.212002609263</v>
      </c>
      <c r="BI79" s="36">
        <f t="shared" si="59"/>
        <v>1409.212002609263</v>
      </c>
      <c r="BJ79" s="36">
        <f t="shared" si="59"/>
        <v>1409.212002609263</v>
      </c>
      <c r="BK79" s="36">
        <f t="shared" si="59"/>
        <v>1409.212002609263</v>
      </c>
      <c r="BL79" s="36">
        <f t="shared" si="59"/>
        <v>1409.212002609263</v>
      </c>
      <c r="BM79" s="36">
        <f t="shared" si="59"/>
        <v>1377.1937377690801</v>
      </c>
      <c r="BN79" s="36">
        <f t="shared" si="59"/>
        <v>1377.1937377690801</v>
      </c>
      <c r="BO79" s="209">
        <f t="shared" si="59"/>
        <v>665.45161991737336</v>
      </c>
      <c r="BP79" s="36">
        <f t="shared" si="59"/>
        <v>665.45161991737336</v>
      </c>
      <c r="BQ79" s="36">
        <f t="shared" si="59"/>
        <v>665.45161991737336</v>
      </c>
      <c r="BR79" s="36">
        <f t="shared" si="59"/>
        <v>632.6118721461188</v>
      </c>
      <c r="BS79" s="36">
        <f t="shared" si="59"/>
        <v>632.6118721461188</v>
      </c>
      <c r="BT79" s="294">
        <f t="shared" si="59"/>
        <v>632.6118721461188</v>
      </c>
    </row>
    <row r="80" spans="2:72" s="36" customFormat="1" x14ac:dyDescent="0.25">
      <c r="B80" s="395" t="s">
        <v>405</v>
      </c>
      <c r="C80" s="391">
        <f t="shared" ref="C80:K80" si="60">C18</f>
        <v>791.46966674999999</v>
      </c>
      <c r="D80" s="391">
        <f t="shared" si="60"/>
        <v>791.46966674999999</v>
      </c>
      <c r="E80" s="391">
        <f t="shared" si="60"/>
        <v>791.46966674999999</v>
      </c>
      <c r="F80" s="391">
        <f t="shared" si="60"/>
        <v>1171.6753424657536</v>
      </c>
      <c r="G80" s="391">
        <f t="shared" si="60"/>
        <v>1171.6753424657536</v>
      </c>
      <c r="H80" s="391">
        <f t="shared" si="60"/>
        <v>1171.6753424657536</v>
      </c>
      <c r="I80" s="391">
        <f t="shared" si="60"/>
        <v>1171.6753424657536</v>
      </c>
      <c r="J80" s="391">
        <f t="shared" si="60"/>
        <v>1491.6972651131248</v>
      </c>
      <c r="K80" s="391">
        <f t="shared" si="60"/>
        <v>1491.6972651131248</v>
      </c>
      <c r="L80" s="396">
        <f>L76*0.09975</f>
        <v>2786.3048858447492</v>
      </c>
      <c r="M80" s="391">
        <f t="shared" ref="M80:BT80" si="61">M76*0.09975</f>
        <v>2786.3048858447492</v>
      </c>
      <c r="N80" s="397">
        <f t="shared" si="61"/>
        <v>2641.0754794520544</v>
      </c>
      <c r="O80" s="391">
        <f t="shared" si="61"/>
        <v>3134.3284931506851</v>
      </c>
      <c r="P80" s="397">
        <f t="shared" si="61"/>
        <v>3134.3284931506851</v>
      </c>
      <c r="Q80" s="391">
        <f t="shared" si="61"/>
        <v>3197.5429680365296</v>
      </c>
      <c r="R80" s="391">
        <f t="shared" si="61"/>
        <v>3197.5429680365296</v>
      </c>
      <c r="S80" s="396">
        <f t="shared" si="61"/>
        <v>3197.5429680365296</v>
      </c>
      <c r="T80" s="391">
        <f t="shared" si="61"/>
        <v>3328.9379452054791</v>
      </c>
      <c r="U80" s="396">
        <f t="shared" si="61"/>
        <v>3328.9379452054791</v>
      </c>
      <c r="V80" s="391">
        <f t="shared" si="61"/>
        <v>3328.9379452054791</v>
      </c>
      <c r="W80" s="391">
        <f t="shared" si="61"/>
        <v>3328.9379452054791</v>
      </c>
      <c r="X80" s="391">
        <f t="shared" si="61"/>
        <v>3328.9379452054791</v>
      </c>
      <c r="Y80" s="391">
        <f t="shared" si="61"/>
        <v>3449.9861964840184</v>
      </c>
      <c r="Z80" s="391">
        <f t="shared" si="61"/>
        <v>3449.9861964840184</v>
      </c>
      <c r="AA80" s="391">
        <f t="shared" si="61"/>
        <v>3449.9861964840184</v>
      </c>
      <c r="AB80" s="391">
        <f t="shared" si="61"/>
        <v>3449.9861964840184</v>
      </c>
      <c r="AC80" s="391">
        <f t="shared" si="61"/>
        <v>3449.9861964840184</v>
      </c>
      <c r="AD80" s="391">
        <f t="shared" si="61"/>
        <v>3560.6876255707762</v>
      </c>
      <c r="AE80" s="391">
        <f t="shared" si="61"/>
        <v>3560.6876255707762</v>
      </c>
      <c r="AF80" s="391">
        <f t="shared" si="61"/>
        <v>3560.6876255707762</v>
      </c>
      <c r="AG80" s="391">
        <f t="shared" si="61"/>
        <v>3560.6876255707762</v>
      </c>
      <c r="AH80" s="391">
        <f t="shared" si="61"/>
        <v>3497.4731506849321</v>
      </c>
      <c r="AI80" s="396">
        <f t="shared" si="61"/>
        <v>3597.8278538812779</v>
      </c>
      <c r="AJ80" s="391">
        <f t="shared" si="61"/>
        <v>3597.8278538812779</v>
      </c>
      <c r="AK80" s="396">
        <f t="shared" si="61"/>
        <v>3350.087808219178</v>
      </c>
      <c r="AL80" s="391">
        <f t="shared" si="61"/>
        <v>3350.087808219178</v>
      </c>
      <c r="AM80" s="391">
        <f t="shared" si="61"/>
        <v>3350.087808219178</v>
      </c>
      <c r="AN80" s="391">
        <f t="shared" si="61"/>
        <v>3346.5602283105027</v>
      </c>
      <c r="AO80" s="391">
        <f t="shared" si="61"/>
        <v>3346.5602283105027</v>
      </c>
      <c r="AP80" s="391">
        <f t="shared" si="61"/>
        <v>3346.5602283105027</v>
      </c>
      <c r="AQ80" s="391">
        <f t="shared" si="61"/>
        <v>3346.5602283105027</v>
      </c>
      <c r="AR80" s="391">
        <f t="shared" si="61"/>
        <v>3346.5602283105027</v>
      </c>
      <c r="AS80" s="396">
        <f t="shared" si="61"/>
        <v>2625.2282648401829</v>
      </c>
      <c r="AT80" s="391">
        <f t="shared" si="61"/>
        <v>2625.2282648401829</v>
      </c>
      <c r="AU80" s="391">
        <f t="shared" si="61"/>
        <v>2930.5886301369865</v>
      </c>
      <c r="AV80" s="391">
        <f t="shared" si="61"/>
        <v>2930.5886301369865</v>
      </c>
      <c r="AW80" s="391">
        <f t="shared" si="61"/>
        <v>2930.5886301369865</v>
      </c>
      <c r="AX80" s="391">
        <f t="shared" si="61"/>
        <v>2902.9215068493149</v>
      </c>
      <c r="AY80" s="391">
        <f t="shared" si="61"/>
        <v>2902.9215068493149</v>
      </c>
      <c r="AZ80" s="391">
        <f t="shared" si="61"/>
        <v>2902.9215068493149</v>
      </c>
      <c r="BA80" s="391">
        <f t="shared" si="61"/>
        <v>2902.9215068493149</v>
      </c>
      <c r="BB80" s="391">
        <f t="shared" si="61"/>
        <v>2902.9215068493149</v>
      </c>
      <c r="BC80" s="391">
        <f t="shared" si="61"/>
        <v>2863.184611872146</v>
      </c>
      <c r="BD80" s="391">
        <f t="shared" si="61"/>
        <v>2863.184611872146</v>
      </c>
      <c r="BE80" s="391">
        <f t="shared" si="61"/>
        <v>2863.184611872146</v>
      </c>
      <c r="BF80" s="391">
        <f t="shared" si="61"/>
        <v>2863.184611872146</v>
      </c>
      <c r="BG80" s="391">
        <f t="shared" si="61"/>
        <v>2863.184611872146</v>
      </c>
      <c r="BH80" s="391">
        <f t="shared" si="61"/>
        <v>2811.3779452054796</v>
      </c>
      <c r="BI80" s="391">
        <f t="shared" si="61"/>
        <v>2811.3779452054796</v>
      </c>
      <c r="BJ80" s="391">
        <f t="shared" si="61"/>
        <v>2811.3779452054796</v>
      </c>
      <c r="BK80" s="391">
        <f t="shared" si="61"/>
        <v>2811.3779452054796</v>
      </c>
      <c r="BL80" s="391">
        <f t="shared" si="61"/>
        <v>2811.3779452054796</v>
      </c>
      <c r="BM80" s="391">
        <f t="shared" si="61"/>
        <v>2747.5015068493149</v>
      </c>
      <c r="BN80" s="391">
        <f t="shared" si="61"/>
        <v>2747.5015068493149</v>
      </c>
      <c r="BO80" s="396">
        <f t="shared" si="61"/>
        <v>1327.5759817351598</v>
      </c>
      <c r="BP80" s="391">
        <f t="shared" si="61"/>
        <v>1327.5759817351598</v>
      </c>
      <c r="BQ80" s="391">
        <f t="shared" si="61"/>
        <v>1327.5759817351598</v>
      </c>
      <c r="BR80" s="391">
        <f t="shared" si="61"/>
        <v>1262.060684931507</v>
      </c>
      <c r="BS80" s="391">
        <f t="shared" si="61"/>
        <v>1262.060684931507</v>
      </c>
      <c r="BT80" s="392">
        <f t="shared" si="61"/>
        <v>1262.060684931507</v>
      </c>
    </row>
    <row r="82" spans="2:73" x14ac:dyDescent="0.25">
      <c r="B82" s="4"/>
      <c r="C82" s="4"/>
      <c r="D82" s="4"/>
      <c r="E82" s="4"/>
    </row>
    <row r="86" spans="2:73" ht="18.75" x14ac:dyDescent="0.3">
      <c r="B86" s="11" t="s">
        <v>92</v>
      </c>
      <c r="C86" s="12" t="s">
        <v>470</v>
      </c>
    </row>
    <row r="87" spans="2:73" ht="15.75" thickBot="1" x14ac:dyDescent="0.3">
      <c r="L87" t="s">
        <v>461</v>
      </c>
      <c r="N87" s="419" t="s">
        <v>275</v>
      </c>
      <c r="S87" t="s">
        <v>462</v>
      </c>
      <c r="Y87" t="s">
        <v>471</v>
      </c>
      <c r="AF87" s="10"/>
      <c r="AH87" s="10"/>
      <c r="AI87" s="10" t="s">
        <v>464</v>
      </c>
      <c r="AS87" t="s">
        <v>45</v>
      </c>
    </row>
    <row r="88" spans="2:73" x14ac:dyDescent="0.25">
      <c r="B88" s="6" t="s">
        <v>0</v>
      </c>
      <c r="C88" s="7">
        <v>1</v>
      </c>
      <c r="D88" s="7">
        <v>2</v>
      </c>
      <c r="E88" s="7">
        <v>3</v>
      </c>
      <c r="F88" s="7">
        <v>4</v>
      </c>
      <c r="G88" s="207">
        <v>5</v>
      </c>
      <c r="H88" s="207">
        <v>6</v>
      </c>
      <c r="I88" s="207">
        <v>7</v>
      </c>
      <c r="J88" s="207">
        <v>8</v>
      </c>
      <c r="K88" s="207">
        <v>9</v>
      </c>
      <c r="L88" s="215">
        <v>10</v>
      </c>
      <c r="M88" s="207">
        <v>11</v>
      </c>
      <c r="N88" s="233">
        <v>12</v>
      </c>
      <c r="O88" s="7">
        <v>13</v>
      </c>
      <c r="P88" s="7">
        <v>14</v>
      </c>
      <c r="Q88" s="7">
        <v>15</v>
      </c>
      <c r="R88" s="7">
        <v>16</v>
      </c>
      <c r="S88" s="111">
        <v>17</v>
      </c>
      <c r="T88" s="7">
        <v>18</v>
      </c>
      <c r="U88" s="7">
        <v>19</v>
      </c>
      <c r="V88" s="7">
        <v>20</v>
      </c>
      <c r="W88" s="7">
        <v>21</v>
      </c>
      <c r="X88" s="7">
        <v>22</v>
      </c>
      <c r="Y88" s="111">
        <v>23</v>
      </c>
      <c r="Z88" s="7">
        <v>24</v>
      </c>
      <c r="AA88" s="7">
        <v>25</v>
      </c>
      <c r="AB88" s="7">
        <v>26</v>
      </c>
      <c r="AC88" s="7">
        <v>27</v>
      </c>
      <c r="AD88" s="7">
        <v>28</v>
      </c>
      <c r="AE88" s="7">
        <v>29</v>
      </c>
      <c r="AF88">
        <v>30</v>
      </c>
      <c r="AG88" s="7">
        <v>31</v>
      </c>
      <c r="AH88" s="263">
        <v>32</v>
      </c>
      <c r="AI88" s="111">
        <v>33</v>
      </c>
      <c r="AJ88" s="7">
        <v>34</v>
      </c>
      <c r="AK88" s="7">
        <v>35</v>
      </c>
      <c r="AL88" s="7">
        <v>36</v>
      </c>
      <c r="AM88" s="7">
        <v>37</v>
      </c>
      <c r="AN88" s="7">
        <v>38</v>
      </c>
      <c r="AO88" s="7">
        <v>39</v>
      </c>
      <c r="AP88" s="7">
        <v>40</v>
      </c>
      <c r="AQ88" s="7">
        <v>41</v>
      </c>
      <c r="AR88" s="7">
        <v>42</v>
      </c>
      <c r="AS88" s="227">
        <v>43</v>
      </c>
      <c r="AT88" s="74">
        <v>44</v>
      </c>
      <c r="AU88" s="74">
        <v>45</v>
      </c>
      <c r="AV88" s="74">
        <v>46</v>
      </c>
      <c r="AW88" s="74">
        <v>47</v>
      </c>
      <c r="AX88" s="74">
        <v>48</v>
      </c>
      <c r="AY88" s="74">
        <v>49</v>
      </c>
      <c r="AZ88" s="74">
        <v>50</v>
      </c>
      <c r="BA88" s="74">
        <v>51</v>
      </c>
      <c r="BB88" s="74">
        <v>52</v>
      </c>
      <c r="BC88" s="74">
        <v>53</v>
      </c>
      <c r="BD88" s="74">
        <v>54</v>
      </c>
      <c r="BE88" s="74">
        <v>55</v>
      </c>
      <c r="BF88" s="74">
        <v>56</v>
      </c>
      <c r="BG88" s="74">
        <v>57</v>
      </c>
      <c r="BH88" s="74">
        <v>58</v>
      </c>
      <c r="BI88" s="74">
        <v>59</v>
      </c>
      <c r="BJ88" s="74">
        <v>60</v>
      </c>
      <c r="BK88" s="74">
        <v>61</v>
      </c>
      <c r="BL88" s="74">
        <v>62</v>
      </c>
      <c r="BM88" s="74">
        <v>63</v>
      </c>
      <c r="BN88" s="74">
        <v>64</v>
      </c>
      <c r="BO88" s="74">
        <v>65</v>
      </c>
      <c r="BP88" s="74">
        <v>66</v>
      </c>
      <c r="BQ88" s="74">
        <v>67</v>
      </c>
      <c r="BR88" s="74">
        <v>68</v>
      </c>
      <c r="BS88" s="74">
        <v>69</v>
      </c>
      <c r="BT88" s="76">
        <v>70</v>
      </c>
    </row>
    <row r="89" spans="2:73" x14ac:dyDescent="0.25">
      <c r="B89" s="8" t="s">
        <v>1</v>
      </c>
      <c r="C89">
        <v>18</v>
      </c>
      <c r="D89">
        <v>19</v>
      </c>
      <c r="E89">
        <v>20</v>
      </c>
      <c r="F89">
        <v>21</v>
      </c>
      <c r="G89" s="36">
        <v>22</v>
      </c>
      <c r="H89" s="36">
        <v>23</v>
      </c>
      <c r="I89" s="36">
        <v>24</v>
      </c>
      <c r="J89" s="36">
        <v>25</v>
      </c>
      <c r="K89" s="36">
        <v>26</v>
      </c>
      <c r="L89" s="209">
        <v>27</v>
      </c>
      <c r="M89" s="36">
        <v>28</v>
      </c>
      <c r="N89" s="234">
        <v>29</v>
      </c>
      <c r="O89">
        <v>30</v>
      </c>
      <c r="P89">
        <v>31</v>
      </c>
      <c r="Q89">
        <v>32</v>
      </c>
      <c r="R89">
        <v>33</v>
      </c>
      <c r="S89" s="112">
        <v>34</v>
      </c>
      <c r="T89">
        <v>35</v>
      </c>
      <c r="U89">
        <v>36</v>
      </c>
      <c r="V89">
        <v>37</v>
      </c>
      <c r="W89">
        <v>38</v>
      </c>
      <c r="X89">
        <v>39</v>
      </c>
      <c r="Y89" s="112">
        <v>40</v>
      </c>
      <c r="Z89">
        <v>41</v>
      </c>
      <c r="AA89">
        <v>42</v>
      </c>
      <c r="AB89">
        <v>43</v>
      </c>
      <c r="AC89">
        <v>44</v>
      </c>
      <c r="AD89">
        <v>45</v>
      </c>
      <c r="AE89">
        <v>46</v>
      </c>
      <c r="AF89">
        <v>47</v>
      </c>
      <c r="AG89">
        <v>48</v>
      </c>
      <c r="AH89" s="263">
        <v>49</v>
      </c>
      <c r="AI89" s="112">
        <v>50</v>
      </c>
      <c r="AJ89">
        <v>51</v>
      </c>
      <c r="AK89">
        <v>52</v>
      </c>
      <c r="AL89">
        <v>53</v>
      </c>
      <c r="AM89">
        <v>54</v>
      </c>
      <c r="AN89">
        <v>55</v>
      </c>
      <c r="AO89">
        <v>56</v>
      </c>
      <c r="AP89">
        <v>57</v>
      </c>
      <c r="AQ89">
        <v>58</v>
      </c>
      <c r="AR89">
        <v>59</v>
      </c>
      <c r="AS89" s="228">
        <v>60</v>
      </c>
      <c r="AT89" s="67">
        <v>61</v>
      </c>
      <c r="AU89" s="67">
        <v>62</v>
      </c>
      <c r="AV89" s="67">
        <v>63</v>
      </c>
      <c r="AW89" s="67">
        <v>64</v>
      </c>
      <c r="AX89" s="67">
        <v>65</v>
      </c>
      <c r="AY89" s="67">
        <v>66</v>
      </c>
      <c r="AZ89" s="67">
        <v>67</v>
      </c>
      <c r="BA89" s="67">
        <v>68</v>
      </c>
      <c r="BB89" s="67">
        <v>69</v>
      </c>
      <c r="BC89" s="67">
        <v>70</v>
      </c>
      <c r="BD89" s="67">
        <v>71</v>
      </c>
      <c r="BE89" s="67">
        <v>72</v>
      </c>
      <c r="BF89" s="67">
        <v>73</v>
      </c>
      <c r="BG89" s="67">
        <v>74</v>
      </c>
      <c r="BH89" s="67">
        <v>75</v>
      </c>
      <c r="BI89" s="67">
        <v>76</v>
      </c>
      <c r="BJ89" s="67">
        <v>77</v>
      </c>
      <c r="BK89" s="67">
        <v>78</v>
      </c>
      <c r="BL89" s="67">
        <v>79</v>
      </c>
      <c r="BM89" s="67">
        <v>80</v>
      </c>
      <c r="BN89" s="67">
        <v>81</v>
      </c>
      <c r="BO89" s="67">
        <v>82</v>
      </c>
      <c r="BP89" s="67">
        <v>83</v>
      </c>
      <c r="BQ89" s="67">
        <v>84</v>
      </c>
      <c r="BR89" s="67">
        <v>85</v>
      </c>
      <c r="BS89" s="67">
        <v>86</v>
      </c>
      <c r="BT89" s="77">
        <v>87</v>
      </c>
    </row>
    <row r="90" spans="2:73" s="17" customFormat="1" x14ac:dyDescent="0.25">
      <c r="B90" s="9" t="s">
        <v>466</v>
      </c>
      <c r="C90" s="204">
        <f>Sommaire!C148+Sommaire!C160+Sommaire!C178</f>
        <v>8100.356580593425</v>
      </c>
      <c r="D90" s="204">
        <f>Sommaire!D148+Sommaire!D160+Sommaire!D178</f>
        <v>8100.356580593425</v>
      </c>
      <c r="E90" s="204">
        <f>Sommaire!E148+Sommaire!E160+Sommaire!E178</f>
        <v>8100.356580593425</v>
      </c>
      <c r="F90" s="204">
        <f>Sommaire!F148+Sommaire!F160+Sommaire!F178</f>
        <v>36716</v>
      </c>
      <c r="G90" s="204">
        <f>Sommaire!G148+Sommaire!G160+Sommaire!G178</f>
        <v>37885</v>
      </c>
      <c r="H90" s="204">
        <f>Sommaire!H148+Sommaire!H160+Sommaire!H178</f>
        <v>39381.951031999997</v>
      </c>
      <c r="I90" s="204">
        <f>Sommaire!I148+Sommaire!I160+Sommaire!I178</f>
        <v>40628.158122000001</v>
      </c>
      <c r="J90" s="204">
        <f>Sommaire!J148+Sommaire!J160+Sommaire!J178</f>
        <v>42065.206793999998</v>
      </c>
      <c r="K90" s="204">
        <f>Sommaire!K148+Sommaire!K160+Sommaire!K178</f>
        <v>43354.459344000003</v>
      </c>
      <c r="L90" s="277">
        <f>Sommaire!L148+Sommaire!L160+Sommaire!L178</f>
        <v>93442.99000000002</v>
      </c>
      <c r="M90" s="204">
        <f>Sommaire!M148+Sommaire!M160+Sommaire!M178</f>
        <v>96066.64800000003</v>
      </c>
      <c r="N90" s="407">
        <f>Sommaire!N148+Sommaire!N160+Sommaire!N178</f>
        <v>53121.297884615415</v>
      </c>
      <c r="O90" s="204">
        <f>Sommaire!O148+Sommaire!O160+Sommaire!O178</f>
        <v>105453.59400000004</v>
      </c>
      <c r="P90" s="204">
        <f>Sommaire!P148+Sommaire!P160+Sommaire!P178</f>
        <v>108231.36200000004</v>
      </c>
      <c r="Q90" s="204">
        <f>Sommaire!Q148+Sommaire!Q160+Sommaire!Q178</f>
        <v>111119.94000000003</v>
      </c>
      <c r="R90" s="297">
        <f>Sommaire!R148+Sommaire!R160+Sommaire!R178</f>
        <v>112187.77800000002</v>
      </c>
      <c r="S90" s="204">
        <f>Sommaire!S148+Sommaire!S160+Sommaire!S178</f>
        <v>113111.26600000003</v>
      </c>
      <c r="T90" s="204">
        <f>Sommaire!T148+Sommaire!T160+Sommaire!T178</f>
        <v>113062.984</v>
      </c>
      <c r="U90" s="204">
        <f>Sommaire!U148+Sommaire!U160+Sommaire!U178</f>
        <v>114029.67200000001</v>
      </c>
      <c r="V90" s="204">
        <f>Sommaire!V148+Sommaire!V160+Sommaire!V178</f>
        <v>114996.37000000001</v>
      </c>
      <c r="W90" s="204">
        <f>Sommaire!W148+Sommaire!W160+Sommaire!W178</f>
        <v>115984.54800000001</v>
      </c>
      <c r="X90" s="204">
        <f>Sommaire!X148+Sommaire!X160+Sommaire!X178</f>
        <v>116951.23600000002</v>
      </c>
      <c r="Y90" s="277">
        <f>Sommaire!Y148+Sommaire!Y160+Sommaire!Y178</f>
        <v>60554.87</v>
      </c>
      <c r="Z90" s="204">
        <f>Sommaire!Z148+Sommaire!Z160+Sommaire!Z178</f>
        <v>60554.87</v>
      </c>
      <c r="AA90" s="204">
        <f>Sommaire!AA148+Sommaire!AA160+Sommaire!AA178</f>
        <v>60554.87</v>
      </c>
      <c r="AB90" s="204">
        <f>Sommaire!AB148+Sommaire!AB160+Sommaire!AB178</f>
        <v>60554.87</v>
      </c>
      <c r="AC90" s="204">
        <f>Sommaire!AC148+Sommaire!AC160+Sommaire!AC178</f>
        <v>60554.87</v>
      </c>
      <c r="AD90" s="204">
        <f>Sommaire!AD148+Sommaire!AD160+Sommaire!AD178</f>
        <v>60554.87</v>
      </c>
      <c r="AE90" s="204">
        <f>Sommaire!AE148+Sommaire!AE160+Sommaire!AE178</f>
        <v>60454.87</v>
      </c>
      <c r="AF90" s="204">
        <f>Sommaire!AF148+Sommaire!AF160+Sommaire!AF178</f>
        <v>52963</v>
      </c>
      <c r="AG90" s="204">
        <f>Sommaire!AG148+Sommaire!AG160+Sommaire!AG178</f>
        <v>52963</v>
      </c>
      <c r="AH90" s="296">
        <f>Sommaire!AH148+Sommaire!AH160+Sommaire!AH178</f>
        <v>52963</v>
      </c>
      <c r="AI90" s="277">
        <f>Sommaire!AI148+Sommaire!AI160+Sommaire!AI178</f>
        <v>53141.5</v>
      </c>
      <c r="AJ90" s="204">
        <f>Sommaire!AJ148+Sommaire!AJ160+Sommaire!AJ178</f>
        <v>53141.5</v>
      </c>
      <c r="AK90" s="204">
        <f>Sommaire!AK148+Sommaire!AK160+Sommaire!AK178</f>
        <v>53141.5</v>
      </c>
      <c r="AL90" s="204">
        <f>Sommaire!AL148+Sommaire!AL160+Sommaire!AL178</f>
        <v>53141.5</v>
      </c>
      <c r="AM90" s="204">
        <f>Sommaire!AM148+Sommaire!AM160+Sommaire!AM178</f>
        <v>53141.5</v>
      </c>
      <c r="AN90" s="204">
        <f>Sommaire!AN148+Sommaire!AN160+Sommaire!AN178</f>
        <v>53141.5</v>
      </c>
      <c r="AO90" s="204">
        <f>Sommaire!AO148+Sommaire!AO160+Sommaire!AO178</f>
        <v>53141.5</v>
      </c>
      <c r="AP90" s="204">
        <f>Sommaire!AP148+Sommaire!AP160+Sommaire!AP178</f>
        <v>53141.5</v>
      </c>
      <c r="AQ90" s="204">
        <f>Sommaire!AQ148+Sommaire!AQ160+Sommaire!AQ178</f>
        <v>53141.5</v>
      </c>
      <c r="AR90" s="204">
        <f>Sommaire!AR148+Sommaire!AR160+Sommaire!AR178</f>
        <v>53141.5</v>
      </c>
      <c r="AS90" s="277">
        <f>Sommaire!AS148+Sommaire!AS160+Sommaire!AS178</f>
        <v>42082.38</v>
      </c>
      <c r="AT90" s="204">
        <f>Sommaire!AT148+Sommaire!AT160+Sommaire!AT178</f>
        <v>49861.181210084033</v>
      </c>
      <c r="AU90" s="204">
        <f>Sommaire!AU148+Sommaire!AU160+Sommaire!AU178</f>
        <v>49861.181210084033</v>
      </c>
      <c r="AV90" s="204">
        <f>Sommaire!AV148+Sommaire!AV160+Sommaire!AV178</f>
        <v>49861.181210084033</v>
      </c>
      <c r="AW90" s="204">
        <f>Sommaire!AW148+Sommaire!AW160+Sommaire!AW178</f>
        <v>49861.181210084033</v>
      </c>
      <c r="AX90" s="204">
        <f>Sommaire!AX148+Sommaire!AX160+Sommaire!AX178</f>
        <v>44441.556210084033</v>
      </c>
      <c r="AY90" s="204">
        <f>Sommaire!AY148+Sommaire!AY160+Sommaire!AY178</f>
        <v>44441.556210084033</v>
      </c>
      <c r="AZ90" s="204">
        <f>Sommaire!AZ148+Sommaire!AZ160+Sommaire!AZ178</f>
        <v>44441.556210084033</v>
      </c>
      <c r="BA90" s="204">
        <f>Sommaire!BA148+Sommaire!BA160+Sommaire!BA178</f>
        <v>44441.556210084033</v>
      </c>
      <c r="BB90" s="204">
        <f>Sommaire!BB148+Sommaire!BB160+Sommaire!BB178</f>
        <v>44441.556210084033</v>
      </c>
      <c r="BC90" s="204">
        <f>Sommaire!BC148+Sommaire!BC160+Sommaire!BC178</f>
        <v>44441.556210084033</v>
      </c>
      <c r="BD90" s="204">
        <f>Sommaire!BD148+Sommaire!BD160+Sommaire!BD178</f>
        <v>44441.556210084033</v>
      </c>
      <c r="BE90" s="204">
        <f>Sommaire!BE148+Sommaire!BE160+Sommaire!BE178</f>
        <v>44441.556210084033</v>
      </c>
      <c r="BF90" s="204">
        <f>Sommaire!BF148+Sommaire!BF160+Sommaire!BF178</f>
        <v>44441.556210084033</v>
      </c>
      <c r="BG90" s="204">
        <f>Sommaire!BG148+Sommaire!BG160+Sommaire!BG178</f>
        <v>44441.556210084033</v>
      </c>
      <c r="BH90" s="204">
        <f>Sommaire!BH148+Sommaire!BH160+Sommaire!BH178</f>
        <v>45046.556210084033</v>
      </c>
      <c r="BI90" s="204">
        <f>Sommaire!BI148+Sommaire!BI160+Sommaire!BI178</f>
        <v>45046.556210084033</v>
      </c>
      <c r="BJ90" s="204">
        <f>Sommaire!BJ148+Sommaire!BJ160+Sommaire!BJ178</f>
        <v>45046.556210084033</v>
      </c>
      <c r="BK90" s="204">
        <f>Sommaire!BK148+Sommaire!BK160+Sommaire!BK178</f>
        <v>45046.556210084033</v>
      </c>
      <c r="BL90" s="204">
        <f>Sommaire!BL148+Sommaire!BL160+Sommaire!BL178</f>
        <v>45046.556210084033</v>
      </c>
      <c r="BM90" s="204">
        <f>Sommaire!BM148+Sommaire!BM160+Sommaire!BM178</f>
        <v>45046.556210084033</v>
      </c>
      <c r="BN90" s="204">
        <f>Sommaire!BN148+Sommaire!BN160+Sommaire!BN178</f>
        <v>45046.556210084033</v>
      </c>
      <c r="BO90" s="204">
        <f>Sommaire!BO148+Sommaire!BO160+Sommaire!BO178</f>
        <v>45046.556210084033</v>
      </c>
      <c r="BP90" s="204">
        <f>Sommaire!BP148+Sommaire!BP160+Sommaire!BP178</f>
        <v>45046.556210084033</v>
      </c>
      <c r="BQ90" s="204">
        <f>Sommaire!BQ148+Sommaire!BQ160+Sommaire!BQ178</f>
        <v>45046.556210084033</v>
      </c>
      <c r="BR90" s="204">
        <f>Sommaire!BR148+Sommaire!BR160+Sommaire!BR178</f>
        <v>45046.556210084033</v>
      </c>
      <c r="BS90" s="204">
        <f>Sommaire!BS148+Sommaire!BS160+Sommaire!BS178</f>
        <v>45046.556210084033</v>
      </c>
      <c r="BT90" s="204">
        <f>Sommaire!BT148+Sommaire!BT160+Sommaire!BT178</f>
        <v>45046.556210084033</v>
      </c>
      <c r="BU90" s="414"/>
    </row>
    <row r="91" spans="2:73" s="35" customFormat="1" x14ac:dyDescent="0.25">
      <c r="B91" s="393" t="s">
        <v>395</v>
      </c>
      <c r="C91" s="295">
        <f>Sommaire!C182</f>
        <v>7743.6465805934249</v>
      </c>
      <c r="D91" s="295">
        <f>Sommaire!D182</f>
        <v>7743.6465805934249</v>
      </c>
      <c r="E91" s="295">
        <f>Sommaire!E182</f>
        <v>7743.6465805934249</v>
      </c>
      <c r="F91" s="295">
        <f>Sommaire!F182</f>
        <v>27461.092982239996</v>
      </c>
      <c r="G91" s="295">
        <f>Sommaire!G182</f>
        <v>28113.673734519998</v>
      </c>
      <c r="H91" s="295">
        <f>Sommaire!H182</f>
        <v>28927.350966440001</v>
      </c>
      <c r="I91" s="295">
        <f>Sommaire!I182</f>
        <v>29560.506084240002</v>
      </c>
      <c r="J91" s="295">
        <f>Sommaire!J182</f>
        <v>30274.22368848</v>
      </c>
      <c r="K91" s="398">
        <f>Sommaire!K182</f>
        <v>30899.198559480003</v>
      </c>
      <c r="L91" s="295">
        <f>Sommaire!L182</f>
        <v>67170.661820000023</v>
      </c>
      <c r="M91" s="398">
        <f>Sommaire!M182</f>
        <v>66336.389651830366</v>
      </c>
      <c r="N91" s="408">
        <f>Sommaire!N182</f>
        <v>65688.346269615417</v>
      </c>
      <c r="O91" s="295">
        <f>Sommaire!O182</f>
        <v>70214.206401830379</v>
      </c>
      <c r="P91" s="295">
        <f>Sommaire!P182</f>
        <v>71480.476030000049</v>
      </c>
      <c r="Q91" s="295">
        <f>Sommaire!Q182</f>
        <v>72823.704734330371</v>
      </c>
      <c r="R91" s="398">
        <f>Sommaire!R182</f>
        <v>73401.274439330373</v>
      </c>
      <c r="S91" s="295">
        <f>Sommaire!S182</f>
        <v>75988.427224330386</v>
      </c>
      <c r="T91" s="295">
        <f>Sommaire!T182</f>
        <v>75564.927691830337</v>
      </c>
      <c r="U91" s="295">
        <f>Sommaire!U182</f>
        <v>76156.022411830345</v>
      </c>
      <c r="V91" s="295">
        <f>Sommaire!V182</f>
        <v>76747.127529330348</v>
      </c>
      <c r="W91" s="295">
        <f>Sommaire!W182</f>
        <v>76938.786585783208</v>
      </c>
      <c r="X91" s="398">
        <f>Sommaire!X182</f>
        <v>79153.481703283207</v>
      </c>
      <c r="Y91" s="295">
        <f>Sommaire!Y182</f>
        <v>50284.39836549999</v>
      </c>
      <c r="Z91" s="295">
        <f>Sommaire!Z182</f>
        <v>50284.39836549999</v>
      </c>
      <c r="AA91" s="295">
        <f>Sommaire!AA182</f>
        <v>50284.39836549999</v>
      </c>
      <c r="AB91" s="295">
        <f>Sommaire!AB182</f>
        <v>50284.39836549999</v>
      </c>
      <c r="AC91" s="295">
        <f>Sommaire!AC182</f>
        <v>50284.39836549999</v>
      </c>
      <c r="AD91" s="295">
        <f>Sommaire!AD182</f>
        <v>50284.398365499997</v>
      </c>
      <c r="AE91" s="295">
        <f>Sommaire!AE182</f>
        <v>51125.540865499999</v>
      </c>
      <c r="AF91" s="295">
        <f>Sommaire!AF182</f>
        <v>40935.406615499996</v>
      </c>
      <c r="AG91" s="295">
        <f>Sommaire!AG182</f>
        <v>40935.406615499996</v>
      </c>
      <c r="AH91" s="398">
        <f>Sommaire!AH182</f>
        <v>40935.406615499996</v>
      </c>
      <c r="AI91" s="295">
        <f>Sommaire!AI182</f>
        <v>35550.991115499994</v>
      </c>
      <c r="AJ91" s="295">
        <f>Sommaire!AJ182</f>
        <v>35550.991115499994</v>
      </c>
      <c r="AK91" s="295">
        <f>Sommaire!AK182</f>
        <v>35550.991115499994</v>
      </c>
      <c r="AL91" s="295">
        <f>Sommaire!AL182</f>
        <v>35550.991115499994</v>
      </c>
      <c r="AM91" s="295">
        <f>Sommaire!AM182</f>
        <v>35550.991115499994</v>
      </c>
      <c r="AN91" s="295">
        <f>Sommaire!AN182</f>
        <v>35550.991115499994</v>
      </c>
      <c r="AO91" s="295">
        <f>Sommaire!AO182</f>
        <v>35550.991115499994</v>
      </c>
      <c r="AP91" s="295">
        <f>Sommaire!AP182</f>
        <v>35550.991115499994</v>
      </c>
      <c r="AQ91" s="295">
        <f>Sommaire!AQ182</f>
        <v>35550.991115499994</v>
      </c>
      <c r="AR91" s="295">
        <f>Sommaire!AR182</f>
        <v>35550.991115499994</v>
      </c>
      <c r="AS91" s="298">
        <f>Sommaire!AS182</f>
        <v>34375.025999999998</v>
      </c>
      <c r="AT91" s="295">
        <f>Sommaire!AT182</f>
        <v>39087.796610084028</v>
      </c>
      <c r="AU91" s="295">
        <f>Sommaire!AU182</f>
        <v>39087.796610084028</v>
      </c>
      <c r="AV91" s="295">
        <f>Sommaire!AV182</f>
        <v>39087.796610084028</v>
      </c>
      <c r="AW91" s="295">
        <f>Sommaire!AW182</f>
        <v>39087.796610084028</v>
      </c>
      <c r="AX91" s="295">
        <f>Sommaire!AX182</f>
        <v>37145.640660084035</v>
      </c>
      <c r="AY91" s="295">
        <f>Sommaire!AY182</f>
        <v>37145.640660084035</v>
      </c>
      <c r="AZ91" s="295">
        <f>Sommaire!AZ182</f>
        <v>37145.640660084035</v>
      </c>
      <c r="BA91" s="295">
        <f>Sommaire!BA182</f>
        <v>37145.640660084035</v>
      </c>
      <c r="BB91" s="295">
        <f>Sommaire!BB182</f>
        <v>37145.640660084035</v>
      </c>
      <c r="BC91" s="295">
        <f>Sommaire!BC182</f>
        <v>37145.640660084035</v>
      </c>
      <c r="BD91" s="295">
        <f>Sommaire!BD182</f>
        <v>37145.640660084035</v>
      </c>
      <c r="BE91" s="295">
        <f>Sommaire!BE182</f>
        <v>37145.640660084035</v>
      </c>
      <c r="BF91" s="295">
        <f>Sommaire!BF182</f>
        <v>37145.640660084035</v>
      </c>
      <c r="BG91" s="295">
        <f>Sommaire!BG182</f>
        <v>37145.640660084035</v>
      </c>
      <c r="BH91" s="295">
        <f>Sommaire!BH182</f>
        <v>36022.991134813201</v>
      </c>
      <c r="BI91" s="295">
        <f>Sommaire!BI182</f>
        <v>36022.991134813201</v>
      </c>
      <c r="BJ91" s="295">
        <f>Sommaire!BJ182</f>
        <v>36022.991134813201</v>
      </c>
      <c r="BK91" s="295">
        <f>Sommaire!BK182</f>
        <v>36022.991134813201</v>
      </c>
      <c r="BL91" s="295">
        <f>Sommaire!BL182</f>
        <v>36022.991134813201</v>
      </c>
      <c r="BM91" s="295">
        <f>Sommaire!BM182</f>
        <v>36022.991134813201</v>
      </c>
      <c r="BN91" s="295">
        <f>Sommaire!BN182</f>
        <v>36022.991134813201</v>
      </c>
      <c r="BO91" s="295">
        <f>Sommaire!BO182</f>
        <v>36022.991134813201</v>
      </c>
      <c r="BP91" s="295">
        <f>Sommaire!BP182</f>
        <v>36022.991134813201</v>
      </c>
      <c r="BQ91" s="295">
        <f>Sommaire!BQ182</f>
        <v>36022.991134813201</v>
      </c>
      <c r="BR91" s="295">
        <f>Sommaire!BR182</f>
        <v>36022.991134813201</v>
      </c>
      <c r="BS91" s="295">
        <f>Sommaire!BS182</f>
        <v>36022.991134813201</v>
      </c>
      <c r="BT91" s="295">
        <f>Sommaire!BT182</f>
        <v>36022.991134813201</v>
      </c>
      <c r="BU91" s="415"/>
    </row>
    <row r="92" spans="2:73" x14ac:dyDescent="0.25">
      <c r="B92" s="9" t="s">
        <v>467</v>
      </c>
      <c r="C92" s="36">
        <f>C69</f>
        <v>0</v>
      </c>
      <c r="D92" s="36">
        <f t="shared" ref="D92:O92" si="62">D69</f>
        <v>0</v>
      </c>
      <c r="E92" s="36">
        <f t="shared" si="62"/>
        <v>0</v>
      </c>
      <c r="F92" s="36">
        <f t="shared" si="62"/>
        <v>0</v>
      </c>
      <c r="G92" s="36">
        <f t="shared" si="62"/>
        <v>0</v>
      </c>
      <c r="H92" s="36">
        <f t="shared" si="62"/>
        <v>0</v>
      </c>
      <c r="I92" s="36">
        <f t="shared" si="62"/>
        <v>0</v>
      </c>
      <c r="J92" s="36">
        <f t="shared" si="62"/>
        <v>0</v>
      </c>
      <c r="K92" s="36">
        <f t="shared" si="62"/>
        <v>0</v>
      </c>
      <c r="L92" s="209">
        <f t="shared" si="62"/>
        <v>0</v>
      </c>
      <c r="M92" s="36">
        <f t="shared" si="62"/>
        <v>0</v>
      </c>
      <c r="N92" s="234">
        <f t="shared" si="62"/>
        <v>30949.84</v>
      </c>
      <c r="O92" s="36">
        <f t="shared" si="62"/>
        <v>0</v>
      </c>
      <c r="P92" s="36"/>
      <c r="Q92" s="36">
        <f t="shared" ref="Q92:AI92" si="63">Q69</f>
        <v>0</v>
      </c>
      <c r="R92" s="294">
        <f t="shared" si="63"/>
        <v>0</v>
      </c>
      <c r="S92" s="36">
        <f t="shared" si="63"/>
        <v>0</v>
      </c>
      <c r="T92" s="36">
        <f t="shared" si="63"/>
        <v>0</v>
      </c>
      <c r="U92" s="36">
        <f t="shared" si="63"/>
        <v>0</v>
      </c>
      <c r="V92" s="36">
        <f t="shared" si="63"/>
        <v>0</v>
      </c>
      <c r="W92" s="36">
        <f t="shared" si="63"/>
        <v>0</v>
      </c>
      <c r="X92" s="36">
        <f t="shared" si="63"/>
        <v>0</v>
      </c>
      <c r="Y92" s="209">
        <f t="shared" si="63"/>
        <v>0</v>
      </c>
      <c r="Z92" s="36">
        <f t="shared" si="63"/>
        <v>0</v>
      </c>
      <c r="AA92" s="36">
        <f t="shared" si="63"/>
        <v>0</v>
      </c>
      <c r="AB92" s="36">
        <f t="shared" si="63"/>
        <v>0</v>
      </c>
      <c r="AC92" s="36">
        <f t="shared" si="63"/>
        <v>0</v>
      </c>
      <c r="AD92" s="36">
        <f t="shared" si="63"/>
        <v>0</v>
      </c>
      <c r="AE92" s="36">
        <f t="shared" si="63"/>
        <v>0</v>
      </c>
      <c r="AF92" s="36">
        <f t="shared" si="63"/>
        <v>0</v>
      </c>
      <c r="AG92" s="36">
        <f t="shared" si="63"/>
        <v>0</v>
      </c>
      <c r="AH92" s="232">
        <f t="shared" si="63"/>
        <v>0</v>
      </c>
      <c r="AI92" s="209">
        <f t="shared" si="63"/>
        <v>0</v>
      </c>
      <c r="AJ92" s="36">
        <f t="shared" ref="AJ92:BT92" si="64">AJ69</f>
        <v>0</v>
      </c>
      <c r="AK92" s="36">
        <f t="shared" si="64"/>
        <v>0</v>
      </c>
      <c r="AL92" s="36">
        <f t="shared" si="64"/>
        <v>0</v>
      </c>
      <c r="AM92" s="36">
        <f t="shared" si="64"/>
        <v>0</v>
      </c>
      <c r="AN92" s="36">
        <f t="shared" si="64"/>
        <v>0</v>
      </c>
      <c r="AO92" s="36">
        <f t="shared" si="64"/>
        <v>0</v>
      </c>
      <c r="AP92">
        <f t="shared" si="64"/>
        <v>0</v>
      </c>
      <c r="AQ92">
        <f t="shared" si="64"/>
        <v>0</v>
      </c>
      <c r="AR92">
        <f t="shared" si="64"/>
        <v>0</v>
      </c>
      <c r="AS92" s="112">
        <f t="shared" si="64"/>
        <v>0</v>
      </c>
      <c r="AT92">
        <f t="shared" si="64"/>
        <v>0</v>
      </c>
      <c r="AU92">
        <f t="shared" si="64"/>
        <v>0</v>
      </c>
      <c r="AV92">
        <f t="shared" si="64"/>
        <v>0</v>
      </c>
      <c r="AW92">
        <f t="shared" si="64"/>
        <v>0</v>
      </c>
      <c r="AX92">
        <f t="shared" si="64"/>
        <v>0</v>
      </c>
      <c r="AY92">
        <f t="shared" si="64"/>
        <v>0</v>
      </c>
      <c r="AZ92">
        <f t="shared" si="64"/>
        <v>0</v>
      </c>
      <c r="BA92">
        <f t="shared" si="64"/>
        <v>0</v>
      </c>
      <c r="BB92">
        <f t="shared" si="64"/>
        <v>0</v>
      </c>
      <c r="BC92">
        <f t="shared" si="64"/>
        <v>0</v>
      </c>
      <c r="BD92">
        <f t="shared" si="64"/>
        <v>0</v>
      </c>
      <c r="BE92">
        <f t="shared" si="64"/>
        <v>0</v>
      </c>
      <c r="BF92">
        <f t="shared" si="64"/>
        <v>0</v>
      </c>
      <c r="BG92">
        <f t="shared" si="64"/>
        <v>0</v>
      </c>
      <c r="BH92">
        <f t="shared" si="64"/>
        <v>0</v>
      </c>
      <c r="BI92">
        <f t="shared" si="64"/>
        <v>0</v>
      </c>
      <c r="BJ92">
        <f t="shared" si="64"/>
        <v>0</v>
      </c>
      <c r="BK92">
        <f t="shared" si="64"/>
        <v>0</v>
      </c>
      <c r="BL92">
        <f t="shared" si="64"/>
        <v>0</v>
      </c>
      <c r="BM92">
        <f t="shared" si="64"/>
        <v>0</v>
      </c>
      <c r="BN92">
        <f t="shared" si="64"/>
        <v>0</v>
      </c>
      <c r="BO92">
        <f t="shared" si="64"/>
        <v>0</v>
      </c>
      <c r="BP92">
        <f t="shared" si="64"/>
        <v>0</v>
      </c>
      <c r="BQ92">
        <f t="shared" si="64"/>
        <v>0</v>
      </c>
      <c r="BR92">
        <f t="shared" si="64"/>
        <v>0</v>
      </c>
      <c r="BS92">
        <f t="shared" si="64"/>
        <v>0</v>
      </c>
      <c r="BT92">
        <f t="shared" si="64"/>
        <v>0</v>
      </c>
      <c r="BU92" s="112"/>
    </row>
    <row r="93" spans="2:73" x14ac:dyDescent="0.25">
      <c r="B93" s="9" t="s">
        <v>396</v>
      </c>
      <c r="C93" s="36">
        <f>C70</f>
        <v>9492.7293167499993</v>
      </c>
      <c r="D93" s="36">
        <f t="shared" ref="D93:K93" si="65">D70</f>
        <v>9492.7293167499993</v>
      </c>
      <c r="E93" s="36">
        <f t="shared" si="65"/>
        <v>9492.7293167499993</v>
      </c>
      <c r="F93" s="36">
        <f t="shared" si="65"/>
        <v>25937.03</v>
      </c>
      <c r="G93" s="36">
        <f t="shared" si="65"/>
        <v>25937.03</v>
      </c>
      <c r="H93" s="36">
        <f t="shared" si="65"/>
        <v>25937.03</v>
      </c>
      <c r="I93" s="36">
        <f t="shared" si="65"/>
        <v>25937.03</v>
      </c>
      <c r="J93" s="36">
        <f t="shared" si="65"/>
        <v>33215.623739988121</v>
      </c>
      <c r="K93" s="36">
        <f t="shared" si="65"/>
        <v>33215.623739988121</v>
      </c>
      <c r="L93" s="209">
        <f t="shared" ref="L93:M93" si="66">L94+L96+L102+L103</f>
        <v>54627.665046003676</v>
      </c>
      <c r="M93" s="36">
        <f t="shared" si="66"/>
        <v>54413.874163997214</v>
      </c>
      <c r="N93" s="234">
        <f>N94+N95+N96+N102+N103</f>
        <v>66486.065324821451</v>
      </c>
      <c r="O93" s="403">
        <f>O95+O94+O96+O102+O103</f>
        <v>66969.742076374183</v>
      </c>
      <c r="P93" s="403">
        <f t="shared" ref="P93:X93" si="67">P95+P94+P96+P102+P103</f>
        <v>67267.180570039578</v>
      </c>
      <c r="Q93" s="403">
        <f t="shared" si="67"/>
        <v>68916.124025441139</v>
      </c>
      <c r="R93" s="403">
        <f t="shared" si="67"/>
        <v>69027.591188991166</v>
      </c>
      <c r="S93" s="234">
        <f t="shared" si="67"/>
        <v>68581.007109323924</v>
      </c>
      <c r="T93" s="403">
        <f t="shared" si="67"/>
        <v>68666.941330580827</v>
      </c>
      <c r="U93" s="403">
        <f t="shared" si="67"/>
        <v>69313.408417519735</v>
      </c>
      <c r="V93" s="403">
        <f t="shared" si="67"/>
        <v>69720.731847101852</v>
      </c>
      <c r="W93" s="403">
        <f t="shared" si="67"/>
        <v>69762.452130029866</v>
      </c>
      <c r="X93" s="403">
        <f t="shared" si="67"/>
        <v>69891.079929031781</v>
      </c>
      <c r="Y93" s="234">
        <f t="shared" ref="Y93" si="68">Y94+Y95+Y96+Y102+Y103</f>
        <v>52831.63</v>
      </c>
      <c r="Z93" s="234">
        <f t="shared" ref="Z93" si="69">Z94+Z95+Z96+Z102+Z103</f>
        <v>52831.63</v>
      </c>
      <c r="AA93" s="234">
        <f t="shared" ref="AA93" si="70">AA94+AA95+AA96+AA102+AA103</f>
        <v>52831.63</v>
      </c>
      <c r="AB93" s="234">
        <f t="shared" ref="AB93" si="71">AB94+AB95+AB96+AB102+AB103</f>
        <v>52831.63</v>
      </c>
      <c r="AC93" s="234">
        <f t="shared" ref="AC93" si="72">AC94+AC95+AC96+AC102+AC103</f>
        <v>52831.63</v>
      </c>
      <c r="AD93" s="234">
        <f t="shared" ref="AD93" si="73">AD94+AD95+AD96+AD102+AD103</f>
        <v>54708.92</v>
      </c>
      <c r="AE93" s="234">
        <f t="shared" ref="AE93" si="74">AE94+AE95+AE96+AE102+AE103</f>
        <v>55078.92</v>
      </c>
      <c r="AF93" s="234">
        <f t="shared" ref="AF93" si="75">AF94+AF95+AF96+AF102+AF103</f>
        <v>48282.12</v>
      </c>
      <c r="AG93" s="234">
        <f t="shared" ref="AG93" si="76">AG94+AG95+AG96+AG102+AG103</f>
        <v>48282.12</v>
      </c>
      <c r="AH93" s="234">
        <f t="shared" ref="AH93" si="77">AH94+AH95+AH96+AH102+AH103</f>
        <v>48282.12</v>
      </c>
      <c r="AI93" s="209">
        <f>AI8</f>
        <v>34504.49</v>
      </c>
      <c r="AJ93" s="36">
        <f t="shared" ref="AJ93:BT93" si="78">AJ8</f>
        <v>34504.49</v>
      </c>
      <c r="AK93" s="36">
        <f t="shared" si="78"/>
        <v>34504.49</v>
      </c>
      <c r="AL93" s="36">
        <f t="shared" si="78"/>
        <v>34504.49</v>
      </c>
      <c r="AM93" s="36">
        <f t="shared" si="78"/>
        <v>34504.49</v>
      </c>
      <c r="AN93" s="36">
        <f t="shared" si="78"/>
        <v>34534.699999999997</v>
      </c>
      <c r="AO93" s="36">
        <f t="shared" si="78"/>
        <v>34534.699999999997</v>
      </c>
      <c r="AP93" s="36">
        <f t="shared" si="78"/>
        <v>34534.699999999997</v>
      </c>
      <c r="AQ93" s="36">
        <f t="shared" si="78"/>
        <v>34534.699999999997</v>
      </c>
      <c r="AR93" s="36">
        <f t="shared" si="78"/>
        <v>34534.699999999997</v>
      </c>
      <c r="AS93" s="209">
        <f t="shared" si="78"/>
        <v>34515.35</v>
      </c>
      <c r="AT93" s="36">
        <f t="shared" si="78"/>
        <v>34515.35</v>
      </c>
      <c r="AU93" s="36">
        <f t="shared" si="78"/>
        <v>34515.35</v>
      </c>
      <c r="AV93" s="36">
        <f t="shared" si="78"/>
        <v>34515.35</v>
      </c>
      <c r="AW93" s="36">
        <f t="shared" si="78"/>
        <v>34515.35</v>
      </c>
      <c r="AX93" s="36">
        <f t="shared" si="78"/>
        <v>34446.44</v>
      </c>
      <c r="AY93" s="36">
        <f t="shared" si="78"/>
        <v>34446.44</v>
      </c>
      <c r="AZ93" s="36">
        <f t="shared" si="78"/>
        <v>34446.44</v>
      </c>
      <c r="BA93" s="36">
        <f t="shared" si="78"/>
        <v>34446.44</v>
      </c>
      <c r="BB93" s="36">
        <f t="shared" si="78"/>
        <v>34446.44</v>
      </c>
      <c r="BC93" s="36">
        <f t="shared" si="78"/>
        <v>34327.97</v>
      </c>
      <c r="BD93" s="36">
        <f t="shared" si="78"/>
        <v>34327.97</v>
      </c>
      <c r="BE93" s="36">
        <f t="shared" si="78"/>
        <v>34327.97</v>
      </c>
      <c r="BF93" s="36">
        <f t="shared" si="78"/>
        <v>34327.97</v>
      </c>
      <c r="BG93" s="36">
        <f t="shared" si="78"/>
        <v>34327.97</v>
      </c>
      <c r="BH93" s="36">
        <f t="shared" si="78"/>
        <v>34159.94</v>
      </c>
      <c r="BI93" s="36">
        <f t="shared" si="78"/>
        <v>34159.94</v>
      </c>
      <c r="BJ93" s="36">
        <f t="shared" si="78"/>
        <v>34159.94</v>
      </c>
      <c r="BK93" s="36">
        <f t="shared" si="78"/>
        <v>34159.94</v>
      </c>
      <c r="BL93" s="36">
        <f t="shared" si="78"/>
        <v>34159.94</v>
      </c>
      <c r="BM93" s="36">
        <f t="shared" si="78"/>
        <v>33942.35</v>
      </c>
      <c r="BN93" s="36">
        <f t="shared" si="78"/>
        <v>33942.35</v>
      </c>
      <c r="BO93" s="36">
        <f t="shared" si="78"/>
        <v>33942.35</v>
      </c>
      <c r="BP93" s="36">
        <f t="shared" si="78"/>
        <v>33942.35</v>
      </c>
      <c r="BQ93" s="36">
        <f t="shared" si="78"/>
        <v>33942.35</v>
      </c>
      <c r="BR93" s="36">
        <f t="shared" si="78"/>
        <v>33675.199999999997</v>
      </c>
      <c r="BS93" s="36">
        <f t="shared" si="78"/>
        <v>33675.199999999997</v>
      </c>
      <c r="BT93" s="36">
        <f t="shared" si="78"/>
        <v>33675.199999999997</v>
      </c>
      <c r="BU93" s="112"/>
    </row>
    <row r="94" spans="2:73" x14ac:dyDescent="0.25">
      <c r="B94" s="16" t="s">
        <v>468</v>
      </c>
      <c r="C94" s="36">
        <f>C71</f>
        <v>370</v>
      </c>
      <c r="D94" s="36">
        <f t="shared" ref="D94:N94" si="79">D71</f>
        <v>370</v>
      </c>
      <c r="E94" s="36">
        <f t="shared" si="79"/>
        <v>370</v>
      </c>
      <c r="F94" s="36">
        <f t="shared" si="79"/>
        <v>0</v>
      </c>
      <c r="G94" s="36">
        <f t="shared" si="79"/>
        <v>0</v>
      </c>
      <c r="H94" s="36">
        <f t="shared" si="79"/>
        <v>0</v>
      </c>
      <c r="I94" s="36">
        <f t="shared" si="79"/>
        <v>0</v>
      </c>
      <c r="J94" s="36">
        <f t="shared" si="79"/>
        <v>0</v>
      </c>
      <c r="K94" s="36">
        <f t="shared" si="79"/>
        <v>0</v>
      </c>
      <c r="L94" s="209">
        <f t="shared" si="79"/>
        <v>0</v>
      </c>
      <c r="M94" s="36">
        <f t="shared" si="79"/>
        <v>0</v>
      </c>
      <c r="N94" s="234">
        <f t="shared" si="79"/>
        <v>0</v>
      </c>
      <c r="R94" s="404"/>
      <c r="Y94" s="209"/>
      <c r="Z94" s="36">
        <f t="shared" ref="Z94:AF94" si="80">Z71</f>
        <v>0</v>
      </c>
      <c r="AA94" s="36">
        <f t="shared" si="80"/>
        <v>0</v>
      </c>
      <c r="AB94" s="36">
        <f t="shared" si="80"/>
        <v>0</v>
      </c>
      <c r="AC94" s="36">
        <f t="shared" si="80"/>
        <v>0</v>
      </c>
      <c r="AD94" s="36">
        <f t="shared" si="80"/>
        <v>0</v>
      </c>
      <c r="AE94" s="36">
        <f t="shared" si="80"/>
        <v>370</v>
      </c>
      <c r="AF94" s="36">
        <f t="shared" si="80"/>
        <v>370</v>
      </c>
      <c r="AG94" s="36">
        <v>370</v>
      </c>
      <c r="AH94" s="232">
        <v>370</v>
      </c>
      <c r="AI94" s="209"/>
      <c r="AJ94" s="36"/>
      <c r="AK94" s="36"/>
      <c r="AL94" s="36"/>
      <c r="AM94" s="36"/>
      <c r="AN94" s="36"/>
      <c r="AO94" s="36"/>
      <c r="AP94" s="36"/>
      <c r="AQ94" s="36"/>
      <c r="AR94" s="36"/>
      <c r="AS94" s="209"/>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c r="BT94" s="36"/>
      <c r="BU94" s="112"/>
    </row>
    <row r="95" spans="2:73" x14ac:dyDescent="0.25">
      <c r="B95" s="16" t="s">
        <v>469</v>
      </c>
      <c r="C95" s="36"/>
      <c r="D95" s="36"/>
      <c r="E95" s="36"/>
      <c r="F95" s="36"/>
      <c r="G95" s="36"/>
      <c r="H95" s="36"/>
      <c r="I95" s="36"/>
      <c r="J95" s="36"/>
      <c r="K95" s="36"/>
      <c r="L95" s="209"/>
      <c r="M95" s="36"/>
      <c r="N95" s="234"/>
      <c r="O95">
        <f>'B.P. Coût place garderie'!C78</f>
        <v>2093</v>
      </c>
      <c r="P95">
        <f>'B.P. Coût place garderie'!D78</f>
        <v>2093</v>
      </c>
      <c r="Q95">
        <f>'B.P. Coût place garderie'!E78</f>
        <v>2093</v>
      </c>
      <c r="R95">
        <f>'B.P. Coût place garderie'!F78</f>
        <v>2093</v>
      </c>
      <c r="S95">
        <f>'B.P. Coût place garderie'!G78</f>
        <v>1623.6</v>
      </c>
      <c r="T95">
        <f>'B.P. Coût place garderie'!H78</f>
        <v>1623.6</v>
      </c>
      <c r="U95">
        <f>'B.P. Coût place garderie'!I78</f>
        <v>1623.6</v>
      </c>
      <c r="V95">
        <f>'B.P. Coût place garderie'!J78</f>
        <v>1623.6</v>
      </c>
      <c r="W95">
        <f>'B.P. Coût place garderie'!K78</f>
        <v>1623.6</v>
      </c>
      <c r="X95">
        <f>'B.P. Coût place garderie'!L78</f>
        <v>1623.6</v>
      </c>
      <c r="Y95" s="209"/>
      <c r="Z95" s="36"/>
      <c r="AA95" s="36"/>
      <c r="AB95" s="36"/>
      <c r="AC95" s="36"/>
      <c r="AD95" s="36"/>
      <c r="AE95" s="36"/>
      <c r="AF95" s="36"/>
      <c r="AG95" s="36"/>
      <c r="AH95" s="232"/>
      <c r="AI95" s="209"/>
      <c r="AJ95" s="36"/>
      <c r="AK95" s="36"/>
      <c r="AL95" s="36"/>
      <c r="AM95" s="36"/>
      <c r="AN95" s="36"/>
      <c r="AO95" s="36"/>
      <c r="AP95" s="36"/>
      <c r="AQ95" s="36"/>
      <c r="AR95" s="36"/>
      <c r="AS95" s="209"/>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112"/>
    </row>
    <row r="96" spans="2:73" ht="19.5" thickBot="1" x14ac:dyDescent="0.35">
      <c r="B96" s="73" t="s">
        <v>398</v>
      </c>
      <c r="C96" s="208">
        <f>C73</f>
        <v>7934.5329999999994</v>
      </c>
      <c r="D96" s="208">
        <f t="shared" ref="D96:K96" si="81">D73</f>
        <v>7934.5329999999994</v>
      </c>
      <c r="E96" s="208">
        <f t="shared" si="81"/>
        <v>7934.5329999999994</v>
      </c>
      <c r="F96" s="208">
        <f t="shared" si="81"/>
        <v>24178.048721461186</v>
      </c>
      <c r="G96" s="208">
        <f t="shared" si="81"/>
        <v>24178.048721461186</v>
      </c>
      <c r="H96" s="208">
        <f t="shared" si="81"/>
        <v>24178.048721461186</v>
      </c>
      <c r="I96" s="208">
        <f t="shared" si="81"/>
        <v>24178.048721461186</v>
      </c>
      <c r="J96" s="208">
        <f t="shared" si="81"/>
        <v>30976.208547499999</v>
      </c>
      <c r="K96" s="208">
        <f t="shared" si="81"/>
        <v>30976.208547499999</v>
      </c>
      <c r="L96" s="210">
        <f t="shared" ref="L96:X96" si="82">L97+L100</f>
        <v>50444.716107103915</v>
      </c>
      <c r="M96" s="208">
        <f t="shared" si="82"/>
        <v>50230.925225097453</v>
      </c>
      <c r="N96" s="300">
        <f t="shared" si="82"/>
        <v>62521.142487248064</v>
      </c>
      <c r="O96" s="208">
        <f t="shared" si="82"/>
        <v>60171.321606706872</v>
      </c>
      <c r="P96" s="208">
        <f t="shared" si="82"/>
        <v>60468.760100372259</v>
      </c>
      <c r="Q96" s="208">
        <f t="shared" si="82"/>
        <v>62022.802627311103</v>
      </c>
      <c r="R96" s="208">
        <f t="shared" si="82"/>
        <v>62134.26979086113</v>
      </c>
      <c r="S96" s="210">
        <f t="shared" si="82"/>
        <v>62157.085711193897</v>
      </c>
      <c r="T96" s="208">
        <f t="shared" si="82"/>
        <v>62045.762811337518</v>
      </c>
      <c r="U96" s="208">
        <f t="shared" si="82"/>
        <v>62692.229898276411</v>
      </c>
      <c r="V96" s="208">
        <f t="shared" si="82"/>
        <v>63099.553327858535</v>
      </c>
      <c r="W96" s="208">
        <f t="shared" si="82"/>
        <v>63141.273610786549</v>
      </c>
      <c r="X96" s="208">
        <f t="shared" si="82"/>
        <v>63269.901409788465</v>
      </c>
      <c r="Y96" s="210">
        <f>Y97+Y99</f>
        <v>48975.493585562079</v>
      </c>
      <c r="Z96" s="208">
        <f t="shared" ref="Z96:AH96" si="83">Z97+Z99</f>
        <v>48975.493585562079</v>
      </c>
      <c r="AA96" s="208">
        <f t="shared" si="83"/>
        <v>48975.493585562079</v>
      </c>
      <c r="AB96" s="208">
        <f t="shared" si="83"/>
        <v>48975.493585562079</v>
      </c>
      <c r="AC96" s="208">
        <f t="shared" si="83"/>
        <v>48975.493585562079</v>
      </c>
      <c r="AD96" s="208">
        <f t="shared" si="83"/>
        <v>50699.055881713415</v>
      </c>
      <c r="AE96" s="208">
        <f t="shared" si="83"/>
        <v>50699.055881713415</v>
      </c>
      <c r="AF96" s="208">
        <f t="shared" si="83"/>
        <v>44787.509893455099</v>
      </c>
      <c r="AG96" s="208">
        <f t="shared" si="83"/>
        <v>44787.509893455099</v>
      </c>
      <c r="AH96" s="264">
        <f t="shared" si="83"/>
        <v>44787.509893455099</v>
      </c>
      <c r="AI96" s="210">
        <f>AI11</f>
        <v>32170.833409436833</v>
      </c>
      <c r="AJ96" s="208">
        <f t="shared" ref="AJ96:BT96" si="84">AJ11</f>
        <v>32170.833409436833</v>
      </c>
      <c r="AK96" s="208">
        <f t="shared" si="84"/>
        <v>32170.833409436833</v>
      </c>
      <c r="AL96" s="208">
        <f t="shared" si="84"/>
        <v>32170.833409436833</v>
      </c>
      <c r="AM96" s="208">
        <f t="shared" si="84"/>
        <v>32170.833409436833</v>
      </c>
      <c r="AN96" s="208">
        <f t="shared" si="84"/>
        <v>32228.11237442922</v>
      </c>
      <c r="AO96" s="208">
        <f t="shared" si="84"/>
        <v>32228.11237442922</v>
      </c>
      <c r="AP96" s="208">
        <f t="shared" si="84"/>
        <v>32228.11237442922</v>
      </c>
      <c r="AQ96" s="208">
        <f t="shared" si="84"/>
        <v>32228.11237442922</v>
      </c>
      <c r="AR96" s="208">
        <f t="shared" si="84"/>
        <v>32228.11237442922</v>
      </c>
      <c r="AS96" s="210">
        <f t="shared" si="84"/>
        <v>32247.712352685365</v>
      </c>
      <c r="AT96" s="208">
        <f t="shared" si="84"/>
        <v>32247.712352685365</v>
      </c>
      <c r="AU96" s="208">
        <f t="shared" si="84"/>
        <v>32247.712352685365</v>
      </c>
      <c r="AV96" s="208">
        <f t="shared" si="84"/>
        <v>32247.712352685365</v>
      </c>
      <c r="AW96" s="208">
        <f t="shared" si="84"/>
        <v>32247.712352685365</v>
      </c>
      <c r="AX96" s="208">
        <f t="shared" si="84"/>
        <v>32229.63334420526</v>
      </c>
      <c r="AY96" s="208">
        <f t="shared" si="84"/>
        <v>32229.63334420526</v>
      </c>
      <c r="AZ96" s="208">
        <f t="shared" si="84"/>
        <v>32229.63334420526</v>
      </c>
      <c r="BA96" s="208">
        <f t="shared" si="84"/>
        <v>32229.63334420526</v>
      </c>
      <c r="BB96" s="208">
        <f t="shared" si="84"/>
        <v>32229.63334420526</v>
      </c>
      <c r="BC96" s="208">
        <f t="shared" si="84"/>
        <v>32173.875348988913</v>
      </c>
      <c r="BD96" s="208">
        <f t="shared" si="84"/>
        <v>32173.875348988913</v>
      </c>
      <c r="BE96" s="208">
        <f t="shared" si="84"/>
        <v>32173.875348988913</v>
      </c>
      <c r="BF96" s="208">
        <f t="shared" si="84"/>
        <v>32173.875348988913</v>
      </c>
      <c r="BG96" s="208">
        <f t="shared" si="84"/>
        <v>32173.875348988913</v>
      </c>
      <c r="BH96" s="208">
        <f t="shared" si="84"/>
        <v>32080.43836703631</v>
      </c>
      <c r="BI96" s="208">
        <f t="shared" si="84"/>
        <v>32080.43836703631</v>
      </c>
      <c r="BJ96" s="208">
        <f t="shared" si="84"/>
        <v>32080.43836703631</v>
      </c>
      <c r="BK96" s="208">
        <f t="shared" si="84"/>
        <v>32080.43836703631</v>
      </c>
      <c r="BL96" s="208">
        <f t="shared" si="84"/>
        <v>32080.43836703631</v>
      </c>
      <c r="BM96" s="208">
        <f t="shared" si="84"/>
        <v>31949.322398347467</v>
      </c>
      <c r="BN96" s="208">
        <f t="shared" si="84"/>
        <v>31949.322398347467</v>
      </c>
      <c r="BO96" s="208">
        <f t="shared" si="84"/>
        <v>31949.322398347467</v>
      </c>
      <c r="BP96" s="208">
        <f t="shared" si="84"/>
        <v>31949.322398347467</v>
      </c>
      <c r="BQ96" s="208">
        <f t="shared" si="84"/>
        <v>31949.322398347467</v>
      </c>
      <c r="BR96" s="208">
        <f t="shared" si="84"/>
        <v>31780.527442922375</v>
      </c>
      <c r="BS96" s="208">
        <f t="shared" si="84"/>
        <v>31780.527442922375</v>
      </c>
      <c r="BT96" s="208">
        <f t="shared" si="84"/>
        <v>31780.527442922375</v>
      </c>
      <c r="BU96" s="112"/>
    </row>
    <row r="97" spans="2:73" s="381" customFormat="1" ht="18.75" x14ac:dyDescent="0.3">
      <c r="B97" s="379" t="s">
        <v>399</v>
      </c>
      <c r="C97" s="412"/>
      <c r="D97" s="412"/>
      <c r="E97" s="412"/>
      <c r="F97" s="383">
        <f t="shared" ref="F97:X99" si="85">F74</f>
        <v>12094.661822484111</v>
      </c>
      <c r="G97" s="383">
        <f t="shared" si="85"/>
        <v>12239.184501319438</v>
      </c>
      <c r="H97" s="383">
        <f t="shared" si="85"/>
        <v>12419.384136159326</v>
      </c>
      <c r="I97" s="383">
        <f t="shared" si="85"/>
        <v>12559.604750118673</v>
      </c>
      <c r="J97" s="383">
        <f t="shared" si="85"/>
        <v>12717.666997183602</v>
      </c>
      <c r="K97" s="383">
        <f t="shared" si="85"/>
        <v>12856.075986793105</v>
      </c>
      <c r="L97" s="384">
        <f t="shared" si="85"/>
        <v>24470</v>
      </c>
      <c r="M97" s="383">
        <f t="shared" si="85"/>
        <v>24470</v>
      </c>
      <c r="N97" s="394">
        <f t="shared" si="85"/>
        <v>26933</v>
      </c>
      <c r="O97" s="383">
        <f t="shared" si="85"/>
        <v>30790</v>
      </c>
      <c r="P97" s="383">
        <v>30790</v>
      </c>
      <c r="Q97" s="383">
        <f t="shared" si="85"/>
        <v>31501</v>
      </c>
      <c r="R97" s="383">
        <f t="shared" si="85"/>
        <v>31501</v>
      </c>
      <c r="S97" s="384">
        <f t="shared" si="85"/>
        <v>31501</v>
      </c>
      <c r="T97" s="383">
        <f t="shared" si="85"/>
        <v>31501</v>
      </c>
      <c r="U97" s="383">
        <f t="shared" si="85"/>
        <v>31501</v>
      </c>
      <c r="V97" s="383">
        <f t="shared" si="85"/>
        <v>32028</v>
      </c>
      <c r="W97" s="383">
        <f t="shared" si="85"/>
        <v>32028</v>
      </c>
      <c r="X97" s="383">
        <f t="shared" si="85"/>
        <v>32028</v>
      </c>
      <c r="Y97" s="384">
        <v>23225</v>
      </c>
      <c r="Z97" s="383">
        <v>23225</v>
      </c>
      <c r="AA97" s="383">
        <v>23225</v>
      </c>
      <c r="AB97" s="383">
        <v>23225</v>
      </c>
      <c r="AC97" s="383">
        <v>23225</v>
      </c>
      <c r="AD97" s="383">
        <v>23922</v>
      </c>
      <c r="AE97" s="383">
        <v>23922</v>
      </c>
      <c r="AF97" s="383">
        <v>23922</v>
      </c>
      <c r="AG97" s="383">
        <v>23922</v>
      </c>
      <c r="AH97" s="383">
        <f>AG97</f>
        <v>23922</v>
      </c>
      <c r="AI97" s="384">
        <f>AI12</f>
        <v>13886.262296240495</v>
      </c>
      <c r="AJ97" s="383">
        <f t="shared" ref="AJ97:BT99" si="86">AJ12</f>
        <v>13886.262296240495</v>
      </c>
      <c r="AK97" s="383">
        <f t="shared" si="86"/>
        <v>13886.262296240495</v>
      </c>
      <c r="AL97" s="383">
        <f t="shared" si="86"/>
        <v>13886.262296240495</v>
      </c>
      <c r="AM97" s="383">
        <f t="shared" si="86"/>
        <v>13886.262296240495</v>
      </c>
      <c r="AN97" s="383">
        <f t="shared" si="86"/>
        <v>13886.262296240495</v>
      </c>
      <c r="AO97" s="383">
        <f t="shared" si="86"/>
        <v>13886.262296240495</v>
      </c>
      <c r="AP97" s="383">
        <f t="shared" si="86"/>
        <v>13886.262296240495</v>
      </c>
      <c r="AQ97" s="383">
        <f t="shared" si="86"/>
        <v>13886.262296240495</v>
      </c>
      <c r="AR97" s="413">
        <f t="shared" si="86"/>
        <v>13886.262296240495</v>
      </c>
      <c r="AS97" s="383">
        <f t="shared" si="86"/>
        <v>13625.844158959115</v>
      </c>
      <c r="AT97" s="383">
        <f t="shared" si="86"/>
        <v>13625.844158959115</v>
      </c>
      <c r="AU97" s="383">
        <f t="shared" si="86"/>
        <v>13625.844158959115</v>
      </c>
      <c r="AV97" s="383">
        <f t="shared" si="86"/>
        <v>13625.844158959115</v>
      </c>
      <c r="AW97" s="383">
        <f t="shared" si="86"/>
        <v>13625.844158959115</v>
      </c>
      <c r="AX97" s="383">
        <f t="shared" si="86"/>
        <v>14463.659948508386</v>
      </c>
      <c r="AY97" s="383">
        <f t="shared" si="86"/>
        <v>14463.659948508386</v>
      </c>
      <c r="AZ97" s="383">
        <f t="shared" si="86"/>
        <v>14463.659948508386</v>
      </c>
      <c r="BA97" s="383">
        <f t="shared" si="86"/>
        <v>14463.659948508386</v>
      </c>
      <c r="BB97" s="383">
        <f t="shared" si="86"/>
        <v>14463.659948508386</v>
      </c>
      <c r="BC97" s="383">
        <f t="shared" si="86"/>
        <v>14463.659948508386</v>
      </c>
      <c r="BD97" s="383">
        <f t="shared" si="86"/>
        <v>14463.659948508386</v>
      </c>
      <c r="BE97" s="383">
        <f t="shared" si="86"/>
        <v>14463.659948508386</v>
      </c>
      <c r="BF97" s="383">
        <f t="shared" si="86"/>
        <v>14463.659948508386</v>
      </c>
      <c r="BG97" s="383">
        <f t="shared" si="86"/>
        <v>14463.659948508386</v>
      </c>
      <c r="BH97" s="383">
        <f t="shared" si="86"/>
        <v>14463.659948508386</v>
      </c>
      <c r="BI97" s="383">
        <f t="shared" si="86"/>
        <v>14463.659948508386</v>
      </c>
      <c r="BJ97" s="383">
        <f t="shared" si="86"/>
        <v>14463.659948508386</v>
      </c>
      <c r="BK97" s="383">
        <f t="shared" si="86"/>
        <v>14463.659948508386</v>
      </c>
      <c r="BL97" s="383">
        <f t="shared" si="86"/>
        <v>14463.659948508386</v>
      </c>
      <c r="BM97" s="383">
        <f t="shared" si="86"/>
        <v>14463.659948508386</v>
      </c>
      <c r="BN97" s="383">
        <f t="shared" si="86"/>
        <v>14463.659948508386</v>
      </c>
      <c r="BO97" s="383">
        <f t="shared" si="86"/>
        <v>14463.659948508386</v>
      </c>
      <c r="BP97" s="383">
        <f t="shared" si="86"/>
        <v>14463.659948508386</v>
      </c>
      <c r="BQ97" s="383">
        <f t="shared" si="86"/>
        <v>14463.659948508386</v>
      </c>
      <c r="BR97" s="383">
        <f t="shared" si="86"/>
        <v>14463.659948508386</v>
      </c>
      <c r="BS97" s="383">
        <f t="shared" si="86"/>
        <v>14463.659948508386</v>
      </c>
      <c r="BT97" s="383">
        <f t="shared" si="86"/>
        <v>14463.659948508386</v>
      </c>
      <c r="BU97" s="380"/>
    </row>
    <row r="98" spans="2:73" s="4" customFormat="1" ht="18.75" x14ac:dyDescent="0.3">
      <c r="B98" s="405" t="s">
        <v>400</v>
      </c>
      <c r="C98" s="290"/>
      <c r="D98" s="290"/>
      <c r="E98" s="290"/>
      <c r="F98" s="203">
        <f>F75</f>
        <v>12431.93</v>
      </c>
      <c r="G98" s="203">
        <f t="shared" ref="G98:K98" si="87">G75</f>
        <v>12431.93</v>
      </c>
      <c r="H98" s="203">
        <f t="shared" si="87"/>
        <v>12431.93</v>
      </c>
      <c r="I98" s="203">
        <f t="shared" si="87"/>
        <v>12431.93</v>
      </c>
      <c r="J98" s="203">
        <f t="shared" si="87"/>
        <v>16021.85</v>
      </c>
      <c r="K98" s="299">
        <f t="shared" si="87"/>
        <v>16021.85</v>
      </c>
      <c r="L98" s="203">
        <f t="shared" si="85"/>
        <v>22832.03</v>
      </c>
      <c r="M98" s="299">
        <f t="shared" si="85"/>
        <v>22832.03</v>
      </c>
      <c r="N98" s="416">
        <f t="shared" si="85"/>
        <v>24561.13</v>
      </c>
      <c r="O98" s="203">
        <f t="shared" si="85"/>
        <v>29335.64</v>
      </c>
      <c r="P98" s="203">
        <f t="shared" si="85"/>
        <v>29335.64</v>
      </c>
      <c r="Q98" s="203">
        <f t="shared" si="85"/>
        <v>29542.91</v>
      </c>
      <c r="R98" s="299">
        <f t="shared" si="85"/>
        <v>29542.91</v>
      </c>
      <c r="S98" s="203">
        <f t="shared" si="85"/>
        <v>29542.91</v>
      </c>
      <c r="T98" s="203">
        <f t="shared" si="85"/>
        <v>30137.81</v>
      </c>
      <c r="U98" s="203">
        <f t="shared" si="85"/>
        <v>30137.81</v>
      </c>
      <c r="V98" s="203">
        <f t="shared" si="85"/>
        <v>30137.81</v>
      </c>
      <c r="W98" s="203">
        <f t="shared" si="85"/>
        <v>30137.81</v>
      </c>
      <c r="X98" s="203">
        <f t="shared" si="85"/>
        <v>30137.81</v>
      </c>
      <c r="Y98" s="291">
        <v>27481.64</v>
      </c>
      <c r="Z98" s="203">
        <f t="shared" ref="Z98:AC99" si="88">Y98</f>
        <v>27481.64</v>
      </c>
      <c r="AA98" s="203">
        <f t="shared" si="88"/>
        <v>27481.64</v>
      </c>
      <c r="AB98" s="203">
        <f t="shared" si="88"/>
        <v>27481.64</v>
      </c>
      <c r="AC98" s="203">
        <f t="shared" si="88"/>
        <v>27481.64</v>
      </c>
      <c r="AD98" s="203">
        <v>28138.23</v>
      </c>
      <c r="AE98" s="203">
        <f>AD98</f>
        <v>28138.23</v>
      </c>
      <c r="AF98" s="203">
        <v>21962.28</v>
      </c>
      <c r="AG98" s="203">
        <f t="shared" ref="AG98:AH98" si="89">AF98</f>
        <v>21962.28</v>
      </c>
      <c r="AH98" s="203">
        <f t="shared" si="89"/>
        <v>21962.28</v>
      </c>
      <c r="AI98" s="291">
        <f>AI13</f>
        <v>16587.150000000001</v>
      </c>
      <c r="AJ98" s="203">
        <f t="shared" si="86"/>
        <v>16587.150000000001</v>
      </c>
      <c r="AK98" s="203">
        <f t="shared" si="86"/>
        <v>16587.150000000001</v>
      </c>
      <c r="AL98" s="203">
        <f t="shared" si="86"/>
        <v>16587.150000000001</v>
      </c>
      <c r="AM98" s="203">
        <f t="shared" si="86"/>
        <v>16587.150000000001</v>
      </c>
      <c r="AN98" s="203">
        <f t="shared" si="86"/>
        <v>16825.189999999999</v>
      </c>
      <c r="AO98" s="203">
        <f t="shared" si="86"/>
        <v>16825.189999999999</v>
      </c>
      <c r="AP98" s="203">
        <f t="shared" si="86"/>
        <v>16825.189999999999</v>
      </c>
      <c r="AQ98" s="203">
        <f t="shared" si="86"/>
        <v>16825.189999999999</v>
      </c>
      <c r="AR98" s="299">
        <f t="shared" si="86"/>
        <v>16825.189999999999</v>
      </c>
      <c r="AS98" s="203">
        <f t="shared" si="86"/>
        <v>17104.89</v>
      </c>
      <c r="AT98" s="203">
        <f t="shared" si="86"/>
        <v>17104.89</v>
      </c>
      <c r="AU98" s="203">
        <f t="shared" si="86"/>
        <v>17104.89</v>
      </c>
      <c r="AV98" s="203">
        <f t="shared" si="86"/>
        <v>17104.89</v>
      </c>
      <c r="AW98" s="203">
        <f t="shared" si="86"/>
        <v>17104.89</v>
      </c>
      <c r="AX98" s="203">
        <f t="shared" si="86"/>
        <v>17426.25</v>
      </c>
      <c r="AY98" s="203">
        <f t="shared" si="86"/>
        <v>17426.25</v>
      </c>
      <c r="AZ98" s="203">
        <f t="shared" si="86"/>
        <v>17426.25</v>
      </c>
      <c r="BA98" s="203">
        <f t="shared" si="86"/>
        <v>17426.25</v>
      </c>
      <c r="BB98" s="203">
        <f t="shared" si="86"/>
        <v>17426.25</v>
      </c>
      <c r="BC98" s="203">
        <f t="shared" si="86"/>
        <v>17789.27</v>
      </c>
      <c r="BD98" s="203">
        <f t="shared" si="86"/>
        <v>17789.27</v>
      </c>
      <c r="BE98" s="203">
        <f t="shared" si="86"/>
        <v>17789.27</v>
      </c>
      <c r="BF98" s="203">
        <f t="shared" si="86"/>
        <v>17789.27</v>
      </c>
      <c r="BG98" s="203">
        <f t="shared" si="86"/>
        <v>17789.27</v>
      </c>
      <c r="BH98" s="203">
        <f t="shared" si="86"/>
        <v>18193.95</v>
      </c>
      <c r="BI98" s="203">
        <f t="shared" si="86"/>
        <v>18193.95</v>
      </c>
      <c r="BJ98" s="203">
        <f t="shared" si="86"/>
        <v>18193.95</v>
      </c>
      <c r="BK98" s="203">
        <f t="shared" si="86"/>
        <v>18193.95</v>
      </c>
      <c r="BL98" s="203">
        <f t="shared" si="86"/>
        <v>18193.95</v>
      </c>
      <c r="BM98" s="203">
        <f t="shared" si="86"/>
        <v>18640.29</v>
      </c>
      <c r="BN98" s="203">
        <f t="shared" si="86"/>
        <v>18640.29</v>
      </c>
      <c r="BO98" s="203">
        <f t="shared" si="86"/>
        <v>18640.29</v>
      </c>
      <c r="BP98" s="203">
        <f t="shared" si="86"/>
        <v>18640.29</v>
      </c>
      <c r="BQ98" s="203">
        <f t="shared" si="86"/>
        <v>18640.29</v>
      </c>
      <c r="BR98" s="203">
        <f t="shared" si="86"/>
        <v>19128.29</v>
      </c>
      <c r="BS98" s="203">
        <f t="shared" si="86"/>
        <v>19128.29</v>
      </c>
      <c r="BT98" s="203">
        <f t="shared" si="86"/>
        <v>19128.29</v>
      </c>
      <c r="BU98" s="291"/>
    </row>
    <row r="99" spans="2:73" s="35" customFormat="1" ht="18.75" x14ac:dyDescent="0.3">
      <c r="B99" s="405" t="s">
        <v>401</v>
      </c>
      <c r="C99" s="295">
        <f>C76</f>
        <v>7934.5329999999994</v>
      </c>
      <c r="D99" s="295">
        <f t="shared" ref="D99:K99" si="90">D76</f>
        <v>7934.5329999999994</v>
      </c>
      <c r="E99" s="295">
        <f t="shared" si="90"/>
        <v>7934.5329999999994</v>
      </c>
      <c r="F99" s="295">
        <f t="shared" si="90"/>
        <v>11746.118721461187</v>
      </c>
      <c r="G99" s="295">
        <f t="shared" si="90"/>
        <v>11746.118721461187</v>
      </c>
      <c r="H99" s="295">
        <f t="shared" si="90"/>
        <v>11746.118721461187</v>
      </c>
      <c r="I99" s="295">
        <f t="shared" si="90"/>
        <v>11746.118721461187</v>
      </c>
      <c r="J99" s="295">
        <f t="shared" si="90"/>
        <v>14954.358547499998</v>
      </c>
      <c r="K99" s="398">
        <f t="shared" si="90"/>
        <v>14954.358547499998</v>
      </c>
      <c r="L99" s="295">
        <f t="shared" si="85"/>
        <v>27932.881061100241</v>
      </c>
      <c r="M99" s="398">
        <f t="shared" si="85"/>
        <v>27932.881061100241</v>
      </c>
      <c r="N99" s="408">
        <f t="shared" si="85"/>
        <v>26476.947162426612</v>
      </c>
      <c r="O99" s="295">
        <f t="shared" si="85"/>
        <v>31421.83953033268</v>
      </c>
      <c r="P99" s="295">
        <f t="shared" si="85"/>
        <v>31421.83953033268</v>
      </c>
      <c r="Q99" s="295">
        <f t="shared" si="85"/>
        <v>32055.568601869971</v>
      </c>
      <c r="R99" s="398">
        <f t="shared" si="85"/>
        <v>32055.568601869971</v>
      </c>
      <c r="S99" s="295">
        <f t="shared" si="85"/>
        <v>32055.568601869971</v>
      </c>
      <c r="T99" s="295">
        <f t="shared" si="85"/>
        <v>33372.811480756682</v>
      </c>
      <c r="U99" s="295">
        <f t="shared" si="85"/>
        <v>33372.811480756682</v>
      </c>
      <c r="V99" s="295">
        <f t="shared" si="85"/>
        <v>33372.811480756682</v>
      </c>
      <c r="W99" s="295">
        <f t="shared" si="85"/>
        <v>33372.811480756682</v>
      </c>
      <c r="X99" s="295">
        <f t="shared" si="85"/>
        <v>33372.811480756682</v>
      </c>
      <c r="Y99" s="298">
        <f>29606.63/(1+0.14975)</f>
        <v>25750.493585562079</v>
      </c>
      <c r="Z99" s="295">
        <f>Y99</f>
        <v>25750.493585562079</v>
      </c>
      <c r="AA99" s="295">
        <f t="shared" si="88"/>
        <v>25750.493585562079</v>
      </c>
      <c r="AB99" s="295">
        <f t="shared" si="88"/>
        <v>25750.493585562079</v>
      </c>
      <c r="AC99" s="295">
        <f t="shared" si="88"/>
        <v>25750.493585562079</v>
      </c>
      <c r="AD99" s="295">
        <f>30786.92/(1+0.14975)</f>
        <v>26777.055881713412</v>
      </c>
      <c r="AE99" s="295">
        <f>AD99</f>
        <v>26777.055881713412</v>
      </c>
      <c r="AF99" s="295">
        <f>23990.12/(1+0.14975)</f>
        <v>20865.509893455099</v>
      </c>
      <c r="AG99" s="295">
        <f t="shared" ref="AG99:AH99" si="91">AF99</f>
        <v>20865.509893455099</v>
      </c>
      <c r="AH99" s="295">
        <f t="shared" si="91"/>
        <v>20865.509893455099</v>
      </c>
      <c r="AI99" s="298">
        <f>AI14</f>
        <v>15583.683409436833</v>
      </c>
      <c r="AJ99" s="295">
        <f t="shared" si="86"/>
        <v>15583.683409436833</v>
      </c>
      <c r="AK99" s="295">
        <f t="shared" si="86"/>
        <v>15583.683409436833</v>
      </c>
      <c r="AL99" s="295">
        <f t="shared" si="86"/>
        <v>15583.683409436833</v>
      </c>
      <c r="AM99" s="295">
        <f t="shared" si="86"/>
        <v>15583.683409436833</v>
      </c>
      <c r="AN99" s="295">
        <f t="shared" si="86"/>
        <v>15402.922374429221</v>
      </c>
      <c r="AO99" s="295">
        <f t="shared" si="86"/>
        <v>15402.922374429221</v>
      </c>
      <c r="AP99" s="295">
        <f t="shared" si="86"/>
        <v>15402.922374429221</v>
      </c>
      <c r="AQ99" s="295">
        <f t="shared" si="86"/>
        <v>15402.922374429221</v>
      </c>
      <c r="AR99" s="295">
        <f t="shared" si="86"/>
        <v>15402.922374429221</v>
      </c>
      <c r="AS99" s="298">
        <f t="shared" si="86"/>
        <v>15142.822352685365</v>
      </c>
      <c r="AT99" s="295">
        <f t="shared" si="86"/>
        <v>15142.822352685365</v>
      </c>
      <c r="AU99" s="295">
        <f t="shared" si="86"/>
        <v>15142.822352685365</v>
      </c>
      <c r="AV99" s="295">
        <f t="shared" si="86"/>
        <v>15142.822352685365</v>
      </c>
      <c r="AW99" s="295">
        <f t="shared" si="86"/>
        <v>15142.822352685365</v>
      </c>
      <c r="AX99" s="295">
        <f t="shared" si="86"/>
        <v>14803.38334420526</v>
      </c>
      <c r="AY99" s="295">
        <f t="shared" si="86"/>
        <v>14803.38334420526</v>
      </c>
      <c r="AZ99" s="295">
        <f t="shared" si="86"/>
        <v>14803.38334420526</v>
      </c>
      <c r="BA99" s="295">
        <f t="shared" si="86"/>
        <v>14803.38334420526</v>
      </c>
      <c r="BB99" s="295">
        <f t="shared" si="86"/>
        <v>14803.38334420526</v>
      </c>
      <c r="BC99" s="295">
        <f t="shared" si="86"/>
        <v>14384.605348988911</v>
      </c>
      <c r="BD99" s="295">
        <f t="shared" si="86"/>
        <v>14384.605348988911</v>
      </c>
      <c r="BE99" s="295">
        <f t="shared" si="86"/>
        <v>14384.605348988911</v>
      </c>
      <c r="BF99" s="295">
        <f t="shared" si="86"/>
        <v>14384.605348988911</v>
      </c>
      <c r="BG99" s="295">
        <f t="shared" si="86"/>
        <v>14384.605348988911</v>
      </c>
      <c r="BH99" s="295">
        <f t="shared" si="86"/>
        <v>13886.488367036311</v>
      </c>
      <c r="BI99" s="295">
        <f t="shared" si="86"/>
        <v>13886.488367036311</v>
      </c>
      <c r="BJ99" s="295">
        <f t="shared" si="86"/>
        <v>13886.488367036311</v>
      </c>
      <c r="BK99" s="295">
        <f t="shared" si="86"/>
        <v>13886.488367036311</v>
      </c>
      <c r="BL99" s="295">
        <f t="shared" si="86"/>
        <v>13886.488367036311</v>
      </c>
      <c r="BM99" s="295">
        <f t="shared" si="86"/>
        <v>13309.032398347466</v>
      </c>
      <c r="BN99" s="295">
        <f t="shared" si="86"/>
        <v>13309.032398347466</v>
      </c>
      <c r="BO99" s="295">
        <f t="shared" si="86"/>
        <v>13309.032398347466</v>
      </c>
      <c r="BP99" s="295">
        <f t="shared" si="86"/>
        <v>13309.032398347466</v>
      </c>
      <c r="BQ99" s="295">
        <f t="shared" si="86"/>
        <v>13309.032398347466</v>
      </c>
      <c r="BR99" s="295">
        <f t="shared" si="86"/>
        <v>12652.237442922375</v>
      </c>
      <c r="BS99" s="295">
        <f t="shared" si="86"/>
        <v>12652.237442922375</v>
      </c>
      <c r="BT99" s="295">
        <f t="shared" si="86"/>
        <v>12652.237442922375</v>
      </c>
      <c r="BU99" s="298"/>
    </row>
    <row r="100" spans="2:73" s="385" customFormat="1" ht="18.75" x14ac:dyDescent="0.3">
      <c r="B100" s="382" t="s">
        <v>402</v>
      </c>
      <c r="C100" s="383">
        <f>C101/0.14975</f>
        <v>7805.1336354616096</v>
      </c>
      <c r="D100" s="383">
        <f t="shared" ref="D100:AH100" si="92">D101/0.14975</f>
        <v>7805.1336354616096</v>
      </c>
      <c r="E100" s="383">
        <f t="shared" si="92"/>
        <v>7805.1336354616096</v>
      </c>
      <c r="F100" s="383">
        <f t="shared" si="92"/>
        <v>12215.424709003872</v>
      </c>
      <c r="G100" s="383">
        <f t="shared" si="92"/>
        <v>12361.390419163257</v>
      </c>
      <c r="H100" s="383">
        <f t="shared" si="92"/>
        <v>12543.389312913601</v>
      </c>
      <c r="I100" s="383">
        <f t="shared" si="92"/>
        <v>12685.010002901518</v>
      </c>
      <c r="J100" s="383">
        <f t="shared" si="92"/>
        <v>12844.650471291317</v>
      </c>
      <c r="K100" s="383">
        <f t="shared" si="92"/>
        <v>12984.441448206531</v>
      </c>
      <c r="L100" s="384">
        <f t="shared" si="92"/>
        <v>25974.716107103912</v>
      </c>
      <c r="M100" s="383">
        <f t="shared" si="92"/>
        <v>25760.925225097453</v>
      </c>
      <c r="N100" s="394">
        <f t="shared" si="92"/>
        <v>35588.142487248064</v>
      </c>
      <c r="O100" s="383">
        <f t="shared" si="92"/>
        <v>29381.321606706868</v>
      </c>
      <c r="P100" s="383">
        <f t="shared" si="92"/>
        <v>29678.760100372259</v>
      </c>
      <c r="Q100" s="383">
        <f t="shared" si="92"/>
        <v>30521.802627311103</v>
      </c>
      <c r="R100" s="383">
        <f t="shared" si="92"/>
        <v>30633.26979086113</v>
      </c>
      <c r="S100" s="384">
        <f t="shared" si="92"/>
        <v>30656.0857111939</v>
      </c>
      <c r="T100" s="383">
        <f t="shared" si="92"/>
        <v>30544.762811337518</v>
      </c>
      <c r="U100" s="383">
        <f t="shared" si="92"/>
        <v>31191.229898276411</v>
      </c>
      <c r="V100" s="383">
        <f t="shared" si="92"/>
        <v>31071.553327858539</v>
      </c>
      <c r="W100" s="383">
        <f t="shared" si="92"/>
        <v>31113.273610786553</v>
      </c>
      <c r="X100" s="383">
        <f t="shared" si="92"/>
        <v>31241.901409788465</v>
      </c>
      <c r="Y100" s="384">
        <f t="shared" si="92"/>
        <v>19702.890698639763</v>
      </c>
      <c r="Z100" s="383">
        <f t="shared" si="92"/>
        <v>19702.890698639763</v>
      </c>
      <c r="AA100" s="383">
        <f t="shared" si="92"/>
        <v>19702.890698639763</v>
      </c>
      <c r="AB100" s="383">
        <f t="shared" si="92"/>
        <v>19702.890698639763</v>
      </c>
      <c r="AC100" s="383">
        <f t="shared" si="92"/>
        <v>19702.890698639763</v>
      </c>
      <c r="AD100" s="383">
        <f t="shared" si="92"/>
        <v>19702.890698639763</v>
      </c>
      <c r="AE100" s="383">
        <f t="shared" si="92"/>
        <v>19702.890698639763</v>
      </c>
      <c r="AF100" s="383">
        <f t="shared" si="92"/>
        <v>19702.890698639763</v>
      </c>
      <c r="AG100" s="383">
        <f t="shared" si="92"/>
        <v>19702.890698639763</v>
      </c>
      <c r="AH100" s="383">
        <f t="shared" si="92"/>
        <v>19702.890698639763</v>
      </c>
      <c r="AI100" s="384">
        <f t="shared" ref="AI100" si="93">AI15</f>
        <v>14024.913971043596</v>
      </c>
      <c r="AJ100" s="383">
        <f t="shared" ref="AJ100:BT100" si="94">AJ15</f>
        <v>14024.913971043596</v>
      </c>
      <c r="AK100" s="383">
        <f t="shared" si="94"/>
        <v>14024.913971043596</v>
      </c>
      <c r="AL100" s="383">
        <f t="shared" si="94"/>
        <v>14024.913971043596</v>
      </c>
      <c r="AM100" s="383">
        <f t="shared" si="94"/>
        <v>14024.913971043596</v>
      </c>
      <c r="AN100" s="383">
        <f t="shared" si="94"/>
        <v>14024.913971043596</v>
      </c>
      <c r="AO100" s="383">
        <f t="shared" si="94"/>
        <v>14024.913971043596</v>
      </c>
      <c r="AP100" s="383">
        <f t="shared" si="94"/>
        <v>14024.913971043596</v>
      </c>
      <c r="AQ100" s="383">
        <f t="shared" si="94"/>
        <v>14024.913971043596</v>
      </c>
      <c r="AR100" s="388">
        <f t="shared" si="94"/>
        <v>14024.913971043596</v>
      </c>
      <c r="AS100" s="383">
        <f t="shared" si="94"/>
        <v>13761.89560843787</v>
      </c>
      <c r="AT100" s="383">
        <f t="shared" si="94"/>
        <v>13761.89560843787</v>
      </c>
      <c r="AU100" s="383">
        <f t="shared" si="94"/>
        <v>13761.89560843787</v>
      </c>
      <c r="AV100" s="383">
        <f t="shared" si="94"/>
        <v>13761.89560843787</v>
      </c>
      <c r="AW100" s="383">
        <f t="shared" si="94"/>
        <v>13761.89560843787</v>
      </c>
      <c r="AX100" s="383">
        <f t="shared" si="94"/>
        <v>14608.076828505398</v>
      </c>
      <c r="AY100" s="383">
        <f t="shared" si="94"/>
        <v>14608.076828505398</v>
      </c>
      <c r="AZ100" s="383">
        <f t="shared" si="94"/>
        <v>14608.076828505398</v>
      </c>
      <c r="BA100" s="383">
        <f t="shared" si="94"/>
        <v>14608.076828505398</v>
      </c>
      <c r="BB100" s="383">
        <f t="shared" si="94"/>
        <v>14608.076828505398</v>
      </c>
      <c r="BC100" s="383">
        <f t="shared" si="94"/>
        <v>14608.076828505398</v>
      </c>
      <c r="BD100" s="383">
        <f t="shared" si="94"/>
        <v>14608.076828505398</v>
      </c>
      <c r="BE100" s="383">
        <f t="shared" si="94"/>
        <v>14608.076828505398</v>
      </c>
      <c r="BF100" s="383">
        <f t="shared" si="94"/>
        <v>14608.076828505398</v>
      </c>
      <c r="BG100" s="383">
        <f t="shared" si="94"/>
        <v>14608.076828505398</v>
      </c>
      <c r="BH100" s="383">
        <f t="shared" si="94"/>
        <v>14608.076828505398</v>
      </c>
      <c r="BI100" s="383">
        <f t="shared" si="94"/>
        <v>14608.076828505398</v>
      </c>
      <c r="BJ100" s="383">
        <f t="shared" si="94"/>
        <v>14608.076828505398</v>
      </c>
      <c r="BK100" s="383">
        <f t="shared" si="94"/>
        <v>14608.076828505398</v>
      </c>
      <c r="BL100" s="383">
        <f t="shared" si="94"/>
        <v>14608.076828505398</v>
      </c>
      <c r="BM100" s="383">
        <f t="shared" si="94"/>
        <v>14608.076828505398</v>
      </c>
      <c r="BN100" s="383">
        <f t="shared" si="94"/>
        <v>14608.076828505398</v>
      </c>
      <c r="BO100" s="383">
        <f t="shared" si="94"/>
        <v>14608.076828505398</v>
      </c>
      <c r="BP100" s="383">
        <f t="shared" si="94"/>
        <v>14608.076828505398</v>
      </c>
      <c r="BQ100" s="383">
        <f t="shared" si="94"/>
        <v>14608.076828505398</v>
      </c>
      <c r="BR100" s="383">
        <f t="shared" si="94"/>
        <v>14608.076828505398</v>
      </c>
      <c r="BS100" s="383">
        <f t="shared" si="94"/>
        <v>14608.076828505398</v>
      </c>
      <c r="BT100" s="383">
        <f t="shared" si="94"/>
        <v>14608.076828505398</v>
      </c>
      <c r="BU100" s="384"/>
    </row>
    <row r="101" spans="2:73" s="385" customFormat="1" ht="18.75" x14ac:dyDescent="0.3">
      <c r="B101" s="382" t="s">
        <v>403</v>
      </c>
      <c r="C101" s="383">
        <f>C78</f>
        <v>1168.818761910376</v>
      </c>
      <c r="D101" s="383">
        <f t="shared" ref="D101:O101" si="95">D78</f>
        <v>1168.818761910376</v>
      </c>
      <c r="E101" s="383">
        <f t="shared" si="95"/>
        <v>1168.818761910376</v>
      </c>
      <c r="F101" s="383">
        <f t="shared" si="95"/>
        <v>1829.2598501733296</v>
      </c>
      <c r="G101" s="383">
        <f t="shared" si="95"/>
        <v>1851.1182152696977</v>
      </c>
      <c r="H101" s="383">
        <f t="shared" si="95"/>
        <v>1878.3725496088116</v>
      </c>
      <c r="I101" s="383">
        <f t="shared" si="95"/>
        <v>1899.580247934502</v>
      </c>
      <c r="J101" s="383">
        <f t="shared" si="95"/>
        <v>1923.4864080758746</v>
      </c>
      <c r="K101" s="383">
        <f t="shared" si="95"/>
        <v>1944.4201068689279</v>
      </c>
      <c r="L101" s="384">
        <f t="shared" si="95"/>
        <v>3889.7137370388109</v>
      </c>
      <c r="M101" s="383">
        <f t="shared" si="95"/>
        <v>3857.6985524583433</v>
      </c>
      <c r="N101" s="394">
        <f t="shared" si="95"/>
        <v>5329.3243374653975</v>
      </c>
      <c r="O101" s="383">
        <f t="shared" si="95"/>
        <v>4399.8529106043534</v>
      </c>
      <c r="P101" s="383">
        <f>'Taxes consommation - détail'!F83</f>
        <v>4444.3943250307457</v>
      </c>
      <c r="Q101" s="383">
        <f>'Taxes consommation - détail'!F84</f>
        <v>4570.6399434398372</v>
      </c>
      <c r="R101" s="383">
        <f>'Taxes consommation - détail'!F85</f>
        <v>4587.3321511814538</v>
      </c>
      <c r="S101" s="384">
        <f>'Taxes consommation - détail'!D86</f>
        <v>4590.7488352512864</v>
      </c>
      <c r="T101" s="383">
        <f>'Taxes consommation - détail'!D87</f>
        <v>4574.0782309977931</v>
      </c>
      <c r="U101" s="383">
        <f>'Taxes consommation - détail'!D88</f>
        <v>4670.8866772668925</v>
      </c>
      <c r="V101" s="383">
        <f>'Taxes consommation - détail'!D89</f>
        <v>4652.9651108468161</v>
      </c>
      <c r="W101" s="383">
        <f>'Taxes consommation - détail'!D90</f>
        <v>4659.2127232152861</v>
      </c>
      <c r="X101" s="383">
        <f>'Taxes consommation - détail'!D91</f>
        <v>4678.4747361158225</v>
      </c>
      <c r="Y101" s="384">
        <f>'Taxes consommation - détail'!H72</f>
        <v>2950.5078821213046</v>
      </c>
      <c r="Z101" s="383">
        <f t="shared" ref="Z101:AE101" si="96">Y101</f>
        <v>2950.5078821213046</v>
      </c>
      <c r="AA101" s="383">
        <f t="shared" si="96"/>
        <v>2950.5078821213046</v>
      </c>
      <c r="AB101" s="383">
        <f t="shared" si="96"/>
        <v>2950.5078821213046</v>
      </c>
      <c r="AC101" s="383">
        <f t="shared" si="96"/>
        <v>2950.5078821213046</v>
      </c>
      <c r="AD101" s="383">
        <f t="shared" si="96"/>
        <v>2950.5078821213046</v>
      </c>
      <c r="AE101" s="383">
        <f t="shared" si="96"/>
        <v>2950.5078821213046</v>
      </c>
      <c r="AF101" s="383">
        <f>AE101</f>
        <v>2950.5078821213046</v>
      </c>
      <c r="AG101" s="383">
        <f t="shared" ref="AG101" si="97">AF101</f>
        <v>2950.5078821213046</v>
      </c>
      <c r="AH101" s="383">
        <f>AG101</f>
        <v>2950.5078821213046</v>
      </c>
      <c r="AI101" s="384">
        <f>AI16</f>
        <v>2100.2308671637784</v>
      </c>
      <c r="AJ101" s="383">
        <f t="shared" ref="AJ101:BT101" si="98">AJ16</f>
        <v>2100.2308671637784</v>
      </c>
      <c r="AK101" s="383">
        <f t="shared" si="98"/>
        <v>2100.2308671637784</v>
      </c>
      <c r="AL101" s="383">
        <f t="shared" si="98"/>
        <v>2100.2308671637784</v>
      </c>
      <c r="AM101" s="383">
        <f t="shared" si="98"/>
        <v>2100.2308671637784</v>
      </c>
      <c r="AN101" s="383">
        <f t="shared" si="98"/>
        <v>2100.2308671637784</v>
      </c>
      <c r="AO101" s="383">
        <f t="shared" si="98"/>
        <v>2100.2308671637784</v>
      </c>
      <c r="AP101" s="383">
        <f t="shared" si="98"/>
        <v>2100.2308671637784</v>
      </c>
      <c r="AQ101" s="383">
        <f t="shared" si="98"/>
        <v>2100.2308671637784</v>
      </c>
      <c r="AR101" s="383">
        <f t="shared" si="98"/>
        <v>2100.2308671637784</v>
      </c>
      <c r="AS101" s="384">
        <f t="shared" si="98"/>
        <v>2060.843867363571</v>
      </c>
      <c r="AT101" s="383">
        <f t="shared" si="98"/>
        <v>2060.843867363571</v>
      </c>
      <c r="AU101" s="383">
        <f t="shared" si="98"/>
        <v>2060.843867363571</v>
      </c>
      <c r="AV101" s="383">
        <f t="shared" si="98"/>
        <v>2060.843867363571</v>
      </c>
      <c r="AW101" s="383">
        <f t="shared" si="98"/>
        <v>2060.843867363571</v>
      </c>
      <c r="AX101" s="383">
        <f t="shared" si="98"/>
        <v>2187.5595050686834</v>
      </c>
      <c r="AY101" s="383">
        <f t="shared" si="98"/>
        <v>2187.5595050686834</v>
      </c>
      <c r="AZ101" s="383">
        <f t="shared" si="98"/>
        <v>2187.5595050686834</v>
      </c>
      <c r="BA101" s="383">
        <f t="shared" si="98"/>
        <v>2187.5595050686834</v>
      </c>
      <c r="BB101" s="383">
        <f t="shared" si="98"/>
        <v>2187.5595050686834</v>
      </c>
      <c r="BC101" s="383">
        <f t="shared" si="98"/>
        <v>2187.5595050686834</v>
      </c>
      <c r="BD101" s="383">
        <f t="shared" si="98"/>
        <v>2187.5595050686834</v>
      </c>
      <c r="BE101" s="383">
        <f t="shared" si="98"/>
        <v>2187.5595050686834</v>
      </c>
      <c r="BF101" s="383">
        <f t="shared" si="98"/>
        <v>2187.5595050686834</v>
      </c>
      <c r="BG101" s="383">
        <f t="shared" si="98"/>
        <v>2187.5595050686834</v>
      </c>
      <c r="BH101" s="383">
        <f t="shared" si="98"/>
        <v>2187.5595050686834</v>
      </c>
      <c r="BI101" s="383">
        <f t="shared" si="98"/>
        <v>2187.5595050686834</v>
      </c>
      <c r="BJ101" s="383">
        <f t="shared" si="98"/>
        <v>2187.5595050686834</v>
      </c>
      <c r="BK101" s="383">
        <f t="shared" si="98"/>
        <v>2187.5595050686834</v>
      </c>
      <c r="BL101" s="383">
        <f t="shared" si="98"/>
        <v>2187.5595050686834</v>
      </c>
      <c r="BM101" s="383">
        <f t="shared" si="98"/>
        <v>2187.5595050686834</v>
      </c>
      <c r="BN101" s="383">
        <f t="shared" si="98"/>
        <v>2187.5595050686834</v>
      </c>
      <c r="BO101" s="383">
        <f t="shared" si="98"/>
        <v>2187.5595050686834</v>
      </c>
      <c r="BP101" s="383">
        <f t="shared" si="98"/>
        <v>2187.5595050686834</v>
      </c>
      <c r="BQ101" s="383">
        <f t="shared" si="98"/>
        <v>2187.5595050686834</v>
      </c>
      <c r="BR101" s="383">
        <f t="shared" si="98"/>
        <v>2187.5595050686834</v>
      </c>
      <c r="BS101" s="383">
        <f t="shared" si="98"/>
        <v>2187.5595050686834</v>
      </c>
      <c r="BT101" s="383">
        <f t="shared" si="98"/>
        <v>2187.5595050686834</v>
      </c>
      <c r="BU101" s="384"/>
    </row>
    <row r="102" spans="2:73" x14ac:dyDescent="0.25">
      <c r="B102" s="204" t="s">
        <v>404</v>
      </c>
      <c r="C102" s="36">
        <f>C79</f>
        <v>396.72665000000001</v>
      </c>
      <c r="D102" s="36">
        <f t="shared" ref="D102:K102" si="99">D79</f>
        <v>396.72665000000001</v>
      </c>
      <c r="E102" s="36">
        <f t="shared" si="99"/>
        <v>396.72665000000001</v>
      </c>
      <c r="F102" s="36">
        <f t="shared" si="99"/>
        <v>587.30593607305934</v>
      </c>
      <c r="G102" s="36">
        <f t="shared" si="99"/>
        <v>587.30593607305934</v>
      </c>
      <c r="H102" s="36">
        <f t="shared" si="99"/>
        <v>587.30593607305934</v>
      </c>
      <c r="I102" s="36">
        <f t="shared" si="99"/>
        <v>587.30593607305934</v>
      </c>
      <c r="J102" s="36">
        <f t="shared" si="99"/>
        <v>747.71792737499993</v>
      </c>
      <c r="K102" s="36">
        <f t="shared" si="99"/>
        <v>747.71792737499993</v>
      </c>
      <c r="L102" s="209">
        <f>L99*0.05</f>
        <v>1396.6440530550121</v>
      </c>
      <c r="M102" s="36">
        <f t="shared" ref="M102:BT102" si="100">M99*0.05</f>
        <v>1396.6440530550121</v>
      </c>
      <c r="N102" s="234">
        <f t="shared" si="100"/>
        <v>1323.8473581213307</v>
      </c>
      <c r="O102" s="36">
        <f t="shared" si="100"/>
        <v>1571.0919765166341</v>
      </c>
      <c r="P102" s="36">
        <f t="shared" si="100"/>
        <v>1571.0919765166341</v>
      </c>
      <c r="Q102" s="36">
        <f t="shared" si="100"/>
        <v>1602.7784300934986</v>
      </c>
      <c r="R102" s="36">
        <f t="shared" si="100"/>
        <v>1602.7784300934986</v>
      </c>
      <c r="S102" s="209">
        <f t="shared" si="100"/>
        <v>1602.7784300934986</v>
      </c>
      <c r="T102" s="36">
        <f t="shared" si="100"/>
        <v>1668.6405740378341</v>
      </c>
      <c r="U102" s="36">
        <f t="shared" si="100"/>
        <v>1668.6405740378341</v>
      </c>
      <c r="V102" s="36">
        <f t="shared" si="100"/>
        <v>1668.6405740378341</v>
      </c>
      <c r="W102" s="36">
        <f t="shared" si="100"/>
        <v>1668.6405740378341</v>
      </c>
      <c r="X102" s="36">
        <f t="shared" si="100"/>
        <v>1668.6405740378341</v>
      </c>
      <c r="Y102" s="209">
        <f t="shared" si="100"/>
        <v>1287.524679278104</v>
      </c>
      <c r="Z102" s="36">
        <f t="shared" si="100"/>
        <v>1287.524679278104</v>
      </c>
      <c r="AA102" s="36">
        <f t="shared" si="100"/>
        <v>1287.524679278104</v>
      </c>
      <c r="AB102" s="36">
        <f t="shared" si="100"/>
        <v>1287.524679278104</v>
      </c>
      <c r="AC102" s="36">
        <f t="shared" si="100"/>
        <v>1287.524679278104</v>
      </c>
      <c r="AD102" s="36">
        <f t="shared" si="100"/>
        <v>1338.8527940856707</v>
      </c>
      <c r="AE102" s="36">
        <f t="shared" si="100"/>
        <v>1338.8527940856707</v>
      </c>
      <c r="AF102" s="36">
        <f t="shared" si="100"/>
        <v>1043.275494672755</v>
      </c>
      <c r="AG102" s="36">
        <f t="shared" si="100"/>
        <v>1043.275494672755</v>
      </c>
      <c r="AH102" s="294">
        <f t="shared" si="100"/>
        <v>1043.275494672755</v>
      </c>
      <c r="AI102" s="36">
        <f t="shared" si="100"/>
        <v>779.18417047184175</v>
      </c>
      <c r="AJ102" s="36">
        <f t="shared" si="100"/>
        <v>779.18417047184175</v>
      </c>
      <c r="AK102" s="36">
        <f t="shared" si="100"/>
        <v>779.18417047184175</v>
      </c>
      <c r="AL102" s="36">
        <f t="shared" si="100"/>
        <v>779.18417047184175</v>
      </c>
      <c r="AM102" s="36">
        <f t="shared" si="100"/>
        <v>779.18417047184175</v>
      </c>
      <c r="AN102" s="36">
        <f t="shared" si="100"/>
        <v>770.14611872146111</v>
      </c>
      <c r="AO102" s="36">
        <f t="shared" si="100"/>
        <v>770.14611872146111</v>
      </c>
      <c r="AP102" s="36">
        <f t="shared" si="100"/>
        <v>770.14611872146111</v>
      </c>
      <c r="AQ102" s="36">
        <f t="shared" si="100"/>
        <v>770.14611872146111</v>
      </c>
      <c r="AR102" s="36">
        <f t="shared" si="100"/>
        <v>770.14611872146111</v>
      </c>
      <c r="AS102" s="209">
        <f t="shared" si="100"/>
        <v>757.14111763426831</v>
      </c>
      <c r="AT102" s="36">
        <f t="shared" si="100"/>
        <v>757.14111763426831</v>
      </c>
      <c r="AU102" s="36">
        <f t="shared" si="100"/>
        <v>757.14111763426831</v>
      </c>
      <c r="AV102" s="36">
        <f t="shared" si="100"/>
        <v>757.14111763426831</v>
      </c>
      <c r="AW102" s="36">
        <f t="shared" si="100"/>
        <v>757.14111763426831</v>
      </c>
      <c r="AX102" s="36">
        <f t="shared" si="100"/>
        <v>740.16916721026303</v>
      </c>
      <c r="AY102" s="36">
        <f t="shared" si="100"/>
        <v>740.16916721026303</v>
      </c>
      <c r="AZ102" s="36">
        <f t="shared" si="100"/>
        <v>740.16916721026303</v>
      </c>
      <c r="BA102" s="36">
        <f t="shared" si="100"/>
        <v>740.16916721026303</v>
      </c>
      <c r="BB102" s="36">
        <f t="shared" si="100"/>
        <v>740.16916721026303</v>
      </c>
      <c r="BC102" s="36">
        <f t="shared" si="100"/>
        <v>719.23026744944559</v>
      </c>
      <c r="BD102" s="36">
        <f t="shared" si="100"/>
        <v>719.23026744944559</v>
      </c>
      <c r="BE102" s="36">
        <f t="shared" si="100"/>
        <v>719.23026744944559</v>
      </c>
      <c r="BF102" s="36">
        <f t="shared" si="100"/>
        <v>719.23026744944559</v>
      </c>
      <c r="BG102" s="36">
        <f t="shared" si="100"/>
        <v>719.23026744944559</v>
      </c>
      <c r="BH102" s="36">
        <f t="shared" si="100"/>
        <v>694.32441835181555</v>
      </c>
      <c r="BI102" s="36">
        <f t="shared" si="100"/>
        <v>694.32441835181555</v>
      </c>
      <c r="BJ102" s="36">
        <f t="shared" si="100"/>
        <v>694.32441835181555</v>
      </c>
      <c r="BK102" s="36">
        <f t="shared" si="100"/>
        <v>694.32441835181555</v>
      </c>
      <c r="BL102" s="36">
        <f t="shared" si="100"/>
        <v>694.32441835181555</v>
      </c>
      <c r="BM102" s="36">
        <f t="shared" si="100"/>
        <v>665.45161991737336</v>
      </c>
      <c r="BN102" s="36">
        <f t="shared" si="100"/>
        <v>665.45161991737336</v>
      </c>
      <c r="BO102" s="36">
        <f t="shared" si="100"/>
        <v>665.45161991737336</v>
      </c>
      <c r="BP102" s="36">
        <f t="shared" si="100"/>
        <v>665.45161991737336</v>
      </c>
      <c r="BQ102" s="36">
        <f t="shared" si="100"/>
        <v>665.45161991737336</v>
      </c>
      <c r="BR102" s="36">
        <f t="shared" si="100"/>
        <v>632.6118721461188</v>
      </c>
      <c r="BS102" s="36">
        <f t="shared" si="100"/>
        <v>632.6118721461188</v>
      </c>
      <c r="BT102" s="36">
        <f t="shared" si="100"/>
        <v>632.6118721461188</v>
      </c>
      <c r="BU102" s="209"/>
    </row>
    <row r="103" spans="2:73" x14ac:dyDescent="0.25">
      <c r="B103" s="204" t="s">
        <v>405</v>
      </c>
      <c r="C103" s="36">
        <f>C80</f>
        <v>791.46966674999999</v>
      </c>
      <c r="D103" s="36">
        <f t="shared" ref="D103:K103" si="101">D80</f>
        <v>791.46966674999999</v>
      </c>
      <c r="E103" s="36">
        <f t="shared" si="101"/>
        <v>791.46966674999999</v>
      </c>
      <c r="F103" s="36">
        <f t="shared" si="101"/>
        <v>1171.6753424657536</v>
      </c>
      <c r="G103" s="36">
        <f t="shared" si="101"/>
        <v>1171.6753424657536</v>
      </c>
      <c r="H103" s="36">
        <f t="shared" si="101"/>
        <v>1171.6753424657536</v>
      </c>
      <c r="I103" s="36">
        <f t="shared" si="101"/>
        <v>1171.6753424657536</v>
      </c>
      <c r="J103" s="36">
        <f t="shared" si="101"/>
        <v>1491.6972651131248</v>
      </c>
      <c r="K103" s="36">
        <f t="shared" si="101"/>
        <v>1491.6972651131248</v>
      </c>
      <c r="L103" s="209">
        <f>L99*0.09975</f>
        <v>2786.3048858447492</v>
      </c>
      <c r="M103" s="36">
        <f t="shared" ref="M103:BT103" si="102">M99*0.09975</f>
        <v>2786.3048858447492</v>
      </c>
      <c r="N103" s="234">
        <f t="shared" si="102"/>
        <v>2641.0754794520544</v>
      </c>
      <c r="O103" s="36">
        <f t="shared" si="102"/>
        <v>3134.3284931506851</v>
      </c>
      <c r="P103" s="36">
        <f t="shared" si="102"/>
        <v>3134.3284931506851</v>
      </c>
      <c r="Q103" s="36">
        <f t="shared" si="102"/>
        <v>3197.5429680365296</v>
      </c>
      <c r="R103" s="36">
        <f t="shared" si="102"/>
        <v>3197.5429680365296</v>
      </c>
      <c r="S103" s="209">
        <f t="shared" si="102"/>
        <v>3197.5429680365296</v>
      </c>
      <c r="T103" s="36">
        <f t="shared" si="102"/>
        <v>3328.9379452054791</v>
      </c>
      <c r="U103" s="36">
        <f t="shared" si="102"/>
        <v>3328.9379452054791</v>
      </c>
      <c r="V103" s="36">
        <f t="shared" si="102"/>
        <v>3328.9379452054791</v>
      </c>
      <c r="W103" s="36">
        <f t="shared" si="102"/>
        <v>3328.9379452054791</v>
      </c>
      <c r="X103" s="36">
        <f t="shared" si="102"/>
        <v>3328.9379452054791</v>
      </c>
      <c r="Y103" s="209">
        <f t="shared" si="102"/>
        <v>2568.6117351598173</v>
      </c>
      <c r="Z103" s="36">
        <f t="shared" si="102"/>
        <v>2568.6117351598173</v>
      </c>
      <c r="AA103" s="36">
        <f t="shared" si="102"/>
        <v>2568.6117351598173</v>
      </c>
      <c r="AB103" s="36">
        <f t="shared" si="102"/>
        <v>2568.6117351598173</v>
      </c>
      <c r="AC103" s="36">
        <f t="shared" si="102"/>
        <v>2568.6117351598173</v>
      </c>
      <c r="AD103" s="36">
        <f t="shared" si="102"/>
        <v>2671.0113242009129</v>
      </c>
      <c r="AE103" s="36">
        <f t="shared" si="102"/>
        <v>2671.0113242009129</v>
      </c>
      <c r="AF103" s="36">
        <f t="shared" si="102"/>
        <v>2081.3346118721461</v>
      </c>
      <c r="AG103" s="36">
        <f t="shared" si="102"/>
        <v>2081.3346118721461</v>
      </c>
      <c r="AH103" s="294">
        <f t="shared" si="102"/>
        <v>2081.3346118721461</v>
      </c>
      <c r="AI103" s="36">
        <f t="shared" si="102"/>
        <v>1554.4724200913242</v>
      </c>
      <c r="AJ103" s="36">
        <f t="shared" si="102"/>
        <v>1554.4724200913242</v>
      </c>
      <c r="AK103" s="36">
        <f t="shared" si="102"/>
        <v>1554.4724200913242</v>
      </c>
      <c r="AL103" s="36">
        <f t="shared" si="102"/>
        <v>1554.4724200913242</v>
      </c>
      <c r="AM103" s="36">
        <f t="shared" si="102"/>
        <v>1554.4724200913242</v>
      </c>
      <c r="AN103" s="36">
        <f t="shared" si="102"/>
        <v>1536.4415068493149</v>
      </c>
      <c r="AO103" s="36">
        <f t="shared" si="102"/>
        <v>1536.4415068493149</v>
      </c>
      <c r="AP103" s="36">
        <f t="shared" si="102"/>
        <v>1536.4415068493149</v>
      </c>
      <c r="AQ103" s="36">
        <f t="shared" si="102"/>
        <v>1536.4415068493149</v>
      </c>
      <c r="AR103" s="36">
        <f t="shared" si="102"/>
        <v>1536.4415068493149</v>
      </c>
      <c r="AS103" s="209">
        <f t="shared" si="102"/>
        <v>1510.4965296803653</v>
      </c>
      <c r="AT103" s="36">
        <f t="shared" si="102"/>
        <v>1510.4965296803653</v>
      </c>
      <c r="AU103" s="36">
        <f t="shared" si="102"/>
        <v>1510.4965296803653</v>
      </c>
      <c r="AV103" s="36">
        <f t="shared" si="102"/>
        <v>1510.4965296803653</v>
      </c>
      <c r="AW103" s="36">
        <f t="shared" si="102"/>
        <v>1510.4965296803653</v>
      </c>
      <c r="AX103" s="36">
        <f t="shared" si="102"/>
        <v>1476.6374885844748</v>
      </c>
      <c r="AY103" s="36">
        <f t="shared" si="102"/>
        <v>1476.6374885844748</v>
      </c>
      <c r="AZ103" s="36">
        <f t="shared" si="102"/>
        <v>1476.6374885844748</v>
      </c>
      <c r="BA103" s="36">
        <f t="shared" si="102"/>
        <v>1476.6374885844748</v>
      </c>
      <c r="BB103" s="36">
        <f t="shared" si="102"/>
        <v>1476.6374885844748</v>
      </c>
      <c r="BC103" s="36">
        <f t="shared" si="102"/>
        <v>1434.864383561644</v>
      </c>
      <c r="BD103" s="36">
        <f t="shared" si="102"/>
        <v>1434.864383561644</v>
      </c>
      <c r="BE103" s="36">
        <f t="shared" si="102"/>
        <v>1434.864383561644</v>
      </c>
      <c r="BF103" s="36">
        <f t="shared" si="102"/>
        <v>1434.864383561644</v>
      </c>
      <c r="BG103" s="36">
        <f t="shared" si="102"/>
        <v>1434.864383561644</v>
      </c>
      <c r="BH103" s="36">
        <f t="shared" si="102"/>
        <v>1385.1772146118722</v>
      </c>
      <c r="BI103" s="36">
        <f t="shared" si="102"/>
        <v>1385.1772146118722</v>
      </c>
      <c r="BJ103" s="36">
        <f t="shared" si="102"/>
        <v>1385.1772146118722</v>
      </c>
      <c r="BK103" s="36">
        <f t="shared" si="102"/>
        <v>1385.1772146118722</v>
      </c>
      <c r="BL103" s="36">
        <f t="shared" si="102"/>
        <v>1385.1772146118722</v>
      </c>
      <c r="BM103" s="36">
        <f t="shared" si="102"/>
        <v>1327.5759817351598</v>
      </c>
      <c r="BN103" s="36">
        <f t="shared" si="102"/>
        <v>1327.5759817351598</v>
      </c>
      <c r="BO103" s="36">
        <f t="shared" si="102"/>
        <v>1327.5759817351598</v>
      </c>
      <c r="BP103" s="36">
        <f t="shared" si="102"/>
        <v>1327.5759817351598</v>
      </c>
      <c r="BQ103" s="36">
        <f t="shared" si="102"/>
        <v>1327.5759817351598</v>
      </c>
      <c r="BR103" s="36">
        <f t="shared" si="102"/>
        <v>1262.060684931507</v>
      </c>
      <c r="BS103" s="36">
        <f t="shared" si="102"/>
        <v>1262.060684931507</v>
      </c>
      <c r="BT103" s="36">
        <f t="shared" si="102"/>
        <v>1262.060684931507</v>
      </c>
      <c r="BU103" s="209"/>
    </row>
    <row r="104" spans="2:73" x14ac:dyDescent="0.25">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c r="BU104" s="36"/>
    </row>
    <row r="105" spans="2:73" x14ac:dyDescent="0.25">
      <c r="B105" s="4"/>
      <c r="C105" s="4"/>
      <c r="D105" s="4"/>
      <c r="E105" s="4"/>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59999389629810485"/>
  </sheetPr>
  <dimension ref="A1:XFC148"/>
  <sheetViews>
    <sheetView topLeftCell="A29" zoomScale="80" zoomScaleNormal="80" workbookViewId="0">
      <selection activeCell="A59" sqref="A59:XFD59"/>
    </sheetView>
  </sheetViews>
  <sheetFormatPr baseColWidth="10" defaultColWidth="11.42578125" defaultRowHeight="15" x14ac:dyDescent="0.25"/>
  <cols>
    <col min="1" max="1" width="13.140625" customWidth="1"/>
    <col min="2" max="2" width="15.42578125" bestFit="1" customWidth="1"/>
    <col min="3" max="4" width="15.42578125" customWidth="1"/>
    <col min="5" max="5" width="15.42578125" bestFit="1" customWidth="1"/>
    <col min="6" max="6" width="12.42578125" customWidth="1"/>
    <col min="7" max="8" width="15.42578125" bestFit="1" customWidth="1"/>
    <col min="9" max="9" width="14.42578125" bestFit="1" customWidth="1"/>
    <col min="10" max="10" width="15.42578125" bestFit="1" customWidth="1"/>
    <col min="11" max="11" width="15.42578125" customWidth="1"/>
    <col min="12" max="12" width="15.42578125" bestFit="1" customWidth="1"/>
    <col min="13" max="13" width="12.85546875" bestFit="1" customWidth="1"/>
    <col min="14" max="14" width="12.85546875" customWidth="1"/>
    <col min="17" max="17" width="11.85546875" customWidth="1"/>
  </cols>
  <sheetData>
    <row r="1" spans="1:12" x14ac:dyDescent="0.25">
      <c r="A1" s="17" t="s">
        <v>472</v>
      </c>
    </row>
    <row r="2" spans="1:12" x14ac:dyDescent="0.25">
      <c r="A2" t="s">
        <v>473</v>
      </c>
      <c r="I2" s="4"/>
      <c r="J2" s="4"/>
      <c r="K2" s="4"/>
      <c r="L2" s="4"/>
    </row>
    <row r="4" spans="1:12" x14ac:dyDescent="0.25">
      <c r="A4" s="17" t="s">
        <v>474</v>
      </c>
    </row>
    <row r="5" spans="1:12" x14ac:dyDescent="0.25">
      <c r="A5" t="s">
        <v>475</v>
      </c>
      <c r="B5" s="423" t="s">
        <v>476</v>
      </c>
      <c r="C5" s="423"/>
      <c r="D5" s="423"/>
      <c r="E5" s="423" t="s">
        <v>477</v>
      </c>
      <c r="F5" s="423" t="s">
        <v>478</v>
      </c>
      <c r="G5" s="423" t="s">
        <v>479</v>
      </c>
      <c r="H5" s="423" t="s">
        <v>480</v>
      </c>
      <c r="I5" s="423" t="s">
        <v>481</v>
      </c>
      <c r="J5" s="423" t="s">
        <v>482</v>
      </c>
      <c r="K5" s="423"/>
      <c r="L5" s="423" t="s">
        <v>483</v>
      </c>
    </row>
    <row r="6" spans="1:12" x14ac:dyDescent="0.25">
      <c r="A6" s="51">
        <v>20000</v>
      </c>
      <c r="B6" s="51">
        <f>189</f>
        <v>189</v>
      </c>
      <c r="C6" s="51"/>
      <c r="D6" s="51"/>
      <c r="E6" s="51">
        <f>195</f>
        <v>195</v>
      </c>
      <c r="F6" s="51">
        <f>164</f>
        <v>164</v>
      </c>
      <c r="G6" s="51">
        <f>152</f>
        <v>152</v>
      </c>
      <c r="H6" s="51">
        <f>151</f>
        <v>151</v>
      </c>
      <c r="I6" s="51">
        <f>86</f>
        <v>86</v>
      </c>
      <c r="J6" s="51">
        <f>122</f>
        <v>122</v>
      </c>
      <c r="K6" s="51"/>
      <c r="L6" s="51">
        <f>188</f>
        <v>188</v>
      </c>
    </row>
    <row r="7" spans="1:12" x14ac:dyDescent="0.25">
      <c r="A7" s="51">
        <f>+A6+20000</f>
        <v>40000</v>
      </c>
      <c r="B7" s="51">
        <f>256</f>
        <v>256</v>
      </c>
      <c r="C7" s="51"/>
      <c r="D7" s="51"/>
      <c r="E7" s="51">
        <f>242</f>
        <v>242</v>
      </c>
      <c r="F7" s="51">
        <f>228</f>
        <v>228</v>
      </c>
      <c r="G7" s="51">
        <f>204</f>
        <v>204</v>
      </c>
      <c r="H7" s="51">
        <f>199</f>
        <v>199</v>
      </c>
      <c r="I7" s="51">
        <f>147</f>
        <v>147</v>
      </c>
      <c r="J7" s="51">
        <f>188</f>
        <v>188</v>
      </c>
      <c r="K7" s="51"/>
      <c r="L7" s="51">
        <f>244</f>
        <v>244</v>
      </c>
    </row>
    <row r="8" spans="1:12" x14ac:dyDescent="0.25">
      <c r="A8" s="51">
        <f t="shared" ref="A8:A10" si="0">+A7+20000</f>
        <v>60000</v>
      </c>
      <c r="B8" s="51">
        <f>288</f>
        <v>288</v>
      </c>
      <c r="C8" s="51"/>
      <c r="D8" s="51"/>
      <c r="E8" s="51">
        <f>283</f>
        <v>283</v>
      </c>
      <c r="F8" s="51">
        <f>270</f>
        <v>270</v>
      </c>
      <c r="G8" s="51">
        <f>244</f>
        <v>244</v>
      </c>
      <c r="H8" s="51">
        <f>242</f>
        <v>242</v>
      </c>
      <c r="I8" s="51">
        <f>199</f>
        <v>199</v>
      </c>
      <c r="J8" s="51">
        <f>246</f>
        <v>246</v>
      </c>
      <c r="K8" s="51"/>
      <c r="L8" s="51">
        <f>298</f>
        <v>298</v>
      </c>
    </row>
    <row r="9" spans="1:12" x14ac:dyDescent="0.25">
      <c r="A9" s="51">
        <f t="shared" si="0"/>
        <v>80000</v>
      </c>
      <c r="B9" s="51">
        <f>332</f>
        <v>332</v>
      </c>
      <c r="C9" s="51"/>
      <c r="D9" s="51"/>
      <c r="E9" s="51">
        <f>336</f>
        <v>336</v>
      </c>
      <c r="F9" s="51">
        <f>322</f>
        <v>322</v>
      </c>
      <c r="G9" s="51">
        <f>287</f>
        <v>287</v>
      </c>
      <c r="H9" s="51">
        <f>288</f>
        <v>288</v>
      </c>
      <c r="I9" s="51">
        <f>253</f>
        <v>253</v>
      </c>
      <c r="J9" s="51">
        <f>304</f>
        <v>304</v>
      </c>
      <c r="K9" s="51"/>
      <c r="L9" s="51">
        <f>342</f>
        <v>342</v>
      </c>
    </row>
    <row r="10" spans="1:12" x14ac:dyDescent="0.25">
      <c r="A10" s="51">
        <f t="shared" si="0"/>
        <v>100000</v>
      </c>
      <c r="B10" s="51">
        <f>378</f>
        <v>378</v>
      </c>
      <c r="C10" s="51"/>
      <c r="D10" s="51"/>
      <c r="E10" s="51">
        <f>382</f>
        <v>382</v>
      </c>
      <c r="F10" s="51">
        <f>371</f>
        <v>371</v>
      </c>
      <c r="G10" s="51">
        <f>325</f>
        <v>325</v>
      </c>
      <c r="H10" s="51">
        <f>326</f>
        <v>326</v>
      </c>
      <c r="I10" s="51">
        <f>300</f>
        <v>300</v>
      </c>
      <c r="J10" s="51">
        <f>355</f>
        <v>355</v>
      </c>
      <c r="K10" s="51"/>
      <c r="L10" s="51">
        <f>380</f>
        <v>380</v>
      </c>
    </row>
    <row r="11" spans="1:12" x14ac:dyDescent="0.25">
      <c r="A11" s="51">
        <v>150000</v>
      </c>
      <c r="B11" s="51">
        <f>467</f>
        <v>467</v>
      </c>
      <c r="C11" s="51"/>
      <c r="D11" s="51"/>
      <c r="E11" s="51">
        <f>500</f>
        <v>500</v>
      </c>
      <c r="F11" s="51">
        <f>480</f>
        <v>480</v>
      </c>
      <c r="G11" s="51">
        <f>393</f>
        <v>393</v>
      </c>
      <c r="H11" s="51">
        <f>403</f>
        <v>403</v>
      </c>
      <c r="I11" s="51">
        <f>402</f>
        <v>402</v>
      </c>
      <c r="J11" s="51">
        <f>477</f>
        <v>477</v>
      </c>
      <c r="K11" s="51"/>
      <c r="L11" s="51">
        <f>477</f>
        <v>477</v>
      </c>
    </row>
    <row r="12" spans="1:12" x14ac:dyDescent="0.25">
      <c r="A12" s="51">
        <v>200000</v>
      </c>
      <c r="B12" s="51">
        <f>578</f>
        <v>578</v>
      </c>
      <c r="C12" s="51"/>
      <c r="D12" s="51"/>
      <c r="E12" s="51">
        <f>612</f>
        <v>612</v>
      </c>
      <c r="F12" s="51">
        <f>594</f>
        <v>594</v>
      </c>
      <c r="G12" s="51">
        <f>453</f>
        <v>453</v>
      </c>
      <c r="H12" s="51">
        <f>461</f>
        <v>461</v>
      </c>
      <c r="I12" s="51">
        <f>492</f>
        <v>492</v>
      </c>
      <c r="J12" s="51">
        <f>587</f>
        <v>587</v>
      </c>
      <c r="K12" s="51"/>
      <c r="L12" s="51">
        <f>571</f>
        <v>571</v>
      </c>
    </row>
    <row r="14" spans="1:12" x14ac:dyDescent="0.25">
      <c r="A14" s="52" t="s">
        <v>484</v>
      </c>
      <c r="B14" s="53"/>
      <c r="C14" s="53"/>
      <c r="D14" s="53"/>
      <c r="E14" s="53"/>
      <c r="F14" s="53"/>
      <c r="G14" s="53"/>
      <c r="H14" s="53"/>
      <c r="I14" s="53"/>
      <c r="J14" s="53"/>
      <c r="K14" s="53"/>
      <c r="L14" s="53"/>
    </row>
    <row r="15" spans="1:12" x14ac:dyDescent="0.25">
      <c r="A15" s="51">
        <v>0</v>
      </c>
      <c r="E15" s="51">
        <v>142</v>
      </c>
      <c r="F15" s="51"/>
      <c r="I15" s="51">
        <v>33</v>
      </c>
      <c r="L15" s="51">
        <v>144</v>
      </c>
    </row>
    <row r="16" spans="1:12" x14ac:dyDescent="0.25">
      <c r="A16" s="54">
        <v>15000</v>
      </c>
      <c r="B16" s="46"/>
      <c r="C16" s="46"/>
      <c r="D16" s="46"/>
      <c r="E16" s="54">
        <v>180</v>
      </c>
      <c r="F16" s="54"/>
      <c r="G16" s="46"/>
      <c r="H16" s="46"/>
      <c r="I16" s="54">
        <v>71</v>
      </c>
      <c r="J16" s="46"/>
      <c r="K16" s="46"/>
      <c r="L16" s="54">
        <v>177</v>
      </c>
    </row>
    <row r="18" spans="1:1023 1026:2047 2050:3071 3074:4095 4098:5119 5122:6143 6146:7167 7170:8191 8194:9215 9218:10239 10242:11263 11266:12287 12290:13311 13314:14335 14338:15359 15362:16383" x14ac:dyDescent="0.25">
      <c r="A18" s="17">
        <f>9.975+5</f>
        <v>14.975</v>
      </c>
      <c r="B18" s="17" t="s">
        <v>485</v>
      </c>
      <c r="C18" s="17"/>
      <c r="D18" s="17"/>
    </row>
    <row r="19" spans="1:1023 1026:2047 2050:3071 3074:4095 4098:5119 5122:6143 6146:7167 7170:8191 8194:9215 9218:10239 10242:11263 11266:12287 12290:13311 13314:14335 14338:15359 15362:16383" x14ac:dyDescent="0.25">
      <c r="A19" t="s">
        <v>475</v>
      </c>
      <c r="B19" s="425" t="s">
        <v>476</v>
      </c>
      <c r="C19" s="425"/>
      <c r="D19" s="425"/>
      <c r="E19" s="425" t="s">
        <v>477</v>
      </c>
      <c r="F19" s="423" t="s">
        <v>478</v>
      </c>
      <c r="G19" s="425" t="s">
        <v>479</v>
      </c>
      <c r="H19" s="425" t="s">
        <v>480</v>
      </c>
      <c r="I19" s="425" t="s">
        <v>481</v>
      </c>
      <c r="J19" s="425" t="s">
        <v>482</v>
      </c>
      <c r="K19" s="425"/>
      <c r="L19" s="425" t="s">
        <v>483</v>
      </c>
      <c r="M19" s="425" t="s">
        <v>486</v>
      </c>
      <c r="N19" s="425" t="s">
        <v>487</v>
      </c>
      <c r="O19" s="425" t="s">
        <v>488</v>
      </c>
      <c r="P19" s="425" t="s">
        <v>489</v>
      </c>
      <c r="Q19" s="425" t="s">
        <v>490</v>
      </c>
    </row>
    <row r="20" spans="1:1023 1026:2047 2050:3071 3074:4095 4098:5119 5122:6143 6146:7167 7170:8191 8194:9215 9218:10239 10242:11263 11266:12287 12290:13311 13314:14335 14338:15359 15362:16383" x14ac:dyDescent="0.25">
      <c r="A20" s="51">
        <v>0</v>
      </c>
      <c r="B20" s="425"/>
      <c r="C20" s="425"/>
      <c r="D20" s="425"/>
      <c r="E20" s="425"/>
      <c r="F20" s="425"/>
      <c r="G20" s="425"/>
      <c r="H20" s="425"/>
      <c r="I20" s="425"/>
      <c r="J20" s="425"/>
      <c r="K20" s="425"/>
      <c r="L20" s="425"/>
      <c r="M20" s="425"/>
      <c r="N20" s="55">
        <f>(B22+G22)/2</f>
        <v>2553.2375000000002</v>
      </c>
      <c r="O20" s="425"/>
      <c r="P20" s="425"/>
    </row>
    <row r="21" spans="1:1023 1026:2047 2050:3071 3074:4095 4098:5119 5122:6143 6146:7167 7170:8191 8194:9215 9218:10239 10242:11263 11266:12287 12290:13311 13314:14335 14338:15359 15362:16383" x14ac:dyDescent="0.25">
      <c r="A21" s="51">
        <v>6000</v>
      </c>
      <c r="B21" s="425"/>
      <c r="C21" s="425"/>
      <c r="D21" s="425"/>
      <c r="E21" s="425"/>
      <c r="F21" s="425"/>
      <c r="G21" s="425"/>
      <c r="H21" s="425"/>
      <c r="I21" s="425"/>
      <c r="J21" s="425"/>
      <c r="K21" s="425"/>
      <c r="L21" s="425"/>
      <c r="M21" s="425"/>
      <c r="N21" s="55"/>
      <c r="O21" s="55"/>
      <c r="P21" s="425"/>
    </row>
    <row r="22" spans="1:1023 1026:2047 2050:3071 3074:4095 4098:5119 5122:6143 6146:7167 7170:8191 8194:9215 9218:10239 10242:11263 11266:12287 12290:13311 13314:14335 14338:15359 15362:16383" x14ac:dyDescent="0.25">
      <c r="A22" s="51">
        <v>20000</v>
      </c>
      <c r="B22" s="56">
        <f>B6*$A$18</f>
        <v>2830.2750000000001</v>
      </c>
      <c r="C22" s="56"/>
      <c r="D22" s="56"/>
      <c r="E22" s="56">
        <f t="shared" ref="E22:L22" si="1">E6*$A$18</f>
        <v>2920.125</v>
      </c>
      <c r="F22" s="56">
        <f t="shared" si="1"/>
        <v>2455.9</v>
      </c>
      <c r="G22" s="57">
        <f t="shared" si="1"/>
        <v>2276.1999999999998</v>
      </c>
      <c r="H22" s="56">
        <f t="shared" si="1"/>
        <v>2261.2249999999999</v>
      </c>
      <c r="I22" s="56">
        <f t="shared" si="1"/>
        <v>1287.8499999999999</v>
      </c>
      <c r="J22" s="56">
        <f t="shared" si="1"/>
        <v>1826.95</v>
      </c>
      <c r="K22" s="56"/>
      <c r="L22" s="56">
        <f t="shared" si="1"/>
        <v>2815.2999999999997</v>
      </c>
    </row>
    <row r="23" spans="1:1023 1026:2047 2050:3071 3074:4095 4098:5119 5122:6143 6146:7167 7170:8191 8194:9215 9218:10239 10242:11263 11266:12287 12290:13311 13314:14335 14338:15359 15362:16383" x14ac:dyDescent="0.25">
      <c r="A23" s="51">
        <f>+A22+20000</f>
        <v>40000</v>
      </c>
      <c r="B23" s="57">
        <f t="shared" ref="B23:L28" si="2">B7*$A$18</f>
        <v>3833.6</v>
      </c>
      <c r="C23" s="57"/>
      <c r="D23" s="57"/>
      <c r="E23" s="57">
        <f t="shared" si="2"/>
        <v>3623.95</v>
      </c>
      <c r="F23" s="56">
        <f t="shared" si="2"/>
        <v>3414.2999999999997</v>
      </c>
      <c r="G23" s="57">
        <f t="shared" si="2"/>
        <v>3054.9</v>
      </c>
      <c r="H23" s="56">
        <f t="shared" si="2"/>
        <v>2980.0250000000001</v>
      </c>
      <c r="I23" s="56">
        <f t="shared" si="2"/>
        <v>2201.3249999999998</v>
      </c>
      <c r="J23" s="56">
        <f t="shared" si="2"/>
        <v>2815.2999999999997</v>
      </c>
      <c r="K23" s="56"/>
      <c r="L23" s="57">
        <f t="shared" si="2"/>
        <v>3653.9</v>
      </c>
    </row>
    <row r="24" spans="1:1023 1026:2047 2050:3071 3074:4095 4098:5119 5122:6143 6146:7167 7170:8191 8194:9215 9218:10239 10242:11263 11266:12287 12290:13311 13314:14335 14338:15359 15362:16383" x14ac:dyDescent="0.25">
      <c r="A24" s="51">
        <f t="shared" ref="A24:A26" si="3">+A23+20000</f>
        <v>60000</v>
      </c>
      <c r="B24" s="56">
        <f t="shared" si="2"/>
        <v>4312.8</v>
      </c>
      <c r="C24" s="56"/>
      <c r="D24" s="56"/>
      <c r="E24" s="56">
        <f t="shared" si="2"/>
        <v>4237.9250000000002</v>
      </c>
      <c r="F24" s="56">
        <f t="shared" si="2"/>
        <v>4043.25</v>
      </c>
      <c r="G24" s="57">
        <f t="shared" si="2"/>
        <v>3653.9</v>
      </c>
      <c r="H24" s="56">
        <f t="shared" si="2"/>
        <v>3623.95</v>
      </c>
      <c r="I24" s="57">
        <f t="shared" si="2"/>
        <v>2980.0250000000001</v>
      </c>
      <c r="J24" s="57">
        <f t="shared" si="2"/>
        <v>3683.85</v>
      </c>
      <c r="K24" s="57"/>
      <c r="L24" s="57">
        <f t="shared" si="2"/>
        <v>4462.55</v>
      </c>
    </row>
    <row r="25" spans="1:1023 1026:2047 2050:3071 3074:4095 4098:5119 5122:6143 6146:7167 7170:8191 8194:9215 9218:10239 10242:11263 11266:12287 12290:13311 13314:14335 14338:15359 15362:16383" x14ac:dyDescent="0.25">
      <c r="A25" s="51">
        <f t="shared" si="3"/>
        <v>80000</v>
      </c>
      <c r="B25" s="57">
        <f t="shared" si="2"/>
        <v>4971.7</v>
      </c>
      <c r="C25" s="57"/>
      <c r="D25" s="57"/>
      <c r="E25" s="57">
        <f t="shared" si="2"/>
        <v>5031.5999999999995</v>
      </c>
      <c r="F25" s="56">
        <f t="shared" si="2"/>
        <v>4821.95</v>
      </c>
      <c r="G25" s="56">
        <f t="shared" si="2"/>
        <v>4297.8249999999998</v>
      </c>
      <c r="H25" s="56">
        <f t="shared" si="2"/>
        <v>4312.8</v>
      </c>
      <c r="I25" s="56">
        <f t="shared" si="2"/>
        <v>3788.6749999999997</v>
      </c>
      <c r="J25" s="56">
        <f t="shared" si="2"/>
        <v>4552.3999999999996</v>
      </c>
      <c r="K25" s="56"/>
      <c r="L25" s="56">
        <f t="shared" si="2"/>
        <v>5121.45</v>
      </c>
    </row>
    <row r="26" spans="1:1023 1026:2047 2050:3071 3074:4095 4098:5119 5122:6143 6146:7167 7170:8191 8194:9215 9218:10239 10242:11263 11266:12287 12290:13311 13314:14335 14338:15359 15362:16383" x14ac:dyDescent="0.25">
      <c r="A26" s="51">
        <f t="shared" si="3"/>
        <v>100000</v>
      </c>
      <c r="B26" s="56">
        <f t="shared" si="2"/>
        <v>5660.55</v>
      </c>
      <c r="C26" s="56"/>
      <c r="D26" s="56"/>
      <c r="E26" s="56">
        <f t="shared" si="2"/>
        <v>5720.45</v>
      </c>
      <c r="F26" s="56">
        <f t="shared" si="2"/>
        <v>5555.7249999999995</v>
      </c>
      <c r="G26" s="56">
        <f t="shared" si="2"/>
        <v>4866.875</v>
      </c>
      <c r="H26" s="56">
        <f t="shared" si="2"/>
        <v>4881.8499999999995</v>
      </c>
      <c r="I26" s="56">
        <f t="shared" si="2"/>
        <v>4492.5</v>
      </c>
      <c r="J26" s="56">
        <f t="shared" si="2"/>
        <v>5316.125</v>
      </c>
      <c r="K26" s="56"/>
      <c r="L26" s="56">
        <f t="shared" si="2"/>
        <v>5690.5</v>
      </c>
    </row>
    <row r="27" spans="1:1023 1026:2047 2050:3071 3074:4095 4098:5119 5122:6143 6146:7167 7170:8191 8194:9215 9218:10239 10242:11263 11266:12287 12290:13311 13314:14335 14338:15359 15362:16383" x14ac:dyDescent="0.25">
      <c r="A27" s="51">
        <v>150000</v>
      </c>
      <c r="B27" s="56">
        <f t="shared" si="2"/>
        <v>6993.3249999999998</v>
      </c>
      <c r="C27" s="56"/>
      <c r="D27" s="56"/>
      <c r="E27" s="56">
        <f t="shared" si="2"/>
        <v>7487.5</v>
      </c>
      <c r="F27" s="56">
        <f t="shared" si="2"/>
        <v>7188</v>
      </c>
      <c r="G27" s="56">
        <f t="shared" si="2"/>
        <v>5885.1750000000002</v>
      </c>
      <c r="H27" s="56">
        <f t="shared" si="2"/>
        <v>6034.9250000000002</v>
      </c>
      <c r="I27" s="56">
        <f t="shared" si="2"/>
        <v>6019.95</v>
      </c>
      <c r="J27" s="56">
        <f t="shared" si="2"/>
        <v>7143.0749999999998</v>
      </c>
      <c r="K27" s="56"/>
      <c r="L27" s="56">
        <f t="shared" si="2"/>
        <v>7143.0749999999998</v>
      </c>
    </row>
    <row r="28" spans="1:1023 1026:2047 2050:3071 3074:4095 4098:5119 5122:6143 6146:7167 7170:8191 8194:9215 9218:10239 10242:11263 11266:12287 12290:13311 13314:14335 14338:15359 15362:16383" x14ac:dyDescent="0.25">
      <c r="A28" s="51">
        <v>200000</v>
      </c>
      <c r="B28" s="56">
        <f t="shared" si="2"/>
        <v>8655.5499999999993</v>
      </c>
      <c r="C28" s="56"/>
      <c r="D28" s="56"/>
      <c r="E28" s="56">
        <f t="shared" si="2"/>
        <v>9164.6999999999989</v>
      </c>
      <c r="F28" s="56">
        <f t="shared" si="2"/>
        <v>8895.15</v>
      </c>
      <c r="G28" s="56">
        <f t="shared" si="2"/>
        <v>6783.6750000000002</v>
      </c>
      <c r="H28" s="56">
        <f t="shared" si="2"/>
        <v>6903.4749999999995</v>
      </c>
      <c r="I28" s="56">
        <f t="shared" si="2"/>
        <v>7367.7</v>
      </c>
      <c r="J28" s="56">
        <f t="shared" si="2"/>
        <v>8790.3249999999989</v>
      </c>
      <c r="K28" s="56"/>
      <c r="L28" s="56">
        <f t="shared" si="2"/>
        <v>8550.7250000000004</v>
      </c>
    </row>
    <row r="29" spans="1:1023 1026:2047 2050:3071 3074:4095 4098:5119 5122:6143 6146:7167 7170:8191 8194:9215 9218:10239 10242:11263 11266:12287 12290:13311 13314:14335 14338:15359 15362:16383" x14ac:dyDescent="0.25">
      <c r="A29" s="51"/>
      <c r="B29" s="56"/>
      <c r="C29" s="56"/>
      <c r="D29" s="56"/>
      <c r="E29" s="56"/>
      <c r="F29" s="56"/>
      <c r="G29" s="56"/>
      <c r="H29" s="56"/>
      <c r="I29" s="56"/>
      <c r="J29" s="56"/>
      <c r="K29" s="56"/>
      <c r="L29" s="56"/>
    </row>
    <row r="30" spans="1:1023 1026:2047 2050:3071 3074:4095 4098:5119 5122:6143 6146:7167 7170:8191 8194:9215 9218:10239 10242:11263 11266:12287 12290:13311 13314:14335 14338:15359 15362:16383" x14ac:dyDescent="0.25">
      <c r="A30" s="52" t="s">
        <v>484</v>
      </c>
      <c r="B30" s="53"/>
      <c r="C30" s="53"/>
      <c r="D30" s="53"/>
      <c r="E30" s="53"/>
      <c r="F30" s="53"/>
      <c r="G30" s="53"/>
      <c r="H30" s="53"/>
      <c r="I30" s="53"/>
      <c r="J30" s="53"/>
      <c r="K30" s="53"/>
      <c r="L30" s="53"/>
      <c r="S30" s="450" t="s">
        <v>491</v>
      </c>
    </row>
    <row r="31" spans="1:1023 1026:2047 2050:3071 3074:4095 4098:5119 5122:6143 6146:7167 7170:8191 8194:9215 9218:10239 10242:11263 11266:12287 12290:13311 13314:14335 14338:15359 15362:16383" x14ac:dyDescent="0.25">
      <c r="A31" s="51">
        <v>0</v>
      </c>
      <c r="E31" s="51">
        <f>E15*$A$18</f>
        <v>2126.4499999999998</v>
      </c>
      <c r="F31" s="51">
        <f t="shared" ref="F31:L32" si="4">F15*$A$18</f>
        <v>0</v>
      </c>
      <c r="G31" s="51">
        <f t="shared" si="4"/>
        <v>0</v>
      </c>
      <c r="H31" s="51">
        <f t="shared" si="4"/>
        <v>0</v>
      </c>
      <c r="I31" s="51">
        <f t="shared" si="4"/>
        <v>494.17500000000001</v>
      </c>
      <c r="J31" s="51">
        <f t="shared" si="4"/>
        <v>0</v>
      </c>
      <c r="K31" s="51"/>
      <c r="L31" s="51">
        <f t="shared" si="4"/>
        <v>2156.4</v>
      </c>
      <c r="M31" s="51"/>
      <c r="O31" s="51"/>
      <c r="R31" s="51"/>
      <c r="S31" s="450"/>
      <c r="T31" s="51"/>
      <c r="U31" s="51"/>
      <c r="W31" s="51"/>
      <c r="Z31" s="51"/>
      <c r="AB31" s="51"/>
      <c r="AC31" s="51"/>
      <c r="AE31" s="51"/>
      <c r="AH31" s="51"/>
      <c r="AJ31" s="51"/>
      <c r="AK31" s="51"/>
      <c r="AM31" s="51"/>
      <c r="AP31" s="51"/>
      <c r="AR31" s="51"/>
      <c r="AS31" s="51"/>
      <c r="AU31" s="51"/>
      <c r="AX31" s="51"/>
      <c r="AZ31" s="51"/>
      <c r="BA31" s="51"/>
      <c r="BC31" s="51"/>
      <c r="BF31" s="51"/>
      <c r="BH31" s="51"/>
      <c r="BI31" s="51"/>
      <c r="BK31" s="51"/>
      <c r="BN31" s="51"/>
      <c r="BP31" s="51"/>
      <c r="BQ31" s="51"/>
      <c r="BS31" s="51"/>
      <c r="BV31" s="51"/>
      <c r="BX31" s="51"/>
      <c r="BY31" s="51"/>
      <c r="CA31" s="51"/>
      <c r="CD31" s="51"/>
      <c r="CF31" s="51"/>
      <c r="CG31" s="51"/>
      <c r="CI31" s="51"/>
      <c r="CL31" s="51"/>
      <c r="CN31" s="51"/>
      <c r="CO31" s="51"/>
      <c r="CQ31" s="51"/>
      <c r="CT31" s="51"/>
      <c r="CV31" s="51"/>
      <c r="CW31" s="51"/>
      <c r="CY31" s="51"/>
      <c r="DB31" s="51"/>
      <c r="DD31" s="51"/>
      <c r="DE31" s="51"/>
      <c r="DG31" s="51"/>
      <c r="DJ31" s="51"/>
      <c r="DL31" s="51"/>
      <c r="DM31" s="51"/>
      <c r="DO31" s="51"/>
      <c r="DR31" s="51"/>
      <c r="DT31" s="51"/>
      <c r="DU31" s="51"/>
      <c r="DW31" s="51"/>
      <c r="DZ31" s="51"/>
      <c r="EB31" s="51"/>
      <c r="EC31" s="51"/>
      <c r="EE31" s="51"/>
      <c r="EH31" s="51"/>
      <c r="EJ31" s="51"/>
      <c r="EK31" s="51"/>
      <c r="EM31" s="51"/>
      <c r="EP31" s="51"/>
      <c r="ER31" s="51"/>
      <c r="ES31" s="51"/>
      <c r="EU31" s="51"/>
      <c r="EX31" s="51"/>
      <c r="EZ31" s="51"/>
      <c r="FA31" s="51"/>
      <c r="FC31" s="51"/>
      <c r="FF31" s="51"/>
      <c r="FH31" s="51"/>
      <c r="FI31" s="51"/>
      <c r="FK31" s="51"/>
      <c r="FN31" s="51"/>
      <c r="FP31" s="51"/>
      <c r="FQ31" s="51"/>
      <c r="FS31" s="51"/>
      <c r="FV31" s="51"/>
      <c r="FX31" s="51"/>
      <c r="FY31" s="51"/>
      <c r="GA31" s="51"/>
      <c r="GD31" s="51"/>
      <c r="GF31" s="51"/>
      <c r="GG31" s="51"/>
      <c r="GI31" s="51"/>
      <c r="GL31" s="51"/>
      <c r="GN31" s="51"/>
      <c r="GO31" s="51"/>
      <c r="GQ31" s="51"/>
      <c r="GT31" s="51"/>
      <c r="GV31" s="51"/>
      <c r="GW31" s="51"/>
      <c r="GY31" s="51"/>
      <c r="HB31" s="51"/>
      <c r="HD31" s="51"/>
      <c r="HE31" s="51"/>
      <c r="HG31" s="51"/>
      <c r="HJ31" s="51"/>
      <c r="HL31" s="51"/>
      <c r="HM31" s="51"/>
      <c r="HO31" s="51"/>
      <c r="HR31" s="51"/>
      <c r="HT31" s="51"/>
      <c r="HU31" s="51"/>
      <c r="HW31" s="51"/>
      <c r="HZ31" s="51"/>
      <c r="IB31" s="51"/>
      <c r="IC31" s="51"/>
      <c r="IE31" s="51"/>
      <c r="IH31" s="51"/>
      <c r="IJ31" s="51"/>
      <c r="IK31" s="51"/>
      <c r="IM31" s="51"/>
      <c r="IP31" s="51"/>
      <c r="IR31" s="51"/>
      <c r="IS31" s="51"/>
      <c r="IU31" s="51"/>
      <c r="IX31" s="51"/>
      <c r="IZ31" s="51"/>
      <c r="JA31" s="51"/>
      <c r="JC31" s="51"/>
      <c r="JF31" s="51"/>
      <c r="JH31" s="51"/>
      <c r="JI31" s="51"/>
      <c r="JK31" s="51"/>
      <c r="JN31" s="51"/>
      <c r="JP31" s="51"/>
      <c r="JQ31" s="51"/>
      <c r="JS31" s="51"/>
      <c r="JV31" s="51"/>
      <c r="JX31" s="51"/>
      <c r="JY31" s="51"/>
      <c r="KA31" s="51"/>
      <c r="KD31" s="51"/>
      <c r="KF31" s="51"/>
      <c r="KG31" s="51"/>
      <c r="KI31" s="51"/>
      <c r="KL31" s="51"/>
      <c r="KN31" s="51"/>
      <c r="KO31" s="51"/>
      <c r="KQ31" s="51"/>
      <c r="KT31" s="51"/>
      <c r="KV31" s="51"/>
      <c r="KW31" s="51"/>
      <c r="KY31" s="51"/>
      <c r="LB31" s="51"/>
      <c r="LD31" s="51"/>
      <c r="LU31" s="51"/>
      <c r="LW31" s="51"/>
      <c r="LZ31" s="51"/>
      <c r="MB31" s="51"/>
      <c r="MC31" s="51"/>
      <c r="ME31" s="51"/>
      <c r="MH31" s="51"/>
      <c r="MJ31" s="51"/>
      <c r="MK31" s="51"/>
      <c r="MM31" s="51"/>
      <c r="MP31" s="51"/>
      <c r="MR31" s="51"/>
      <c r="MS31" s="51"/>
      <c r="MU31" s="51"/>
      <c r="MX31" s="51"/>
      <c r="MZ31" s="51"/>
      <c r="NA31" s="51"/>
      <c r="NC31" s="51"/>
      <c r="NF31" s="51"/>
      <c r="NH31" s="51"/>
      <c r="NI31" s="51"/>
      <c r="NK31" s="51"/>
      <c r="NN31" s="51"/>
      <c r="NP31" s="51"/>
      <c r="NQ31" s="51"/>
      <c r="NS31" s="51"/>
      <c r="NV31" s="51"/>
      <c r="NX31" s="51"/>
      <c r="NY31" s="51"/>
      <c r="OA31" s="51"/>
      <c r="OD31" s="51"/>
      <c r="OF31" s="51"/>
      <c r="OG31" s="51"/>
      <c r="OI31" s="51"/>
      <c r="OL31" s="51"/>
      <c r="ON31" s="51"/>
      <c r="OO31" s="51"/>
      <c r="OQ31" s="51"/>
      <c r="OT31" s="51"/>
      <c r="OV31" s="51"/>
      <c r="OW31" s="51"/>
      <c r="OY31" s="51"/>
      <c r="PB31" s="51"/>
      <c r="PD31" s="51"/>
      <c r="PE31" s="51"/>
      <c r="PG31" s="51"/>
      <c r="PJ31" s="51"/>
      <c r="PL31" s="51"/>
      <c r="PM31" s="51"/>
      <c r="PO31" s="51"/>
      <c r="PR31" s="51"/>
      <c r="PT31" s="51"/>
      <c r="PU31" s="51"/>
      <c r="PW31" s="51"/>
      <c r="PZ31" s="51"/>
      <c r="QB31" s="51"/>
      <c r="QC31" s="51"/>
      <c r="QE31" s="51"/>
      <c r="QH31" s="51"/>
      <c r="QJ31" s="51"/>
      <c r="QK31" s="51"/>
      <c r="QM31" s="51"/>
      <c r="QP31" s="51"/>
      <c r="QR31" s="51"/>
      <c r="QS31" s="51"/>
      <c r="QU31" s="51"/>
      <c r="QX31" s="51"/>
      <c r="QZ31" s="51"/>
      <c r="RA31" s="51"/>
      <c r="RC31" s="51"/>
      <c r="RF31" s="51"/>
      <c r="RH31" s="51"/>
      <c r="RI31" s="51"/>
      <c r="RK31" s="51"/>
      <c r="RN31" s="51"/>
      <c r="RP31" s="51"/>
      <c r="RQ31" s="51"/>
      <c r="RS31" s="51"/>
      <c r="RV31" s="51"/>
      <c r="RX31" s="51"/>
      <c r="RY31" s="51"/>
      <c r="SA31" s="51"/>
      <c r="SD31" s="51"/>
      <c r="SF31" s="51"/>
      <c r="SG31" s="51"/>
      <c r="SI31" s="51"/>
      <c r="SL31" s="51"/>
      <c r="SN31" s="51"/>
      <c r="SO31" s="51"/>
      <c r="SQ31" s="51"/>
      <c r="ST31" s="51"/>
      <c r="SV31" s="51"/>
      <c r="SW31" s="51"/>
      <c r="SY31" s="51"/>
      <c r="TB31" s="51"/>
      <c r="TD31" s="51"/>
      <c r="TE31" s="51"/>
      <c r="TG31" s="51"/>
      <c r="TJ31" s="51"/>
      <c r="TL31" s="51"/>
      <c r="TM31" s="51"/>
      <c r="TO31" s="51"/>
      <c r="TR31" s="51"/>
      <c r="TT31" s="51"/>
      <c r="TU31" s="51"/>
      <c r="TW31" s="51"/>
      <c r="TZ31" s="51"/>
      <c r="UB31" s="51"/>
      <c r="UC31" s="51"/>
      <c r="UE31" s="51"/>
      <c r="UH31" s="51"/>
      <c r="UJ31" s="51"/>
      <c r="UK31" s="51"/>
      <c r="UM31" s="51"/>
      <c r="UP31" s="51"/>
      <c r="UR31" s="51"/>
      <c r="US31" s="51"/>
      <c r="UU31" s="51"/>
      <c r="UX31" s="51"/>
      <c r="UZ31" s="51"/>
      <c r="VA31" s="51"/>
      <c r="VC31" s="51"/>
      <c r="VF31" s="51"/>
      <c r="VH31" s="51"/>
      <c r="VI31" s="51"/>
      <c r="VK31" s="51"/>
      <c r="VN31" s="51"/>
      <c r="VP31" s="51"/>
      <c r="VQ31" s="51"/>
      <c r="VS31" s="51"/>
      <c r="VV31" s="51"/>
      <c r="VX31" s="51"/>
      <c r="VY31" s="51"/>
      <c r="WA31" s="51"/>
      <c r="WD31" s="51"/>
      <c r="WF31" s="51"/>
      <c r="WG31" s="51"/>
      <c r="WI31" s="51"/>
      <c r="WL31" s="51"/>
      <c r="WN31" s="51"/>
      <c r="WO31" s="51"/>
      <c r="WQ31" s="51"/>
      <c r="WT31" s="51"/>
      <c r="WV31" s="51"/>
      <c r="WW31" s="51"/>
      <c r="WY31" s="51"/>
      <c r="XB31" s="51"/>
      <c r="XD31" s="51"/>
      <c r="XE31" s="51"/>
      <c r="XG31" s="51"/>
      <c r="XJ31" s="51"/>
      <c r="XL31" s="51"/>
      <c r="XM31" s="51"/>
      <c r="XO31" s="51"/>
      <c r="XR31" s="51"/>
      <c r="XT31" s="51"/>
      <c r="XU31" s="51"/>
      <c r="XW31" s="51"/>
      <c r="XZ31" s="51"/>
      <c r="YB31" s="51"/>
      <c r="YC31" s="51"/>
      <c r="YE31" s="51"/>
      <c r="YH31" s="51"/>
      <c r="YJ31" s="51"/>
      <c r="YK31" s="51"/>
      <c r="YM31" s="51"/>
      <c r="YP31" s="51"/>
      <c r="YR31" s="51"/>
      <c r="YS31" s="51"/>
      <c r="YU31" s="51"/>
      <c r="YX31" s="51"/>
      <c r="YZ31" s="51"/>
      <c r="ZA31" s="51"/>
      <c r="ZC31" s="51"/>
      <c r="ZF31" s="51"/>
      <c r="ZH31" s="51"/>
      <c r="ZI31" s="51"/>
      <c r="ZK31" s="51"/>
      <c r="ZN31" s="51"/>
      <c r="ZP31" s="51"/>
      <c r="ZQ31" s="51"/>
      <c r="ZS31" s="51"/>
      <c r="ZV31" s="51"/>
      <c r="ZX31" s="51"/>
      <c r="ZY31" s="51"/>
      <c r="AAA31" s="51"/>
      <c r="AAD31" s="51"/>
      <c r="AAF31" s="51"/>
      <c r="AAG31" s="51"/>
      <c r="AAI31" s="51"/>
      <c r="AAL31" s="51"/>
      <c r="AAN31" s="51"/>
      <c r="AAO31" s="51"/>
      <c r="AAQ31" s="51"/>
      <c r="AAT31" s="51"/>
      <c r="AAV31" s="51"/>
      <c r="AAW31" s="51"/>
      <c r="AAY31" s="51"/>
      <c r="ABB31" s="51"/>
      <c r="ABD31" s="51"/>
      <c r="ABE31" s="51"/>
      <c r="ABG31" s="51"/>
      <c r="ABJ31" s="51"/>
      <c r="ABL31" s="51"/>
      <c r="ABM31" s="51"/>
      <c r="ABO31" s="51"/>
      <c r="ABR31" s="51"/>
      <c r="ABT31" s="51"/>
      <c r="ABU31" s="51"/>
      <c r="ABW31" s="51"/>
      <c r="ABZ31" s="51"/>
      <c r="ACB31" s="51"/>
      <c r="ACC31" s="51"/>
      <c r="ACE31" s="51"/>
      <c r="ACH31" s="51"/>
      <c r="ACJ31" s="51"/>
      <c r="ACK31" s="51"/>
      <c r="ACM31" s="51"/>
      <c r="ACP31" s="51"/>
      <c r="ACR31" s="51"/>
      <c r="ACS31" s="51"/>
      <c r="ACU31" s="51"/>
      <c r="ACX31" s="51"/>
      <c r="ACZ31" s="51"/>
      <c r="ADA31" s="51"/>
      <c r="ADC31" s="51"/>
      <c r="ADF31" s="51"/>
      <c r="ADH31" s="51"/>
      <c r="ADI31" s="51"/>
      <c r="ADK31" s="51"/>
      <c r="ADN31" s="51"/>
      <c r="ADP31" s="51"/>
      <c r="ADQ31" s="51"/>
      <c r="ADS31" s="51"/>
      <c r="ADV31" s="51"/>
      <c r="ADX31" s="51"/>
      <c r="ADY31" s="51"/>
      <c r="AEA31" s="51"/>
      <c r="AED31" s="51"/>
      <c r="AEF31" s="51"/>
      <c r="AEG31" s="51"/>
      <c r="AEI31" s="51"/>
      <c r="AEL31" s="51"/>
      <c r="AEN31" s="51"/>
      <c r="AEO31" s="51"/>
      <c r="AEQ31" s="51"/>
      <c r="AET31" s="51"/>
      <c r="AEV31" s="51"/>
      <c r="AEW31" s="51"/>
      <c r="AEY31" s="51"/>
      <c r="AFB31" s="51"/>
      <c r="AFD31" s="51"/>
      <c r="AFE31" s="51"/>
      <c r="AFG31" s="51"/>
      <c r="AFJ31" s="51"/>
      <c r="AFL31" s="51"/>
      <c r="AFM31" s="51"/>
      <c r="AFO31" s="51"/>
      <c r="AFR31" s="51"/>
      <c r="AFT31" s="51"/>
      <c r="AFU31" s="51"/>
      <c r="AFW31" s="51"/>
      <c r="AFZ31" s="51"/>
      <c r="AGB31" s="51"/>
      <c r="AGC31" s="51"/>
      <c r="AGE31" s="51"/>
      <c r="AGH31" s="51"/>
      <c r="AGJ31" s="51"/>
      <c r="AGK31" s="51"/>
      <c r="AGM31" s="51"/>
      <c r="AGP31" s="51"/>
      <c r="AGR31" s="51"/>
      <c r="AGS31" s="51"/>
      <c r="AGU31" s="51"/>
      <c r="AGX31" s="51"/>
      <c r="AGZ31" s="51"/>
      <c r="AHA31" s="51"/>
      <c r="AHC31" s="51"/>
      <c r="AHF31" s="51"/>
      <c r="AHH31" s="51"/>
      <c r="AHI31" s="51"/>
      <c r="AHK31" s="51"/>
      <c r="AHN31" s="51"/>
      <c r="AHP31" s="51"/>
      <c r="AHQ31" s="51"/>
      <c r="AHS31" s="51"/>
      <c r="AHV31" s="51"/>
      <c r="AHX31" s="51"/>
      <c r="AHY31" s="51"/>
      <c r="AIA31" s="51"/>
      <c r="AID31" s="51"/>
      <c r="AIF31" s="51"/>
      <c r="AIG31" s="51"/>
      <c r="AII31" s="51"/>
      <c r="AIL31" s="51"/>
      <c r="AIN31" s="51"/>
      <c r="AIO31" s="51"/>
      <c r="AIQ31" s="51"/>
      <c r="AIT31" s="51"/>
      <c r="AIV31" s="51"/>
      <c r="AIW31" s="51"/>
      <c r="AIY31" s="51"/>
      <c r="AJB31" s="51"/>
      <c r="AJD31" s="51"/>
      <c r="AJE31" s="51"/>
      <c r="AJG31" s="51"/>
      <c r="AJJ31" s="51"/>
      <c r="AJL31" s="51"/>
      <c r="AJM31" s="51"/>
      <c r="AJO31" s="51"/>
      <c r="AJR31" s="51"/>
      <c r="AJT31" s="51"/>
      <c r="AJU31" s="51"/>
      <c r="AJW31" s="51"/>
      <c r="AJZ31" s="51"/>
      <c r="AKB31" s="51"/>
      <c r="AKC31" s="51"/>
      <c r="AKE31" s="51"/>
      <c r="AKH31" s="51"/>
      <c r="AKJ31" s="51"/>
      <c r="AKK31" s="51"/>
      <c r="AKM31" s="51"/>
      <c r="AKP31" s="51"/>
      <c r="AKR31" s="51"/>
      <c r="AKS31" s="51"/>
      <c r="AKU31" s="51"/>
      <c r="AKX31" s="51"/>
      <c r="AKZ31" s="51"/>
      <c r="ALA31" s="51"/>
      <c r="ALC31" s="51"/>
      <c r="ALF31" s="51"/>
      <c r="ALH31" s="51"/>
      <c r="ALI31" s="51"/>
      <c r="ALK31" s="51"/>
      <c r="ALN31" s="51"/>
      <c r="ALP31" s="51"/>
      <c r="ALQ31" s="51"/>
      <c r="ALS31" s="51"/>
      <c r="ALV31" s="51"/>
      <c r="ALX31" s="51"/>
      <c r="ALY31" s="51"/>
      <c r="AMA31" s="51"/>
      <c r="AMD31" s="51"/>
      <c r="AMF31" s="51"/>
      <c r="AMG31" s="51"/>
      <c r="AMI31" s="51"/>
      <c r="AML31" s="51"/>
      <c r="AMN31" s="51"/>
      <c r="AMO31" s="51"/>
      <c r="AMQ31" s="51"/>
      <c r="AMT31" s="51"/>
      <c r="AMV31" s="51"/>
      <c r="AMW31" s="51"/>
      <c r="AMY31" s="51"/>
      <c r="ANB31" s="51"/>
      <c r="AND31" s="51"/>
      <c r="ANE31" s="51"/>
      <c r="ANG31" s="51"/>
      <c r="ANJ31" s="51"/>
      <c r="ANL31" s="51"/>
      <c r="ANM31" s="51"/>
      <c r="ANO31" s="51"/>
      <c r="ANR31" s="51"/>
      <c r="ANT31" s="51"/>
      <c r="ANU31" s="51"/>
      <c r="ANW31" s="51"/>
      <c r="ANZ31" s="51"/>
      <c r="AOB31" s="51"/>
      <c r="AOC31" s="51"/>
      <c r="AOE31" s="51"/>
      <c r="AOH31" s="51"/>
      <c r="AOJ31" s="51"/>
      <c r="AOK31" s="51"/>
      <c r="AOM31" s="51"/>
      <c r="AOP31" s="51"/>
      <c r="AOR31" s="51"/>
      <c r="AOS31" s="51"/>
      <c r="AOU31" s="51"/>
      <c r="AOX31" s="51"/>
      <c r="AOZ31" s="51"/>
      <c r="APA31" s="51"/>
      <c r="APC31" s="51"/>
      <c r="APF31" s="51"/>
      <c r="APH31" s="51"/>
      <c r="API31" s="51"/>
      <c r="APK31" s="51"/>
      <c r="APN31" s="51"/>
      <c r="APP31" s="51"/>
      <c r="APQ31" s="51"/>
      <c r="APS31" s="51"/>
      <c r="APV31" s="51"/>
      <c r="APX31" s="51"/>
      <c r="APY31" s="51"/>
      <c r="AQA31" s="51"/>
      <c r="AQD31" s="51"/>
      <c r="AQF31" s="51"/>
      <c r="AQG31" s="51"/>
      <c r="AQI31" s="51"/>
      <c r="AQL31" s="51"/>
      <c r="AQN31" s="51"/>
      <c r="AQO31" s="51"/>
      <c r="AQQ31" s="51"/>
      <c r="AQT31" s="51"/>
      <c r="AQV31" s="51"/>
      <c r="AQW31" s="51"/>
      <c r="AQY31" s="51"/>
      <c r="ARB31" s="51"/>
      <c r="ARD31" s="51"/>
      <c r="ARE31" s="51"/>
      <c r="ARG31" s="51"/>
      <c r="ARJ31" s="51"/>
      <c r="ARL31" s="51"/>
      <c r="ARM31" s="51"/>
      <c r="ARO31" s="51"/>
      <c r="ARR31" s="51"/>
      <c r="ART31" s="51"/>
      <c r="ARU31" s="51"/>
      <c r="ARW31" s="51"/>
      <c r="ARZ31" s="51"/>
      <c r="ASB31" s="51"/>
      <c r="ASC31" s="51"/>
      <c r="ASE31" s="51"/>
      <c r="ASH31" s="51"/>
      <c r="ASJ31" s="51"/>
      <c r="ASK31" s="51"/>
      <c r="ASM31" s="51"/>
      <c r="ASP31" s="51"/>
      <c r="ASR31" s="51"/>
      <c r="ASS31" s="51"/>
      <c r="ASU31" s="51"/>
      <c r="ASX31" s="51"/>
      <c r="ASZ31" s="51"/>
      <c r="ATA31" s="51"/>
      <c r="ATC31" s="51"/>
      <c r="ATF31" s="51"/>
      <c r="ATH31" s="51"/>
      <c r="ATI31" s="51"/>
      <c r="ATK31" s="51"/>
      <c r="ATN31" s="51"/>
      <c r="ATP31" s="51"/>
      <c r="ATQ31" s="51"/>
      <c r="ATS31" s="51"/>
      <c r="ATV31" s="51"/>
      <c r="ATX31" s="51"/>
      <c r="ATY31" s="51"/>
      <c r="AUA31" s="51"/>
      <c r="AUD31" s="51"/>
      <c r="AUF31" s="51"/>
      <c r="AUG31" s="51"/>
      <c r="AUI31" s="51"/>
      <c r="AUL31" s="51"/>
      <c r="AUN31" s="51"/>
      <c r="AUO31" s="51"/>
      <c r="AUQ31" s="51"/>
      <c r="AUT31" s="51"/>
      <c r="AUV31" s="51"/>
      <c r="AUW31" s="51"/>
      <c r="AUY31" s="51"/>
      <c r="AVB31" s="51"/>
      <c r="AVD31" s="51"/>
      <c r="AVE31" s="51"/>
      <c r="AVG31" s="51"/>
      <c r="AVJ31" s="51"/>
      <c r="AVL31" s="51"/>
      <c r="AVM31" s="51"/>
      <c r="AVO31" s="51"/>
      <c r="AVR31" s="51"/>
      <c r="AVT31" s="51"/>
      <c r="AVU31" s="51"/>
      <c r="AVW31" s="51"/>
      <c r="AVZ31" s="51"/>
      <c r="AWB31" s="51"/>
      <c r="AWC31" s="51"/>
      <c r="AWE31" s="51"/>
      <c r="AWH31" s="51"/>
      <c r="AWJ31" s="51"/>
      <c r="AWK31" s="51"/>
      <c r="AWM31" s="51"/>
      <c r="AWP31" s="51"/>
      <c r="AWR31" s="51"/>
      <c r="AWS31" s="51"/>
      <c r="AWU31" s="51"/>
      <c r="AWX31" s="51"/>
      <c r="AWZ31" s="51"/>
      <c r="AXA31" s="51"/>
      <c r="AXC31" s="51"/>
      <c r="AXF31" s="51"/>
      <c r="AXH31" s="51"/>
      <c r="AXI31" s="51"/>
      <c r="AXK31" s="51"/>
      <c r="AXN31" s="51"/>
      <c r="AXP31" s="51"/>
      <c r="AXQ31" s="51"/>
      <c r="AXS31" s="51"/>
      <c r="AXV31" s="51"/>
      <c r="AXX31" s="51"/>
      <c r="AXY31" s="51"/>
      <c r="AYA31" s="51"/>
      <c r="AYD31" s="51"/>
      <c r="AYF31" s="51"/>
      <c r="AYG31" s="51"/>
      <c r="AYI31" s="51"/>
      <c r="AYL31" s="51"/>
      <c r="AYN31" s="51"/>
      <c r="AYO31" s="51"/>
      <c r="AYQ31" s="51"/>
      <c r="AYT31" s="51"/>
      <c r="AYV31" s="51"/>
      <c r="AYW31" s="51"/>
      <c r="AYY31" s="51"/>
      <c r="AZB31" s="51"/>
      <c r="AZD31" s="51"/>
      <c r="AZE31" s="51"/>
      <c r="AZG31" s="51"/>
      <c r="AZJ31" s="51"/>
      <c r="AZL31" s="51"/>
      <c r="AZM31" s="51"/>
      <c r="AZO31" s="51"/>
      <c r="AZR31" s="51"/>
      <c r="AZT31" s="51"/>
      <c r="AZU31" s="51"/>
      <c r="AZW31" s="51"/>
      <c r="AZZ31" s="51"/>
      <c r="BAB31" s="51"/>
      <c r="BAC31" s="51"/>
      <c r="BAE31" s="51"/>
      <c r="BAH31" s="51"/>
      <c r="BAJ31" s="51"/>
      <c r="BAK31" s="51"/>
      <c r="BAM31" s="51"/>
      <c r="BAP31" s="51"/>
      <c r="BAR31" s="51"/>
      <c r="BAS31" s="51"/>
      <c r="BAU31" s="51"/>
      <c r="BAX31" s="51"/>
      <c r="BAZ31" s="51"/>
      <c r="BBA31" s="51"/>
      <c r="BBC31" s="51"/>
      <c r="BBF31" s="51"/>
      <c r="BBH31" s="51"/>
      <c r="BBI31" s="51"/>
      <c r="BBK31" s="51"/>
      <c r="BBN31" s="51"/>
      <c r="BBP31" s="51"/>
      <c r="BBQ31" s="51"/>
      <c r="BBS31" s="51"/>
      <c r="BBV31" s="51"/>
      <c r="BBX31" s="51"/>
      <c r="BBY31" s="51"/>
      <c r="BCA31" s="51"/>
      <c r="BCD31" s="51"/>
      <c r="BCF31" s="51"/>
      <c r="BCG31" s="51"/>
      <c r="BCI31" s="51"/>
      <c r="BCL31" s="51"/>
      <c r="BCN31" s="51"/>
      <c r="BCO31" s="51"/>
      <c r="BCQ31" s="51"/>
      <c r="BCT31" s="51"/>
      <c r="BCV31" s="51"/>
      <c r="BCW31" s="51"/>
      <c r="BCY31" s="51"/>
      <c r="BDB31" s="51"/>
      <c r="BDD31" s="51"/>
      <c r="BDE31" s="51"/>
      <c r="BDG31" s="51"/>
      <c r="BDJ31" s="51"/>
      <c r="BDL31" s="51"/>
      <c r="BDM31" s="51"/>
      <c r="BDO31" s="51"/>
      <c r="BDR31" s="51"/>
      <c r="BDT31" s="51"/>
      <c r="BDU31" s="51"/>
      <c r="BDW31" s="51"/>
      <c r="BDZ31" s="51"/>
      <c r="BEB31" s="51"/>
      <c r="BEC31" s="51"/>
      <c r="BEE31" s="51"/>
      <c r="BEH31" s="51"/>
      <c r="BEJ31" s="51"/>
      <c r="BEK31" s="51"/>
      <c r="BEM31" s="51"/>
      <c r="BEP31" s="51"/>
      <c r="BER31" s="51"/>
      <c r="BES31" s="51"/>
      <c r="BEU31" s="51"/>
      <c r="BEX31" s="51"/>
      <c r="BEZ31" s="51"/>
      <c r="BFA31" s="51"/>
      <c r="BFC31" s="51"/>
      <c r="BFF31" s="51"/>
      <c r="BFH31" s="51"/>
      <c r="BFI31" s="51"/>
      <c r="BFK31" s="51"/>
      <c r="BFN31" s="51"/>
      <c r="BFP31" s="51"/>
      <c r="BFQ31" s="51"/>
      <c r="BFS31" s="51"/>
      <c r="BFV31" s="51"/>
      <c r="BFX31" s="51"/>
      <c r="BFY31" s="51"/>
      <c r="BGA31" s="51"/>
      <c r="BGD31" s="51"/>
      <c r="BGF31" s="51"/>
      <c r="BGG31" s="51"/>
      <c r="BGI31" s="51"/>
      <c r="BGL31" s="51"/>
      <c r="BGN31" s="51"/>
      <c r="BGO31" s="51"/>
      <c r="BGQ31" s="51"/>
      <c r="BGT31" s="51"/>
      <c r="BGV31" s="51"/>
      <c r="BGW31" s="51"/>
      <c r="BGY31" s="51"/>
      <c r="BHB31" s="51"/>
      <c r="BHD31" s="51"/>
      <c r="BHE31" s="51"/>
      <c r="BHG31" s="51"/>
      <c r="BHJ31" s="51"/>
      <c r="BHL31" s="51"/>
      <c r="BHM31" s="51"/>
      <c r="BHO31" s="51"/>
      <c r="BHR31" s="51"/>
      <c r="BHT31" s="51"/>
      <c r="BHU31" s="51"/>
      <c r="BHW31" s="51"/>
      <c r="BHZ31" s="51"/>
      <c r="BIB31" s="51"/>
      <c r="BIC31" s="51"/>
      <c r="BIE31" s="51"/>
      <c r="BIH31" s="51"/>
      <c r="BIJ31" s="51"/>
      <c r="BIK31" s="51"/>
      <c r="BIM31" s="51"/>
      <c r="BIP31" s="51"/>
      <c r="BIR31" s="51"/>
      <c r="BIS31" s="51"/>
      <c r="BIU31" s="51"/>
      <c r="BIX31" s="51"/>
      <c r="BIZ31" s="51"/>
      <c r="BJA31" s="51"/>
      <c r="BJC31" s="51"/>
      <c r="BJF31" s="51"/>
      <c r="BJH31" s="51"/>
      <c r="BJI31" s="51"/>
      <c r="BJK31" s="51"/>
      <c r="BJN31" s="51"/>
      <c r="BJP31" s="51"/>
      <c r="BJQ31" s="51"/>
      <c r="BJS31" s="51"/>
      <c r="BJV31" s="51"/>
      <c r="BJX31" s="51"/>
      <c r="BJY31" s="51"/>
      <c r="BKA31" s="51"/>
      <c r="BKD31" s="51"/>
      <c r="BKF31" s="51"/>
      <c r="BKG31" s="51"/>
      <c r="BKI31" s="51"/>
      <c r="BKL31" s="51"/>
      <c r="BKN31" s="51"/>
      <c r="BKO31" s="51"/>
      <c r="BKQ31" s="51"/>
      <c r="BKT31" s="51"/>
      <c r="BKV31" s="51"/>
      <c r="BKW31" s="51"/>
      <c r="BKY31" s="51"/>
      <c r="BLB31" s="51"/>
      <c r="BLD31" s="51"/>
      <c r="BLE31" s="51"/>
      <c r="BLG31" s="51"/>
      <c r="BLJ31" s="51"/>
      <c r="BLL31" s="51"/>
      <c r="BLM31" s="51"/>
      <c r="BLO31" s="51"/>
      <c r="BLR31" s="51"/>
      <c r="BLT31" s="51"/>
      <c r="BLU31" s="51"/>
      <c r="BLW31" s="51"/>
      <c r="BLZ31" s="51"/>
      <c r="BMB31" s="51"/>
      <c r="BMC31" s="51"/>
      <c r="BME31" s="51"/>
      <c r="BMH31" s="51"/>
      <c r="BMJ31" s="51"/>
      <c r="BMK31" s="51"/>
      <c r="BMM31" s="51"/>
      <c r="BMP31" s="51"/>
      <c r="BMR31" s="51"/>
      <c r="BMS31" s="51"/>
      <c r="BMU31" s="51"/>
      <c r="BMX31" s="51"/>
      <c r="BMZ31" s="51"/>
      <c r="BNA31" s="51"/>
      <c r="BNC31" s="51"/>
      <c r="BNF31" s="51"/>
      <c r="BNH31" s="51"/>
      <c r="BNI31" s="51"/>
      <c r="BNK31" s="51"/>
      <c r="BNN31" s="51"/>
      <c r="BNP31" s="51"/>
      <c r="BNQ31" s="51"/>
      <c r="BNS31" s="51"/>
      <c r="BNV31" s="51"/>
      <c r="BNX31" s="51"/>
      <c r="BNY31" s="51"/>
      <c r="BOA31" s="51"/>
      <c r="BOD31" s="51"/>
      <c r="BOF31" s="51"/>
      <c r="BOG31" s="51"/>
      <c r="BOI31" s="51"/>
      <c r="BOL31" s="51"/>
      <c r="BON31" s="51"/>
      <c r="BOO31" s="51"/>
      <c r="BOQ31" s="51"/>
      <c r="BOT31" s="51"/>
      <c r="BOV31" s="51"/>
      <c r="BOW31" s="51"/>
      <c r="BOY31" s="51"/>
      <c r="BPB31" s="51"/>
      <c r="BPD31" s="51"/>
      <c r="BPE31" s="51"/>
      <c r="BPG31" s="51"/>
      <c r="BPJ31" s="51"/>
      <c r="BPL31" s="51"/>
      <c r="BPM31" s="51"/>
      <c r="BPO31" s="51"/>
      <c r="BPR31" s="51"/>
      <c r="BPT31" s="51"/>
      <c r="BPU31" s="51"/>
      <c r="BPW31" s="51"/>
      <c r="BPZ31" s="51"/>
      <c r="BQB31" s="51"/>
      <c r="BQC31" s="51"/>
      <c r="BQE31" s="51"/>
      <c r="BQH31" s="51"/>
      <c r="BQJ31" s="51"/>
      <c r="BQK31" s="51"/>
      <c r="BQM31" s="51"/>
      <c r="BQP31" s="51"/>
      <c r="BQR31" s="51"/>
      <c r="BQS31" s="51"/>
      <c r="BQU31" s="51"/>
      <c r="BQX31" s="51"/>
      <c r="BQZ31" s="51"/>
      <c r="BRA31" s="51"/>
      <c r="BRC31" s="51"/>
      <c r="BRF31" s="51"/>
      <c r="BRH31" s="51"/>
      <c r="BRI31" s="51"/>
      <c r="BRK31" s="51"/>
      <c r="BRN31" s="51"/>
      <c r="BRP31" s="51"/>
      <c r="BRQ31" s="51"/>
      <c r="BRS31" s="51"/>
      <c r="BRV31" s="51"/>
      <c r="BRX31" s="51"/>
      <c r="BRY31" s="51"/>
      <c r="BSA31" s="51"/>
      <c r="BSD31" s="51"/>
      <c r="BSF31" s="51"/>
      <c r="BSG31" s="51"/>
      <c r="BSI31" s="51"/>
      <c r="BSL31" s="51"/>
      <c r="BSN31" s="51"/>
      <c r="BSO31" s="51"/>
      <c r="BSQ31" s="51"/>
      <c r="BST31" s="51"/>
      <c r="BSV31" s="51"/>
      <c r="BSW31" s="51"/>
      <c r="BSY31" s="51"/>
      <c r="BTB31" s="51"/>
      <c r="BTD31" s="51"/>
      <c r="BTE31" s="51"/>
      <c r="BTG31" s="51"/>
      <c r="BTJ31" s="51"/>
      <c r="BTL31" s="51"/>
      <c r="BTM31" s="51"/>
      <c r="BTO31" s="51"/>
      <c r="BTR31" s="51"/>
      <c r="BTT31" s="51"/>
      <c r="BTU31" s="51"/>
      <c r="BTW31" s="51"/>
      <c r="BTZ31" s="51"/>
      <c r="BUB31" s="51"/>
      <c r="BUC31" s="51"/>
      <c r="BUE31" s="51"/>
      <c r="BUH31" s="51"/>
      <c r="BUJ31" s="51"/>
      <c r="BUK31" s="51"/>
      <c r="BUM31" s="51"/>
      <c r="BUP31" s="51"/>
      <c r="BUR31" s="51"/>
      <c r="BUS31" s="51"/>
      <c r="BUU31" s="51"/>
      <c r="BUX31" s="51"/>
      <c r="BUZ31" s="51"/>
      <c r="BVA31" s="51"/>
      <c r="BVC31" s="51"/>
      <c r="BVF31" s="51"/>
      <c r="BVH31" s="51"/>
      <c r="BVI31" s="51"/>
      <c r="BVK31" s="51"/>
      <c r="BVN31" s="51"/>
      <c r="BVP31" s="51"/>
      <c r="BVQ31" s="51"/>
      <c r="BVS31" s="51"/>
      <c r="BVV31" s="51"/>
      <c r="BVX31" s="51"/>
      <c r="BVY31" s="51"/>
      <c r="BWA31" s="51"/>
      <c r="BWD31" s="51"/>
      <c r="BWF31" s="51"/>
      <c r="BWG31" s="51"/>
      <c r="BWI31" s="51"/>
      <c r="BWL31" s="51"/>
      <c r="BWN31" s="51"/>
      <c r="BWO31" s="51"/>
      <c r="BWQ31" s="51"/>
      <c r="BWT31" s="51"/>
      <c r="BWV31" s="51"/>
      <c r="BWW31" s="51"/>
      <c r="BWY31" s="51"/>
      <c r="BXB31" s="51"/>
      <c r="BXD31" s="51"/>
      <c r="BXE31" s="51"/>
      <c r="BXG31" s="51"/>
      <c r="BXJ31" s="51"/>
      <c r="BXL31" s="51"/>
      <c r="BXM31" s="51"/>
      <c r="BXO31" s="51"/>
      <c r="BXR31" s="51"/>
      <c r="BXT31" s="51"/>
      <c r="BXU31" s="51"/>
      <c r="BXW31" s="51"/>
      <c r="BXZ31" s="51"/>
      <c r="BYB31" s="51"/>
      <c r="BYC31" s="51"/>
      <c r="BYE31" s="51"/>
      <c r="BYH31" s="51"/>
      <c r="BYJ31" s="51"/>
      <c r="BYK31" s="51"/>
      <c r="BYM31" s="51"/>
      <c r="BYP31" s="51"/>
      <c r="BYR31" s="51"/>
      <c r="BYS31" s="51"/>
      <c r="BYU31" s="51"/>
      <c r="BYX31" s="51"/>
      <c r="BYZ31" s="51"/>
      <c r="BZA31" s="51"/>
      <c r="BZC31" s="51"/>
      <c r="BZF31" s="51"/>
      <c r="BZH31" s="51"/>
      <c r="BZI31" s="51"/>
      <c r="BZK31" s="51"/>
      <c r="BZN31" s="51"/>
      <c r="BZP31" s="51"/>
      <c r="BZQ31" s="51"/>
      <c r="BZS31" s="51"/>
      <c r="BZV31" s="51"/>
      <c r="BZX31" s="51"/>
      <c r="BZY31" s="51"/>
      <c r="CAA31" s="51"/>
      <c r="CAD31" s="51"/>
      <c r="CAF31" s="51"/>
      <c r="CAG31" s="51"/>
      <c r="CAI31" s="51"/>
      <c r="CAL31" s="51"/>
      <c r="CAN31" s="51"/>
      <c r="CAO31" s="51"/>
      <c r="CAQ31" s="51"/>
      <c r="CAT31" s="51"/>
      <c r="CAV31" s="51"/>
      <c r="CAW31" s="51"/>
      <c r="CAY31" s="51"/>
      <c r="CBB31" s="51"/>
      <c r="CBD31" s="51"/>
      <c r="CBE31" s="51"/>
      <c r="CBG31" s="51"/>
      <c r="CBJ31" s="51"/>
      <c r="CBL31" s="51"/>
      <c r="CBM31" s="51"/>
      <c r="CBO31" s="51"/>
      <c r="CBR31" s="51"/>
      <c r="CBT31" s="51"/>
      <c r="CBU31" s="51"/>
      <c r="CBW31" s="51"/>
      <c r="CBZ31" s="51"/>
      <c r="CCB31" s="51"/>
      <c r="CCC31" s="51"/>
      <c r="CCE31" s="51"/>
      <c r="CCH31" s="51"/>
      <c r="CCJ31" s="51"/>
      <c r="CCK31" s="51"/>
      <c r="CCM31" s="51"/>
      <c r="CCP31" s="51"/>
      <c r="CCR31" s="51"/>
      <c r="CCS31" s="51"/>
      <c r="CCU31" s="51"/>
      <c r="CCX31" s="51"/>
      <c r="CCZ31" s="51"/>
      <c r="CDA31" s="51"/>
      <c r="CDC31" s="51"/>
      <c r="CDF31" s="51"/>
      <c r="CDH31" s="51"/>
      <c r="CDI31" s="51"/>
      <c r="CDK31" s="51"/>
      <c r="CDN31" s="51"/>
      <c r="CDP31" s="51"/>
      <c r="CDQ31" s="51"/>
      <c r="CDS31" s="51"/>
      <c r="CDV31" s="51"/>
      <c r="CDX31" s="51"/>
      <c r="CDY31" s="51"/>
      <c r="CEA31" s="51"/>
      <c r="CED31" s="51"/>
      <c r="CEF31" s="51"/>
      <c r="CEG31" s="51"/>
      <c r="CEI31" s="51"/>
      <c r="CEL31" s="51"/>
      <c r="CEN31" s="51"/>
      <c r="CEO31" s="51"/>
      <c r="CEQ31" s="51"/>
      <c r="CET31" s="51"/>
      <c r="CEV31" s="51"/>
      <c r="CEW31" s="51"/>
      <c r="CEY31" s="51"/>
      <c r="CFB31" s="51"/>
      <c r="CFD31" s="51"/>
      <c r="CFE31" s="51"/>
      <c r="CFG31" s="51"/>
      <c r="CFJ31" s="51"/>
      <c r="CFL31" s="51"/>
      <c r="CFM31" s="51"/>
      <c r="CFO31" s="51"/>
      <c r="CFR31" s="51"/>
      <c r="CFT31" s="51"/>
      <c r="CFU31" s="51"/>
      <c r="CFW31" s="51"/>
      <c r="CFZ31" s="51"/>
      <c r="CGB31" s="51"/>
      <c r="CGC31" s="51"/>
      <c r="CGE31" s="51"/>
      <c r="CGH31" s="51"/>
      <c r="CGJ31" s="51"/>
      <c r="CGK31" s="51"/>
      <c r="CGM31" s="51"/>
      <c r="CGP31" s="51"/>
      <c r="CGR31" s="51"/>
      <c r="CGS31" s="51"/>
      <c r="CGU31" s="51"/>
      <c r="CGX31" s="51"/>
      <c r="CGZ31" s="51"/>
      <c r="CHA31" s="51"/>
      <c r="CHC31" s="51"/>
      <c r="CHF31" s="51"/>
      <c r="CHH31" s="51"/>
      <c r="CHI31" s="51"/>
      <c r="CHK31" s="51"/>
      <c r="CHN31" s="51"/>
      <c r="CHP31" s="51"/>
      <c r="CHQ31" s="51"/>
      <c r="CHS31" s="51"/>
      <c r="CHV31" s="51"/>
      <c r="CHX31" s="51"/>
      <c r="CHY31" s="51"/>
      <c r="CIA31" s="51"/>
      <c r="CID31" s="51"/>
      <c r="CIF31" s="51"/>
      <c r="CIG31" s="51"/>
      <c r="CII31" s="51"/>
      <c r="CIL31" s="51"/>
      <c r="CIN31" s="51"/>
      <c r="CIO31" s="51"/>
      <c r="CIQ31" s="51"/>
      <c r="CIT31" s="51"/>
      <c r="CIV31" s="51"/>
      <c r="CIW31" s="51"/>
      <c r="CIY31" s="51"/>
      <c r="CJB31" s="51"/>
      <c r="CJD31" s="51"/>
      <c r="CJE31" s="51"/>
      <c r="CJG31" s="51"/>
      <c r="CJJ31" s="51"/>
      <c r="CJL31" s="51"/>
      <c r="CJM31" s="51"/>
      <c r="CJO31" s="51"/>
      <c r="CJR31" s="51"/>
      <c r="CJT31" s="51"/>
      <c r="CJU31" s="51"/>
      <c r="CJW31" s="51"/>
      <c r="CJZ31" s="51"/>
      <c r="CKB31" s="51"/>
      <c r="CKC31" s="51"/>
      <c r="CKE31" s="51"/>
      <c r="CKH31" s="51"/>
      <c r="CKJ31" s="51"/>
      <c r="CKK31" s="51"/>
      <c r="CKM31" s="51"/>
      <c r="CKP31" s="51"/>
      <c r="CKR31" s="51"/>
      <c r="CKS31" s="51"/>
      <c r="CKU31" s="51"/>
      <c r="CKX31" s="51"/>
      <c r="CKZ31" s="51"/>
      <c r="CLA31" s="51"/>
      <c r="CLC31" s="51"/>
      <c r="CLF31" s="51"/>
      <c r="CLH31" s="51"/>
      <c r="CLI31" s="51"/>
      <c r="CLK31" s="51"/>
      <c r="CLN31" s="51"/>
      <c r="CLP31" s="51"/>
      <c r="CLQ31" s="51"/>
      <c r="CLS31" s="51"/>
      <c r="CLV31" s="51"/>
      <c r="CLX31" s="51"/>
      <c r="CLY31" s="51"/>
      <c r="CMA31" s="51"/>
      <c r="CMD31" s="51"/>
      <c r="CMF31" s="51"/>
      <c r="CMG31" s="51"/>
      <c r="CMI31" s="51"/>
      <c r="CML31" s="51"/>
      <c r="CMN31" s="51"/>
      <c r="CMO31" s="51"/>
      <c r="CMQ31" s="51"/>
      <c r="CMT31" s="51"/>
      <c r="CMV31" s="51"/>
      <c r="CMW31" s="51"/>
      <c r="CMY31" s="51"/>
      <c r="CNB31" s="51"/>
      <c r="CND31" s="51"/>
      <c r="CNE31" s="51"/>
      <c r="CNG31" s="51"/>
      <c r="CNJ31" s="51"/>
      <c r="CNL31" s="51"/>
      <c r="CNM31" s="51"/>
      <c r="CNO31" s="51"/>
      <c r="CNR31" s="51"/>
      <c r="CNT31" s="51"/>
      <c r="CNU31" s="51"/>
      <c r="CNW31" s="51"/>
      <c r="CNZ31" s="51"/>
      <c r="COB31" s="51"/>
      <c r="COC31" s="51"/>
      <c r="COE31" s="51"/>
      <c r="COH31" s="51"/>
      <c r="COJ31" s="51"/>
      <c r="COK31" s="51"/>
      <c r="COM31" s="51"/>
      <c r="COP31" s="51"/>
      <c r="COR31" s="51"/>
      <c r="COS31" s="51"/>
      <c r="COU31" s="51"/>
      <c r="COX31" s="51"/>
      <c r="COZ31" s="51"/>
      <c r="CPA31" s="51"/>
      <c r="CPC31" s="51"/>
      <c r="CPF31" s="51"/>
      <c r="CPH31" s="51"/>
      <c r="CPI31" s="51"/>
      <c r="CPK31" s="51"/>
      <c r="CPN31" s="51"/>
      <c r="CPP31" s="51"/>
      <c r="CPQ31" s="51"/>
      <c r="CPS31" s="51"/>
      <c r="CPV31" s="51"/>
      <c r="CPX31" s="51"/>
      <c r="CPY31" s="51"/>
      <c r="CQA31" s="51"/>
      <c r="CQD31" s="51"/>
      <c r="CQF31" s="51"/>
      <c r="CQG31" s="51"/>
      <c r="CQI31" s="51"/>
      <c r="CQL31" s="51"/>
      <c r="CQN31" s="51"/>
      <c r="CQO31" s="51"/>
      <c r="CQQ31" s="51"/>
      <c r="CQT31" s="51"/>
      <c r="CQV31" s="51"/>
      <c r="CQW31" s="51"/>
      <c r="CQY31" s="51"/>
      <c r="CRB31" s="51"/>
      <c r="CRD31" s="51"/>
      <c r="CRE31" s="51"/>
      <c r="CRG31" s="51"/>
      <c r="CRJ31" s="51"/>
      <c r="CRL31" s="51"/>
      <c r="CRM31" s="51"/>
      <c r="CRO31" s="51"/>
      <c r="CRR31" s="51"/>
      <c r="CRT31" s="51"/>
      <c r="CRU31" s="51"/>
      <c r="CRW31" s="51"/>
      <c r="CRZ31" s="51"/>
      <c r="CSB31" s="51"/>
      <c r="CSC31" s="51"/>
      <c r="CSE31" s="51"/>
      <c r="CSH31" s="51"/>
      <c r="CSJ31" s="51"/>
      <c r="CSK31" s="51"/>
      <c r="CSM31" s="51"/>
      <c r="CSP31" s="51"/>
      <c r="CSR31" s="51"/>
      <c r="CSS31" s="51"/>
      <c r="CSU31" s="51"/>
      <c r="CSX31" s="51"/>
      <c r="CSZ31" s="51"/>
      <c r="CTA31" s="51"/>
      <c r="CTC31" s="51"/>
      <c r="CTF31" s="51"/>
      <c r="CTH31" s="51"/>
      <c r="CTI31" s="51"/>
      <c r="CTK31" s="51"/>
      <c r="CTN31" s="51"/>
      <c r="CTP31" s="51"/>
      <c r="CTQ31" s="51"/>
      <c r="CTS31" s="51"/>
      <c r="CTV31" s="51"/>
      <c r="CTX31" s="51"/>
      <c r="CTY31" s="51"/>
      <c r="CUA31" s="51"/>
      <c r="CUD31" s="51"/>
      <c r="CUF31" s="51"/>
      <c r="CUG31" s="51"/>
      <c r="CUI31" s="51"/>
      <c r="CUL31" s="51"/>
      <c r="CUN31" s="51"/>
      <c r="CUO31" s="51"/>
      <c r="CUQ31" s="51"/>
      <c r="CUT31" s="51"/>
      <c r="CUV31" s="51"/>
      <c r="CUW31" s="51"/>
      <c r="CUY31" s="51"/>
      <c r="CVB31" s="51"/>
      <c r="CVD31" s="51"/>
      <c r="CVE31" s="51"/>
      <c r="CVG31" s="51"/>
      <c r="CVJ31" s="51"/>
      <c r="CVL31" s="51"/>
      <c r="CVM31" s="51"/>
      <c r="CVO31" s="51"/>
      <c r="CVR31" s="51"/>
      <c r="CVT31" s="51"/>
      <c r="CVU31" s="51"/>
      <c r="CVW31" s="51"/>
      <c r="CVZ31" s="51"/>
      <c r="CWB31" s="51"/>
      <c r="CWC31" s="51"/>
      <c r="CWE31" s="51"/>
      <c r="CWH31" s="51"/>
      <c r="CWJ31" s="51"/>
      <c r="CWK31" s="51"/>
      <c r="CWM31" s="51"/>
      <c r="CWP31" s="51"/>
      <c r="CWR31" s="51"/>
      <c r="CWS31" s="51"/>
      <c r="CWU31" s="51"/>
      <c r="CWX31" s="51"/>
      <c r="CWZ31" s="51"/>
      <c r="CXA31" s="51"/>
      <c r="CXC31" s="51"/>
      <c r="CXF31" s="51"/>
      <c r="CXH31" s="51"/>
      <c r="CXI31" s="51"/>
      <c r="CXK31" s="51"/>
      <c r="CXN31" s="51"/>
      <c r="CXP31" s="51"/>
      <c r="CXQ31" s="51"/>
      <c r="CXS31" s="51"/>
      <c r="CXV31" s="51"/>
      <c r="CXX31" s="51"/>
      <c r="CXY31" s="51"/>
      <c r="CYA31" s="51"/>
      <c r="CYD31" s="51"/>
      <c r="CYF31" s="51"/>
      <c r="CYG31" s="51"/>
      <c r="CYI31" s="51"/>
      <c r="CYL31" s="51"/>
      <c r="CYN31" s="51"/>
      <c r="CYO31" s="51"/>
      <c r="CYQ31" s="51"/>
      <c r="CYT31" s="51"/>
      <c r="CYV31" s="51"/>
      <c r="CYW31" s="51"/>
      <c r="CYY31" s="51"/>
      <c r="CZB31" s="51"/>
      <c r="CZD31" s="51"/>
      <c r="CZE31" s="51"/>
      <c r="CZG31" s="51"/>
      <c r="CZJ31" s="51"/>
      <c r="CZL31" s="51"/>
      <c r="CZM31" s="51"/>
      <c r="CZO31" s="51"/>
      <c r="CZR31" s="51"/>
      <c r="CZT31" s="51"/>
      <c r="CZU31" s="51"/>
      <c r="CZW31" s="51"/>
      <c r="CZZ31" s="51"/>
      <c r="DAB31" s="51"/>
      <c r="DAC31" s="51"/>
      <c r="DAE31" s="51"/>
      <c r="DAH31" s="51"/>
      <c r="DAJ31" s="51"/>
      <c r="DAK31" s="51"/>
      <c r="DAM31" s="51"/>
      <c r="DAP31" s="51"/>
      <c r="DAR31" s="51"/>
      <c r="DAS31" s="51"/>
      <c r="DAU31" s="51"/>
      <c r="DAX31" s="51"/>
      <c r="DAZ31" s="51"/>
      <c r="DBA31" s="51"/>
      <c r="DBC31" s="51"/>
      <c r="DBF31" s="51"/>
      <c r="DBH31" s="51"/>
      <c r="DBI31" s="51"/>
      <c r="DBK31" s="51"/>
      <c r="DBN31" s="51"/>
      <c r="DBP31" s="51"/>
      <c r="DBQ31" s="51"/>
      <c r="DBS31" s="51"/>
      <c r="DBV31" s="51"/>
      <c r="DBX31" s="51"/>
      <c r="DBY31" s="51"/>
      <c r="DCA31" s="51"/>
      <c r="DCD31" s="51"/>
      <c r="DCF31" s="51"/>
      <c r="DCG31" s="51"/>
      <c r="DCI31" s="51"/>
      <c r="DCL31" s="51"/>
      <c r="DCN31" s="51"/>
      <c r="DCO31" s="51"/>
      <c r="DCQ31" s="51"/>
      <c r="DCT31" s="51"/>
      <c r="DCV31" s="51"/>
      <c r="DCW31" s="51"/>
      <c r="DCY31" s="51"/>
      <c r="DDB31" s="51"/>
      <c r="DDD31" s="51"/>
      <c r="DDE31" s="51"/>
      <c r="DDG31" s="51"/>
      <c r="DDJ31" s="51"/>
      <c r="DDL31" s="51"/>
      <c r="DDM31" s="51"/>
      <c r="DDO31" s="51"/>
      <c r="DDR31" s="51"/>
      <c r="DDT31" s="51"/>
      <c r="DDU31" s="51"/>
      <c r="DDW31" s="51"/>
      <c r="DDZ31" s="51"/>
      <c r="DEB31" s="51"/>
      <c r="DEC31" s="51"/>
      <c r="DEE31" s="51"/>
      <c r="DEH31" s="51"/>
      <c r="DEJ31" s="51"/>
      <c r="DEK31" s="51"/>
      <c r="DEM31" s="51"/>
      <c r="DEP31" s="51"/>
      <c r="DER31" s="51"/>
      <c r="DES31" s="51"/>
      <c r="DEU31" s="51"/>
      <c r="DEX31" s="51"/>
      <c r="DEZ31" s="51"/>
      <c r="DFA31" s="51"/>
      <c r="DFC31" s="51"/>
      <c r="DFF31" s="51"/>
      <c r="DFH31" s="51"/>
      <c r="DFI31" s="51"/>
      <c r="DFK31" s="51"/>
      <c r="DFN31" s="51"/>
      <c r="DFP31" s="51"/>
      <c r="DFQ31" s="51"/>
      <c r="DFS31" s="51"/>
      <c r="DFV31" s="51"/>
      <c r="DFX31" s="51"/>
      <c r="DFY31" s="51"/>
      <c r="DGA31" s="51"/>
      <c r="DGD31" s="51"/>
      <c r="DGF31" s="51"/>
      <c r="DGG31" s="51"/>
      <c r="DGI31" s="51"/>
      <c r="DGL31" s="51"/>
      <c r="DGN31" s="51"/>
      <c r="DGO31" s="51"/>
      <c r="DGQ31" s="51"/>
      <c r="DGT31" s="51"/>
      <c r="DGV31" s="51"/>
      <c r="DGW31" s="51"/>
      <c r="DGY31" s="51"/>
      <c r="DHB31" s="51"/>
      <c r="DHD31" s="51"/>
      <c r="DHE31" s="51"/>
      <c r="DHG31" s="51"/>
      <c r="DHJ31" s="51"/>
      <c r="DHL31" s="51"/>
      <c r="DHM31" s="51"/>
      <c r="DHO31" s="51"/>
      <c r="DHR31" s="51"/>
      <c r="DHT31" s="51"/>
      <c r="DHU31" s="51"/>
      <c r="DHW31" s="51"/>
      <c r="DHZ31" s="51"/>
      <c r="DIB31" s="51"/>
      <c r="DIC31" s="51"/>
      <c r="DIE31" s="51"/>
      <c r="DIH31" s="51"/>
      <c r="DIJ31" s="51"/>
      <c r="DIK31" s="51"/>
      <c r="DIM31" s="51"/>
      <c r="DIP31" s="51"/>
      <c r="DIR31" s="51"/>
      <c r="DIS31" s="51"/>
      <c r="DIU31" s="51"/>
      <c r="DIX31" s="51"/>
      <c r="DIZ31" s="51"/>
      <c r="DJA31" s="51"/>
      <c r="DJC31" s="51"/>
      <c r="DJF31" s="51"/>
      <c r="DJH31" s="51"/>
      <c r="DJI31" s="51"/>
      <c r="DJK31" s="51"/>
      <c r="DJN31" s="51"/>
      <c r="DJP31" s="51"/>
      <c r="DJQ31" s="51"/>
      <c r="DJS31" s="51"/>
      <c r="DJV31" s="51"/>
      <c r="DJX31" s="51"/>
      <c r="DJY31" s="51"/>
      <c r="DKA31" s="51"/>
      <c r="DKD31" s="51"/>
      <c r="DKF31" s="51"/>
      <c r="DKG31" s="51"/>
      <c r="DKI31" s="51"/>
      <c r="DKL31" s="51"/>
      <c r="DKN31" s="51"/>
      <c r="DKO31" s="51"/>
      <c r="DKQ31" s="51"/>
      <c r="DKT31" s="51"/>
      <c r="DKV31" s="51"/>
      <c r="DKW31" s="51"/>
      <c r="DKY31" s="51"/>
      <c r="DLB31" s="51"/>
      <c r="DLD31" s="51"/>
      <c r="DLE31" s="51"/>
      <c r="DLG31" s="51"/>
      <c r="DLJ31" s="51"/>
      <c r="DLL31" s="51"/>
      <c r="DLM31" s="51"/>
      <c r="DLO31" s="51"/>
      <c r="DLR31" s="51"/>
      <c r="DLT31" s="51"/>
      <c r="DLU31" s="51"/>
      <c r="DLW31" s="51"/>
      <c r="DLZ31" s="51"/>
      <c r="DMB31" s="51"/>
      <c r="DMC31" s="51"/>
      <c r="DME31" s="51"/>
      <c r="DMH31" s="51"/>
      <c r="DMJ31" s="51"/>
      <c r="DMK31" s="51"/>
      <c r="DMM31" s="51"/>
      <c r="DMP31" s="51"/>
      <c r="DMR31" s="51"/>
      <c r="DMS31" s="51"/>
      <c r="DMU31" s="51"/>
      <c r="DMX31" s="51"/>
      <c r="DMZ31" s="51"/>
      <c r="DNA31" s="51"/>
      <c r="DNC31" s="51"/>
      <c r="DNF31" s="51"/>
      <c r="DNH31" s="51"/>
      <c r="DNI31" s="51"/>
      <c r="DNK31" s="51"/>
      <c r="DNN31" s="51"/>
      <c r="DNP31" s="51"/>
      <c r="DNQ31" s="51"/>
      <c r="DNS31" s="51"/>
      <c r="DNV31" s="51"/>
      <c r="DNX31" s="51"/>
      <c r="DNY31" s="51"/>
      <c r="DOA31" s="51"/>
      <c r="DOD31" s="51"/>
      <c r="DOF31" s="51"/>
      <c r="DOG31" s="51"/>
      <c r="DOI31" s="51"/>
      <c r="DOL31" s="51"/>
      <c r="DON31" s="51"/>
      <c r="DOO31" s="51"/>
      <c r="DOQ31" s="51"/>
      <c r="DOT31" s="51"/>
      <c r="DOV31" s="51"/>
      <c r="DOW31" s="51"/>
      <c r="DOY31" s="51"/>
      <c r="DPB31" s="51"/>
      <c r="DPD31" s="51"/>
      <c r="DPE31" s="51"/>
      <c r="DPG31" s="51"/>
      <c r="DPJ31" s="51"/>
      <c r="DPL31" s="51"/>
      <c r="DPM31" s="51"/>
      <c r="DPO31" s="51"/>
      <c r="DPR31" s="51"/>
      <c r="DPT31" s="51"/>
      <c r="DPU31" s="51"/>
      <c r="DPW31" s="51"/>
      <c r="DPZ31" s="51"/>
      <c r="DQB31" s="51"/>
      <c r="DQC31" s="51"/>
      <c r="DQE31" s="51"/>
      <c r="DQH31" s="51"/>
      <c r="DQJ31" s="51"/>
      <c r="DQK31" s="51"/>
      <c r="DQM31" s="51"/>
      <c r="DQP31" s="51"/>
      <c r="DQR31" s="51"/>
      <c r="DQS31" s="51"/>
      <c r="DQU31" s="51"/>
      <c r="DQX31" s="51"/>
      <c r="DQZ31" s="51"/>
      <c r="DRA31" s="51"/>
      <c r="DRC31" s="51"/>
      <c r="DRF31" s="51"/>
      <c r="DRH31" s="51"/>
      <c r="DRI31" s="51"/>
      <c r="DRK31" s="51"/>
      <c r="DRN31" s="51"/>
      <c r="DRP31" s="51"/>
      <c r="DRQ31" s="51"/>
      <c r="DRS31" s="51"/>
      <c r="DRV31" s="51"/>
      <c r="DRX31" s="51"/>
      <c r="DRY31" s="51"/>
      <c r="DSA31" s="51"/>
      <c r="DSD31" s="51"/>
      <c r="DSF31" s="51"/>
      <c r="DSG31" s="51"/>
      <c r="DSI31" s="51"/>
      <c r="DSL31" s="51"/>
      <c r="DSN31" s="51"/>
      <c r="DSO31" s="51"/>
      <c r="DSQ31" s="51"/>
      <c r="DST31" s="51"/>
      <c r="DSV31" s="51"/>
      <c r="DSW31" s="51"/>
      <c r="DSY31" s="51"/>
      <c r="DTB31" s="51"/>
      <c r="DTD31" s="51"/>
      <c r="DTE31" s="51"/>
      <c r="DTG31" s="51"/>
      <c r="DTJ31" s="51"/>
      <c r="DTL31" s="51"/>
      <c r="DTM31" s="51"/>
      <c r="DTO31" s="51"/>
      <c r="DTR31" s="51"/>
      <c r="DTT31" s="51"/>
      <c r="DTU31" s="51"/>
      <c r="DTW31" s="51"/>
      <c r="DTZ31" s="51"/>
      <c r="DUB31" s="51"/>
      <c r="DUC31" s="51"/>
      <c r="DUE31" s="51"/>
      <c r="DUH31" s="51"/>
      <c r="DUJ31" s="51"/>
      <c r="DUK31" s="51"/>
      <c r="DUM31" s="51"/>
      <c r="DUP31" s="51"/>
      <c r="DUR31" s="51"/>
      <c r="DUS31" s="51"/>
      <c r="DUU31" s="51"/>
      <c r="DUX31" s="51"/>
      <c r="DUZ31" s="51"/>
      <c r="DVA31" s="51"/>
      <c r="DVC31" s="51"/>
      <c r="DVF31" s="51"/>
      <c r="DVH31" s="51"/>
      <c r="DVI31" s="51"/>
      <c r="DVK31" s="51"/>
      <c r="DVN31" s="51"/>
      <c r="DVP31" s="51"/>
      <c r="DVQ31" s="51"/>
      <c r="DVS31" s="51"/>
      <c r="DVV31" s="51"/>
      <c r="DVX31" s="51"/>
      <c r="DVY31" s="51"/>
      <c r="DWA31" s="51"/>
      <c r="DWD31" s="51"/>
      <c r="DWF31" s="51"/>
      <c r="DWG31" s="51"/>
      <c r="DWI31" s="51"/>
      <c r="DWL31" s="51"/>
      <c r="DWN31" s="51"/>
      <c r="DWO31" s="51"/>
      <c r="DWQ31" s="51"/>
      <c r="DWT31" s="51"/>
      <c r="DWV31" s="51"/>
      <c r="DWW31" s="51"/>
      <c r="DWY31" s="51"/>
      <c r="DXB31" s="51"/>
      <c r="DXD31" s="51"/>
      <c r="DXE31" s="51"/>
      <c r="DXG31" s="51"/>
      <c r="DXJ31" s="51"/>
      <c r="DXL31" s="51"/>
      <c r="DXM31" s="51"/>
      <c r="DXO31" s="51"/>
      <c r="DXR31" s="51"/>
      <c r="DXT31" s="51"/>
      <c r="DXU31" s="51"/>
      <c r="DXW31" s="51"/>
      <c r="DXZ31" s="51"/>
      <c r="DYB31" s="51"/>
      <c r="DYC31" s="51"/>
      <c r="DYE31" s="51"/>
      <c r="DYH31" s="51"/>
      <c r="DYJ31" s="51"/>
      <c r="DYK31" s="51"/>
      <c r="DYM31" s="51"/>
      <c r="DYP31" s="51"/>
      <c r="DYR31" s="51"/>
      <c r="DYS31" s="51"/>
      <c r="DYU31" s="51"/>
      <c r="DYX31" s="51"/>
      <c r="DYZ31" s="51"/>
      <c r="DZA31" s="51"/>
      <c r="DZC31" s="51"/>
      <c r="DZF31" s="51"/>
      <c r="DZH31" s="51"/>
      <c r="DZI31" s="51"/>
      <c r="DZK31" s="51"/>
      <c r="DZN31" s="51"/>
      <c r="DZP31" s="51"/>
      <c r="DZQ31" s="51"/>
      <c r="DZS31" s="51"/>
      <c r="DZV31" s="51"/>
      <c r="DZX31" s="51"/>
      <c r="DZY31" s="51"/>
      <c r="EAA31" s="51"/>
      <c r="EAD31" s="51"/>
      <c r="EAF31" s="51"/>
      <c r="EAG31" s="51"/>
      <c r="EAI31" s="51"/>
      <c r="EAL31" s="51"/>
      <c r="EAN31" s="51"/>
      <c r="EAO31" s="51"/>
      <c r="EAQ31" s="51"/>
      <c r="EAT31" s="51"/>
      <c r="EAV31" s="51"/>
      <c r="EAW31" s="51"/>
      <c r="EAY31" s="51"/>
      <c r="EBB31" s="51"/>
      <c r="EBD31" s="51"/>
      <c r="EBE31" s="51"/>
      <c r="EBG31" s="51"/>
      <c r="EBJ31" s="51"/>
      <c r="EBL31" s="51"/>
      <c r="EBM31" s="51"/>
      <c r="EBO31" s="51"/>
      <c r="EBR31" s="51"/>
      <c r="EBT31" s="51"/>
      <c r="EBU31" s="51"/>
      <c r="EBW31" s="51"/>
      <c r="EBZ31" s="51"/>
      <c r="ECB31" s="51"/>
      <c r="ECC31" s="51"/>
      <c r="ECE31" s="51"/>
      <c r="ECH31" s="51"/>
      <c r="ECJ31" s="51"/>
      <c r="ECK31" s="51"/>
      <c r="ECM31" s="51"/>
      <c r="ECP31" s="51"/>
      <c r="ECR31" s="51"/>
      <c r="ECS31" s="51"/>
      <c r="ECU31" s="51"/>
      <c r="ECX31" s="51"/>
      <c r="ECZ31" s="51"/>
      <c r="EDA31" s="51"/>
      <c r="EDC31" s="51"/>
      <c r="EDF31" s="51"/>
      <c r="EDH31" s="51"/>
      <c r="EDI31" s="51"/>
      <c r="EDK31" s="51"/>
      <c r="EDN31" s="51"/>
      <c r="EDP31" s="51"/>
      <c r="EDQ31" s="51"/>
      <c r="EDS31" s="51"/>
      <c r="EDV31" s="51"/>
      <c r="EDX31" s="51"/>
      <c r="EDY31" s="51"/>
      <c r="EEA31" s="51"/>
      <c r="EED31" s="51"/>
      <c r="EEF31" s="51"/>
      <c r="EEG31" s="51"/>
      <c r="EEI31" s="51"/>
      <c r="EEL31" s="51"/>
      <c r="EEN31" s="51"/>
      <c r="EEO31" s="51"/>
      <c r="EEQ31" s="51"/>
      <c r="EET31" s="51"/>
      <c r="EEV31" s="51"/>
      <c r="EEW31" s="51"/>
      <c r="EEY31" s="51"/>
      <c r="EFB31" s="51"/>
      <c r="EFD31" s="51"/>
      <c r="EFE31" s="51"/>
      <c r="EFG31" s="51"/>
      <c r="EFJ31" s="51"/>
      <c r="EFL31" s="51"/>
      <c r="EFM31" s="51"/>
      <c r="EFO31" s="51"/>
      <c r="EFR31" s="51"/>
      <c r="EFT31" s="51"/>
      <c r="EFU31" s="51"/>
      <c r="EFW31" s="51"/>
      <c r="EFZ31" s="51"/>
      <c r="EGB31" s="51"/>
      <c r="EGC31" s="51"/>
      <c r="EGE31" s="51"/>
      <c r="EGH31" s="51"/>
      <c r="EGJ31" s="51"/>
      <c r="EGK31" s="51"/>
      <c r="EGM31" s="51"/>
      <c r="EGP31" s="51"/>
      <c r="EGR31" s="51"/>
      <c r="EGS31" s="51"/>
      <c r="EGU31" s="51"/>
      <c r="EGX31" s="51"/>
      <c r="EGZ31" s="51"/>
      <c r="EHA31" s="51"/>
      <c r="EHC31" s="51"/>
      <c r="EHF31" s="51"/>
      <c r="EHH31" s="51"/>
      <c r="EHI31" s="51"/>
      <c r="EHK31" s="51"/>
      <c r="EHN31" s="51"/>
      <c r="EHP31" s="51"/>
      <c r="EHQ31" s="51"/>
      <c r="EHS31" s="51"/>
      <c r="EHV31" s="51"/>
      <c r="EHX31" s="51"/>
      <c r="EHY31" s="51"/>
      <c r="EIA31" s="51"/>
      <c r="EID31" s="51"/>
      <c r="EIF31" s="51"/>
      <c r="EIG31" s="51"/>
      <c r="EII31" s="51"/>
      <c r="EIL31" s="51"/>
      <c r="EIN31" s="51"/>
      <c r="EIO31" s="51"/>
      <c r="EIQ31" s="51"/>
      <c r="EIT31" s="51"/>
      <c r="EIV31" s="51"/>
      <c r="EIW31" s="51"/>
      <c r="EIY31" s="51"/>
      <c r="EJB31" s="51"/>
      <c r="EJD31" s="51"/>
      <c r="EJE31" s="51"/>
      <c r="EJG31" s="51"/>
      <c r="EJJ31" s="51"/>
      <c r="EJL31" s="51"/>
      <c r="EJM31" s="51"/>
      <c r="EJO31" s="51"/>
      <c r="EJR31" s="51"/>
      <c r="EJT31" s="51"/>
      <c r="EJU31" s="51"/>
      <c r="EJW31" s="51"/>
      <c r="EJZ31" s="51"/>
      <c r="EKB31" s="51"/>
      <c r="EKC31" s="51"/>
      <c r="EKE31" s="51"/>
      <c r="EKH31" s="51"/>
      <c r="EKJ31" s="51"/>
      <c r="EKK31" s="51"/>
      <c r="EKM31" s="51"/>
      <c r="EKP31" s="51"/>
      <c r="EKR31" s="51"/>
      <c r="EKS31" s="51"/>
      <c r="EKU31" s="51"/>
      <c r="EKX31" s="51"/>
      <c r="EKZ31" s="51"/>
      <c r="ELA31" s="51"/>
      <c r="ELC31" s="51"/>
      <c r="ELF31" s="51"/>
      <c r="ELH31" s="51"/>
      <c r="ELI31" s="51"/>
      <c r="ELK31" s="51"/>
      <c r="ELN31" s="51"/>
      <c r="ELP31" s="51"/>
      <c r="ELQ31" s="51"/>
      <c r="ELS31" s="51"/>
      <c r="ELV31" s="51"/>
      <c r="ELX31" s="51"/>
      <c r="ELY31" s="51"/>
      <c r="EMA31" s="51"/>
      <c r="EMD31" s="51"/>
      <c r="EMF31" s="51"/>
      <c r="EMG31" s="51"/>
      <c r="EMI31" s="51"/>
      <c r="EML31" s="51"/>
      <c r="EMN31" s="51"/>
      <c r="EMO31" s="51"/>
      <c r="EMQ31" s="51"/>
      <c r="EMT31" s="51"/>
      <c r="EMV31" s="51"/>
      <c r="EMW31" s="51"/>
      <c r="EMY31" s="51"/>
      <c r="ENB31" s="51"/>
      <c r="END31" s="51"/>
      <c r="ENE31" s="51"/>
      <c r="ENG31" s="51"/>
      <c r="ENJ31" s="51"/>
      <c r="ENL31" s="51"/>
      <c r="ENM31" s="51"/>
      <c r="ENO31" s="51"/>
      <c r="ENR31" s="51"/>
      <c r="ENT31" s="51"/>
      <c r="ENU31" s="51"/>
      <c r="ENW31" s="51"/>
      <c r="ENZ31" s="51"/>
      <c r="EOB31" s="51"/>
      <c r="EOC31" s="51"/>
      <c r="EOE31" s="51"/>
      <c r="EOH31" s="51"/>
      <c r="EOJ31" s="51"/>
      <c r="EOK31" s="51"/>
      <c r="EOM31" s="51"/>
      <c r="EOP31" s="51"/>
      <c r="EOR31" s="51"/>
      <c r="EOS31" s="51"/>
      <c r="EOU31" s="51"/>
      <c r="EOX31" s="51"/>
      <c r="EOZ31" s="51"/>
      <c r="EPA31" s="51"/>
      <c r="EPC31" s="51"/>
      <c r="EPF31" s="51"/>
      <c r="EPH31" s="51"/>
      <c r="EPI31" s="51"/>
      <c r="EPK31" s="51"/>
      <c r="EPN31" s="51"/>
      <c r="EPP31" s="51"/>
      <c r="EPQ31" s="51"/>
      <c r="EPS31" s="51"/>
      <c r="EPV31" s="51"/>
      <c r="EPX31" s="51"/>
      <c r="EPY31" s="51"/>
      <c r="EQA31" s="51"/>
      <c r="EQD31" s="51"/>
      <c r="EQF31" s="51"/>
      <c r="EQG31" s="51"/>
      <c r="EQI31" s="51"/>
      <c r="EQL31" s="51"/>
      <c r="EQN31" s="51"/>
      <c r="EQO31" s="51"/>
      <c r="EQQ31" s="51"/>
      <c r="EQT31" s="51"/>
      <c r="EQV31" s="51"/>
      <c r="EQW31" s="51"/>
      <c r="EQY31" s="51"/>
      <c r="ERB31" s="51"/>
      <c r="ERD31" s="51"/>
      <c r="ERE31" s="51"/>
      <c r="ERG31" s="51"/>
      <c r="ERJ31" s="51"/>
      <c r="ERL31" s="51"/>
      <c r="ERM31" s="51"/>
      <c r="ERO31" s="51"/>
      <c r="ERR31" s="51"/>
      <c r="ERT31" s="51"/>
      <c r="ERU31" s="51"/>
      <c r="ERW31" s="51"/>
      <c r="ERZ31" s="51"/>
      <c r="ESB31" s="51"/>
      <c r="ESC31" s="51"/>
      <c r="ESE31" s="51"/>
      <c r="ESH31" s="51"/>
      <c r="ESJ31" s="51"/>
      <c r="ESK31" s="51"/>
      <c r="ESM31" s="51"/>
      <c r="ESP31" s="51"/>
      <c r="ESR31" s="51"/>
      <c r="ESS31" s="51"/>
      <c r="ESU31" s="51"/>
      <c r="ESX31" s="51"/>
      <c r="ESZ31" s="51"/>
      <c r="ETA31" s="51"/>
      <c r="ETC31" s="51"/>
      <c r="ETF31" s="51"/>
      <c r="ETH31" s="51"/>
      <c r="ETI31" s="51"/>
      <c r="ETK31" s="51"/>
      <c r="ETN31" s="51"/>
      <c r="ETP31" s="51"/>
      <c r="ETQ31" s="51"/>
      <c r="ETS31" s="51"/>
      <c r="ETV31" s="51"/>
      <c r="ETX31" s="51"/>
      <c r="ETY31" s="51"/>
      <c r="EUA31" s="51"/>
      <c r="EUD31" s="51"/>
      <c r="EUF31" s="51"/>
      <c r="EUG31" s="51"/>
      <c r="EUI31" s="51"/>
      <c r="EUL31" s="51"/>
      <c r="EUN31" s="51"/>
      <c r="EUO31" s="51"/>
      <c r="EUQ31" s="51"/>
      <c r="EUT31" s="51"/>
      <c r="EUV31" s="51"/>
      <c r="EUW31" s="51"/>
      <c r="EUY31" s="51"/>
      <c r="EVB31" s="51"/>
      <c r="EVD31" s="51"/>
      <c r="EVE31" s="51"/>
      <c r="EVG31" s="51"/>
      <c r="EVJ31" s="51"/>
      <c r="EVL31" s="51"/>
      <c r="EVM31" s="51"/>
      <c r="EVO31" s="51"/>
      <c r="EVR31" s="51"/>
      <c r="EVT31" s="51"/>
      <c r="EVU31" s="51"/>
      <c r="EVW31" s="51"/>
      <c r="EVZ31" s="51"/>
      <c r="EWB31" s="51"/>
      <c r="EWC31" s="51"/>
      <c r="EWE31" s="51"/>
      <c r="EWH31" s="51"/>
      <c r="EWJ31" s="51"/>
      <c r="EWK31" s="51"/>
      <c r="EWM31" s="51"/>
      <c r="EWP31" s="51"/>
      <c r="EWR31" s="51"/>
      <c r="EWS31" s="51"/>
      <c r="EWU31" s="51"/>
      <c r="EWX31" s="51"/>
      <c r="EWZ31" s="51"/>
      <c r="EXA31" s="51"/>
      <c r="EXC31" s="51"/>
      <c r="EXF31" s="51"/>
      <c r="EXH31" s="51"/>
      <c r="EXI31" s="51"/>
      <c r="EXK31" s="51"/>
      <c r="EXN31" s="51"/>
      <c r="EXP31" s="51"/>
      <c r="EXQ31" s="51"/>
      <c r="EXS31" s="51"/>
      <c r="EXV31" s="51"/>
      <c r="EXX31" s="51"/>
      <c r="EXY31" s="51"/>
      <c r="EYA31" s="51"/>
      <c r="EYD31" s="51"/>
      <c r="EYF31" s="51"/>
      <c r="EYG31" s="51"/>
      <c r="EYI31" s="51"/>
      <c r="EYL31" s="51"/>
      <c r="EYN31" s="51"/>
      <c r="EYO31" s="51"/>
      <c r="EYQ31" s="51"/>
      <c r="EYT31" s="51"/>
      <c r="EYV31" s="51"/>
      <c r="EYW31" s="51"/>
      <c r="EYY31" s="51"/>
      <c r="EZB31" s="51"/>
      <c r="EZD31" s="51"/>
      <c r="EZE31" s="51"/>
      <c r="EZG31" s="51"/>
      <c r="EZJ31" s="51"/>
      <c r="EZL31" s="51"/>
      <c r="EZM31" s="51"/>
      <c r="EZO31" s="51"/>
      <c r="EZR31" s="51"/>
      <c r="EZT31" s="51"/>
      <c r="EZU31" s="51"/>
      <c r="EZW31" s="51"/>
      <c r="EZZ31" s="51"/>
      <c r="FAB31" s="51"/>
      <c r="FAC31" s="51"/>
      <c r="FAE31" s="51"/>
      <c r="FAH31" s="51"/>
      <c r="FAJ31" s="51"/>
      <c r="FAK31" s="51"/>
      <c r="FAM31" s="51"/>
      <c r="FAP31" s="51"/>
      <c r="FAR31" s="51"/>
      <c r="FAS31" s="51"/>
      <c r="FAU31" s="51"/>
      <c r="FAX31" s="51"/>
      <c r="FAZ31" s="51"/>
      <c r="FBA31" s="51"/>
      <c r="FBC31" s="51"/>
      <c r="FBF31" s="51"/>
      <c r="FBH31" s="51"/>
      <c r="FBI31" s="51"/>
      <c r="FBK31" s="51"/>
      <c r="FBN31" s="51"/>
      <c r="FBP31" s="51"/>
      <c r="FBQ31" s="51"/>
      <c r="FBS31" s="51"/>
      <c r="FBV31" s="51"/>
      <c r="FBX31" s="51"/>
      <c r="FBY31" s="51"/>
      <c r="FCA31" s="51"/>
      <c r="FCD31" s="51"/>
      <c r="FCF31" s="51"/>
      <c r="FCG31" s="51"/>
      <c r="FCI31" s="51"/>
      <c r="FCL31" s="51"/>
      <c r="FCN31" s="51"/>
      <c r="FCO31" s="51"/>
      <c r="FCQ31" s="51"/>
      <c r="FCT31" s="51"/>
      <c r="FCV31" s="51"/>
      <c r="FCW31" s="51"/>
      <c r="FCY31" s="51"/>
      <c r="FDB31" s="51"/>
      <c r="FDD31" s="51"/>
      <c r="FDE31" s="51"/>
      <c r="FDG31" s="51"/>
      <c r="FDJ31" s="51"/>
      <c r="FDL31" s="51"/>
      <c r="FDM31" s="51"/>
      <c r="FDO31" s="51"/>
      <c r="FDR31" s="51"/>
      <c r="FDT31" s="51"/>
      <c r="FDU31" s="51"/>
      <c r="FDW31" s="51"/>
      <c r="FDZ31" s="51"/>
      <c r="FEB31" s="51"/>
      <c r="FEC31" s="51"/>
      <c r="FEE31" s="51"/>
      <c r="FEH31" s="51"/>
      <c r="FEJ31" s="51"/>
      <c r="FEK31" s="51"/>
      <c r="FEM31" s="51"/>
      <c r="FEP31" s="51"/>
      <c r="FER31" s="51"/>
      <c r="FES31" s="51"/>
      <c r="FEU31" s="51"/>
      <c r="FEX31" s="51"/>
      <c r="FEZ31" s="51"/>
      <c r="FFA31" s="51"/>
      <c r="FFC31" s="51"/>
      <c r="FFF31" s="51"/>
      <c r="FFH31" s="51"/>
      <c r="FFI31" s="51"/>
      <c r="FFK31" s="51"/>
      <c r="FFN31" s="51"/>
      <c r="FFP31" s="51"/>
      <c r="FFQ31" s="51"/>
      <c r="FFS31" s="51"/>
      <c r="FFV31" s="51"/>
      <c r="FFX31" s="51"/>
      <c r="FFY31" s="51"/>
      <c r="FGA31" s="51"/>
      <c r="FGD31" s="51"/>
      <c r="FGF31" s="51"/>
      <c r="FGG31" s="51"/>
      <c r="FGI31" s="51"/>
      <c r="FGL31" s="51"/>
      <c r="FGN31" s="51"/>
      <c r="FGO31" s="51"/>
      <c r="FGQ31" s="51"/>
      <c r="FGT31" s="51"/>
      <c r="FGV31" s="51"/>
      <c r="FGW31" s="51"/>
      <c r="FGY31" s="51"/>
      <c r="FHB31" s="51"/>
      <c r="FHD31" s="51"/>
      <c r="FHE31" s="51"/>
      <c r="FHG31" s="51"/>
      <c r="FHJ31" s="51"/>
      <c r="FHL31" s="51"/>
      <c r="FHM31" s="51"/>
      <c r="FHO31" s="51"/>
      <c r="FHR31" s="51"/>
      <c r="FHT31" s="51"/>
      <c r="FHU31" s="51"/>
      <c r="FHW31" s="51"/>
      <c r="FHZ31" s="51"/>
      <c r="FIB31" s="51"/>
      <c r="FIC31" s="51"/>
      <c r="FIE31" s="51"/>
      <c r="FIH31" s="51"/>
      <c r="FIJ31" s="51"/>
      <c r="FIK31" s="51"/>
      <c r="FIM31" s="51"/>
      <c r="FIP31" s="51"/>
      <c r="FIR31" s="51"/>
      <c r="FIS31" s="51"/>
      <c r="FIU31" s="51"/>
      <c r="FIX31" s="51"/>
      <c r="FIZ31" s="51"/>
      <c r="FJA31" s="51"/>
      <c r="FJC31" s="51"/>
      <c r="FJF31" s="51"/>
      <c r="FJH31" s="51"/>
      <c r="FJI31" s="51"/>
      <c r="FJK31" s="51"/>
      <c r="FJN31" s="51"/>
      <c r="FJP31" s="51"/>
      <c r="FJQ31" s="51"/>
      <c r="FJS31" s="51"/>
      <c r="FJV31" s="51"/>
      <c r="FJX31" s="51"/>
      <c r="FJY31" s="51"/>
      <c r="FKA31" s="51"/>
      <c r="FKD31" s="51"/>
      <c r="FKF31" s="51"/>
      <c r="FKG31" s="51"/>
      <c r="FKI31" s="51"/>
      <c r="FKL31" s="51"/>
      <c r="FKN31" s="51"/>
      <c r="FKO31" s="51"/>
      <c r="FKQ31" s="51"/>
      <c r="FKT31" s="51"/>
      <c r="FKV31" s="51"/>
      <c r="FKW31" s="51"/>
      <c r="FKY31" s="51"/>
      <c r="FLB31" s="51"/>
      <c r="FLD31" s="51"/>
      <c r="FLE31" s="51"/>
      <c r="FLG31" s="51"/>
      <c r="FLJ31" s="51"/>
      <c r="FLL31" s="51"/>
      <c r="FLM31" s="51"/>
      <c r="FLO31" s="51"/>
      <c r="FLR31" s="51"/>
      <c r="FLT31" s="51"/>
      <c r="FLU31" s="51"/>
      <c r="FLW31" s="51"/>
      <c r="FLZ31" s="51"/>
      <c r="FMB31" s="51"/>
      <c r="FMC31" s="51"/>
      <c r="FME31" s="51"/>
      <c r="FMH31" s="51"/>
      <c r="FMJ31" s="51"/>
      <c r="FMK31" s="51"/>
      <c r="FMM31" s="51"/>
      <c r="FMP31" s="51"/>
      <c r="FMR31" s="51"/>
      <c r="FMS31" s="51"/>
      <c r="FMU31" s="51"/>
      <c r="FMX31" s="51"/>
      <c r="FMZ31" s="51"/>
      <c r="FNA31" s="51"/>
      <c r="FNC31" s="51"/>
      <c r="FNF31" s="51"/>
      <c r="FNH31" s="51"/>
      <c r="FNI31" s="51"/>
      <c r="FNK31" s="51"/>
      <c r="FNN31" s="51"/>
      <c r="FNP31" s="51"/>
      <c r="FNQ31" s="51"/>
      <c r="FNS31" s="51"/>
      <c r="FNV31" s="51"/>
      <c r="FNX31" s="51"/>
      <c r="FNY31" s="51"/>
      <c r="FOA31" s="51"/>
      <c r="FOD31" s="51"/>
      <c r="FOF31" s="51"/>
      <c r="FOG31" s="51"/>
      <c r="FOI31" s="51"/>
      <c r="FOL31" s="51"/>
      <c r="FON31" s="51"/>
      <c r="FOO31" s="51"/>
      <c r="FOQ31" s="51"/>
      <c r="FOT31" s="51"/>
      <c r="FOV31" s="51"/>
      <c r="FOW31" s="51"/>
      <c r="FOY31" s="51"/>
      <c r="FPB31" s="51"/>
      <c r="FPD31" s="51"/>
      <c r="FPE31" s="51"/>
      <c r="FPG31" s="51"/>
      <c r="FPJ31" s="51"/>
      <c r="FPL31" s="51"/>
      <c r="FPM31" s="51"/>
      <c r="FPO31" s="51"/>
      <c r="FPR31" s="51"/>
      <c r="FPT31" s="51"/>
      <c r="FPU31" s="51"/>
      <c r="FPW31" s="51"/>
      <c r="FPZ31" s="51"/>
      <c r="FQB31" s="51"/>
      <c r="FQC31" s="51"/>
      <c r="FQE31" s="51"/>
      <c r="FQH31" s="51"/>
      <c r="FQJ31" s="51"/>
      <c r="FQK31" s="51"/>
      <c r="FQM31" s="51"/>
      <c r="FQP31" s="51"/>
      <c r="FQR31" s="51"/>
      <c r="FQS31" s="51"/>
      <c r="FQU31" s="51"/>
      <c r="FQX31" s="51"/>
      <c r="FQZ31" s="51"/>
      <c r="FRA31" s="51"/>
      <c r="FRC31" s="51"/>
      <c r="FRF31" s="51"/>
      <c r="FRH31" s="51"/>
      <c r="FRI31" s="51"/>
      <c r="FRK31" s="51"/>
      <c r="FRN31" s="51"/>
      <c r="FRP31" s="51"/>
      <c r="FRQ31" s="51"/>
      <c r="FRS31" s="51"/>
      <c r="FRV31" s="51"/>
      <c r="FRX31" s="51"/>
      <c r="FRY31" s="51"/>
      <c r="FSA31" s="51"/>
      <c r="FSD31" s="51"/>
      <c r="FSF31" s="51"/>
      <c r="FSG31" s="51"/>
      <c r="FSI31" s="51"/>
      <c r="FSL31" s="51"/>
      <c r="FSN31" s="51"/>
      <c r="FSO31" s="51"/>
      <c r="FSQ31" s="51"/>
      <c r="FST31" s="51"/>
      <c r="FSV31" s="51"/>
      <c r="FSW31" s="51"/>
      <c r="FSY31" s="51"/>
      <c r="FTB31" s="51"/>
      <c r="FTD31" s="51"/>
      <c r="FTE31" s="51"/>
      <c r="FTG31" s="51"/>
      <c r="FTJ31" s="51"/>
      <c r="FTL31" s="51"/>
      <c r="FTM31" s="51"/>
      <c r="FTO31" s="51"/>
      <c r="FTR31" s="51"/>
      <c r="FTT31" s="51"/>
      <c r="FTU31" s="51"/>
      <c r="FTW31" s="51"/>
      <c r="FTZ31" s="51"/>
      <c r="FUB31" s="51"/>
      <c r="FUC31" s="51"/>
      <c r="FUE31" s="51"/>
      <c r="FUH31" s="51"/>
      <c r="FUJ31" s="51"/>
      <c r="FUK31" s="51"/>
      <c r="FUM31" s="51"/>
      <c r="FUP31" s="51"/>
      <c r="FUR31" s="51"/>
      <c r="FUS31" s="51"/>
      <c r="FUU31" s="51"/>
      <c r="FUX31" s="51"/>
      <c r="FUZ31" s="51"/>
      <c r="FVA31" s="51"/>
      <c r="FVC31" s="51"/>
      <c r="FVF31" s="51"/>
      <c r="FVH31" s="51"/>
      <c r="FVI31" s="51"/>
      <c r="FVK31" s="51"/>
      <c r="FVN31" s="51"/>
      <c r="FVP31" s="51"/>
      <c r="FVQ31" s="51"/>
      <c r="FVS31" s="51"/>
      <c r="FVV31" s="51"/>
      <c r="FVX31" s="51"/>
      <c r="FVY31" s="51"/>
      <c r="FWA31" s="51"/>
      <c r="FWD31" s="51"/>
      <c r="FWF31" s="51"/>
      <c r="FWG31" s="51"/>
      <c r="FWI31" s="51"/>
      <c r="FWL31" s="51"/>
      <c r="FWN31" s="51"/>
      <c r="FWO31" s="51"/>
      <c r="FWQ31" s="51"/>
      <c r="FWT31" s="51"/>
      <c r="FWV31" s="51"/>
      <c r="FWW31" s="51"/>
      <c r="FWY31" s="51"/>
      <c r="FXB31" s="51"/>
      <c r="FXD31" s="51"/>
      <c r="FXE31" s="51"/>
      <c r="FXG31" s="51"/>
      <c r="FXJ31" s="51"/>
      <c r="FXL31" s="51"/>
      <c r="FXM31" s="51"/>
      <c r="FXO31" s="51"/>
      <c r="FXR31" s="51"/>
      <c r="FXT31" s="51"/>
      <c r="FXU31" s="51"/>
      <c r="FXW31" s="51"/>
      <c r="FXZ31" s="51"/>
      <c r="FYB31" s="51"/>
      <c r="FYC31" s="51"/>
      <c r="FYE31" s="51"/>
      <c r="FYH31" s="51"/>
      <c r="FYJ31" s="51"/>
      <c r="FYK31" s="51"/>
      <c r="FYM31" s="51"/>
      <c r="FYP31" s="51"/>
      <c r="FYR31" s="51"/>
      <c r="FYS31" s="51"/>
      <c r="FYU31" s="51"/>
      <c r="FYX31" s="51"/>
      <c r="FYZ31" s="51"/>
      <c r="FZA31" s="51"/>
      <c r="FZC31" s="51"/>
      <c r="FZF31" s="51"/>
      <c r="FZH31" s="51"/>
      <c r="FZI31" s="51"/>
      <c r="FZK31" s="51"/>
      <c r="FZN31" s="51"/>
      <c r="FZP31" s="51"/>
      <c r="FZQ31" s="51"/>
      <c r="FZS31" s="51"/>
      <c r="FZV31" s="51"/>
      <c r="FZX31" s="51"/>
      <c r="FZY31" s="51"/>
      <c r="GAA31" s="51"/>
      <c r="GAD31" s="51"/>
      <c r="GAF31" s="51"/>
      <c r="GAG31" s="51"/>
      <c r="GAI31" s="51"/>
      <c r="GAL31" s="51"/>
      <c r="GAN31" s="51"/>
      <c r="GAO31" s="51"/>
      <c r="GAQ31" s="51"/>
      <c r="GAT31" s="51"/>
      <c r="GAV31" s="51"/>
      <c r="GAW31" s="51"/>
      <c r="GAY31" s="51"/>
      <c r="GBB31" s="51"/>
      <c r="GBD31" s="51"/>
      <c r="GBE31" s="51"/>
      <c r="GBG31" s="51"/>
      <c r="GBJ31" s="51"/>
      <c r="GBL31" s="51"/>
      <c r="GBM31" s="51"/>
      <c r="GBO31" s="51"/>
      <c r="GBR31" s="51"/>
      <c r="GBT31" s="51"/>
      <c r="GBU31" s="51"/>
      <c r="GBW31" s="51"/>
      <c r="GBZ31" s="51"/>
      <c r="GCB31" s="51"/>
      <c r="GCC31" s="51"/>
      <c r="GCE31" s="51"/>
      <c r="GCH31" s="51"/>
      <c r="GCJ31" s="51"/>
      <c r="GCK31" s="51"/>
      <c r="GCM31" s="51"/>
      <c r="GCP31" s="51"/>
      <c r="GCR31" s="51"/>
      <c r="GCS31" s="51"/>
      <c r="GCU31" s="51"/>
      <c r="GCX31" s="51"/>
      <c r="GCZ31" s="51"/>
      <c r="GDA31" s="51"/>
      <c r="GDC31" s="51"/>
      <c r="GDF31" s="51"/>
      <c r="GDH31" s="51"/>
      <c r="GDI31" s="51"/>
      <c r="GDK31" s="51"/>
      <c r="GDN31" s="51"/>
      <c r="GDP31" s="51"/>
      <c r="GDQ31" s="51"/>
      <c r="GDS31" s="51"/>
      <c r="GDV31" s="51"/>
      <c r="GDX31" s="51"/>
      <c r="GDY31" s="51"/>
      <c r="GEA31" s="51"/>
      <c r="GED31" s="51"/>
      <c r="GEF31" s="51"/>
      <c r="GEG31" s="51"/>
      <c r="GEI31" s="51"/>
      <c r="GEL31" s="51"/>
      <c r="GEN31" s="51"/>
      <c r="GEO31" s="51"/>
      <c r="GEQ31" s="51"/>
      <c r="GET31" s="51"/>
      <c r="GEV31" s="51"/>
      <c r="GEW31" s="51"/>
      <c r="GEY31" s="51"/>
      <c r="GFB31" s="51"/>
      <c r="GFD31" s="51"/>
      <c r="GFE31" s="51"/>
      <c r="GFG31" s="51"/>
      <c r="GFJ31" s="51"/>
      <c r="GFL31" s="51"/>
      <c r="GFM31" s="51"/>
      <c r="GFO31" s="51"/>
      <c r="GFR31" s="51"/>
      <c r="GFT31" s="51"/>
      <c r="GFU31" s="51"/>
      <c r="GFW31" s="51"/>
      <c r="GFZ31" s="51"/>
      <c r="GGB31" s="51"/>
      <c r="GGC31" s="51"/>
      <c r="GGE31" s="51"/>
      <c r="GGH31" s="51"/>
      <c r="GGJ31" s="51"/>
      <c r="GGK31" s="51"/>
      <c r="GGM31" s="51"/>
      <c r="GGP31" s="51"/>
      <c r="GGR31" s="51"/>
      <c r="GGS31" s="51"/>
      <c r="GGU31" s="51"/>
      <c r="GGX31" s="51"/>
      <c r="GGZ31" s="51"/>
      <c r="GHA31" s="51"/>
      <c r="GHC31" s="51"/>
      <c r="GHF31" s="51"/>
      <c r="GHH31" s="51"/>
      <c r="GHI31" s="51"/>
      <c r="GHK31" s="51"/>
      <c r="GHN31" s="51"/>
      <c r="GHP31" s="51"/>
      <c r="GHQ31" s="51"/>
      <c r="GHS31" s="51"/>
      <c r="GHV31" s="51"/>
      <c r="GHX31" s="51"/>
      <c r="GHY31" s="51"/>
      <c r="GIA31" s="51"/>
      <c r="GID31" s="51"/>
      <c r="GIF31" s="51"/>
      <c r="GIG31" s="51"/>
      <c r="GII31" s="51"/>
      <c r="GIL31" s="51"/>
      <c r="GIN31" s="51"/>
      <c r="GIO31" s="51"/>
      <c r="GIQ31" s="51"/>
      <c r="GIT31" s="51"/>
      <c r="GIV31" s="51"/>
      <c r="GIW31" s="51"/>
      <c r="GIY31" s="51"/>
      <c r="GJB31" s="51"/>
      <c r="GJD31" s="51"/>
      <c r="GJE31" s="51"/>
      <c r="GJG31" s="51"/>
      <c r="GJJ31" s="51"/>
      <c r="GJL31" s="51"/>
      <c r="GJM31" s="51"/>
      <c r="GJO31" s="51"/>
      <c r="GJR31" s="51"/>
      <c r="GJT31" s="51"/>
      <c r="GJU31" s="51"/>
      <c r="GJW31" s="51"/>
      <c r="GJZ31" s="51"/>
      <c r="GKB31" s="51"/>
      <c r="GKC31" s="51"/>
      <c r="GKE31" s="51"/>
      <c r="GKH31" s="51"/>
      <c r="GKJ31" s="51"/>
      <c r="GKK31" s="51"/>
      <c r="GKM31" s="51"/>
      <c r="GKP31" s="51"/>
      <c r="GKR31" s="51"/>
      <c r="GKS31" s="51"/>
      <c r="GKU31" s="51"/>
      <c r="GKX31" s="51"/>
      <c r="GKZ31" s="51"/>
      <c r="GLA31" s="51"/>
      <c r="GLC31" s="51"/>
      <c r="GLF31" s="51"/>
      <c r="GLH31" s="51"/>
      <c r="GLI31" s="51"/>
      <c r="GLK31" s="51"/>
      <c r="GLN31" s="51"/>
      <c r="GLP31" s="51"/>
      <c r="GLQ31" s="51"/>
      <c r="GLS31" s="51"/>
      <c r="GLV31" s="51"/>
      <c r="GLX31" s="51"/>
      <c r="GLY31" s="51"/>
      <c r="GMA31" s="51"/>
      <c r="GMD31" s="51"/>
      <c r="GMF31" s="51"/>
      <c r="GMG31" s="51"/>
      <c r="GMI31" s="51"/>
      <c r="GML31" s="51"/>
      <c r="GMN31" s="51"/>
      <c r="GMO31" s="51"/>
      <c r="GMQ31" s="51"/>
      <c r="GMT31" s="51"/>
      <c r="GMV31" s="51"/>
      <c r="GMW31" s="51"/>
      <c r="GMY31" s="51"/>
      <c r="GNB31" s="51"/>
      <c r="GND31" s="51"/>
      <c r="GNE31" s="51"/>
      <c r="GNG31" s="51"/>
      <c r="GNJ31" s="51"/>
      <c r="GNL31" s="51"/>
      <c r="GNM31" s="51"/>
      <c r="GNO31" s="51"/>
      <c r="GNR31" s="51"/>
      <c r="GNT31" s="51"/>
      <c r="GNU31" s="51"/>
      <c r="GNW31" s="51"/>
      <c r="GNZ31" s="51"/>
      <c r="GOB31" s="51"/>
      <c r="GOC31" s="51"/>
      <c r="GOE31" s="51"/>
      <c r="GOH31" s="51"/>
      <c r="GOJ31" s="51"/>
      <c r="GOK31" s="51"/>
      <c r="GOM31" s="51"/>
      <c r="GOP31" s="51"/>
      <c r="GOR31" s="51"/>
      <c r="GOS31" s="51"/>
      <c r="GOU31" s="51"/>
      <c r="GOX31" s="51"/>
      <c r="GOZ31" s="51"/>
      <c r="GPA31" s="51"/>
      <c r="GPC31" s="51"/>
      <c r="GPF31" s="51"/>
      <c r="GPH31" s="51"/>
      <c r="GPI31" s="51"/>
      <c r="GPK31" s="51"/>
      <c r="GPN31" s="51"/>
      <c r="GPP31" s="51"/>
      <c r="GPQ31" s="51"/>
      <c r="GPS31" s="51"/>
      <c r="GPV31" s="51"/>
      <c r="GPX31" s="51"/>
      <c r="GPY31" s="51"/>
      <c r="GQA31" s="51"/>
      <c r="GQD31" s="51"/>
      <c r="GQF31" s="51"/>
      <c r="GQG31" s="51"/>
      <c r="GQI31" s="51"/>
      <c r="GQL31" s="51"/>
      <c r="GQN31" s="51"/>
      <c r="GQO31" s="51"/>
      <c r="GQQ31" s="51"/>
      <c r="GQT31" s="51"/>
      <c r="GQV31" s="51"/>
      <c r="GQW31" s="51"/>
      <c r="GQY31" s="51"/>
      <c r="GRB31" s="51"/>
      <c r="GRD31" s="51"/>
      <c r="GRE31" s="51"/>
      <c r="GRG31" s="51"/>
      <c r="GRJ31" s="51"/>
      <c r="GRL31" s="51"/>
      <c r="GRM31" s="51"/>
      <c r="GRO31" s="51"/>
      <c r="GRR31" s="51"/>
      <c r="GRT31" s="51"/>
      <c r="GRU31" s="51"/>
      <c r="GRW31" s="51"/>
      <c r="GRZ31" s="51"/>
      <c r="GSB31" s="51"/>
      <c r="GSC31" s="51"/>
      <c r="GSE31" s="51"/>
      <c r="GSH31" s="51"/>
      <c r="GSJ31" s="51"/>
      <c r="GSK31" s="51"/>
      <c r="GSM31" s="51"/>
      <c r="GSP31" s="51"/>
      <c r="GSR31" s="51"/>
      <c r="GSS31" s="51"/>
      <c r="GSU31" s="51"/>
      <c r="GSX31" s="51"/>
      <c r="GSZ31" s="51"/>
      <c r="GTA31" s="51"/>
      <c r="GTC31" s="51"/>
      <c r="GTF31" s="51"/>
      <c r="GTH31" s="51"/>
      <c r="GTI31" s="51"/>
      <c r="GTK31" s="51"/>
      <c r="GTN31" s="51"/>
      <c r="GTP31" s="51"/>
      <c r="GTQ31" s="51"/>
      <c r="GTS31" s="51"/>
      <c r="GTV31" s="51"/>
      <c r="GTX31" s="51"/>
      <c r="GTY31" s="51"/>
      <c r="GUA31" s="51"/>
      <c r="GUD31" s="51"/>
      <c r="GUF31" s="51"/>
      <c r="GUG31" s="51"/>
      <c r="GUI31" s="51"/>
      <c r="GUL31" s="51"/>
      <c r="GUN31" s="51"/>
      <c r="GUO31" s="51"/>
      <c r="GUQ31" s="51"/>
      <c r="GUT31" s="51"/>
      <c r="GUV31" s="51"/>
      <c r="GUW31" s="51"/>
      <c r="GUY31" s="51"/>
      <c r="GVB31" s="51"/>
      <c r="GVD31" s="51"/>
      <c r="GVE31" s="51"/>
      <c r="GVG31" s="51"/>
      <c r="GVJ31" s="51"/>
      <c r="GVL31" s="51"/>
      <c r="GVM31" s="51"/>
      <c r="GVO31" s="51"/>
      <c r="GVR31" s="51"/>
      <c r="GVT31" s="51"/>
      <c r="GVU31" s="51"/>
      <c r="GVW31" s="51"/>
      <c r="GVZ31" s="51"/>
      <c r="GWB31" s="51"/>
      <c r="GWC31" s="51"/>
      <c r="GWE31" s="51"/>
      <c r="GWH31" s="51"/>
      <c r="GWJ31" s="51"/>
      <c r="GWK31" s="51"/>
      <c r="GWM31" s="51"/>
      <c r="GWP31" s="51"/>
      <c r="GWR31" s="51"/>
      <c r="GWS31" s="51"/>
      <c r="GWU31" s="51"/>
      <c r="GWX31" s="51"/>
      <c r="GWZ31" s="51"/>
      <c r="GXA31" s="51"/>
      <c r="GXC31" s="51"/>
      <c r="GXF31" s="51"/>
      <c r="GXH31" s="51"/>
      <c r="GXI31" s="51"/>
      <c r="GXK31" s="51"/>
      <c r="GXN31" s="51"/>
      <c r="GXP31" s="51"/>
      <c r="GXQ31" s="51"/>
      <c r="GXS31" s="51"/>
      <c r="GXV31" s="51"/>
      <c r="GXX31" s="51"/>
      <c r="GXY31" s="51"/>
      <c r="GYA31" s="51"/>
      <c r="GYD31" s="51"/>
      <c r="GYF31" s="51"/>
      <c r="GYG31" s="51"/>
      <c r="GYI31" s="51"/>
      <c r="GYL31" s="51"/>
      <c r="GYN31" s="51"/>
      <c r="GYO31" s="51"/>
      <c r="GYQ31" s="51"/>
      <c r="GYT31" s="51"/>
      <c r="GYV31" s="51"/>
      <c r="GYW31" s="51"/>
      <c r="GYY31" s="51"/>
      <c r="GZB31" s="51"/>
      <c r="GZD31" s="51"/>
      <c r="GZE31" s="51"/>
      <c r="GZG31" s="51"/>
      <c r="GZJ31" s="51"/>
      <c r="GZL31" s="51"/>
      <c r="GZM31" s="51"/>
      <c r="GZO31" s="51"/>
      <c r="GZR31" s="51"/>
      <c r="GZT31" s="51"/>
      <c r="GZU31" s="51"/>
      <c r="GZW31" s="51"/>
      <c r="GZZ31" s="51"/>
      <c r="HAB31" s="51"/>
      <c r="HAC31" s="51"/>
      <c r="HAE31" s="51"/>
      <c r="HAH31" s="51"/>
      <c r="HAJ31" s="51"/>
      <c r="HAK31" s="51"/>
      <c r="HAM31" s="51"/>
      <c r="HAP31" s="51"/>
      <c r="HAR31" s="51"/>
      <c r="HAS31" s="51"/>
      <c r="HAU31" s="51"/>
      <c r="HAX31" s="51"/>
      <c r="HAZ31" s="51"/>
      <c r="HBA31" s="51"/>
      <c r="HBC31" s="51"/>
      <c r="HBF31" s="51"/>
      <c r="HBH31" s="51"/>
      <c r="HBI31" s="51"/>
      <c r="HBK31" s="51"/>
      <c r="HBN31" s="51"/>
      <c r="HBP31" s="51"/>
      <c r="HBQ31" s="51"/>
      <c r="HBS31" s="51"/>
      <c r="HBV31" s="51"/>
      <c r="HBX31" s="51"/>
      <c r="HBY31" s="51"/>
      <c r="HCA31" s="51"/>
      <c r="HCD31" s="51"/>
      <c r="HCF31" s="51"/>
      <c r="HCG31" s="51"/>
      <c r="HCI31" s="51"/>
      <c r="HCL31" s="51"/>
      <c r="HCN31" s="51"/>
      <c r="HCO31" s="51"/>
      <c r="HCQ31" s="51"/>
      <c r="HCT31" s="51"/>
      <c r="HCV31" s="51"/>
      <c r="HCW31" s="51"/>
      <c r="HCY31" s="51"/>
      <c r="HDB31" s="51"/>
      <c r="HDD31" s="51"/>
      <c r="HDE31" s="51"/>
      <c r="HDG31" s="51"/>
      <c r="HDJ31" s="51"/>
      <c r="HDL31" s="51"/>
      <c r="HDM31" s="51"/>
      <c r="HDO31" s="51"/>
      <c r="HDR31" s="51"/>
      <c r="HDT31" s="51"/>
      <c r="HDU31" s="51"/>
      <c r="HDW31" s="51"/>
      <c r="HDZ31" s="51"/>
      <c r="HEB31" s="51"/>
      <c r="HEC31" s="51"/>
      <c r="HEE31" s="51"/>
      <c r="HEH31" s="51"/>
      <c r="HEJ31" s="51"/>
      <c r="HEK31" s="51"/>
      <c r="HEM31" s="51"/>
      <c r="HEP31" s="51"/>
      <c r="HER31" s="51"/>
      <c r="HES31" s="51"/>
      <c r="HEU31" s="51"/>
      <c r="HEX31" s="51"/>
      <c r="HEZ31" s="51"/>
      <c r="HFA31" s="51"/>
      <c r="HFC31" s="51"/>
      <c r="HFF31" s="51"/>
      <c r="HFH31" s="51"/>
      <c r="HFI31" s="51"/>
      <c r="HFK31" s="51"/>
      <c r="HFN31" s="51"/>
      <c r="HFP31" s="51"/>
      <c r="HFQ31" s="51"/>
      <c r="HFS31" s="51"/>
      <c r="HFV31" s="51"/>
      <c r="HFX31" s="51"/>
      <c r="HFY31" s="51"/>
      <c r="HGA31" s="51"/>
      <c r="HGD31" s="51"/>
      <c r="HGF31" s="51"/>
      <c r="HGG31" s="51"/>
      <c r="HGI31" s="51"/>
      <c r="HGL31" s="51"/>
      <c r="HGN31" s="51"/>
      <c r="HGO31" s="51"/>
      <c r="HGQ31" s="51"/>
      <c r="HGT31" s="51"/>
      <c r="HGV31" s="51"/>
      <c r="HGW31" s="51"/>
      <c r="HGY31" s="51"/>
      <c r="HHB31" s="51"/>
      <c r="HHD31" s="51"/>
      <c r="HHE31" s="51"/>
      <c r="HHG31" s="51"/>
      <c r="HHJ31" s="51"/>
      <c r="HHL31" s="51"/>
      <c r="HHM31" s="51"/>
      <c r="HHO31" s="51"/>
      <c r="HHR31" s="51"/>
      <c r="HHT31" s="51"/>
      <c r="HHU31" s="51"/>
      <c r="HHW31" s="51"/>
      <c r="HHZ31" s="51"/>
      <c r="HIB31" s="51"/>
      <c r="HIC31" s="51"/>
      <c r="HIE31" s="51"/>
      <c r="HIH31" s="51"/>
      <c r="HIJ31" s="51"/>
      <c r="HIK31" s="51"/>
      <c r="HIM31" s="51"/>
      <c r="HIP31" s="51"/>
      <c r="HIR31" s="51"/>
      <c r="HIS31" s="51"/>
      <c r="HIU31" s="51"/>
      <c r="HIX31" s="51"/>
      <c r="HIZ31" s="51"/>
      <c r="HJA31" s="51"/>
      <c r="HJC31" s="51"/>
      <c r="HJF31" s="51"/>
      <c r="HJH31" s="51"/>
      <c r="HJI31" s="51"/>
      <c r="HJK31" s="51"/>
      <c r="HJN31" s="51"/>
      <c r="HJP31" s="51"/>
      <c r="HJQ31" s="51"/>
      <c r="HJS31" s="51"/>
      <c r="HJV31" s="51"/>
      <c r="HJX31" s="51"/>
      <c r="HJY31" s="51"/>
      <c r="HKA31" s="51"/>
      <c r="HKD31" s="51"/>
      <c r="HKF31" s="51"/>
      <c r="HKG31" s="51"/>
      <c r="HKI31" s="51"/>
      <c r="HKL31" s="51"/>
      <c r="HKN31" s="51"/>
      <c r="HKO31" s="51"/>
      <c r="HKQ31" s="51"/>
      <c r="HKT31" s="51"/>
      <c r="HKV31" s="51"/>
      <c r="HKW31" s="51"/>
      <c r="HKY31" s="51"/>
      <c r="HLB31" s="51"/>
      <c r="HLD31" s="51"/>
      <c r="HLE31" s="51"/>
      <c r="HLG31" s="51"/>
      <c r="HLJ31" s="51"/>
      <c r="HLL31" s="51"/>
      <c r="HLM31" s="51"/>
      <c r="HLO31" s="51"/>
      <c r="HLR31" s="51"/>
      <c r="HLT31" s="51"/>
      <c r="HLU31" s="51"/>
      <c r="HLW31" s="51"/>
      <c r="HLZ31" s="51"/>
      <c r="HMB31" s="51"/>
      <c r="HMC31" s="51"/>
      <c r="HME31" s="51"/>
      <c r="HMH31" s="51"/>
      <c r="HMJ31" s="51"/>
      <c r="HMK31" s="51"/>
      <c r="HMM31" s="51"/>
      <c r="HMP31" s="51"/>
      <c r="HMR31" s="51"/>
      <c r="HMS31" s="51"/>
      <c r="HMU31" s="51"/>
      <c r="HMX31" s="51"/>
      <c r="HMZ31" s="51"/>
      <c r="HNA31" s="51"/>
      <c r="HNC31" s="51"/>
      <c r="HNF31" s="51"/>
      <c r="HNH31" s="51"/>
      <c r="HNI31" s="51"/>
      <c r="HNK31" s="51"/>
      <c r="HNN31" s="51"/>
      <c r="HNP31" s="51"/>
      <c r="HNQ31" s="51"/>
      <c r="HNS31" s="51"/>
      <c r="HNV31" s="51"/>
      <c r="HNX31" s="51"/>
      <c r="HNY31" s="51"/>
      <c r="HOA31" s="51"/>
      <c r="HOD31" s="51"/>
      <c r="HOF31" s="51"/>
      <c r="HOG31" s="51"/>
      <c r="HOI31" s="51"/>
      <c r="HOL31" s="51"/>
      <c r="HON31" s="51"/>
      <c r="HOO31" s="51"/>
      <c r="HOQ31" s="51"/>
      <c r="HOT31" s="51"/>
      <c r="HOV31" s="51"/>
      <c r="HOW31" s="51"/>
      <c r="HOY31" s="51"/>
      <c r="HPB31" s="51"/>
      <c r="HPD31" s="51"/>
      <c r="HPE31" s="51"/>
      <c r="HPG31" s="51"/>
      <c r="HPJ31" s="51"/>
      <c r="HPL31" s="51"/>
      <c r="HPM31" s="51"/>
      <c r="HPO31" s="51"/>
      <c r="HPR31" s="51"/>
      <c r="HPT31" s="51"/>
      <c r="HPU31" s="51"/>
      <c r="HPW31" s="51"/>
      <c r="HPZ31" s="51"/>
      <c r="HQB31" s="51"/>
      <c r="HQC31" s="51"/>
      <c r="HQE31" s="51"/>
      <c r="HQH31" s="51"/>
      <c r="HQJ31" s="51"/>
      <c r="HQK31" s="51"/>
      <c r="HQM31" s="51"/>
      <c r="HQP31" s="51"/>
      <c r="HQR31" s="51"/>
      <c r="HQS31" s="51"/>
      <c r="HQU31" s="51"/>
      <c r="HQX31" s="51"/>
      <c r="HQZ31" s="51"/>
      <c r="HRA31" s="51"/>
      <c r="HRC31" s="51"/>
      <c r="HRF31" s="51"/>
      <c r="HRH31" s="51"/>
      <c r="HRI31" s="51"/>
      <c r="HRK31" s="51"/>
      <c r="HRN31" s="51"/>
      <c r="HRP31" s="51"/>
      <c r="HRQ31" s="51"/>
      <c r="HRS31" s="51"/>
      <c r="HRV31" s="51"/>
      <c r="HRX31" s="51"/>
      <c r="HRY31" s="51"/>
      <c r="HSA31" s="51"/>
      <c r="HSD31" s="51"/>
      <c r="HSF31" s="51"/>
      <c r="HSG31" s="51"/>
      <c r="HSI31" s="51"/>
      <c r="HSL31" s="51"/>
      <c r="HSN31" s="51"/>
      <c r="HSO31" s="51"/>
      <c r="HSQ31" s="51"/>
      <c r="HST31" s="51"/>
      <c r="HSV31" s="51"/>
      <c r="HSW31" s="51"/>
      <c r="HSY31" s="51"/>
      <c r="HTB31" s="51"/>
      <c r="HTD31" s="51"/>
      <c r="HTE31" s="51"/>
      <c r="HTG31" s="51"/>
      <c r="HTJ31" s="51"/>
      <c r="HTL31" s="51"/>
      <c r="HTM31" s="51"/>
      <c r="HTO31" s="51"/>
      <c r="HTR31" s="51"/>
      <c r="HTT31" s="51"/>
      <c r="HTU31" s="51"/>
      <c r="HTW31" s="51"/>
      <c r="HTZ31" s="51"/>
      <c r="HUB31" s="51"/>
      <c r="HUC31" s="51"/>
      <c r="HUE31" s="51"/>
      <c r="HUH31" s="51"/>
      <c r="HUJ31" s="51"/>
      <c r="HUK31" s="51"/>
      <c r="HUM31" s="51"/>
      <c r="HUP31" s="51"/>
      <c r="HUR31" s="51"/>
      <c r="HUS31" s="51"/>
      <c r="HUU31" s="51"/>
      <c r="HUX31" s="51"/>
      <c r="HUZ31" s="51"/>
      <c r="HVA31" s="51"/>
      <c r="HVC31" s="51"/>
      <c r="HVF31" s="51"/>
      <c r="HVH31" s="51"/>
      <c r="HVI31" s="51"/>
      <c r="HVK31" s="51"/>
      <c r="HVN31" s="51"/>
      <c r="HVP31" s="51"/>
      <c r="HVQ31" s="51"/>
      <c r="HVS31" s="51"/>
      <c r="HVV31" s="51"/>
      <c r="HVX31" s="51"/>
      <c r="HVY31" s="51"/>
      <c r="HWA31" s="51"/>
      <c r="HWD31" s="51"/>
      <c r="HWF31" s="51"/>
      <c r="HWG31" s="51"/>
      <c r="HWI31" s="51"/>
      <c r="HWL31" s="51"/>
      <c r="HWN31" s="51"/>
      <c r="HWO31" s="51"/>
      <c r="HWQ31" s="51"/>
      <c r="HWT31" s="51"/>
      <c r="HWV31" s="51"/>
      <c r="HWW31" s="51"/>
      <c r="HWY31" s="51"/>
      <c r="HXB31" s="51"/>
      <c r="HXD31" s="51"/>
      <c r="HXE31" s="51"/>
      <c r="HXG31" s="51"/>
      <c r="HXJ31" s="51"/>
      <c r="HXL31" s="51"/>
      <c r="HXM31" s="51"/>
      <c r="HXO31" s="51"/>
      <c r="HXR31" s="51"/>
      <c r="HXT31" s="51"/>
      <c r="HXU31" s="51"/>
      <c r="HXW31" s="51"/>
      <c r="HXZ31" s="51"/>
      <c r="HYB31" s="51"/>
      <c r="HYC31" s="51"/>
      <c r="HYE31" s="51"/>
      <c r="HYH31" s="51"/>
      <c r="HYJ31" s="51"/>
      <c r="HYK31" s="51"/>
      <c r="HYM31" s="51"/>
      <c r="HYP31" s="51"/>
      <c r="HYR31" s="51"/>
      <c r="HYS31" s="51"/>
      <c r="HYU31" s="51"/>
      <c r="HYX31" s="51"/>
      <c r="HYZ31" s="51"/>
      <c r="HZA31" s="51"/>
      <c r="HZC31" s="51"/>
      <c r="HZF31" s="51"/>
      <c r="HZH31" s="51"/>
      <c r="HZI31" s="51"/>
      <c r="HZK31" s="51"/>
      <c r="HZN31" s="51"/>
      <c r="HZP31" s="51"/>
      <c r="HZQ31" s="51"/>
      <c r="HZS31" s="51"/>
      <c r="HZV31" s="51"/>
      <c r="HZX31" s="51"/>
      <c r="HZY31" s="51"/>
      <c r="IAA31" s="51"/>
      <c r="IAD31" s="51"/>
      <c r="IAF31" s="51"/>
      <c r="IAG31" s="51"/>
      <c r="IAI31" s="51"/>
      <c r="IAL31" s="51"/>
      <c r="IAN31" s="51"/>
      <c r="IAO31" s="51"/>
      <c r="IAQ31" s="51"/>
      <c r="IAT31" s="51"/>
      <c r="IAV31" s="51"/>
      <c r="IAW31" s="51"/>
      <c r="IAY31" s="51"/>
      <c r="IBB31" s="51"/>
      <c r="IBD31" s="51"/>
      <c r="IBE31" s="51"/>
      <c r="IBG31" s="51"/>
      <c r="IBJ31" s="51"/>
      <c r="IBL31" s="51"/>
      <c r="IBM31" s="51"/>
      <c r="IBO31" s="51"/>
      <c r="IBR31" s="51"/>
      <c r="IBT31" s="51"/>
      <c r="IBU31" s="51"/>
      <c r="IBW31" s="51"/>
      <c r="IBZ31" s="51"/>
      <c r="ICB31" s="51"/>
      <c r="ICC31" s="51"/>
      <c r="ICE31" s="51"/>
      <c r="ICH31" s="51"/>
      <c r="ICJ31" s="51"/>
      <c r="ICK31" s="51"/>
      <c r="ICM31" s="51"/>
      <c r="ICP31" s="51"/>
      <c r="ICR31" s="51"/>
      <c r="ICS31" s="51"/>
      <c r="ICU31" s="51"/>
      <c r="ICX31" s="51"/>
      <c r="ICZ31" s="51"/>
      <c r="IDA31" s="51"/>
      <c r="IDC31" s="51"/>
      <c r="IDF31" s="51"/>
      <c r="IDH31" s="51"/>
      <c r="IDI31" s="51"/>
      <c r="IDK31" s="51"/>
      <c r="IDN31" s="51"/>
      <c r="IDP31" s="51"/>
      <c r="IDQ31" s="51"/>
      <c r="IDS31" s="51"/>
      <c r="IDV31" s="51"/>
      <c r="IDX31" s="51"/>
      <c r="IDY31" s="51"/>
      <c r="IEA31" s="51"/>
      <c r="IED31" s="51"/>
      <c r="IEF31" s="51"/>
      <c r="IEG31" s="51"/>
      <c r="IEI31" s="51"/>
      <c r="IEL31" s="51"/>
      <c r="IEN31" s="51"/>
      <c r="IEO31" s="51"/>
      <c r="IEQ31" s="51"/>
      <c r="IET31" s="51"/>
      <c r="IEV31" s="51"/>
      <c r="IEW31" s="51"/>
      <c r="IEY31" s="51"/>
      <c r="IFB31" s="51"/>
      <c r="IFD31" s="51"/>
      <c r="IFE31" s="51"/>
      <c r="IFG31" s="51"/>
      <c r="IFJ31" s="51"/>
      <c r="IFL31" s="51"/>
      <c r="IFM31" s="51"/>
      <c r="IFO31" s="51"/>
      <c r="IFR31" s="51"/>
      <c r="IFT31" s="51"/>
      <c r="IFU31" s="51"/>
      <c r="IFW31" s="51"/>
      <c r="IFZ31" s="51"/>
      <c r="IGB31" s="51"/>
      <c r="IGC31" s="51"/>
      <c r="IGE31" s="51"/>
      <c r="IGH31" s="51"/>
      <c r="IGJ31" s="51"/>
      <c r="IGK31" s="51"/>
      <c r="IGM31" s="51"/>
      <c r="IGP31" s="51"/>
      <c r="IGR31" s="51"/>
      <c r="IGS31" s="51"/>
      <c r="IGU31" s="51"/>
      <c r="IGX31" s="51"/>
      <c r="IGZ31" s="51"/>
      <c r="IHA31" s="51"/>
      <c r="IHC31" s="51"/>
      <c r="IHF31" s="51"/>
      <c r="IHH31" s="51"/>
      <c r="IHI31" s="51"/>
      <c r="IHK31" s="51"/>
      <c r="IHN31" s="51"/>
      <c r="IHP31" s="51"/>
      <c r="IHQ31" s="51"/>
      <c r="IHS31" s="51"/>
      <c r="IHV31" s="51"/>
      <c r="IHX31" s="51"/>
      <c r="IHY31" s="51"/>
      <c r="IIA31" s="51"/>
      <c r="IID31" s="51"/>
      <c r="IIF31" s="51"/>
      <c r="IIG31" s="51"/>
      <c r="III31" s="51"/>
      <c r="IIL31" s="51"/>
      <c r="IIN31" s="51"/>
      <c r="IIO31" s="51"/>
      <c r="IIQ31" s="51"/>
      <c r="IIT31" s="51"/>
      <c r="IIV31" s="51"/>
      <c r="IIW31" s="51"/>
      <c r="IIY31" s="51"/>
      <c r="IJB31" s="51"/>
      <c r="IJD31" s="51"/>
      <c r="IJE31" s="51"/>
      <c r="IJG31" s="51"/>
      <c r="IJJ31" s="51"/>
      <c r="IJL31" s="51"/>
      <c r="IJM31" s="51"/>
      <c r="IJO31" s="51"/>
      <c r="IJR31" s="51"/>
      <c r="IJT31" s="51"/>
      <c r="IJU31" s="51"/>
      <c r="IJW31" s="51"/>
      <c r="IJZ31" s="51"/>
      <c r="IKB31" s="51"/>
      <c r="IKC31" s="51"/>
      <c r="IKE31" s="51"/>
      <c r="IKH31" s="51"/>
      <c r="IKJ31" s="51"/>
      <c r="IKK31" s="51"/>
      <c r="IKM31" s="51"/>
      <c r="IKP31" s="51"/>
      <c r="IKR31" s="51"/>
      <c r="IKS31" s="51"/>
      <c r="IKU31" s="51"/>
      <c r="IKX31" s="51"/>
      <c r="IKZ31" s="51"/>
      <c r="ILA31" s="51"/>
      <c r="ILC31" s="51"/>
      <c r="ILF31" s="51"/>
      <c r="ILH31" s="51"/>
      <c r="ILI31" s="51"/>
      <c r="ILK31" s="51"/>
      <c r="ILN31" s="51"/>
      <c r="ILP31" s="51"/>
      <c r="ILQ31" s="51"/>
      <c r="ILS31" s="51"/>
      <c r="ILV31" s="51"/>
      <c r="ILX31" s="51"/>
      <c r="ILY31" s="51"/>
      <c r="IMA31" s="51"/>
      <c r="IMD31" s="51"/>
      <c r="IMF31" s="51"/>
      <c r="IMG31" s="51"/>
      <c r="IMI31" s="51"/>
      <c r="IML31" s="51"/>
      <c r="IMN31" s="51"/>
      <c r="IMO31" s="51"/>
      <c r="IMQ31" s="51"/>
      <c r="IMT31" s="51"/>
      <c r="IMV31" s="51"/>
      <c r="IMW31" s="51"/>
      <c r="IMY31" s="51"/>
      <c r="INB31" s="51"/>
      <c r="IND31" s="51"/>
      <c r="INE31" s="51"/>
      <c r="ING31" s="51"/>
      <c r="INJ31" s="51"/>
      <c r="INL31" s="51"/>
      <c r="INM31" s="51"/>
      <c r="INO31" s="51"/>
      <c r="INR31" s="51"/>
      <c r="INT31" s="51"/>
      <c r="INU31" s="51"/>
      <c r="INW31" s="51"/>
      <c r="INZ31" s="51"/>
      <c r="IOB31" s="51"/>
      <c r="IOC31" s="51"/>
      <c r="IOE31" s="51"/>
      <c r="IOH31" s="51"/>
      <c r="IOJ31" s="51"/>
      <c r="IOK31" s="51"/>
      <c r="IOM31" s="51"/>
      <c r="IOP31" s="51"/>
      <c r="IOR31" s="51"/>
      <c r="IOS31" s="51"/>
      <c r="IOU31" s="51"/>
      <c r="IOX31" s="51"/>
      <c r="IOZ31" s="51"/>
      <c r="IPA31" s="51"/>
      <c r="IPC31" s="51"/>
      <c r="IPF31" s="51"/>
      <c r="IPH31" s="51"/>
      <c r="IPI31" s="51"/>
      <c r="IPK31" s="51"/>
      <c r="IPN31" s="51"/>
      <c r="IPP31" s="51"/>
      <c r="IPQ31" s="51"/>
      <c r="IPS31" s="51"/>
      <c r="IPV31" s="51"/>
      <c r="IPX31" s="51"/>
      <c r="IPY31" s="51"/>
      <c r="IQA31" s="51"/>
      <c r="IQD31" s="51"/>
      <c r="IQF31" s="51"/>
      <c r="IQG31" s="51"/>
      <c r="IQI31" s="51"/>
      <c r="IQL31" s="51"/>
      <c r="IQN31" s="51"/>
      <c r="IQO31" s="51"/>
      <c r="IQQ31" s="51"/>
      <c r="IQT31" s="51"/>
      <c r="IQV31" s="51"/>
      <c r="IQW31" s="51"/>
      <c r="IQY31" s="51"/>
      <c r="IRB31" s="51"/>
      <c r="IRD31" s="51"/>
      <c r="IRE31" s="51"/>
      <c r="IRG31" s="51"/>
      <c r="IRJ31" s="51"/>
      <c r="IRL31" s="51"/>
      <c r="IRM31" s="51"/>
      <c r="IRO31" s="51"/>
      <c r="IRR31" s="51"/>
      <c r="IRT31" s="51"/>
      <c r="IRU31" s="51"/>
      <c r="IRW31" s="51"/>
      <c r="IRZ31" s="51"/>
      <c r="ISB31" s="51"/>
      <c r="ISC31" s="51"/>
      <c r="ISE31" s="51"/>
      <c r="ISH31" s="51"/>
      <c r="ISJ31" s="51"/>
      <c r="ISK31" s="51"/>
      <c r="ISM31" s="51"/>
      <c r="ISP31" s="51"/>
      <c r="ISR31" s="51"/>
      <c r="ISS31" s="51"/>
      <c r="ISU31" s="51"/>
      <c r="ISX31" s="51"/>
      <c r="ISZ31" s="51"/>
      <c r="ITA31" s="51"/>
      <c r="ITC31" s="51"/>
      <c r="ITF31" s="51"/>
      <c r="ITH31" s="51"/>
      <c r="ITI31" s="51"/>
      <c r="ITK31" s="51"/>
      <c r="ITN31" s="51"/>
      <c r="ITP31" s="51"/>
      <c r="ITQ31" s="51"/>
      <c r="ITS31" s="51"/>
      <c r="ITV31" s="51"/>
      <c r="ITX31" s="51"/>
      <c r="ITY31" s="51"/>
      <c r="IUA31" s="51"/>
      <c r="IUD31" s="51"/>
      <c r="IUF31" s="51"/>
      <c r="IUG31" s="51"/>
      <c r="IUI31" s="51"/>
      <c r="IUL31" s="51"/>
      <c r="IUN31" s="51"/>
      <c r="IUO31" s="51"/>
      <c r="IUQ31" s="51"/>
      <c r="IUT31" s="51"/>
      <c r="IUV31" s="51"/>
      <c r="IUW31" s="51"/>
      <c r="IUY31" s="51"/>
      <c r="IVB31" s="51"/>
      <c r="IVD31" s="51"/>
      <c r="IVE31" s="51"/>
      <c r="IVG31" s="51"/>
      <c r="IVJ31" s="51"/>
      <c r="IVL31" s="51"/>
      <c r="IVM31" s="51"/>
      <c r="IVO31" s="51"/>
      <c r="IVR31" s="51"/>
      <c r="IVT31" s="51"/>
      <c r="IVU31" s="51"/>
      <c r="IVW31" s="51"/>
      <c r="IVZ31" s="51"/>
      <c r="IWB31" s="51"/>
      <c r="IWC31" s="51"/>
      <c r="IWE31" s="51"/>
      <c r="IWH31" s="51"/>
      <c r="IWJ31" s="51"/>
      <c r="IWK31" s="51"/>
      <c r="IWM31" s="51"/>
      <c r="IWP31" s="51"/>
      <c r="IWR31" s="51"/>
      <c r="IWS31" s="51"/>
      <c r="IWU31" s="51"/>
      <c r="IWX31" s="51"/>
      <c r="IWZ31" s="51"/>
      <c r="IXA31" s="51"/>
      <c r="IXC31" s="51"/>
      <c r="IXF31" s="51"/>
      <c r="IXH31" s="51"/>
      <c r="IXI31" s="51"/>
      <c r="IXK31" s="51"/>
      <c r="IXN31" s="51"/>
      <c r="IXP31" s="51"/>
      <c r="IXQ31" s="51"/>
      <c r="IXS31" s="51"/>
      <c r="IXV31" s="51"/>
      <c r="IXX31" s="51"/>
      <c r="IXY31" s="51"/>
      <c r="IYA31" s="51"/>
      <c r="IYD31" s="51"/>
      <c r="IYF31" s="51"/>
      <c r="IYG31" s="51"/>
      <c r="IYI31" s="51"/>
      <c r="IYL31" s="51"/>
      <c r="IYN31" s="51"/>
      <c r="IYO31" s="51"/>
      <c r="IYQ31" s="51"/>
      <c r="IYT31" s="51"/>
      <c r="IYV31" s="51"/>
      <c r="IYW31" s="51"/>
      <c r="IYY31" s="51"/>
      <c r="IZB31" s="51"/>
      <c r="IZD31" s="51"/>
      <c r="IZE31" s="51"/>
      <c r="IZG31" s="51"/>
      <c r="IZJ31" s="51"/>
      <c r="IZL31" s="51"/>
      <c r="IZM31" s="51"/>
      <c r="IZO31" s="51"/>
      <c r="IZR31" s="51"/>
      <c r="IZT31" s="51"/>
      <c r="IZU31" s="51"/>
      <c r="IZW31" s="51"/>
      <c r="IZZ31" s="51"/>
      <c r="JAB31" s="51"/>
      <c r="JAC31" s="51"/>
      <c r="JAE31" s="51"/>
      <c r="JAH31" s="51"/>
      <c r="JAJ31" s="51"/>
      <c r="JAK31" s="51"/>
      <c r="JAM31" s="51"/>
      <c r="JAP31" s="51"/>
      <c r="JAR31" s="51"/>
      <c r="JAS31" s="51"/>
      <c r="JAU31" s="51"/>
      <c r="JAX31" s="51"/>
      <c r="JAZ31" s="51"/>
      <c r="JBA31" s="51"/>
      <c r="JBC31" s="51"/>
      <c r="JBF31" s="51"/>
      <c r="JBH31" s="51"/>
      <c r="JBI31" s="51"/>
      <c r="JBK31" s="51"/>
      <c r="JBN31" s="51"/>
      <c r="JBP31" s="51"/>
      <c r="JBQ31" s="51"/>
      <c r="JBS31" s="51"/>
      <c r="JBV31" s="51"/>
      <c r="JBX31" s="51"/>
      <c r="JBY31" s="51"/>
      <c r="JCA31" s="51"/>
      <c r="JCD31" s="51"/>
      <c r="JCF31" s="51"/>
      <c r="JCG31" s="51"/>
      <c r="JCI31" s="51"/>
      <c r="JCL31" s="51"/>
      <c r="JCN31" s="51"/>
      <c r="JCO31" s="51"/>
      <c r="JCQ31" s="51"/>
      <c r="JCT31" s="51"/>
      <c r="JCV31" s="51"/>
      <c r="JCW31" s="51"/>
      <c r="JCY31" s="51"/>
      <c r="JDB31" s="51"/>
      <c r="JDD31" s="51"/>
      <c r="JDE31" s="51"/>
      <c r="JDG31" s="51"/>
      <c r="JDJ31" s="51"/>
      <c r="JDL31" s="51"/>
      <c r="JDM31" s="51"/>
      <c r="JDO31" s="51"/>
      <c r="JDR31" s="51"/>
      <c r="JDT31" s="51"/>
      <c r="JDU31" s="51"/>
      <c r="JDW31" s="51"/>
      <c r="JDZ31" s="51"/>
      <c r="JEB31" s="51"/>
      <c r="JEC31" s="51"/>
      <c r="JEE31" s="51"/>
      <c r="JEH31" s="51"/>
      <c r="JEJ31" s="51"/>
      <c r="JEK31" s="51"/>
      <c r="JEM31" s="51"/>
      <c r="JEP31" s="51"/>
      <c r="JER31" s="51"/>
      <c r="JES31" s="51"/>
      <c r="JEU31" s="51"/>
      <c r="JEX31" s="51"/>
      <c r="JEZ31" s="51"/>
      <c r="JFA31" s="51"/>
      <c r="JFC31" s="51"/>
      <c r="JFF31" s="51"/>
      <c r="JFH31" s="51"/>
      <c r="JFI31" s="51"/>
      <c r="JFK31" s="51"/>
      <c r="JFN31" s="51"/>
      <c r="JFP31" s="51"/>
      <c r="JFQ31" s="51"/>
      <c r="JFS31" s="51"/>
      <c r="JFV31" s="51"/>
      <c r="JFX31" s="51"/>
      <c r="JFY31" s="51"/>
      <c r="JGA31" s="51"/>
      <c r="JGD31" s="51"/>
      <c r="JGF31" s="51"/>
      <c r="JGG31" s="51"/>
      <c r="JGI31" s="51"/>
      <c r="JGL31" s="51"/>
      <c r="JGN31" s="51"/>
      <c r="JGO31" s="51"/>
      <c r="JGQ31" s="51"/>
      <c r="JGT31" s="51"/>
      <c r="JGV31" s="51"/>
      <c r="JGW31" s="51"/>
      <c r="JGY31" s="51"/>
      <c r="JHB31" s="51"/>
      <c r="JHD31" s="51"/>
      <c r="JHE31" s="51"/>
      <c r="JHG31" s="51"/>
      <c r="JHJ31" s="51"/>
      <c r="JHL31" s="51"/>
      <c r="JHM31" s="51"/>
      <c r="JHO31" s="51"/>
      <c r="JHR31" s="51"/>
      <c r="JHT31" s="51"/>
      <c r="JHU31" s="51"/>
      <c r="JHW31" s="51"/>
      <c r="JHZ31" s="51"/>
      <c r="JIB31" s="51"/>
      <c r="JIC31" s="51"/>
      <c r="JIE31" s="51"/>
      <c r="JIH31" s="51"/>
      <c r="JIJ31" s="51"/>
      <c r="JIK31" s="51"/>
      <c r="JIM31" s="51"/>
      <c r="JIP31" s="51"/>
      <c r="JIR31" s="51"/>
      <c r="JIS31" s="51"/>
      <c r="JIU31" s="51"/>
      <c r="JIX31" s="51"/>
      <c r="JIZ31" s="51"/>
      <c r="JJA31" s="51"/>
      <c r="JJC31" s="51"/>
      <c r="JJF31" s="51"/>
      <c r="JJH31" s="51"/>
      <c r="JJI31" s="51"/>
      <c r="JJK31" s="51"/>
      <c r="JJN31" s="51"/>
      <c r="JJP31" s="51"/>
      <c r="JJQ31" s="51"/>
      <c r="JJS31" s="51"/>
      <c r="JJV31" s="51"/>
      <c r="JJX31" s="51"/>
      <c r="JJY31" s="51"/>
      <c r="JKA31" s="51"/>
      <c r="JKD31" s="51"/>
      <c r="JKF31" s="51"/>
      <c r="JKG31" s="51"/>
      <c r="JKI31" s="51"/>
      <c r="JKL31" s="51"/>
      <c r="JKN31" s="51"/>
      <c r="JKO31" s="51"/>
      <c r="JKQ31" s="51"/>
      <c r="JKT31" s="51"/>
      <c r="JKV31" s="51"/>
      <c r="JKW31" s="51"/>
      <c r="JKY31" s="51"/>
      <c r="JLB31" s="51"/>
      <c r="JLD31" s="51"/>
      <c r="JLE31" s="51"/>
      <c r="JLG31" s="51"/>
      <c r="JLJ31" s="51"/>
      <c r="JLL31" s="51"/>
      <c r="JLM31" s="51"/>
      <c r="JLO31" s="51"/>
      <c r="JLR31" s="51"/>
      <c r="JLT31" s="51"/>
      <c r="JLU31" s="51"/>
      <c r="JLW31" s="51"/>
      <c r="JLZ31" s="51"/>
      <c r="JMB31" s="51"/>
      <c r="JMC31" s="51"/>
      <c r="JME31" s="51"/>
      <c r="JMH31" s="51"/>
      <c r="JMJ31" s="51"/>
      <c r="JMK31" s="51"/>
      <c r="JMM31" s="51"/>
      <c r="JMP31" s="51"/>
      <c r="JMR31" s="51"/>
      <c r="JMS31" s="51"/>
      <c r="JMU31" s="51"/>
      <c r="JMX31" s="51"/>
      <c r="JMZ31" s="51"/>
      <c r="JNA31" s="51"/>
      <c r="JNC31" s="51"/>
      <c r="JNF31" s="51"/>
      <c r="JNH31" s="51"/>
      <c r="JNI31" s="51"/>
      <c r="JNK31" s="51"/>
      <c r="JNN31" s="51"/>
      <c r="JNP31" s="51"/>
      <c r="JNQ31" s="51"/>
      <c r="JNS31" s="51"/>
      <c r="JNV31" s="51"/>
      <c r="JNX31" s="51"/>
      <c r="JNY31" s="51"/>
      <c r="JOA31" s="51"/>
      <c r="JOD31" s="51"/>
      <c r="JOF31" s="51"/>
      <c r="JOG31" s="51"/>
      <c r="JOI31" s="51"/>
      <c r="JOL31" s="51"/>
      <c r="JON31" s="51"/>
      <c r="JOO31" s="51"/>
      <c r="JOQ31" s="51"/>
      <c r="JOT31" s="51"/>
      <c r="JOV31" s="51"/>
      <c r="JOW31" s="51"/>
      <c r="JOY31" s="51"/>
      <c r="JPB31" s="51"/>
      <c r="JPD31" s="51"/>
      <c r="JPE31" s="51"/>
      <c r="JPG31" s="51"/>
      <c r="JPJ31" s="51"/>
      <c r="JPL31" s="51"/>
      <c r="JPM31" s="51"/>
      <c r="JPO31" s="51"/>
      <c r="JPR31" s="51"/>
      <c r="JPT31" s="51"/>
      <c r="JPU31" s="51"/>
      <c r="JPW31" s="51"/>
      <c r="JPZ31" s="51"/>
      <c r="JQB31" s="51"/>
      <c r="JQC31" s="51"/>
      <c r="JQE31" s="51"/>
      <c r="JQH31" s="51"/>
      <c r="JQJ31" s="51"/>
      <c r="JQK31" s="51"/>
      <c r="JQM31" s="51"/>
      <c r="JQP31" s="51"/>
      <c r="JQR31" s="51"/>
      <c r="JQS31" s="51"/>
      <c r="JQU31" s="51"/>
      <c r="JQX31" s="51"/>
      <c r="JQZ31" s="51"/>
      <c r="JRA31" s="51"/>
      <c r="JRC31" s="51"/>
      <c r="JRF31" s="51"/>
      <c r="JRH31" s="51"/>
      <c r="JRI31" s="51"/>
      <c r="JRK31" s="51"/>
      <c r="JRN31" s="51"/>
      <c r="JRP31" s="51"/>
      <c r="JRQ31" s="51"/>
      <c r="JRS31" s="51"/>
      <c r="JRV31" s="51"/>
      <c r="JRX31" s="51"/>
      <c r="JRY31" s="51"/>
      <c r="JSA31" s="51"/>
      <c r="JSD31" s="51"/>
      <c r="JSF31" s="51"/>
      <c r="JSG31" s="51"/>
      <c r="JSI31" s="51"/>
      <c r="JSL31" s="51"/>
      <c r="JSN31" s="51"/>
      <c r="JSO31" s="51"/>
      <c r="JSQ31" s="51"/>
      <c r="JST31" s="51"/>
      <c r="JSV31" s="51"/>
      <c r="JSW31" s="51"/>
      <c r="JSY31" s="51"/>
      <c r="JTB31" s="51"/>
      <c r="JTD31" s="51"/>
      <c r="JTE31" s="51"/>
      <c r="JTG31" s="51"/>
      <c r="JTJ31" s="51"/>
      <c r="JTL31" s="51"/>
      <c r="JTM31" s="51"/>
      <c r="JTO31" s="51"/>
      <c r="JTR31" s="51"/>
      <c r="JTT31" s="51"/>
      <c r="JTU31" s="51"/>
      <c r="JTW31" s="51"/>
      <c r="JTZ31" s="51"/>
      <c r="JUB31" s="51"/>
      <c r="JUC31" s="51"/>
      <c r="JUE31" s="51"/>
      <c r="JUH31" s="51"/>
      <c r="JUJ31" s="51"/>
      <c r="JUK31" s="51"/>
      <c r="JUM31" s="51"/>
      <c r="JUP31" s="51"/>
      <c r="JUR31" s="51"/>
      <c r="JUS31" s="51"/>
      <c r="JUU31" s="51"/>
      <c r="JUX31" s="51"/>
      <c r="JUZ31" s="51"/>
      <c r="JVA31" s="51"/>
      <c r="JVC31" s="51"/>
      <c r="JVF31" s="51"/>
      <c r="JVH31" s="51"/>
      <c r="JVI31" s="51"/>
      <c r="JVK31" s="51"/>
      <c r="JVN31" s="51"/>
      <c r="JVP31" s="51"/>
      <c r="JVQ31" s="51"/>
      <c r="JVS31" s="51"/>
      <c r="JVV31" s="51"/>
      <c r="JVX31" s="51"/>
      <c r="JVY31" s="51"/>
      <c r="JWA31" s="51"/>
      <c r="JWD31" s="51"/>
      <c r="JWF31" s="51"/>
      <c r="JWG31" s="51"/>
      <c r="JWI31" s="51"/>
      <c r="JWL31" s="51"/>
      <c r="JWN31" s="51"/>
      <c r="JWO31" s="51"/>
      <c r="JWQ31" s="51"/>
      <c r="JWT31" s="51"/>
      <c r="JWV31" s="51"/>
      <c r="JWW31" s="51"/>
      <c r="JWY31" s="51"/>
      <c r="JXB31" s="51"/>
      <c r="JXD31" s="51"/>
      <c r="JXE31" s="51"/>
      <c r="JXG31" s="51"/>
      <c r="JXJ31" s="51"/>
      <c r="JXL31" s="51"/>
      <c r="JXM31" s="51"/>
      <c r="JXO31" s="51"/>
      <c r="JXR31" s="51"/>
      <c r="JXT31" s="51"/>
      <c r="JXU31" s="51"/>
      <c r="JXW31" s="51"/>
      <c r="JXZ31" s="51"/>
      <c r="JYB31" s="51"/>
      <c r="JYC31" s="51"/>
      <c r="JYE31" s="51"/>
      <c r="JYH31" s="51"/>
      <c r="JYJ31" s="51"/>
      <c r="JYK31" s="51"/>
      <c r="JYM31" s="51"/>
      <c r="JYP31" s="51"/>
      <c r="JYR31" s="51"/>
      <c r="JYS31" s="51"/>
      <c r="JYU31" s="51"/>
      <c r="JYX31" s="51"/>
      <c r="JYZ31" s="51"/>
      <c r="JZA31" s="51"/>
      <c r="JZC31" s="51"/>
      <c r="JZF31" s="51"/>
      <c r="JZH31" s="51"/>
      <c r="JZI31" s="51"/>
      <c r="JZK31" s="51"/>
      <c r="JZN31" s="51"/>
      <c r="JZP31" s="51"/>
      <c r="JZQ31" s="51"/>
      <c r="JZS31" s="51"/>
      <c r="JZV31" s="51"/>
      <c r="JZX31" s="51"/>
      <c r="JZY31" s="51"/>
      <c r="KAA31" s="51"/>
      <c r="KAD31" s="51"/>
      <c r="KAF31" s="51"/>
      <c r="KAG31" s="51"/>
      <c r="KAI31" s="51"/>
      <c r="KAL31" s="51"/>
      <c r="KAN31" s="51"/>
      <c r="KAO31" s="51"/>
      <c r="KAQ31" s="51"/>
      <c r="KAT31" s="51"/>
      <c r="KAV31" s="51"/>
      <c r="KAW31" s="51"/>
      <c r="KAY31" s="51"/>
      <c r="KBB31" s="51"/>
      <c r="KBD31" s="51"/>
      <c r="KBE31" s="51"/>
      <c r="KBG31" s="51"/>
      <c r="KBJ31" s="51"/>
      <c r="KBL31" s="51"/>
      <c r="KBM31" s="51"/>
      <c r="KBO31" s="51"/>
      <c r="KBR31" s="51"/>
      <c r="KBT31" s="51"/>
      <c r="KBU31" s="51"/>
      <c r="KBW31" s="51"/>
      <c r="KBZ31" s="51"/>
      <c r="KCB31" s="51"/>
      <c r="KCC31" s="51"/>
      <c r="KCE31" s="51"/>
      <c r="KCH31" s="51"/>
      <c r="KCJ31" s="51"/>
      <c r="KCK31" s="51"/>
      <c r="KCM31" s="51"/>
      <c r="KCP31" s="51"/>
      <c r="KCR31" s="51"/>
      <c r="KCS31" s="51"/>
      <c r="KCU31" s="51"/>
      <c r="KCX31" s="51"/>
      <c r="KCZ31" s="51"/>
      <c r="KDA31" s="51"/>
      <c r="KDC31" s="51"/>
      <c r="KDF31" s="51"/>
      <c r="KDH31" s="51"/>
      <c r="KDI31" s="51"/>
      <c r="KDK31" s="51"/>
      <c r="KDN31" s="51"/>
      <c r="KDP31" s="51"/>
      <c r="KDQ31" s="51"/>
      <c r="KDS31" s="51"/>
      <c r="KDV31" s="51"/>
      <c r="KDX31" s="51"/>
      <c r="KDY31" s="51"/>
      <c r="KEA31" s="51"/>
      <c r="KED31" s="51"/>
      <c r="KEF31" s="51"/>
      <c r="KEG31" s="51"/>
      <c r="KEI31" s="51"/>
      <c r="KEL31" s="51"/>
      <c r="KEN31" s="51"/>
      <c r="KEO31" s="51"/>
      <c r="KEQ31" s="51"/>
      <c r="KET31" s="51"/>
      <c r="KEV31" s="51"/>
      <c r="KEW31" s="51"/>
      <c r="KEY31" s="51"/>
      <c r="KFB31" s="51"/>
      <c r="KFD31" s="51"/>
      <c r="KFE31" s="51"/>
      <c r="KFG31" s="51"/>
      <c r="KFJ31" s="51"/>
      <c r="KFL31" s="51"/>
      <c r="KFM31" s="51"/>
      <c r="KFO31" s="51"/>
      <c r="KFR31" s="51"/>
      <c r="KFT31" s="51"/>
      <c r="KFU31" s="51"/>
      <c r="KFW31" s="51"/>
      <c r="KFZ31" s="51"/>
      <c r="KGB31" s="51"/>
      <c r="KGC31" s="51"/>
      <c r="KGE31" s="51"/>
      <c r="KGH31" s="51"/>
      <c r="KGJ31" s="51"/>
      <c r="KGK31" s="51"/>
      <c r="KGM31" s="51"/>
      <c r="KGP31" s="51"/>
      <c r="KGR31" s="51"/>
      <c r="KGS31" s="51"/>
      <c r="KGU31" s="51"/>
      <c r="KGX31" s="51"/>
      <c r="KGZ31" s="51"/>
      <c r="KHA31" s="51"/>
      <c r="KHC31" s="51"/>
      <c r="KHF31" s="51"/>
      <c r="KHH31" s="51"/>
      <c r="KHI31" s="51"/>
      <c r="KHK31" s="51"/>
      <c r="KHN31" s="51"/>
      <c r="KHP31" s="51"/>
      <c r="KHQ31" s="51"/>
      <c r="KHS31" s="51"/>
      <c r="KHV31" s="51"/>
      <c r="KHX31" s="51"/>
      <c r="KHY31" s="51"/>
      <c r="KIA31" s="51"/>
      <c r="KID31" s="51"/>
      <c r="KIF31" s="51"/>
      <c r="KIG31" s="51"/>
      <c r="KII31" s="51"/>
      <c r="KIL31" s="51"/>
      <c r="KIN31" s="51"/>
      <c r="KIO31" s="51"/>
      <c r="KIQ31" s="51"/>
      <c r="KIT31" s="51"/>
      <c r="KIV31" s="51"/>
      <c r="KIW31" s="51"/>
      <c r="KIY31" s="51"/>
      <c r="KJB31" s="51"/>
      <c r="KJD31" s="51"/>
      <c r="KJE31" s="51"/>
      <c r="KJG31" s="51"/>
      <c r="KJJ31" s="51"/>
      <c r="KJL31" s="51"/>
      <c r="KJM31" s="51"/>
      <c r="KJO31" s="51"/>
      <c r="KJR31" s="51"/>
      <c r="KJT31" s="51"/>
      <c r="KJU31" s="51"/>
      <c r="KJW31" s="51"/>
      <c r="KJZ31" s="51"/>
      <c r="KKB31" s="51"/>
      <c r="KKC31" s="51"/>
      <c r="KKE31" s="51"/>
      <c r="KKH31" s="51"/>
      <c r="KKJ31" s="51"/>
      <c r="KKK31" s="51"/>
      <c r="KKM31" s="51"/>
      <c r="KKP31" s="51"/>
      <c r="KKR31" s="51"/>
      <c r="KKS31" s="51"/>
      <c r="KKU31" s="51"/>
      <c r="KKX31" s="51"/>
      <c r="KKZ31" s="51"/>
      <c r="KLA31" s="51"/>
      <c r="KLC31" s="51"/>
      <c r="KLF31" s="51"/>
      <c r="KLH31" s="51"/>
      <c r="KLI31" s="51"/>
      <c r="KLK31" s="51"/>
      <c r="KLN31" s="51"/>
      <c r="KLP31" s="51"/>
      <c r="KLQ31" s="51"/>
      <c r="KLS31" s="51"/>
      <c r="KLV31" s="51"/>
      <c r="KLX31" s="51"/>
      <c r="KLY31" s="51"/>
      <c r="KMA31" s="51"/>
      <c r="KMD31" s="51"/>
      <c r="KMF31" s="51"/>
      <c r="KMG31" s="51"/>
      <c r="KMI31" s="51"/>
      <c r="KML31" s="51"/>
      <c r="KMN31" s="51"/>
      <c r="KMO31" s="51"/>
      <c r="KMQ31" s="51"/>
      <c r="KMT31" s="51"/>
      <c r="KMV31" s="51"/>
      <c r="KMW31" s="51"/>
      <c r="KMY31" s="51"/>
      <c r="KNB31" s="51"/>
      <c r="KND31" s="51"/>
      <c r="KNE31" s="51"/>
      <c r="KNG31" s="51"/>
      <c r="KNJ31" s="51"/>
      <c r="KNL31" s="51"/>
      <c r="KNM31" s="51"/>
      <c r="KNO31" s="51"/>
      <c r="KNR31" s="51"/>
      <c r="KNT31" s="51"/>
      <c r="KNU31" s="51"/>
      <c r="KNW31" s="51"/>
      <c r="KNZ31" s="51"/>
      <c r="KOB31" s="51"/>
      <c r="KOC31" s="51"/>
      <c r="KOE31" s="51"/>
      <c r="KOH31" s="51"/>
      <c r="KOJ31" s="51"/>
      <c r="KOK31" s="51"/>
      <c r="KOM31" s="51"/>
      <c r="KOP31" s="51"/>
      <c r="KOR31" s="51"/>
      <c r="KOS31" s="51"/>
      <c r="KOU31" s="51"/>
      <c r="KOX31" s="51"/>
      <c r="KOZ31" s="51"/>
      <c r="KPA31" s="51"/>
      <c r="KPC31" s="51"/>
      <c r="KPF31" s="51"/>
      <c r="KPH31" s="51"/>
      <c r="KPI31" s="51"/>
      <c r="KPK31" s="51"/>
      <c r="KPN31" s="51"/>
      <c r="KPP31" s="51"/>
      <c r="KPQ31" s="51"/>
      <c r="KPS31" s="51"/>
      <c r="KPV31" s="51"/>
      <c r="KPX31" s="51"/>
      <c r="KPY31" s="51"/>
      <c r="KQA31" s="51"/>
      <c r="KQD31" s="51"/>
      <c r="KQF31" s="51"/>
      <c r="KQG31" s="51"/>
      <c r="KQI31" s="51"/>
      <c r="KQL31" s="51"/>
      <c r="KQN31" s="51"/>
      <c r="KQO31" s="51"/>
      <c r="KQQ31" s="51"/>
      <c r="KQT31" s="51"/>
      <c r="KQV31" s="51"/>
      <c r="KQW31" s="51"/>
      <c r="KQY31" s="51"/>
      <c r="KRB31" s="51"/>
      <c r="KRD31" s="51"/>
      <c r="KRE31" s="51"/>
      <c r="KRG31" s="51"/>
      <c r="KRJ31" s="51"/>
      <c r="KRL31" s="51"/>
      <c r="KRM31" s="51"/>
      <c r="KRO31" s="51"/>
      <c r="KRR31" s="51"/>
      <c r="KRT31" s="51"/>
      <c r="KRU31" s="51"/>
      <c r="KRW31" s="51"/>
      <c r="KRZ31" s="51"/>
      <c r="KSB31" s="51"/>
      <c r="KSC31" s="51"/>
      <c r="KSE31" s="51"/>
      <c r="KSH31" s="51"/>
      <c r="KSJ31" s="51"/>
      <c r="KSK31" s="51"/>
      <c r="KSM31" s="51"/>
      <c r="KSP31" s="51"/>
      <c r="KSR31" s="51"/>
      <c r="KSS31" s="51"/>
      <c r="KSU31" s="51"/>
      <c r="KSX31" s="51"/>
      <c r="KSZ31" s="51"/>
      <c r="KTA31" s="51"/>
      <c r="KTC31" s="51"/>
      <c r="KTF31" s="51"/>
      <c r="KTH31" s="51"/>
      <c r="KTI31" s="51"/>
      <c r="KTK31" s="51"/>
      <c r="KTN31" s="51"/>
      <c r="KTP31" s="51"/>
      <c r="KTQ31" s="51"/>
      <c r="KTS31" s="51"/>
      <c r="KTV31" s="51"/>
      <c r="KTX31" s="51"/>
      <c r="KTY31" s="51"/>
      <c r="KUA31" s="51"/>
      <c r="KUD31" s="51"/>
      <c r="KUF31" s="51"/>
      <c r="KUG31" s="51"/>
      <c r="KUI31" s="51"/>
      <c r="KUL31" s="51"/>
      <c r="KUN31" s="51"/>
      <c r="KUO31" s="51"/>
      <c r="KUQ31" s="51"/>
      <c r="KUT31" s="51"/>
      <c r="KUV31" s="51"/>
      <c r="KUW31" s="51"/>
      <c r="KUY31" s="51"/>
      <c r="KVB31" s="51"/>
      <c r="KVD31" s="51"/>
      <c r="KVE31" s="51"/>
      <c r="KVG31" s="51"/>
      <c r="KVJ31" s="51"/>
      <c r="KVL31" s="51"/>
      <c r="KVM31" s="51"/>
      <c r="KVO31" s="51"/>
      <c r="KVR31" s="51"/>
      <c r="KVT31" s="51"/>
      <c r="KVU31" s="51"/>
      <c r="KVW31" s="51"/>
      <c r="KVZ31" s="51"/>
      <c r="KWB31" s="51"/>
      <c r="KWC31" s="51"/>
      <c r="KWE31" s="51"/>
      <c r="KWH31" s="51"/>
      <c r="KWJ31" s="51"/>
      <c r="KWK31" s="51"/>
      <c r="KWM31" s="51"/>
      <c r="KWP31" s="51"/>
      <c r="KWR31" s="51"/>
      <c r="KWS31" s="51"/>
      <c r="KWU31" s="51"/>
      <c r="KWX31" s="51"/>
      <c r="KWZ31" s="51"/>
      <c r="KXA31" s="51"/>
      <c r="KXC31" s="51"/>
      <c r="KXF31" s="51"/>
      <c r="KXH31" s="51"/>
      <c r="KXI31" s="51"/>
      <c r="KXK31" s="51"/>
      <c r="KXN31" s="51"/>
      <c r="KXP31" s="51"/>
      <c r="KXQ31" s="51"/>
      <c r="KXS31" s="51"/>
      <c r="KXV31" s="51"/>
      <c r="KXX31" s="51"/>
      <c r="KXY31" s="51"/>
      <c r="KYA31" s="51"/>
      <c r="KYD31" s="51"/>
      <c r="KYF31" s="51"/>
      <c r="KYG31" s="51"/>
      <c r="KYI31" s="51"/>
      <c r="KYL31" s="51"/>
      <c r="KYN31" s="51"/>
      <c r="KYO31" s="51"/>
      <c r="KYQ31" s="51"/>
      <c r="KYT31" s="51"/>
      <c r="KYV31" s="51"/>
      <c r="KYW31" s="51"/>
      <c r="KYY31" s="51"/>
      <c r="KZB31" s="51"/>
      <c r="KZD31" s="51"/>
      <c r="KZE31" s="51"/>
      <c r="KZG31" s="51"/>
      <c r="KZJ31" s="51"/>
      <c r="KZL31" s="51"/>
      <c r="KZM31" s="51"/>
      <c r="KZO31" s="51"/>
      <c r="KZR31" s="51"/>
      <c r="KZT31" s="51"/>
      <c r="KZU31" s="51"/>
      <c r="KZW31" s="51"/>
      <c r="KZZ31" s="51"/>
      <c r="LAB31" s="51"/>
      <c r="LAC31" s="51"/>
      <c r="LAE31" s="51"/>
      <c r="LAH31" s="51"/>
      <c r="LAJ31" s="51"/>
      <c r="LAK31" s="51"/>
      <c r="LAM31" s="51"/>
      <c r="LAP31" s="51"/>
      <c r="LAR31" s="51"/>
      <c r="LAS31" s="51"/>
      <c r="LAU31" s="51"/>
      <c r="LAX31" s="51"/>
      <c r="LAZ31" s="51"/>
      <c r="LBA31" s="51"/>
      <c r="LBC31" s="51"/>
      <c r="LBF31" s="51"/>
      <c r="LBH31" s="51"/>
      <c r="LBI31" s="51"/>
      <c r="LBK31" s="51"/>
      <c r="LBN31" s="51"/>
      <c r="LBP31" s="51"/>
      <c r="LBQ31" s="51"/>
      <c r="LBS31" s="51"/>
      <c r="LBV31" s="51"/>
      <c r="LBX31" s="51"/>
      <c r="LBY31" s="51"/>
      <c r="LCA31" s="51"/>
      <c r="LCD31" s="51"/>
      <c r="LCF31" s="51"/>
      <c r="LCG31" s="51"/>
      <c r="LCI31" s="51"/>
      <c r="LCL31" s="51"/>
      <c r="LCN31" s="51"/>
      <c r="LCO31" s="51"/>
      <c r="LCQ31" s="51"/>
      <c r="LCT31" s="51"/>
      <c r="LCV31" s="51"/>
      <c r="LCW31" s="51"/>
      <c r="LCY31" s="51"/>
      <c r="LDB31" s="51"/>
      <c r="LDD31" s="51"/>
      <c r="LDE31" s="51"/>
      <c r="LDG31" s="51"/>
      <c r="LDJ31" s="51"/>
      <c r="LDL31" s="51"/>
      <c r="LDM31" s="51"/>
      <c r="LDO31" s="51"/>
      <c r="LDR31" s="51"/>
      <c r="LDT31" s="51"/>
      <c r="LDU31" s="51"/>
      <c r="LDW31" s="51"/>
      <c r="LDZ31" s="51"/>
      <c r="LEB31" s="51"/>
      <c r="LEC31" s="51"/>
      <c r="LEE31" s="51"/>
      <c r="LEH31" s="51"/>
      <c r="LEJ31" s="51"/>
      <c r="LEK31" s="51"/>
      <c r="LEM31" s="51"/>
      <c r="LEP31" s="51"/>
      <c r="LER31" s="51"/>
      <c r="LES31" s="51"/>
      <c r="LEU31" s="51"/>
      <c r="LEX31" s="51"/>
      <c r="LEZ31" s="51"/>
      <c r="LFA31" s="51"/>
      <c r="LFC31" s="51"/>
      <c r="LFF31" s="51"/>
      <c r="LFH31" s="51"/>
      <c r="LFI31" s="51"/>
      <c r="LFK31" s="51"/>
      <c r="LFN31" s="51"/>
      <c r="LFP31" s="51"/>
      <c r="LFQ31" s="51"/>
      <c r="LFS31" s="51"/>
      <c r="LFV31" s="51"/>
      <c r="LFX31" s="51"/>
      <c r="LFY31" s="51"/>
      <c r="LGA31" s="51"/>
      <c r="LGD31" s="51"/>
      <c r="LGF31" s="51"/>
      <c r="LGG31" s="51"/>
      <c r="LGI31" s="51"/>
      <c r="LGL31" s="51"/>
      <c r="LGN31" s="51"/>
      <c r="LGO31" s="51"/>
      <c r="LGQ31" s="51"/>
      <c r="LGT31" s="51"/>
      <c r="LGV31" s="51"/>
      <c r="LGW31" s="51"/>
      <c r="LGY31" s="51"/>
      <c r="LHB31" s="51"/>
      <c r="LHD31" s="51"/>
      <c r="LHE31" s="51"/>
      <c r="LHG31" s="51"/>
      <c r="LHJ31" s="51"/>
      <c r="LHL31" s="51"/>
      <c r="LHM31" s="51"/>
      <c r="LHO31" s="51"/>
      <c r="LHR31" s="51"/>
      <c r="LHT31" s="51"/>
      <c r="LHU31" s="51"/>
      <c r="LHW31" s="51"/>
      <c r="LHZ31" s="51"/>
      <c r="LIB31" s="51"/>
      <c r="LIC31" s="51"/>
      <c r="LIE31" s="51"/>
      <c r="LIH31" s="51"/>
      <c r="LIJ31" s="51"/>
      <c r="LIK31" s="51"/>
      <c r="LIM31" s="51"/>
      <c r="LIP31" s="51"/>
      <c r="LIR31" s="51"/>
      <c r="LIS31" s="51"/>
      <c r="LIU31" s="51"/>
      <c r="LIX31" s="51"/>
      <c r="LIZ31" s="51"/>
      <c r="LJA31" s="51"/>
      <c r="LJC31" s="51"/>
      <c r="LJF31" s="51"/>
      <c r="LJH31" s="51"/>
      <c r="LJI31" s="51"/>
      <c r="LJK31" s="51"/>
      <c r="LJN31" s="51"/>
      <c r="LJP31" s="51"/>
      <c r="LJQ31" s="51"/>
      <c r="LJS31" s="51"/>
      <c r="LJV31" s="51"/>
      <c r="LJX31" s="51"/>
      <c r="LJY31" s="51"/>
      <c r="LKA31" s="51"/>
      <c r="LKD31" s="51"/>
      <c r="LKF31" s="51"/>
      <c r="LKG31" s="51"/>
      <c r="LKI31" s="51"/>
      <c r="LKL31" s="51"/>
      <c r="LKN31" s="51"/>
      <c r="LKO31" s="51"/>
      <c r="LKQ31" s="51"/>
      <c r="LKT31" s="51"/>
      <c r="LKV31" s="51"/>
      <c r="LKW31" s="51"/>
      <c r="LKY31" s="51"/>
      <c r="LLB31" s="51"/>
      <c r="LLD31" s="51"/>
      <c r="LLE31" s="51"/>
      <c r="LLG31" s="51"/>
      <c r="LLJ31" s="51"/>
      <c r="LLL31" s="51"/>
      <c r="LLM31" s="51"/>
      <c r="LLO31" s="51"/>
      <c r="LLR31" s="51"/>
      <c r="LLT31" s="51"/>
      <c r="LLU31" s="51"/>
      <c r="LLW31" s="51"/>
      <c r="LLZ31" s="51"/>
      <c r="LMB31" s="51"/>
      <c r="LMC31" s="51"/>
      <c r="LME31" s="51"/>
      <c r="LMH31" s="51"/>
      <c r="LMJ31" s="51"/>
      <c r="LMK31" s="51"/>
      <c r="LMM31" s="51"/>
      <c r="LMP31" s="51"/>
      <c r="LMR31" s="51"/>
      <c r="LMS31" s="51"/>
      <c r="LMU31" s="51"/>
      <c r="LMX31" s="51"/>
      <c r="LMZ31" s="51"/>
      <c r="LNA31" s="51"/>
      <c r="LNC31" s="51"/>
      <c r="LNF31" s="51"/>
      <c r="LNH31" s="51"/>
      <c r="LNI31" s="51"/>
      <c r="LNK31" s="51"/>
      <c r="LNN31" s="51"/>
      <c r="LNP31" s="51"/>
      <c r="LNQ31" s="51"/>
      <c r="LNS31" s="51"/>
      <c r="LNV31" s="51"/>
      <c r="LNX31" s="51"/>
      <c r="LNY31" s="51"/>
      <c r="LOA31" s="51"/>
      <c r="LOD31" s="51"/>
      <c r="LOF31" s="51"/>
      <c r="LOG31" s="51"/>
      <c r="LOI31" s="51"/>
      <c r="LOL31" s="51"/>
      <c r="LON31" s="51"/>
      <c r="LOO31" s="51"/>
      <c r="LOQ31" s="51"/>
      <c r="LOT31" s="51"/>
      <c r="LOV31" s="51"/>
      <c r="LOW31" s="51"/>
      <c r="LOY31" s="51"/>
      <c r="LPB31" s="51"/>
      <c r="LPD31" s="51"/>
      <c r="LPE31" s="51"/>
      <c r="LPG31" s="51"/>
      <c r="LPJ31" s="51"/>
      <c r="LPL31" s="51"/>
      <c r="LPM31" s="51"/>
      <c r="LPO31" s="51"/>
      <c r="LPR31" s="51"/>
      <c r="LPT31" s="51"/>
      <c r="LPU31" s="51"/>
      <c r="LPW31" s="51"/>
      <c r="LPZ31" s="51"/>
      <c r="LQB31" s="51"/>
      <c r="LQC31" s="51"/>
      <c r="LQE31" s="51"/>
      <c r="LQH31" s="51"/>
      <c r="LQJ31" s="51"/>
      <c r="LQK31" s="51"/>
      <c r="LQM31" s="51"/>
      <c r="LQP31" s="51"/>
      <c r="LQR31" s="51"/>
      <c r="LQS31" s="51"/>
      <c r="LQU31" s="51"/>
      <c r="LQX31" s="51"/>
      <c r="LQZ31" s="51"/>
      <c r="LRA31" s="51"/>
      <c r="LRC31" s="51"/>
      <c r="LRF31" s="51"/>
      <c r="LRH31" s="51"/>
      <c r="LRI31" s="51"/>
      <c r="LRK31" s="51"/>
      <c r="LRN31" s="51"/>
      <c r="LRP31" s="51"/>
      <c r="LRQ31" s="51"/>
      <c r="LRS31" s="51"/>
      <c r="LRV31" s="51"/>
      <c r="LRX31" s="51"/>
      <c r="LRY31" s="51"/>
      <c r="LSA31" s="51"/>
      <c r="LSD31" s="51"/>
      <c r="LSF31" s="51"/>
      <c r="LSG31" s="51"/>
      <c r="LSI31" s="51"/>
      <c r="LSL31" s="51"/>
      <c r="LSN31" s="51"/>
      <c r="LSO31" s="51"/>
      <c r="LSQ31" s="51"/>
      <c r="LST31" s="51"/>
      <c r="LSV31" s="51"/>
      <c r="LSW31" s="51"/>
      <c r="LSY31" s="51"/>
      <c r="LTB31" s="51"/>
      <c r="LTD31" s="51"/>
      <c r="LTE31" s="51"/>
      <c r="LTG31" s="51"/>
      <c r="LTJ31" s="51"/>
      <c r="LTL31" s="51"/>
      <c r="LTM31" s="51"/>
      <c r="LTO31" s="51"/>
      <c r="LTR31" s="51"/>
      <c r="LTT31" s="51"/>
      <c r="LTU31" s="51"/>
      <c r="LTW31" s="51"/>
      <c r="LTZ31" s="51"/>
      <c r="LUB31" s="51"/>
      <c r="LUC31" s="51"/>
      <c r="LUE31" s="51"/>
      <c r="LUH31" s="51"/>
      <c r="LUJ31" s="51"/>
      <c r="LUK31" s="51"/>
      <c r="LUM31" s="51"/>
      <c r="LUP31" s="51"/>
      <c r="LUR31" s="51"/>
      <c r="LUS31" s="51"/>
      <c r="LUU31" s="51"/>
      <c r="LUX31" s="51"/>
      <c r="LUZ31" s="51"/>
      <c r="LVA31" s="51"/>
      <c r="LVC31" s="51"/>
      <c r="LVF31" s="51"/>
      <c r="LVH31" s="51"/>
      <c r="LVI31" s="51"/>
      <c r="LVK31" s="51"/>
      <c r="LVN31" s="51"/>
      <c r="LVP31" s="51"/>
      <c r="LVQ31" s="51"/>
      <c r="LVS31" s="51"/>
      <c r="LVV31" s="51"/>
      <c r="LVX31" s="51"/>
      <c r="LVY31" s="51"/>
      <c r="LWA31" s="51"/>
      <c r="LWD31" s="51"/>
      <c r="LWF31" s="51"/>
      <c r="LWG31" s="51"/>
      <c r="LWI31" s="51"/>
      <c r="LWL31" s="51"/>
      <c r="LWN31" s="51"/>
      <c r="LWO31" s="51"/>
      <c r="LWQ31" s="51"/>
      <c r="LWT31" s="51"/>
      <c r="LWV31" s="51"/>
      <c r="LWW31" s="51"/>
      <c r="LWY31" s="51"/>
      <c r="LXB31" s="51"/>
      <c r="LXD31" s="51"/>
      <c r="LXE31" s="51"/>
      <c r="LXG31" s="51"/>
      <c r="LXJ31" s="51"/>
      <c r="LXL31" s="51"/>
      <c r="LXM31" s="51"/>
      <c r="LXO31" s="51"/>
      <c r="LXR31" s="51"/>
      <c r="LXT31" s="51"/>
      <c r="LXU31" s="51"/>
      <c r="LXW31" s="51"/>
      <c r="LXZ31" s="51"/>
      <c r="LYB31" s="51"/>
      <c r="LYC31" s="51"/>
      <c r="LYE31" s="51"/>
      <c r="LYH31" s="51"/>
      <c r="LYJ31" s="51"/>
      <c r="LYK31" s="51"/>
      <c r="LYM31" s="51"/>
      <c r="LYP31" s="51"/>
      <c r="LYR31" s="51"/>
      <c r="LYS31" s="51"/>
      <c r="LYU31" s="51"/>
      <c r="LYX31" s="51"/>
      <c r="LYZ31" s="51"/>
      <c r="LZA31" s="51"/>
      <c r="LZC31" s="51"/>
      <c r="LZF31" s="51"/>
      <c r="LZH31" s="51"/>
      <c r="LZI31" s="51"/>
      <c r="LZK31" s="51"/>
      <c r="LZN31" s="51"/>
      <c r="LZP31" s="51"/>
      <c r="LZQ31" s="51"/>
      <c r="LZS31" s="51"/>
      <c r="LZV31" s="51"/>
      <c r="LZX31" s="51"/>
      <c r="LZY31" s="51"/>
      <c r="MAA31" s="51"/>
      <c r="MAD31" s="51"/>
      <c r="MAF31" s="51"/>
      <c r="MAG31" s="51"/>
      <c r="MAI31" s="51"/>
      <c r="MAL31" s="51"/>
      <c r="MAN31" s="51"/>
      <c r="MAO31" s="51"/>
      <c r="MAQ31" s="51"/>
      <c r="MAT31" s="51"/>
      <c r="MAV31" s="51"/>
      <c r="MAW31" s="51"/>
      <c r="MAY31" s="51"/>
      <c r="MBB31" s="51"/>
      <c r="MBD31" s="51"/>
      <c r="MBE31" s="51"/>
      <c r="MBG31" s="51"/>
      <c r="MBJ31" s="51"/>
      <c r="MBL31" s="51"/>
      <c r="MBM31" s="51"/>
      <c r="MBO31" s="51"/>
      <c r="MBR31" s="51"/>
      <c r="MBT31" s="51"/>
      <c r="MBU31" s="51"/>
      <c r="MBW31" s="51"/>
      <c r="MBZ31" s="51"/>
      <c r="MCB31" s="51"/>
      <c r="MCC31" s="51"/>
      <c r="MCE31" s="51"/>
      <c r="MCH31" s="51"/>
      <c r="MCJ31" s="51"/>
      <c r="MCK31" s="51"/>
      <c r="MCM31" s="51"/>
      <c r="MCP31" s="51"/>
      <c r="MCR31" s="51"/>
      <c r="MCS31" s="51"/>
      <c r="MCU31" s="51"/>
      <c r="MCX31" s="51"/>
      <c r="MCZ31" s="51"/>
      <c r="MDA31" s="51"/>
      <c r="MDC31" s="51"/>
      <c r="MDF31" s="51"/>
      <c r="MDH31" s="51"/>
      <c r="MDI31" s="51"/>
      <c r="MDK31" s="51"/>
      <c r="MDN31" s="51"/>
      <c r="MDP31" s="51"/>
      <c r="MDQ31" s="51"/>
      <c r="MDS31" s="51"/>
      <c r="MDV31" s="51"/>
      <c r="MDX31" s="51"/>
      <c r="MDY31" s="51"/>
      <c r="MEA31" s="51"/>
      <c r="MED31" s="51"/>
      <c r="MEF31" s="51"/>
      <c r="MEG31" s="51"/>
      <c r="MEI31" s="51"/>
      <c r="MEL31" s="51"/>
      <c r="MEN31" s="51"/>
      <c r="MEO31" s="51"/>
      <c r="MEQ31" s="51"/>
      <c r="MET31" s="51"/>
      <c r="MEV31" s="51"/>
      <c r="MEW31" s="51"/>
      <c r="MEY31" s="51"/>
      <c r="MFB31" s="51"/>
      <c r="MFD31" s="51"/>
      <c r="MFE31" s="51"/>
      <c r="MFG31" s="51"/>
      <c r="MFJ31" s="51"/>
      <c r="MFL31" s="51"/>
      <c r="MFM31" s="51"/>
      <c r="MFO31" s="51"/>
      <c r="MFR31" s="51"/>
      <c r="MFT31" s="51"/>
      <c r="MFU31" s="51"/>
      <c r="MFW31" s="51"/>
      <c r="MFZ31" s="51"/>
      <c r="MGB31" s="51"/>
      <c r="MGC31" s="51"/>
      <c r="MGE31" s="51"/>
      <c r="MGH31" s="51"/>
      <c r="MGJ31" s="51"/>
      <c r="MGK31" s="51"/>
      <c r="MGM31" s="51"/>
      <c r="MGP31" s="51"/>
      <c r="MGR31" s="51"/>
      <c r="MGS31" s="51"/>
      <c r="MGU31" s="51"/>
      <c r="MGX31" s="51"/>
      <c r="MGZ31" s="51"/>
      <c r="MHA31" s="51"/>
      <c r="MHC31" s="51"/>
      <c r="MHF31" s="51"/>
      <c r="MHH31" s="51"/>
      <c r="MHI31" s="51"/>
      <c r="MHK31" s="51"/>
      <c r="MHN31" s="51"/>
      <c r="MHP31" s="51"/>
      <c r="MHQ31" s="51"/>
      <c r="MHS31" s="51"/>
      <c r="MHV31" s="51"/>
      <c r="MHX31" s="51"/>
      <c r="MHY31" s="51"/>
      <c r="MIA31" s="51"/>
      <c r="MID31" s="51"/>
      <c r="MIF31" s="51"/>
      <c r="MIG31" s="51"/>
      <c r="MII31" s="51"/>
      <c r="MIL31" s="51"/>
      <c r="MIN31" s="51"/>
      <c r="MIO31" s="51"/>
      <c r="MIQ31" s="51"/>
      <c r="MIT31" s="51"/>
      <c r="MIV31" s="51"/>
      <c r="MIW31" s="51"/>
      <c r="MIY31" s="51"/>
      <c r="MJB31" s="51"/>
      <c r="MJD31" s="51"/>
      <c r="MJE31" s="51"/>
      <c r="MJG31" s="51"/>
      <c r="MJJ31" s="51"/>
      <c r="MJL31" s="51"/>
      <c r="MJM31" s="51"/>
      <c r="MJO31" s="51"/>
      <c r="MJR31" s="51"/>
      <c r="MJT31" s="51"/>
      <c r="MJU31" s="51"/>
      <c r="MJW31" s="51"/>
      <c r="MJZ31" s="51"/>
      <c r="MKB31" s="51"/>
      <c r="MKC31" s="51"/>
      <c r="MKE31" s="51"/>
      <c r="MKH31" s="51"/>
      <c r="MKJ31" s="51"/>
      <c r="MKK31" s="51"/>
      <c r="MKM31" s="51"/>
      <c r="MKP31" s="51"/>
      <c r="MKR31" s="51"/>
      <c r="MKS31" s="51"/>
      <c r="MKU31" s="51"/>
      <c r="MKX31" s="51"/>
      <c r="MKZ31" s="51"/>
      <c r="MLA31" s="51"/>
      <c r="MLC31" s="51"/>
      <c r="MLF31" s="51"/>
      <c r="MLH31" s="51"/>
      <c r="MLI31" s="51"/>
      <c r="MLK31" s="51"/>
      <c r="MLN31" s="51"/>
      <c r="MLP31" s="51"/>
      <c r="MLQ31" s="51"/>
      <c r="MLS31" s="51"/>
      <c r="MLV31" s="51"/>
      <c r="MLX31" s="51"/>
      <c r="MLY31" s="51"/>
      <c r="MMA31" s="51"/>
      <c r="MMD31" s="51"/>
      <c r="MMF31" s="51"/>
      <c r="MMG31" s="51"/>
      <c r="MMI31" s="51"/>
      <c r="MML31" s="51"/>
      <c r="MMN31" s="51"/>
      <c r="MMO31" s="51"/>
      <c r="MMQ31" s="51"/>
      <c r="MMT31" s="51"/>
      <c r="MMV31" s="51"/>
      <c r="MMW31" s="51"/>
      <c r="MMY31" s="51"/>
      <c r="MNB31" s="51"/>
      <c r="MND31" s="51"/>
      <c r="MNE31" s="51"/>
      <c r="MNG31" s="51"/>
      <c r="MNJ31" s="51"/>
      <c r="MNL31" s="51"/>
      <c r="MNM31" s="51"/>
      <c r="MNO31" s="51"/>
      <c r="MNR31" s="51"/>
      <c r="MNT31" s="51"/>
      <c r="MNU31" s="51"/>
      <c r="MNW31" s="51"/>
      <c r="MNZ31" s="51"/>
      <c r="MOB31" s="51"/>
      <c r="MOC31" s="51"/>
      <c r="MOE31" s="51"/>
      <c r="MOH31" s="51"/>
      <c r="MOJ31" s="51"/>
      <c r="MOK31" s="51"/>
      <c r="MOM31" s="51"/>
      <c r="MOP31" s="51"/>
      <c r="MOR31" s="51"/>
      <c r="MOS31" s="51"/>
      <c r="MOU31" s="51"/>
      <c r="MOX31" s="51"/>
      <c r="MOZ31" s="51"/>
      <c r="MPA31" s="51"/>
      <c r="MPC31" s="51"/>
      <c r="MPF31" s="51"/>
      <c r="MPH31" s="51"/>
      <c r="MPI31" s="51"/>
      <c r="MPK31" s="51"/>
      <c r="MPN31" s="51"/>
      <c r="MPP31" s="51"/>
      <c r="MPQ31" s="51"/>
      <c r="MPS31" s="51"/>
      <c r="MPV31" s="51"/>
      <c r="MPX31" s="51"/>
      <c r="MPY31" s="51"/>
      <c r="MQA31" s="51"/>
      <c r="MQD31" s="51"/>
      <c r="MQF31" s="51"/>
      <c r="MQG31" s="51"/>
      <c r="MQI31" s="51"/>
      <c r="MQL31" s="51"/>
      <c r="MQN31" s="51"/>
      <c r="MQO31" s="51"/>
      <c r="MQQ31" s="51"/>
      <c r="MQT31" s="51"/>
      <c r="MQV31" s="51"/>
      <c r="MQW31" s="51"/>
      <c r="MQY31" s="51"/>
      <c r="MRB31" s="51"/>
      <c r="MRD31" s="51"/>
      <c r="MRE31" s="51"/>
      <c r="MRG31" s="51"/>
      <c r="MRJ31" s="51"/>
      <c r="MRL31" s="51"/>
      <c r="MRM31" s="51"/>
      <c r="MRO31" s="51"/>
      <c r="MRR31" s="51"/>
      <c r="MRT31" s="51"/>
      <c r="MRU31" s="51"/>
      <c r="MRW31" s="51"/>
      <c r="MRZ31" s="51"/>
      <c r="MSB31" s="51"/>
      <c r="MSC31" s="51"/>
      <c r="MSE31" s="51"/>
      <c r="MSH31" s="51"/>
      <c r="MSJ31" s="51"/>
      <c r="MSK31" s="51"/>
      <c r="MSM31" s="51"/>
      <c r="MSP31" s="51"/>
      <c r="MSR31" s="51"/>
      <c r="MSS31" s="51"/>
      <c r="MSU31" s="51"/>
      <c r="MSX31" s="51"/>
      <c r="MSZ31" s="51"/>
      <c r="MTA31" s="51"/>
      <c r="MTC31" s="51"/>
      <c r="MTF31" s="51"/>
      <c r="MTH31" s="51"/>
      <c r="MTI31" s="51"/>
      <c r="MTK31" s="51"/>
      <c r="MTN31" s="51"/>
      <c r="MTP31" s="51"/>
      <c r="MTQ31" s="51"/>
      <c r="MTS31" s="51"/>
      <c r="MTV31" s="51"/>
      <c r="MTX31" s="51"/>
      <c r="MTY31" s="51"/>
      <c r="MUA31" s="51"/>
      <c r="MUD31" s="51"/>
      <c r="MUF31" s="51"/>
      <c r="MUG31" s="51"/>
      <c r="MUI31" s="51"/>
      <c r="MUL31" s="51"/>
      <c r="MUN31" s="51"/>
      <c r="MUO31" s="51"/>
      <c r="MUQ31" s="51"/>
      <c r="MUT31" s="51"/>
      <c r="MUV31" s="51"/>
      <c r="MUW31" s="51"/>
      <c r="MUY31" s="51"/>
      <c r="MVB31" s="51"/>
      <c r="MVD31" s="51"/>
      <c r="MVE31" s="51"/>
      <c r="MVG31" s="51"/>
      <c r="MVJ31" s="51"/>
      <c r="MVL31" s="51"/>
      <c r="MVM31" s="51"/>
      <c r="MVO31" s="51"/>
      <c r="MVR31" s="51"/>
      <c r="MVT31" s="51"/>
      <c r="MVU31" s="51"/>
      <c r="MVW31" s="51"/>
      <c r="MVZ31" s="51"/>
      <c r="MWB31" s="51"/>
      <c r="MWC31" s="51"/>
      <c r="MWE31" s="51"/>
      <c r="MWH31" s="51"/>
      <c r="MWJ31" s="51"/>
      <c r="MWK31" s="51"/>
      <c r="MWM31" s="51"/>
      <c r="MWP31" s="51"/>
      <c r="MWR31" s="51"/>
      <c r="MWS31" s="51"/>
      <c r="MWU31" s="51"/>
      <c r="MWX31" s="51"/>
      <c r="MWZ31" s="51"/>
      <c r="MXA31" s="51"/>
      <c r="MXC31" s="51"/>
      <c r="MXF31" s="51"/>
      <c r="MXH31" s="51"/>
      <c r="MXI31" s="51"/>
      <c r="MXK31" s="51"/>
      <c r="MXN31" s="51"/>
      <c r="MXP31" s="51"/>
      <c r="MXQ31" s="51"/>
      <c r="MXS31" s="51"/>
      <c r="MXV31" s="51"/>
      <c r="MXX31" s="51"/>
      <c r="MXY31" s="51"/>
      <c r="MYA31" s="51"/>
      <c r="MYD31" s="51"/>
      <c r="MYF31" s="51"/>
      <c r="MYG31" s="51"/>
      <c r="MYI31" s="51"/>
      <c r="MYL31" s="51"/>
      <c r="MYN31" s="51"/>
      <c r="MYO31" s="51"/>
      <c r="MYQ31" s="51"/>
      <c r="MYT31" s="51"/>
      <c r="MYV31" s="51"/>
      <c r="MYW31" s="51"/>
      <c r="MYY31" s="51"/>
      <c r="MZB31" s="51"/>
      <c r="MZD31" s="51"/>
      <c r="MZE31" s="51"/>
      <c r="MZG31" s="51"/>
      <c r="MZJ31" s="51"/>
      <c r="MZL31" s="51"/>
      <c r="MZM31" s="51"/>
      <c r="MZO31" s="51"/>
      <c r="MZR31" s="51"/>
      <c r="MZT31" s="51"/>
      <c r="MZU31" s="51"/>
      <c r="MZW31" s="51"/>
      <c r="MZZ31" s="51"/>
      <c r="NAB31" s="51"/>
      <c r="NAC31" s="51"/>
      <c r="NAE31" s="51"/>
      <c r="NAH31" s="51"/>
      <c r="NAJ31" s="51"/>
      <c r="NAK31" s="51"/>
      <c r="NAM31" s="51"/>
      <c r="NAP31" s="51"/>
      <c r="NAR31" s="51"/>
      <c r="NAS31" s="51"/>
      <c r="NAU31" s="51"/>
      <c r="NAX31" s="51"/>
      <c r="NAZ31" s="51"/>
      <c r="NBA31" s="51"/>
      <c r="NBC31" s="51"/>
      <c r="NBF31" s="51"/>
      <c r="NBH31" s="51"/>
      <c r="NBI31" s="51"/>
      <c r="NBK31" s="51"/>
      <c r="NBN31" s="51"/>
      <c r="NBP31" s="51"/>
      <c r="NBQ31" s="51"/>
      <c r="NBS31" s="51"/>
      <c r="NBV31" s="51"/>
      <c r="NBX31" s="51"/>
      <c r="NBY31" s="51"/>
      <c r="NCA31" s="51"/>
      <c r="NCD31" s="51"/>
      <c r="NCF31" s="51"/>
      <c r="NCG31" s="51"/>
      <c r="NCI31" s="51"/>
      <c r="NCL31" s="51"/>
      <c r="NCN31" s="51"/>
      <c r="NCO31" s="51"/>
      <c r="NCQ31" s="51"/>
      <c r="NCT31" s="51"/>
      <c r="NCV31" s="51"/>
      <c r="NCW31" s="51"/>
      <c r="NCY31" s="51"/>
      <c r="NDB31" s="51"/>
      <c r="NDD31" s="51"/>
      <c r="NDE31" s="51"/>
      <c r="NDG31" s="51"/>
      <c r="NDJ31" s="51"/>
      <c r="NDL31" s="51"/>
      <c r="NDM31" s="51"/>
      <c r="NDO31" s="51"/>
      <c r="NDR31" s="51"/>
      <c r="NDT31" s="51"/>
      <c r="NDU31" s="51"/>
      <c r="NDW31" s="51"/>
      <c r="NDZ31" s="51"/>
      <c r="NEB31" s="51"/>
      <c r="NEC31" s="51"/>
      <c r="NEE31" s="51"/>
      <c r="NEH31" s="51"/>
      <c r="NEJ31" s="51"/>
      <c r="NEK31" s="51"/>
      <c r="NEM31" s="51"/>
      <c r="NEP31" s="51"/>
      <c r="NER31" s="51"/>
      <c r="NES31" s="51"/>
      <c r="NEU31" s="51"/>
      <c r="NEX31" s="51"/>
      <c r="NEZ31" s="51"/>
      <c r="NFA31" s="51"/>
      <c r="NFC31" s="51"/>
      <c r="NFF31" s="51"/>
      <c r="NFH31" s="51"/>
      <c r="NFI31" s="51"/>
      <c r="NFK31" s="51"/>
      <c r="NFN31" s="51"/>
      <c r="NFP31" s="51"/>
      <c r="NFQ31" s="51"/>
      <c r="NFS31" s="51"/>
      <c r="NFV31" s="51"/>
      <c r="NFX31" s="51"/>
      <c r="NFY31" s="51"/>
      <c r="NGA31" s="51"/>
      <c r="NGD31" s="51"/>
      <c r="NGF31" s="51"/>
      <c r="NGG31" s="51"/>
      <c r="NGI31" s="51"/>
      <c r="NGL31" s="51"/>
      <c r="NGN31" s="51"/>
      <c r="NGO31" s="51"/>
      <c r="NGQ31" s="51"/>
      <c r="NGT31" s="51"/>
      <c r="NGV31" s="51"/>
      <c r="NGW31" s="51"/>
      <c r="NGY31" s="51"/>
      <c r="NHB31" s="51"/>
      <c r="NHD31" s="51"/>
      <c r="NHE31" s="51"/>
      <c r="NHG31" s="51"/>
      <c r="NHJ31" s="51"/>
      <c r="NHL31" s="51"/>
      <c r="NHM31" s="51"/>
      <c r="NHO31" s="51"/>
      <c r="NHR31" s="51"/>
      <c r="NHT31" s="51"/>
      <c r="NHU31" s="51"/>
      <c r="NHW31" s="51"/>
      <c r="NHZ31" s="51"/>
      <c r="NIB31" s="51"/>
      <c r="NIC31" s="51"/>
      <c r="NIE31" s="51"/>
      <c r="NIH31" s="51"/>
      <c r="NIJ31" s="51"/>
      <c r="NIK31" s="51"/>
      <c r="NIM31" s="51"/>
      <c r="NIP31" s="51"/>
      <c r="NIR31" s="51"/>
      <c r="NIS31" s="51"/>
      <c r="NIU31" s="51"/>
      <c r="NIX31" s="51"/>
      <c r="NIZ31" s="51"/>
      <c r="NJA31" s="51"/>
      <c r="NJC31" s="51"/>
      <c r="NJF31" s="51"/>
      <c r="NJH31" s="51"/>
      <c r="NJI31" s="51"/>
      <c r="NJK31" s="51"/>
      <c r="NJN31" s="51"/>
      <c r="NJP31" s="51"/>
      <c r="NJQ31" s="51"/>
      <c r="NJS31" s="51"/>
      <c r="NJV31" s="51"/>
      <c r="NJX31" s="51"/>
      <c r="NJY31" s="51"/>
      <c r="NKA31" s="51"/>
      <c r="NKD31" s="51"/>
      <c r="NKF31" s="51"/>
      <c r="NKG31" s="51"/>
      <c r="NKI31" s="51"/>
      <c r="NKL31" s="51"/>
      <c r="NKN31" s="51"/>
      <c r="NKO31" s="51"/>
      <c r="NKQ31" s="51"/>
      <c r="NKT31" s="51"/>
      <c r="NKV31" s="51"/>
      <c r="NKW31" s="51"/>
      <c r="NKY31" s="51"/>
      <c r="NLB31" s="51"/>
      <c r="NLD31" s="51"/>
      <c r="NLE31" s="51"/>
      <c r="NLG31" s="51"/>
      <c r="NLJ31" s="51"/>
      <c r="NLL31" s="51"/>
      <c r="NLM31" s="51"/>
      <c r="NLO31" s="51"/>
      <c r="NLR31" s="51"/>
      <c r="NLT31" s="51"/>
      <c r="NLU31" s="51"/>
      <c r="NLW31" s="51"/>
      <c r="NLZ31" s="51"/>
      <c r="NMB31" s="51"/>
      <c r="NMC31" s="51"/>
      <c r="NME31" s="51"/>
      <c r="NMH31" s="51"/>
      <c r="NMJ31" s="51"/>
      <c r="NMK31" s="51"/>
      <c r="NMM31" s="51"/>
      <c r="NMP31" s="51"/>
      <c r="NMR31" s="51"/>
      <c r="NMS31" s="51"/>
      <c r="NMU31" s="51"/>
      <c r="NMX31" s="51"/>
      <c r="NMZ31" s="51"/>
      <c r="NNA31" s="51"/>
      <c r="NNC31" s="51"/>
      <c r="NNF31" s="51"/>
      <c r="NNH31" s="51"/>
      <c r="NNI31" s="51"/>
      <c r="NNK31" s="51"/>
      <c r="NNN31" s="51"/>
      <c r="NNP31" s="51"/>
      <c r="NNQ31" s="51"/>
      <c r="NNS31" s="51"/>
      <c r="NNV31" s="51"/>
      <c r="NNX31" s="51"/>
      <c r="NNY31" s="51"/>
      <c r="NOA31" s="51"/>
      <c r="NOD31" s="51"/>
      <c r="NOF31" s="51"/>
      <c r="NOG31" s="51"/>
      <c r="NOI31" s="51"/>
      <c r="NOL31" s="51"/>
      <c r="NON31" s="51"/>
      <c r="NOO31" s="51"/>
      <c r="NOQ31" s="51"/>
      <c r="NOT31" s="51"/>
      <c r="NOV31" s="51"/>
      <c r="NOW31" s="51"/>
      <c r="NOY31" s="51"/>
      <c r="NPB31" s="51"/>
      <c r="NPD31" s="51"/>
      <c r="NPE31" s="51"/>
      <c r="NPG31" s="51"/>
      <c r="NPJ31" s="51"/>
      <c r="NPL31" s="51"/>
      <c r="NPM31" s="51"/>
      <c r="NPO31" s="51"/>
      <c r="NPR31" s="51"/>
      <c r="NPT31" s="51"/>
      <c r="NPU31" s="51"/>
      <c r="NPW31" s="51"/>
      <c r="NPZ31" s="51"/>
      <c r="NQB31" s="51"/>
      <c r="NQC31" s="51"/>
      <c r="NQE31" s="51"/>
      <c r="NQH31" s="51"/>
      <c r="NQJ31" s="51"/>
      <c r="NQK31" s="51"/>
      <c r="NQM31" s="51"/>
      <c r="NQP31" s="51"/>
      <c r="NQR31" s="51"/>
      <c r="NQS31" s="51"/>
      <c r="NQU31" s="51"/>
      <c r="NQX31" s="51"/>
      <c r="NQZ31" s="51"/>
      <c r="NRA31" s="51"/>
      <c r="NRC31" s="51"/>
      <c r="NRF31" s="51"/>
      <c r="NRH31" s="51"/>
      <c r="NRI31" s="51"/>
      <c r="NRK31" s="51"/>
      <c r="NRN31" s="51"/>
      <c r="NRP31" s="51"/>
      <c r="NRQ31" s="51"/>
      <c r="NRS31" s="51"/>
      <c r="NRV31" s="51"/>
      <c r="NRX31" s="51"/>
      <c r="NRY31" s="51"/>
      <c r="NSA31" s="51"/>
      <c r="NSD31" s="51"/>
      <c r="NSF31" s="51"/>
      <c r="NSG31" s="51"/>
      <c r="NSI31" s="51"/>
      <c r="NSL31" s="51"/>
      <c r="NSN31" s="51"/>
      <c r="NSO31" s="51"/>
      <c r="NSQ31" s="51"/>
      <c r="NST31" s="51"/>
      <c r="NSV31" s="51"/>
      <c r="NSW31" s="51"/>
      <c r="NSY31" s="51"/>
      <c r="NTB31" s="51"/>
      <c r="NTD31" s="51"/>
      <c r="NTE31" s="51"/>
      <c r="NTG31" s="51"/>
      <c r="NTJ31" s="51"/>
      <c r="NTL31" s="51"/>
      <c r="NTM31" s="51"/>
      <c r="NTO31" s="51"/>
      <c r="NTR31" s="51"/>
      <c r="NTT31" s="51"/>
      <c r="NTU31" s="51"/>
      <c r="NTW31" s="51"/>
      <c r="NTZ31" s="51"/>
      <c r="NUB31" s="51"/>
      <c r="NUC31" s="51"/>
      <c r="NUE31" s="51"/>
      <c r="NUH31" s="51"/>
      <c r="NUJ31" s="51"/>
      <c r="NUK31" s="51"/>
      <c r="NUM31" s="51"/>
      <c r="NUP31" s="51"/>
      <c r="NUR31" s="51"/>
      <c r="NUS31" s="51"/>
      <c r="NUU31" s="51"/>
      <c r="NUX31" s="51"/>
      <c r="NUZ31" s="51"/>
      <c r="NVA31" s="51"/>
      <c r="NVC31" s="51"/>
      <c r="NVF31" s="51"/>
      <c r="NVH31" s="51"/>
      <c r="NVI31" s="51"/>
      <c r="NVK31" s="51"/>
      <c r="NVN31" s="51"/>
      <c r="NVP31" s="51"/>
      <c r="NVQ31" s="51"/>
      <c r="NVS31" s="51"/>
      <c r="NVV31" s="51"/>
      <c r="NVX31" s="51"/>
      <c r="NVY31" s="51"/>
      <c r="NWA31" s="51"/>
      <c r="NWD31" s="51"/>
      <c r="NWF31" s="51"/>
      <c r="NWG31" s="51"/>
      <c r="NWI31" s="51"/>
      <c r="NWL31" s="51"/>
      <c r="NWN31" s="51"/>
      <c r="NWO31" s="51"/>
      <c r="NWQ31" s="51"/>
      <c r="NWT31" s="51"/>
      <c r="NWV31" s="51"/>
      <c r="NWW31" s="51"/>
      <c r="NWY31" s="51"/>
      <c r="NXB31" s="51"/>
      <c r="NXD31" s="51"/>
      <c r="NXE31" s="51"/>
      <c r="NXG31" s="51"/>
      <c r="NXJ31" s="51"/>
      <c r="NXL31" s="51"/>
      <c r="NXM31" s="51"/>
      <c r="NXO31" s="51"/>
      <c r="NXR31" s="51"/>
      <c r="NXT31" s="51"/>
      <c r="NXU31" s="51"/>
      <c r="NXW31" s="51"/>
      <c r="NXZ31" s="51"/>
      <c r="NYB31" s="51"/>
      <c r="NYC31" s="51"/>
      <c r="NYE31" s="51"/>
      <c r="NYH31" s="51"/>
      <c r="NYJ31" s="51"/>
      <c r="NYK31" s="51"/>
      <c r="NYM31" s="51"/>
      <c r="NYP31" s="51"/>
      <c r="NYR31" s="51"/>
      <c r="NYS31" s="51"/>
      <c r="NYU31" s="51"/>
      <c r="NYX31" s="51"/>
      <c r="NYZ31" s="51"/>
      <c r="NZA31" s="51"/>
      <c r="NZC31" s="51"/>
      <c r="NZF31" s="51"/>
      <c r="NZH31" s="51"/>
      <c r="NZI31" s="51"/>
      <c r="NZK31" s="51"/>
      <c r="NZN31" s="51"/>
      <c r="NZP31" s="51"/>
      <c r="NZQ31" s="51"/>
      <c r="NZS31" s="51"/>
      <c r="NZV31" s="51"/>
      <c r="NZX31" s="51"/>
      <c r="NZY31" s="51"/>
      <c r="OAA31" s="51"/>
      <c r="OAD31" s="51"/>
      <c r="OAF31" s="51"/>
      <c r="OAG31" s="51"/>
      <c r="OAI31" s="51"/>
      <c r="OAL31" s="51"/>
      <c r="OAN31" s="51"/>
      <c r="OAO31" s="51"/>
      <c r="OAQ31" s="51"/>
      <c r="OAT31" s="51"/>
      <c r="OAV31" s="51"/>
      <c r="OAW31" s="51"/>
      <c r="OAY31" s="51"/>
      <c r="OBB31" s="51"/>
      <c r="OBD31" s="51"/>
      <c r="OBE31" s="51"/>
      <c r="OBG31" s="51"/>
      <c r="OBJ31" s="51"/>
      <c r="OBL31" s="51"/>
      <c r="OBM31" s="51"/>
      <c r="OBO31" s="51"/>
      <c r="OBR31" s="51"/>
      <c r="OBT31" s="51"/>
      <c r="OBU31" s="51"/>
      <c r="OBW31" s="51"/>
      <c r="OBZ31" s="51"/>
      <c r="OCB31" s="51"/>
      <c r="OCC31" s="51"/>
      <c r="OCE31" s="51"/>
      <c r="OCH31" s="51"/>
      <c r="OCJ31" s="51"/>
      <c r="OCK31" s="51"/>
      <c r="OCM31" s="51"/>
      <c r="OCP31" s="51"/>
      <c r="OCR31" s="51"/>
      <c r="OCS31" s="51"/>
      <c r="OCU31" s="51"/>
      <c r="OCX31" s="51"/>
      <c r="OCZ31" s="51"/>
      <c r="ODA31" s="51"/>
      <c r="ODC31" s="51"/>
      <c r="ODF31" s="51"/>
      <c r="ODH31" s="51"/>
      <c r="ODI31" s="51"/>
      <c r="ODK31" s="51"/>
      <c r="ODN31" s="51"/>
      <c r="ODP31" s="51"/>
      <c r="ODQ31" s="51"/>
      <c r="ODS31" s="51"/>
      <c r="ODV31" s="51"/>
      <c r="ODX31" s="51"/>
      <c r="ODY31" s="51"/>
      <c r="OEA31" s="51"/>
      <c r="OED31" s="51"/>
      <c r="OEF31" s="51"/>
      <c r="OEG31" s="51"/>
      <c r="OEI31" s="51"/>
      <c r="OEL31" s="51"/>
      <c r="OEN31" s="51"/>
      <c r="OEO31" s="51"/>
      <c r="OEQ31" s="51"/>
      <c r="OET31" s="51"/>
      <c r="OEV31" s="51"/>
      <c r="OEW31" s="51"/>
      <c r="OEY31" s="51"/>
      <c r="OFB31" s="51"/>
      <c r="OFD31" s="51"/>
      <c r="OFE31" s="51"/>
      <c r="OFG31" s="51"/>
      <c r="OFJ31" s="51"/>
      <c r="OFL31" s="51"/>
      <c r="OFM31" s="51"/>
      <c r="OFO31" s="51"/>
      <c r="OFR31" s="51"/>
      <c r="OFT31" s="51"/>
      <c r="OFU31" s="51"/>
      <c r="OFW31" s="51"/>
      <c r="OFZ31" s="51"/>
      <c r="OGB31" s="51"/>
      <c r="OGC31" s="51"/>
      <c r="OGE31" s="51"/>
      <c r="OGH31" s="51"/>
      <c r="OGJ31" s="51"/>
      <c r="OGK31" s="51"/>
      <c r="OGM31" s="51"/>
      <c r="OGP31" s="51"/>
      <c r="OGR31" s="51"/>
      <c r="OGS31" s="51"/>
      <c r="OGU31" s="51"/>
      <c r="OGX31" s="51"/>
      <c r="OGZ31" s="51"/>
      <c r="OHA31" s="51"/>
      <c r="OHC31" s="51"/>
      <c r="OHF31" s="51"/>
      <c r="OHH31" s="51"/>
      <c r="OHI31" s="51"/>
      <c r="OHK31" s="51"/>
      <c r="OHN31" s="51"/>
      <c r="OHP31" s="51"/>
      <c r="OHQ31" s="51"/>
      <c r="OHS31" s="51"/>
      <c r="OHV31" s="51"/>
      <c r="OHX31" s="51"/>
      <c r="OHY31" s="51"/>
      <c r="OIA31" s="51"/>
      <c r="OID31" s="51"/>
      <c r="OIF31" s="51"/>
      <c r="OIG31" s="51"/>
      <c r="OII31" s="51"/>
      <c r="OIL31" s="51"/>
      <c r="OIN31" s="51"/>
      <c r="OIO31" s="51"/>
      <c r="OIQ31" s="51"/>
      <c r="OIT31" s="51"/>
      <c r="OIV31" s="51"/>
      <c r="OIW31" s="51"/>
      <c r="OIY31" s="51"/>
      <c r="OJB31" s="51"/>
      <c r="OJD31" s="51"/>
      <c r="OJE31" s="51"/>
      <c r="OJG31" s="51"/>
      <c r="OJJ31" s="51"/>
      <c r="OJL31" s="51"/>
      <c r="OJM31" s="51"/>
      <c r="OJO31" s="51"/>
      <c r="OJR31" s="51"/>
      <c r="OJT31" s="51"/>
      <c r="OJU31" s="51"/>
      <c r="OJW31" s="51"/>
      <c r="OJZ31" s="51"/>
      <c r="OKB31" s="51"/>
      <c r="OKC31" s="51"/>
      <c r="OKE31" s="51"/>
      <c r="OKH31" s="51"/>
      <c r="OKJ31" s="51"/>
      <c r="OKK31" s="51"/>
      <c r="OKM31" s="51"/>
      <c r="OKP31" s="51"/>
      <c r="OKR31" s="51"/>
      <c r="OKS31" s="51"/>
      <c r="OKU31" s="51"/>
      <c r="OKX31" s="51"/>
      <c r="OKZ31" s="51"/>
      <c r="OLA31" s="51"/>
      <c r="OLC31" s="51"/>
      <c r="OLF31" s="51"/>
      <c r="OLH31" s="51"/>
      <c r="OLI31" s="51"/>
      <c r="OLK31" s="51"/>
      <c r="OLN31" s="51"/>
      <c r="OLP31" s="51"/>
      <c r="OLQ31" s="51"/>
      <c r="OLS31" s="51"/>
      <c r="OLV31" s="51"/>
      <c r="OLX31" s="51"/>
      <c r="OLY31" s="51"/>
      <c r="OMA31" s="51"/>
      <c r="OMD31" s="51"/>
      <c r="OMF31" s="51"/>
      <c r="OMG31" s="51"/>
      <c r="OMI31" s="51"/>
      <c r="OML31" s="51"/>
      <c r="OMN31" s="51"/>
      <c r="OMO31" s="51"/>
      <c r="OMQ31" s="51"/>
      <c r="OMT31" s="51"/>
      <c r="OMV31" s="51"/>
      <c r="OMW31" s="51"/>
      <c r="OMY31" s="51"/>
      <c r="ONB31" s="51"/>
      <c r="OND31" s="51"/>
      <c r="ONE31" s="51"/>
      <c r="ONG31" s="51"/>
      <c r="ONJ31" s="51"/>
      <c r="ONL31" s="51"/>
      <c r="ONM31" s="51"/>
      <c r="ONO31" s="51"/>
      <c r="ONR31" s="51"/>
      <c r="ONT31" s="51"/>
      <c r="ONU31" s="51"/>
      <c r="ONW31" s="51"/>
      <c r="ONZ31" s="51"/>
      <c r="OOB31" s="51"/>
      <c r="OOC31" s="51"/>
      <c r="OOE31" s="51"/>
      <c r="OOH31" s="51"/>
      <c r="OOJ31" s="51"/>
      <c r="OOK31" s="51"/>
      <c r="OOM31" s="51"/>
      <c r="OOP31" s="51"/>
      <c r="OOR31" s="51"/>
      <c r="OOS31" s="51"/>
      <c r="OOU31" s="51"/>
      <c r="OOX31" s="51"/>
      <c r="OOZ31" s="51"/>
      <c r="OPA31" s="51"/>
      <c r="OPC31" s="51"/>
      <c r="OPF31" s="51"/>
      <c r="OPH31" s="51"/>
      <c r="OPI31" s="51"/>
      <c r="OPK31" s="51"/>
      <c r="OPN31" s="51"/>
      <c r="OPP31" s="51"/>
      <c r="OPQ31" s="51"/>
      <c r="OPS31" s="51"/>
      <c r="OPV31" s="51"/>
      <c r="OPX31" s="51"/>
      <c r="OPY31" s="51"/>
      <c r="OQA31" s="51"/>
      <c r="OQD31" s="51"/>
      <c r="OQF31" s="51"/>
      <c r="OQG31" s="51"/>
      <c r="OQI31" s="51"/>
      <c r="OQL31" s="51"/>
      <c r="OQN31" s="51"/>
      <c r="OQO31" s="51"/>
      <c r="OQQ31" s="51"/>
      <c r="OQT31" s="51"/>
      <c r="OQV31" s="51"/>
      <c r="OQW31" s="51"/>
      <c r="OQY31" s="51"/>
      <c r="ORB31" s="51"/>
      <c r="ORD31" s="51"/>
      <c r="ORE31" s="51"/>
      <c r="ORG31" s="51"/>
      <c r="ORJ31" s="51"/>
      <c r="ORL31" s="51"/>
      <c r="ORM31" s="51"/>
      <c r="ORO31" s="51"/>
      <c r="ORR31" s="51"/>
      <c r="ORT31" s="51"/>
      <c r="ORU31" s="51"/>
      <c r="ORW31" s="51"/>
      <c r="ORZ31" s="51"/>
      <c r="OSB31" s="51"/>
      <c r="OSC31" s="51"/>
      <c r="OSE31" s="51"/>
      <c r="OSH31" s="51"/>
      <c r="OSJ31" s="51"/>
      <c r="OSK31" s="51"/>
      <c r="OSM31" s="51"/>
      <c r="OSP31" s="51"/>
      <c r="OSR31" s="51"/>
      <c r="OSS31" s="51"/>
      <c r="OSU31" s="51"/>
      <c r="OSX31" s="51"/>
      <c r="OSZ31" s="51"/>
      <c r="OTA31" s="51"/>
      <c r="OTC31" s="51"/>
      <c r="OTF31" s="51"/>
      <c r="OTH31" s="51"/>
      <c r="OTI31" s="51"/>
      <c r="OTK31" s="51"/>
      <c r="OTN31" s="51"/>
      <c r="OTP31" s="51"/>
      <c r="OTQ31" s="51"/>
      <c r="OTS31" s="51"/>
      <c r="OTV31" s="51"/>
      <c r="OTX31" s="51"/>
      <c r="OTY31" s="51"/>
      <c r="OUA31" s="51"/>
      <c r="OUD31" s="51"/>
      <c r="OUF31" s="51"/>
      <c r="OUG31" s="51"/>
      <c r="OUI31" s="51"/>
      <c r="OUL31" s="51"/>
      <c r="OUN31" s="51"/>
      <c r="OUO31" s="51"/>
      <c r="OUQ31" s="51"/>
      <c r="OUT31" s="51"/>
      <c r="OUV31" s="51"/>
      <c r="OUW31" s="51"/>
      <c r="OUY31" s="51"/>
      <c r="OVB31" s="51"/>
      <c r="OVD31" s="51"/>
      <c r="OVE31" s="51"/>
      <c r="OVG31" s="51"/>
      <c r="OVJ31" s="51"/>
      <c r="OVL31" s="51"/>
      <c r="OVM31" s="51"/>
      <c r="OVO31" s="51"/>
      <c r="OVR31" s="51"/>
      <c r="OVT31" s="51"/>
      <c r="OVU31" s="51"/>
      <c r="OVW31" s="51"/>
      <c r="OVZ31" s="51"/>
      <c r="OWB31" s="51"/>
      <c r="OWC31" s="51"/>
      <c r="OWE31" s="51"/>
      <c r="OWH31" s="51"/>
      <c r="OWJ31" s="51"/>
      <c r="OWK31" s="51"/>
      <c r="OWM31" s="51"/>
      <c r="OWP31" s="51"/>
      <c r="OWR31" s="51"/>
      <c r="OWS31" s="51"/>
      <c r="OWU31" s="51"/>
      <c r="OWX31" s="51"/>
      <c r="OWZ31" s="51"/>
      <c r="OXA31" s="51"/>
      <c r="OXC31" s="51"/>
      <c r="OXF31" s="51"/>
      <c r="OXH31" s="51"/>
      <c r="OXI31" s="51"/>
      <c r="OXK31" s="51"/>
      <c r="OXN31" s="51"/>
      <c r="OXP31" s="51"/>
      <c r="OXQ31" s="51"/>
      <c r="OXS31" s="51"/>
      <c r="OXV31" s="51"/>
      <c r="OXX31" s="51"/>
      <c r="OXY31" s="51"/>
      <c r="OYA31" s="51"/>
      <c r="OYD31" s="51"/>
      <c r="OYF31" s="51"/>
      <c r="OYG31" s="51"/>
      <c r="OYI31" s="51"/>
      <c r="OYL31" s="51"/>
      <c r="OYN31" s="51"/>
      <c r="OYO31" s="51"/>
      <c r="OYQ31" s="51"/>
      <c r="OYT31" s="51"/>
      <c r="OYV31" s="51"/>
      <c r="OYW31" s="51"/>
      <c r="OYY31" s="51"/>
      <c r="OZB31" s="51"/>
      <c r="OZD31" s="51"/>
      <c r="OZE31" s="51"/>
      <c r="OZG31" s="51"/>
      <c r="OZJ31" s="51"/>
      <c r="OZL31" s="51"/>
      <c r="OZM31" s="51"/>
      <c r="OZO31" s="51"/>
      <c r="OZR31" s="51"/>
      <c r="OZT31" s="51"/>
      <c r="OZU31" s="51"/>
      <c r="OZW31" s="51"/>
      <c r="OZZ31" s="51"/>
      <c r="PAB31" s="51"/>
      <c r="PAC31" s="51"/>
      <c r="PAE31" s="51"/>
      <c r="PAH31" s="51"/>
      <c r="PAJ31" s="51"/>
      <c r="PAK31" s="51"/>
      <c r="PAM31" s="51"/>
      <c r="PAP31" s="51"/>
      <c r="PAR31" s="51"/>
      <c r="PAS31" s="51"/>
      <c r="PAU31" s="51"/>
      <c r="PAX31" s="51"/>
      <c r="PAZ31" s="51"/>
      <c r="PBA31" s="51"/>
      <c r="PBC31" s="51"/>
      <c r="PBF31" s="51"/>
      <c r="PBH31" s="51"/>
      <c r="PBI31" s="51"/>
      <c r="PBK31" s="51"/>
      <c r="PBN31" s="51"/>
      <c r="PBP31" s="51"/>
      <c r="PBQ31" s="51"/>
      <c r="PBS31" s="51"/>
      <c r="PBV31" s="51"/>
      <c r="PBX31" s="51"/>
      <c r="PBY31" s="51"/>
      <c r="PCA31" s="51"/>
      <c r="PCD31" s="51"/>
      <c r="PCF31" s="51"/>
      <c r="PCG31" s="51"/>
      <c r="PCI31" s="51"/>
      <c r="PCL31" s="51"/>
      <c r="PCN31" s="51"/>
      <c r="PCO31" s="51"/>
      <c r="PCQ31" s="51"/>
      <c r="PCT31" s="51"/>
      <c r="PCV31" s="51"/>
      <c r="PCW31" s="51"/>
      <c r="PCY31" s="51"/>
      <c r="PDB31" s="51"/>
      <c r="PDD31" s="51"/>
      <c r="PDE31" s="51"/>
      <c r="PDG31" s="51"/>
      <c r="PDJ31" s="51"/>
      <c r="PDL31" s="51"/>
      <c r="PDM31" s="51"/>
      <c r="PDO31" s="51"/>
      <c r="PDR31" s="51"/>
      <c r="PDT31" s="51"/>
      <c r="PDU31" s="51"/>
      <c r="PDW31" s="51"/>
      <c r="PDZ31" s="51"/>
      <c r="PEB31" s="51"/>
      <c r="PEC31" s="51"/>
      <c r="PEE31" s="51"/>
      <c r="PEH31" s="51"/>
      <c r="PEJ31" s="51"/>
      <c r="PEK31" s="51"/>
      <c r="PEM31" s="51"/>
      <c r="PEP31" s="51"/>
      <c r="PER31" s="51"/>
      <c r="PES31" s="51"/>
      <c r="PEU31" s="51"/>
      <c r="PEX31" s="51"/>
      <c r="PEZ31" s="51"/>
      <c r="PFA31" s="51"/>
      <c r="PFC31" s="51"/>
      <c r="PFF31" s="51"/>
      <c r="PFH31" s="51"/>
      <c r="PFI31" s="51"/>
      <c r="PFK31" s="51"/>
      <c r="PFN31" s="51"/>
      <c r="PFP31" s="51"/>
      <c r="PFQ31" s="51"/>
      <c r="PFS31" s="51"/>
      <c r="PFV31" s="51"/>
      <c r="PFX31" s="51"/>
      <c r="PFY31" s="51"/>
      <c r="PGA31" s="51"/>
      <c r="PGD31" s="51"/>
      <c r="PGF31" s="51"/>
      <c r="PGG31" s="51"/>
      <c r="PGI31" s="51"/>
      <c r="PGL31" s="51"/>
      <c r="PGN31" s="51"/>
      <c r="PGO31" s="51"/>
      <c r="PGQ31" s="51"/>
      <c r="PGT31" s="51"/>
      <c r="PGV31" s="51"/>
      <c r="PGW31" s="51"/>
      <c r="PGY31" s="51"/>
      <c r="PHB31" s="51"/>
      <c r="PHD31" s="51"/>
      <c r="PHE31" s="51"/>
      <c r="PHG31" s="51"/>
      <c r="PHJ31" s="51"/>
      <c r="PHL31" s="51"/>
      <c r="PHM31" s="51"/>
      <c r="PHO31" s="51"/>
      <c r="PHR31" s="51"/>
      <c r="PHT31" s="51"/>
      <c r="PHU31" s="51"/>
      <c r="PHW31" s="51"/>
      <c r="PHZ31" s="51"/>
      <c r="PIB31" s="51"/>
      <c r="PIC31" s="51"/>
      <c r="PIE31" s="51"/>
      <c r="PIH31" s="51"/>
      <c r="PIJ31" s="51"/>
      <c r="PIK31" s="51"/>
      <c r="PIM31" s="51"/>
      <c r="PIP31" s="51"/>
      <c r="PIR31" s="51"/>
      <c r="PIS31" s="51"/>
      <c r="PIU31" s="51"/>
      <c r="PIX31" s="51"/>
      <c r="PIZ31" s="51"/>
      <c r="PJA31" s="51"/>
      <c r="PJC31" s="51"/>
      <c r="PJF31" s="51"/>
      <c r="PJH31" s="51"/>
      <c r="PJI31" s="51"/>
      <c r="PJK31" s="51"/>
      <c r="PJN31" s="51"/>
      <c r="PJP31" s="51"/>
      <c r="PJQ31" s="51"/>
      <c r="PJS31" s="51"/>
      <c r="PJV31" s="51"/>
      <c r="PJX31" s="51"/>
      <c r="PJY31" s="51"/>
      <c r="PKA31" s="51"/>
      <c r="PKD31" s="51"/>
      <c r="PKF31" s="51"/>
      <c r="PKG31" s="51"/>
      <c r="PKI31" s="51"/>
      <c r="PKL31" s="51"/>
      <c r="PKN31" s="51"/>
      <c r="PKO31" s="51"/>
      <c r="PKQ31" s="51"/>
      <c r="PKT31" s="51"/>
      <c r="PKV31" s="51"/>
      <c r="PKW31" s="51"/>
      <c r="PKY31" s="51"/>
      <c r="PLB31" s="51"/>
      <c r="PLD31" s="51"/>
      <c r="PLE31" s="51"/>
      <c r="PLG31" s="51"/>
      <c r="PLJ31" s="51"/>
      <c r="PLL31" s="51"/>
      <c r="PLM31" s="51"/>
      <c r="PLO31" s="51"/>
      <c r="PLR31" s="51"/>
      <c r="PLT31" s="51"/>
      <c r="PLU31" s="51"/>
      <c r="PLW31" s="51"/>
      <c r="PLZ31" s="51"/>
      <c r="PMB31" s="51"/>
      <c r="PMC31" s="51"/>
      <c r="PME31" s="51"/>
      <c r="PMH31" s="51"/>
      <c r="PMJ31" s="51"/>
      <c r="PMK31" s="51"/>
      <c r="PMM31" s="51"/>
      <c r="PMP31" s="51"/>
      <c r="PMR31" s="51"/>
      <c r="PMS31" s="51"/>
      <c r="PMU31" s="51"/>
      <c r="PMX31" s="51"/>
      <c r="PMZ31" s="51"/>
      <c r="PNA31" s="51"/>
      <c r="PNC31" s="51"/>
      <c r="PNF31" s="51"/>
      <c r="PNH31" s="51"/>
      <c r="PNI31" s="51"/>
      <c r="PNK31" s="51"/>
      <c r="PNN31" s="51"/>
      <c r="PNP31" s="51"/>
      <c r="PNQ31" s="51"/>
      <c r="PNS31" s="51"/>
      <c r="PNV31" s="51"/>
      <c r="PNX31" s="51"/>
      <c r="PNY31" s="51"/>
      <c r="POA31" s="51"/>
      <c r="POD31" s="51"/>
      <c r="POF31" s="51"/>
      <c r="POG31" s="51"/>
      <c r="POI31" s="51"/>
      <c r="POL31" s="51"/>
      <c r="PON31" s="51"/>
      <c r="POO31" s="51"/>
      <c r="POQ31" s="51"/>
      <c r="POT31" s="51"/>
      <c r="POV31" s="51"/>
      <c r="POW31" s="51"/>
      <c r="POY31" s="51"/>
      <c r="PPB31" s="51"/>
      <c r="PPD31" s="51"/>
      <c r="PPE31" s="51"/>
      <c r="PPG31" s="51"/>
      <c r="PPJ31" s="51"/>
      <c r="PPL31" s="51"/>
      <c r="PPM31" s="51"/>
      <c r="PPO31" s="51"/>
      <c r="PPR31" s="51"/>
      <c r="PPT31" s="51"/>
      <c r="PPU31" s="51"/>
      <c r="PPW31" s="51"/>
      <c r="PPZ31" s="51"/>
      <c r="PQB31" s="51"/>
      <c r="PQC31" s="51"/>
      <c r="PQE31" s="51"/>
      <c r="PQH31" s="51"/>
      <c r="PQJ31" s="51"/>
      <c r="PQK31" s="51"/>
      <c r="PQM31" s="51"/>
      <c r="PQP31" s="51"/>
      <c r="PQR31" s="51"/>
      <c r="PQS31" s="51"/>
      <c r="PQU31" s="51"/>
      <c r="PQX31" s="51"/>
      <c r="PQZ31" s="51"/>
      <c r="PRA31" s="51"/>
      <c r="PRC31" s="51"/>
      <c r="PRF31" s="51"/>
      <c r="PRH31" s="51"/>
      <c r="PRI31" s="51"/>
      <c r="PRK31" s="51"/>
      <c r="PRN31" s="51"/>
      <c r="PRP31" s="51"/>
      <c r="PRQ31" s="51"/>
      <c r="PRS31" s="51"/>
      <c r="PRV31" s="51"/>
      <c r="PRX31" s="51"/>
      <c r="PRY31" s="51"/>
      <c r="PSA31" s="51"/>
      <c r="PSD31" s="51"/>
      <c r="PSF31" s="51"/>
      <c r="PSG31" s="51"/>
      <c r="PSI31" s="51"/>
      <c r="PSL31" s="51"/>
      <c r="PSN31" s="51"/>
      <c r="PSO31" s="51"/>
      <c r="PSQ31" s="51"/>
      <c r="PST31" s="51"/>
      <c r="PSV31" s="51"/>
      <c r="PSW31" s="51"/>
      <c r="PSY31" s="51"/>
      <c r="PTB31" s="51"/>
      <c r="PTD31" s="51"/>
      <c r="PTE31" s="51"/>
      <c r="PTG31" s="51"/>
      <c r="PTJ31" s="51"/>
      <c r="PTL31" s="51"/>
      <c r="PTM31" s="51"/>
      <c r="PTO31" s="51"/>
      <c r="PTR31" s="51"/>
      <c r="PTT31" s="51"/>
      <c r="PTU31" s="51"/>
      <c r="PTW31" s="51"/>
      <c r="PTZ31" s="51"/>
      <c r="PUB31" s="51"/>
      <c r="PUC31" s="51"/>
      <c r="PUE31" s="51"/>
      <c r="PUH31" s="51"/>
      <c r="PUJ31" s="51"/>
      <c r="PUK31" s="51"/>
      <c r="PUM31" s="51"/>
      <c r="PUP31" s="51"/>
      <c r="PUR31" s="51"/>
      <c r="PUS31" s="51"/>
      <c r="PUU31" s="51"/>
      <c r="PUX31" s="51"/>
      <c r="PUZ31" s="51"/>
      <c r="PVA31" s="51"/>
      <c r="PVC31" s="51"/>
      <c r="PVF31" s="51"/>
      <c r="PVH31" s="51"/>
      <c r="PVI31" s="51"/>
      <c r="PVK31" s="51"/>
      <c r="PVN31" s="51"/>
      <c r="PVP31" s="51"/>
      <c r="PVQ31" s="51"/>
      <c r="PVS31" s="51"/>
      <c r="PVV31" s="51"/>
      <c r="PVX31" s="51"/>
      <c r="PVY31" s="51"/>
      <c r="PWA31" s="51"/>
      <c r="PWD31" s="51"/>
      <c r="PWF31" s="51"/>
      <c r="PWG31" s="51"/>
      <c r="PWI31" s="51"/>
      <c r="PWL31" s="51"/>
      <c r="PWN31" s="51"/>
      <c r="PWO31" s="51"/>
      <c r="PWQ31" s="51"/>
      <c r="PWT31" s="51"/>
      <c r="PWV31" s="51"/>
      <c r="PWW31" s="51"/>
      <c r="PWY31" s="51"/>
      <c r="PXB31" s="51"/>
      <c r="PXD31" s="51"/>
      <c r="PXE31" s="51"/>
      <c r="PXG31" s="51"/>
      <c r="PXJ31" s="51"/>
      <c r="PXL31" s="51"/>
      <c r="PXM31" s="51"/>
      <c r="PXO31" s="51"/>
      <c r="PXR31" s="51"/>
      <c r="PXT31" s="51"/>
      <c r="PXU31" s="51"/>
      <c r="PXW31" s="51"/>
      <c r="PXZ31" s="51"/>
      <c r="PYB31" s="51"/>
      <c r="PYC31" s="51"/>
      <c r="PYE31" s="51"/>
      <c r="PYH31" s="51"/>
      <c r="PYJ31" s="51"/>
      <c r="PYK31" s="51"/>
      <c r="PYM31" s="51"/>
      <c r="PYP31" s="51"/>
      <c r="PYR31" s="51"/>
      <c r="PYS31" s="51"/>
      <c r="PYU31" s="51"/>
      <c r="PYX31" s="51"/>
      <c r="PYZ31" s="51"/>
      <c r="PZA31" s="51"/>
      <c r="PZC31" s="51"/>
      <c r="PZF31" s="51"/>
      <c r="PZH31" s="51"/>
      <c r="PZI31" s="51"/>
      <c r="PZK31" s="51"/>
      <c r="PZN31" s="51"/>
      <c r="PZP31" s="51"/>
      <c r="PZQ31" s="51"/>
      <c r="PZS31" s="51"/>
      <c r="PZV31" s="51"/>
      <c r="PZX31" s="51"/>
      <c r="PZY31" s="51"/>
      <c r="QAA31" s="51"/>
      <c r="QAD31" s="51"/>
      <c r="QAF31" s="51"/>
      <c r="QAG31" s="51"/>
      <c r="QAI31" s="51"/>
      <c r="QAL31" s="51"/>
      <c r="QAN31" s="51"/>
      <c r="QAO31" s="51"/>
      <c r="QAQ31" s="51"/>
      <c r="QAT31" s="51"/>
      <c r="QAV31" s="51"/>
      <c r="QAW31" s="51"/>
      <c r="QAY31" s="51"/>
      <c r="QBB31" s="51"/>
      <c r="QBD31" s="51"/>
      <c r="QBE31" s="51"/>
      <c r="QBG31" s="51"/>
      <c r="QBJ31" s="51"/>
      <c r="QBL31" s="51"/>
      <c r="QBM31" s="51"/>
      <c r="QBO31" s="51"/>
      <c r="QBR31" s="51"/>
      <c r="QBT31" s="51"/>
      <c r="QBU31" s="51"/>
      <c r="QBW31" s="51"/>
      <c r="QBZ31" s="51"/>
      <c r="QCB31" s="51"/>
      <c r="QCC31" s="51"/>
      <c r="QCE31" s="51"/>
      <c r="QCH31" s="51"/>
      <c r="QCJ31" s="51"/>
      <c r="QCK31" s="51"/>
      <c r="QCM31" s="51"/>
      <c r="QCP31" s="51"/>
      <c r="QCR31" s="51"/>
      <c r="QCS31" s="51"/>
      <c r="QCU31" s="51"/>
      <c r="QCX31" s="51"/>
      <c r="QCZ31" s="51"/>
      <c r="QDA31" s="51"/>
      <c r="QDC31" s="51"/>
      <c r="QDF31" s="51"/>
      <c r="QDH31" s="51"/>
      <c r="QDI31" s="51"/>
      <c r="QDK31" s="51"/>
      <c r="QDN31" s="51"/>
      <c r="QDP31" s="51"/>
      <c r="QDQ31" s="51"/>
      <c r="QDS31" s="51"/>
      <c r="QDV31" s="51"/>
      <c r="QDX31" s="51"/>
      <c r="QDY31" s="51"/>
      <c r="QEA31" s="51"/>
      <c r="QED31" s="51"/>
      <c r="QEF31" s="51"/>
      <c r="QEG31" s="51"/>
      <c r="QEI31" s="51"/>
      <c r="QEL31" s="51"/>
      <c r="QEN31" s="51"/>
      <c r="QEO31" s="51"/>
      <c r="QEQ31" s="51"/>
      <c r="QET31" s="51"/>
      <c r="QEV31" s="51"/>
      <c r="QEW31" s="51"/>
      <c r="QEY31" s="51"/>
      <c r="QFB31" s="51"/>
      <c r="QFD31" s="51"/>
      <c r="QFE31" s="51"/>
      <c r="QFG31" s="51"/>
      <c r="QFJ31" s="51"/>
      <c r="QFL31" s="51"/>
      <c r="QFM31" s="51"/>
      <c r="QFO31" s="51"/>
      <c r="QFR31" s="51"/>
      <c r="QFT31" s="51"/>
      <c r="QFU31" s="51"/>
      <c r="QFW31" s="51"/>
      <c r="QFZ31" s="51"/>
      <c r="QGB31" s="51"/>
      <c r="QGC31" s="51"/>
      <c r="QGE31" s="51"/>
      <c r="QGH31" s="51"/>
      <c r="QGJ31" s="51"/>
      <c r="QGK31" s="51"/>
      <c r="QGM31" s="51"/>
      <c r="QGP31" s="51"/>
      <c r="QGR31" s="51"/>
      <c r="QGS31" s="51"/>
      <c r="QGU31" s="51"/>
      <c r="QGX31" s="51"/>
      <c r="QGZ31" s="51"/>
      <c r="QHA31" s="51"/>
      <c r="QHC31" s="51"/>
      <c r="QHF31" s="51"/>
      <c r="QHH31" s="51"/>
      <c r="QHI31" s="51"/>
      <c r="QHK31" s="51"/>
      <c r="QHN31" s="51"/>
      <c r="QHP31" s="51"/>
      <c r="QHQ31" s="51"/>
      <c r="QHS31" s="51"/>
      <c r="QHV31" s="51"/>
      <c r="QHX31" s="51"/>
      <c r="QHY31" s="51"/>
      <c r="QIA31" s="51"/>
      <c r="QID31" s="51"/>
      <c r="QIF31" s="51"/>
      <c r="QIG31" s="51"/>
      <c r="QII31" s="51"/>
      <c r="QIL31" s="51"/>
      <c r="QIN31" s="51"/>
      <c r="QIO31" s="51"/>
      <c r="QIQ31" s="51"/>
      <c r="QIT31" s="51"/>
      <c r="QIV31" s="51"/>
      <c r="QIW31" s="51"/>
      <c r="QIY31" s="51"/>
      <c r="QJB31" s="51"/>
      <c r="QJD31" s="51"/>
      <c r="QJE31" s="51"/>
      <c r="QJG31" s="51"/>
      <c r="QJJ31" s="51"/>
      <c r="QJL31" s="51"/>
      <c r="QJM31" s="51"/>
      <c r="QJO31" s="51"/>
      <c r="QJR31" s="51"/>
      <c r="QJT31" s="51"/>
      <c r="QJU31" s="51"/>
      <c r="QJW31" s="51"/>
      <c r="QJZ31" s="51"/>
      <c r="QKB31" s="51"/>
      <c r="QKC31" s="51"/>
      <c r="QKE31" s="51"/>
      <c r="QKH31" s="51"/>
      <c r="QKJ31" s="51"/>
      <c r="QKK31" s="51"/>
      <c r="QKM31" s="51"/>
      <c r="QKP31" s="51"/>
      <c r="QKR31" s="51"/>
      <c r="QKS31" s="51"/>
      <c r="QKU31" s="51"/>
      <c r="QKX31" s="51"/>
      <c r="QKZ31" s="51"/>
      <c r="QLA31" s="51"/>
      <c r="QLC31" s="51"/>
      <c r="QLF31" s="51"/>
      <c r="QLH31" s="51"/>
      <c r="QLI31" s="51"/>
      <c r="QLK31" s="51"/>
      <c r="QLN31" s="51"/>
      <c r="QLP31" s="51"/>
      <c r="QLQ31" s="51"/>
      <c r="QLS31" s="51"/>
      <c r="QLV31" s="51"/>
      <c r="QLX31" s="51"/>
      <c r="QLY31" s="51"/>
      <c r="QMA31" s="51"/>
      <c r="QMD31" s="51"/>
      <c r="QMF31" s="51"/>
      <c r="QMG31" s="51"/>
      <c r="QMI31" s="51"/>
      <c r="QML31" s="51"/>
      <c r="QMN31" s="51"/>
      <c r="QMO31" s="51"/>
      <c r="QMQ31" s="51"/>
      <c r="QMT31" s="51"/>
      <c r="QMV31" s="51"/>
      <c r="QMW31" s="51"/>
      <c r="QMY31" s="51"/>
      <c r="QNB31" s="51"/>
      <c r="QND31" s="51"/>
      <c r="QNE31" s="51"/>
      <c r="QNG31" s="51"/>
      <c r="QNJ31" s="51"/>
      <c r="QNL31" s="51"/>
      <c r="QNM31" s="51"/>
      <c r="QNO31" s="51"/>
      <c r="QNR31" s="51"/>
      <c r="QNT31" s="51"/>
      <c r="QNU31" s="51"/>
      <c r="QNW31" s="51"/>
      <c r="QNZ31" s="51"/>
      <c r="QOB31" s="51"/>
      <c r="QOC31" s="51"/>
      <c r="QOE31" s="51"/>
      <c r="QOH31" s="51"/>
      <c r="QOJ31" s="51"/>
      <c r="QOK31" s="51"/>
      <c r="QOM31" s="51"/>
      <c r="QOP31" s="51"/>
      <c r="QOR31" s="51"/>
      <c r="QOS31" s="51"/>
      <c r="QOU31" s="51"/>
      <c r="QOX31" s="51"/>
      <c r="QOZ31" s="51"/>
      <c r="QPA31" s="51"/>
      <c r="QPC31" s="51"/>
      <c r="QPF31" s="51"/>
      <c r="QPH31" s="51"/>
      <c r="QPI31" s="51"/>
      <c r="QPK31" s="51"/>
      <c r="QPN31" s="51"/>
      <c r="QPP31" s="51"/>
      <c r="QPQ31" s="51"/>
      <c r="QPS31" s="51"/>
      <c r="QPV31" s="51"/>
      <c r="QPX31" s="51"/>
      <c r="QPY31" s="51"/>
      <c r="QQA31" s="51"/>
      <c r="QQD31" s="51"/>
      <c r="QQF31" s="51"/>
      <c r="QQG31" s="51"/>
      <c r="QQI31" s="51"/>
      <c r="QQL31" s="51"/>
      <c r="QQN31" s="51"/>
      <c r="QQO31" s="51"/>
      <c r="QQQ31" s="51"/>
      <c r="QQT31" s="51"/>
      <c r="QQV31" s="51"/>
      <c r="QQW31" s="51"/>
      <c r="QQY31" s="51"/>
      <c r="QRB31" s="51"/>
      <c r="QRD31" s="51"/>
      <c r="QRE31" s="51"/>
      <c r="QRG31" s="51"/>
      <c r="QRJ31" s="51"/>
      <c r="QRL31" s="51"/>
      <c r="QRM31" s="51"/>
      <c r="QRO31" s="51"/>
      <c r="QRR31" s="51"/>
      <c r="QRT31" s="51"/>
      <c r="QRU31" s="51"/>
      <c r="QRW31" s="51"/>
      <c r="QRZ31" s="51"/>
      <c r="QSB31" s="51"/>
      <c r="QSC31" s="51"/>
      <c r="QSE31" s="51"/>
      <c r="QSH31" s="51"/>
      <c r="QSJ31" s="51"/>
      <c r="QSK31" s="51"/>
      <c r="QSM31" s="51"/>
      <c r="QSP31" s="51"/>
      <c r="QSR31" s="51"/>
      <c r="QSS31" s="51"/>
      <c r="QSU31" s="51"/>
      <c r="QSX31" s="51"/>
      <c r="QSZ31" s="51"/>
      <c r="QTA31" s="51"/>
      <c r="QTC31" s="51"/>
      <c r="QTF31" s="51"/>
      <c r="QTH31" s="51"/>
      <c r="QTI31" s="51"/>
      <c r="QTK31" s="51"/>
      <c r="QTN31" s="51"/>
      <c r="QTP31" s="51"/>
      <c r="QTQ31" s="51"/>
      <c r="QTS31" s="51"/>
      <c r="QTV31" s="51"/>
      <c r="QTX31" s="51"/>
      <c r="QTY31" s="51"/>
      <c r="QUA31" s="51"/>
      <c r="QUD31" s="51"/>
      <c r="QUF31" s="51"/>
      <c r="QUG31" s="51"/>
      <c r="QUI31" s="51"/>
      <c r="QUL31" s="51"/>
      <c r="QUN31" s="51"/>
      <c r="QUO31" s="51"/>
      <c r="QUQ31" s="51"/>
      <c r="QUT31" s="51"/>
      <c r="QUV31" s="51"/>
      <c r="QUW31" s="51"/>
      <c r="QUY31" s="51"/>
      <c r="QVB31" s="51"/>
      <c r="QVD31" s="51"/>
      <c r="QVE31" s="51"/>
      <c r="QVG31" s="51"/>
      <c r="QVJ31" s="51"/>
      <c r="QVL31" s="51"/>
      <c r="QVM31" s="51"/>
      <c r="QVO31" s="51"/>
      <c r="QVR31" s="51"/>
      <c r="QVT31" s="51"/>
      <c r="QVU31" s="51"/>
      <c r="QVW31" s="51"/>
      <c r="QVZ31" s="51"/>
      <c r="QWB31" s="51"/>
      <c r="QWC31" s="51"/>
      <c r="QWE31" s="51"/>
      <c r="QWH31" s="51"/>
      <c r="QWJ31" s="51"/>
      <c r="QWK31" s="51"/>
      <c r="QWM31" s="51"/>
      <c r="QWP31" s="51"/>
      <c r="QWR31" s="51"/>
      <c r="QWS31" s="51"/>
      <c r="QWU31" s="51"/>
      <c r="QWX31" s="51"/>
      <c r="QWZ31" s="51"/>
      <c r="QXA31" s="51"/>
      <c r="QXC31" s="51"/>
      <c r="QXF31" s="51"/>
      <c r="QXH31" s="51"/>
      <c r="QXI31" s="51"/>
      <c r="QXK31" s="51"/>
      <c r="QXN31" s="51"/>
      <c r="QXP31" s="51"/>
      <c r="QXQ31" s="51"/>
      <c r="QXS31" s="51"/>
      <c r="QXV31" s="51"/>
      <c r="QXX31" s="51"/>
      <c r="QXY31" s="51"/>
      <c r="QYA31" s="51"/>
      <c r="QYD31" s="51"/>
      <c r="QYF31" s="51"/>
      <c r="QYG31" s="51"/>
      <c r="QYI31" s="51"/>
      <c r="QYL31" s="51"/>
      <c r="QYN31" s="51"/>
      <c r="QYO31" s="51"/>
      <c r="QYQ31" s="51"/>
      <c r="QYT31" s="51"/>
      <c r="QYV31" s="51"/>
      <c r="QYW31" s="51"/>
      <c r="QYY31" s="51"/>
      <c r="QZB31" s="51"/>
      <c r="QZD31" s="51"/>
      <c r="QZE31" s="51"/>
      <c r="QZG31" s="51"/>
      <c r="QZJ31" s="51"/>
      <c r="QZL31" s="51"/>
      <c r="QZM31" s="51"/>
      <c r="QZO31" s="51"/>
      <c r="QZR31" s="51"/>
      <c r="QZT31" s="51"/>
      <c r="QZU31" s="51"/>
      <c r="QZW31" s="51"/>
      <c r="QZZ31" s="51"/>
      <c r="RAB31" s="51"/>
      <c r="RAC31" s="51"/>
      <c r="RAE31" s="51"/>
      <c r="RAH31" s="51"/>
      <c r="RAJ31" s="51"/>
      <c r="RAK31" s="51"/>
      <c r="RAM31" s="51"/>
      <c r="RAP31" s="51"/>
      <c r="RAR31" s="51"/>
      <c r="RAS31" s="51"/>
      <c r="RAU31" s="51"/>
      <c r="RAX31" s="51"/>
      <c r="RAZ31" s="51"/>
      <c r="RBA31" s="51"/>
      <c r="RBC31" s="51"/>
      <c r="RBF31" s="51"/>
      <c r="RBH31" s="51"/>
      <c r="RBI31" s="51"/>
      <c r="RBK31" s="51"/>
      <c r="RBN31" s="51"/>
      <c r="RBP31" s="51"/>
      <c r="RBQ31" s="51"/>
      <c r="RBS31" s="51"/>
      <c r="RBV31" s="51"/>
      <c r="RBX31" s="51"/>
      <c r="RBY31" s="51"/>
      <c r="RCA31" s="51"/>
      <c r="RCD31" s="51"/>
      <c r="RCF31" s="51"/>
      <c r="RCG31" s="51"/>
      <c r="RCI31" s="51"/>
      <c r="RCL31" s="51"/>
      <c r="RCN31" s="51"/>
      <c r="RCO31" s="51"/>
      <c r="RCQ31" s="51"/>
      <c r="RCT31" s="51"/>
      <c r="RCV31" s="51"/>
      <c r="RCW31" s="51"/>
      <c r="RCY31" s="51"/>
      <c r="RDB31" s="51"/>
      <c r="RDD31" s="51"/>
      <c r="RDE31" s="51"/>
      <c r="RDG31" s="51"/>
      <c r="RDJ31" s="51"/>
      <c r="RDL31" s="51"/>
      <c r="RDM31" s="51"/>
      <c r="RDO31" s="51"/>
      <c r="RDR31" s="51"/>
      <c r="RDT31" s="51"/>
      <c r="RDU31" s="51"/>
      <c r="RDW31" s="51"/>
      <c r="RDZ31" s="51"/>
      <c r="REB31" s="51"/>
      <c r="REC31" s="51"/>
      <c r="REE31" s="51"/>
      <c r="REH31" s="51"/>
      <c r="REJ31" s="51"/>
      <c r="REK31" s="51"/>
      <c r="REM31" s="51"/>
      <c r="REP31" s="51"/>
      <c r="RER31" s="51"/>
      <c r="RES31" s="51"/>
      <c r="REU31" s="51"/>
      <c r="REX31" s="51"/>
      <c r="REZ31" s="51"/>
      <c r="RFA31" s="51"/>
      <c r="RFC31" s="51"/>
      <c r="RFF31" s="51"/>
      <c r="RFH31" s="51"/>
      <c r="RFI31" s="51"/>
      <c r="RFK31" s="51"/>
      <c r="RFN31" s="51"/>
      <c r="RFP31" s="51"/>
      <c r="RFQ31" s="51"/>
      <c r="RFS31" s="51"/>
      <c r="RFV31" s="51"/>
      <c r="RFX31" s="51"/>
      <c r="RFY31" s="51"/>
      <c r="RGA31" s="51"/>
      <c r="RGD31" s="51"/>
      <c r="RGF31" s="51"/>
      <c r="RGG31" s="51"/>
      <c r="RGI31" s="51"/>
      <c r="RGL31" s="51"/>
      <c r="RGN31" s="51"/>
      <c r="RGO31" s="51"/>
      <c r="RGQ31" s="51"/>
      <c r="RGT31" s="51"/>
      <c r="RGV31" s="51"/>
      <c r="RGW31" s="51"/>
      <c r="RGY31" s="51"/>
      <c r="RHB31" s="51"/>
      <c r="RHD31" s="51"/>
      <c r="RHE31" s="51"/>
      <c r="RHG31" s="51"/>
      <c r="RHJ31" s="51"/>
      <c r="RHL31" s="51"/>
      <c r="RHM31" s="51"/>
      <c r="RHO31" s="51"/>
      <c r="RHR31" s="51"/>
      <c r="RHT31" s="51"/>
      <c r="RHU31" s="51"/>
      <c r="RHW31" s="51"/>
      <c r="RHZ31" s="51"/>
      <c r="RIB31" s="51"/>
      <c r="RIC31" s="51"/>
      <c r="RIE31" s="51"/>
      <c r="RIH31" s="51"/>
      <c r="RIJ31" s="51"/>
      <c r="RIK31" s="51"/>
      <c r="RIM31" s="51"/>
      <c r="RIP31" s="51"/>
      <c r="RIR31" s="51"/>
      <c r="RIS31" s="51"/>
      <c r="RIU31" s="51"/>
      <c r="RIX31" s="51"/>
      <c r="RIZ31" s="51"/>
      <c r="RJA31" s="51"/>
      <c r="RJC31" s="51"/>
      <c r="RJF31" s="51"/>
      <c r="RJH31" s="51"/>
      <c r="RJI31" s="51"/>
      <c r="RJK31" s="51"/>
      <c r="RJN31" s="51"/>
      <c r="RJP31" s="51"/>
      <c r="RJQ31" s="51"/>
      <c r="RJS31" s="51"/>
      <c r="RJV31" s="51"/>
      <c r="RJX31" s="51"/>
      <c r="RJY31" s="51"/>
      <c r="RKA31" s="51"/>
      <c r="RKD31" s="51"/>
      <c r="RKF31" s="51"/>
      <c r="RKG31" s="51"/>
      <c r="RKI31" s="51"/>
      <c r="RKL31" s="51"/>
      <c r="RKN31" s="51"/>
      <c r="RKO31" s="51"/>
      <c r="RKQ31" s="51"/>
      <c r="RKT31" s="51"/>
      <c r="RKV31" s="51"/>
      <c r="RKW31" s="51"/>
      <c r="RKY31" s="51"/>
      <c r="RLB31" s="51"/>
      <c r="RLD31" s="51"/>
      <c r="RLE31" s="51"/>
      <c r="RLG31" s="51"/>
      <c r="RLJ31" s="51"/>
      <c r="RLL31" s="51"/>
      <c r="RLM31" s="51"/>
      <c r="RLO31" s="51"/>
      <c r="RLR31" s="51"/>
      <c r="RLT31" s="51"/>
      <c r="RLU31" s="51"/>
      <c r="RLW31" s="51"/>
      <c r="RLZ31" s="51"/>
      <c r="RMB31" s="51"/>
      <c r="RMC31" s="51"/>
      <c r="RME31" s="51"/>
      <c r="RMH31" s="51"/>
      <c r="RMJ31" s="51"/>
      <c r="RMK31" s="51"/>
      <c r="RMM31" s="51"/>
      <c r="RMP31" s="51"/>
      <c r="RMR31" s="51"/>
      <c r="RMS31" s="51"/>
      <c r="RMU31" s="51"/>
      <c r="RMX31" s="51"/>
      <c r="RMZ31" s="51"/>
      <c r="RNA31" s="51"/>
      <c r="RNC31" s="51"/>
      <c r="RNF31" s="51"/>
      <c r="RNH31" s="51"/>
      <c r="RNI31" s="51"/>
      <c r="RNK31" s="51"/>
      <c r="RNN31" s="51"/>
      <c r="RNP31" s="51"/>
      <c r="RNQ31" s="51"/>
      <c r="RNS31" s="51"/>
      <c r="RNV31" s="51"/>
      <c r="RNX31" s="51"/>
      <c r="RNY31" s="51"/>
      <c r="ROA31" s="51"/>
      <c r="ROD31" s="51"/>
      <c r="ROF31" s="51"/>
      <c r="ROG31" s="51"/>
      <c r="ROI31" s="51"/>
      <c r="ROL31" s="51"/>
      <c r="RON31" s="51"/>
      <c r="ROO31" s="51"/>
      <c r="ROQ31" s="51"/>
      <c r="ROT31" s="51"/>
      <c r="ROV31" s="51"/>
      <c r="ROW31" s="51"/>
      <c r="ROY31" s="51"/>
      <c r="RPB31" s="51"/>
      <c r="RPD31" s="51"/>
      <c r="RPE31" s="51"/>
      <c r="RPG31" s="51"/>
      <c r="RPJ31" s="51"/>
      <c r="RPL31" s="51"/>
      <c r="RPM31" s="51"/>
      <c r="RPO31" s="51"/>
      <c r="RPR31" s="51"/>
      <c r="RPT31" s="51"/>
      <c r="RPU31" s="51"/>
      <c r="RPW31" s="51"/>
      <c r="RPZ31" s="51"/>
      <c r="RQB31" s="51"/>
      <c r="RQC31" s="51"/>
      <c r="RQE31" s="51"/>
      <c r="RQH31" s="51"/>
      <c r="RQJ31" s="51"/>
      <c r="RQK31" s="51"/>
      <c r="RQM31" s="51"/>
      <c r="RQP31" s="51"/>
      <c r="RQR31" s="51"/>
      <c r="RQS31" s="51"/>
      <c r="RQU31" s="51"/>
      <c r="RQX31" s="51"/>
      <c r="RQZ31" s="51"/>
      <c r="RRA31" s="51"/>
      <c r="RRC31" s="51"/>
      <c r="RRF31" s="51"/>
      <c r="RRH31" s="51"/>
      <c r="RRI31" s="51"/>
      <c r="RRK31" s="51"/>
      <c r="RRN31" s="51"/>
      <c r="RRP31" s="51"/>
      <c r="RRQ31" s="51"/>
      <c r="RRS31" s="51"/>
      <c r="RRV31" s="51"/>
      <c r="RRX31" s="51"/>
      <c r="RRY31" s="51"/>
      <c r="RSA31" s="51"/>
      <c r="RSD31" s="51"/>
      <c r="RSF31" s="51"/>
      <c r="RSG31" s="51"/>
      <c r="RSI31" s="51"/>
      <c r="RSL31" s="51"/>
      <c r="RSN31" s="51"/>
      <c r="RSO31" s="51"/>
      <c r="RSQ31" s="51"/>
      <c r="RST31" s="51"/>
      <c r="RSV31" s="51"/>
      <c r="RSW31" s="51"/>
      <c r="RSY31" s="51"/>
      <c r="RTB31" s="51"/>
      <c r="RTD31" s="51"/>
      <c r="RTE31" s="51"/>
      <c r="RTG31" s="51"/>
      <c r="RTJ31" s="51"/>
      <c r="RTL31" s="51"/>
      <c r="RTM31" s="51"/>
      <c r="RTO31" s="51"/>
      <c r="RTR31" s="51"/>
      <c r="RTT31" s="51"/>
      <c r="RTU31" s="51"/>
      <c r="RTW31" s="51"/>
      <c r="RTZ31" s="51"/>
      <c r="RUB31" s="51"/>
      <c r="RUC31" s="51"/>
      <c r="RUE31" s="51"/>
      <c r="RUH31" s="51"/>
      <c r="RUJ31" s="51"/>
      <c r="RUK31" s="51"/>
      <c r="RUM31" s="51"/>
      <c r="RUP31" s="51"/>
      <c r="RUR31" s="51"/>
      <c r="RUS31" s="51"/>
      <c r="RUU31" s="51"/>
      <c r="RUX31" s="51"/>
      <c r="RUZ31" s="51"/>
      <c r="RVA31" s="51"/>
      <c r="RVC31" s="51"/>
      <c r="RVF31" s="51"/>
      <c r="RVH31" s="51"/>
      <c r="RVI31" s="51"/>
      <c r="RVK31" s="51"/>
      <c r="RVN31" s="51"/>
      <c r="RVP31" s="51"/>
      <c r="RVQ31" s="51"/>
      <c r="RVS31" s="51"/>
      <c r="RVV31" s="51"/>
      <c r="RVX31" s="51"/>
      <c r="RVY31" s="51"/>
      <c r="RWA31" s="51"/>
      <c r="RWD31" s="51"/>
      <c r="RWF31" s="51"/>
      <c r="RWG31" s="51"/>
      <c r="RWI31" s="51"/>
      <c r="RWL31" s="51"/>
      <c r="RWN31" s="51"/>
      <c r="RWO31" s="51"/>
      <c r="RWQ31" s="51"/>
      <c r="RWT31" s="51"/>
      <c r="RWV31" s="51"/>
      <c r="RWW31" s="51"/>
      <c r="RWY31" s="51"/>
      <c r="RXB31" s="51"/>
      <c r="RXD31" s="51"/>
      <c r="RXE31" s="51"/>
      <c r="RXG31" s="51"/>
      <c r="RXJ31" s="51"/>
      <c r="RXL31" s="51"/>
      <c r="RXM31" s="51"/>
      <c r="RXO31" s="51"/>
      <c r="RXR31" s="51"/>
      <c r="RXT31" s="51"/>
      <c r="RXU31" s="51"/>
      <c r="RXW31" s="51"/>
      <c r="RXZ31" s="51"/>
      <c r="RYB31" s="51"/>
      <c r="RYC31" s="51"/>
      <c r="RYE31" s="51"/>
      <c r="RYH31" s="51"/>
      <c r="RYJ31" s="51"/>
      <c r="RYK31" s="51"/>
      <c r="RYM31" s="51"/>
      <c r="RYP31" s="51"/>
      <c r="RYR31" s="51"/>
      <c r="RYS31" s="51"/>
      <c r="RYU31" s="51"/>
      <c r="RYX31" s="51"/>
      <c r="RYZ31" s="51"/>
      <c r="RZA31" s="51"/>
      <c r="RZC31" s="51"/>
      <c r="RZF31" s="51"/>
      <c r="RZH31" s="51"/>
      <c r="RZI31" s="51"/>
      <c r="RZK31" s="51"/>
      <c r="RZN31" s="51"/>
      <c r="RZP31" s="51"/>
      <c r="RZQ31" s="51"/>
      <c r="RZS31" s="51"/>
      <c r="RZV31" s="51"/>
      <c r="RZX31" s="51"/>
      <c r="RZY31" s="51"/>
      <c r="SAA31" s="51"/>
      <c r="SAD31" s="51"/>
      <c r="SAF31" s="51"/>
      <c r="SAG31" s="51"/>
      <c r="SAI31" s="51"/>
      <c r="SAL31" s="51"/>
      <c r="SAN31" s="51"/>
      <c r="SAO31" s="51"/>
      <c r="SAQ31" s="51"/>
      <c r="SAT31" s="51"/>
      <c r="SAV31" s="51"/>
      <c r="SAW31" s="51"/>
      <c r="SAY31" s="51"/>
      <c r="SBB31" s="51"/>
      <c r="SBD31" s="51"/>
      <c r="SBE31" s="51"/>
      <c r="SBG31" s="51"/>
      <c r="SBJ31" s="51"/>
      <c r="SBL31" s="51"/>
      <c r="SBM31" s="51"/>
      <c r="SBO31" s="51"/>
      <c r="SBR31" s="51"/>
      <c r="SBT31" s="51"/>
      <c r="SBU31" s="51"/>
      <c r="SBW31" s="51"/>
      <c r="SBZ31" s="51"/>
      <c r="SCB31" s="51"/>
      <c r="SCC31" s="51"/>
      <c r="SCE31" s="51"/>
      <c r="SCH31" s="51"/>
      <c r="SCJ31" s="51"/>
      <c r="SCK31" s="51"/>
      <c r="SCM31" s="51"/>
      <c r="SCP31" s="51"/>
      <c r="SCR31" s="51"/>
      <c r="SCS31" s="51"/>
      <c r="SCU31" s="51"/>
      <c r="SCX31" s="51"/>
      <c r="SCZ31" s="51"/>
      <c r="SDA31" s="51"/>
      <c r="SDC31" s="51"/>
      <c r="SDF31" s="51"/>
      <c r="SDH31" s="51"/>
      <c r="SDI31" s="51"/>
      <c r="SDK31" s="51"/>
      <c r="SDN31" s="51"/>
      <c r="SDP31" s="51"/>
      <c r="SDQ31" s="51"/>
      <c r="SDS31" s="51"/>
      <c r="SDV31" s="51"/>
      <c r="SDX31" s="51"/>
      <c r="SDY31" s="51"/>
      <c r="SEA31" s="51"/>
      <c r="SED31" s="51"/>
      <c r="SEF31" s="51"/>
      <c r="SEG31" s="51"/>
      <c r="SEI31" s="51"/>
      <c r="SEL31" s="51"/>
      <c r="SEN31" s="51"/>
      <c r="SEO31" s="51"/>
      <c r="SEQ31" s="51"/>
      <c r="SET31" s="51"/>
      <c r="SEV31" s="51"/>
      <c r="SEW31" s="51"/>
      <c r="SEY31" s="51"/>
      <c r="SFB31" s="51"/>
      <c r="SFD31" s="51"/>
      <c r="SFE31" s="51"/>
      <c r="SFG31" s="51"/>
      <c r="SFJ31" s="51"/>
      <c r="SFL31" s="51"/>
      <c r="SFM31" s="51"/>
      <c r="SFO31" s="51"/>
      <c r="SFR31" s="51"/>
      <c r="SFT31" s="51"/>
      <c r="SFU31" s="51"/>
      <c r="SFW31" s="51"/>
      <c r="SFZ31" s="51"/>
      <c r="SGB31" s="51"/>
      <c r="SGC31" s="51"/>
      <c r="SGE31" s="51"/>
      <c r="SGH31" s="51"/>
      <c r="SGJ31" s="51"/>
      <c r="SGK31" s="51"/>
      <c r="SGM31" s="51"/>
      <c r="SGP31" s="51"/>
      <c r="SGR31" s="51"/>
      <c r="SGS31" s="51"/>
      <c r="SGU31" s="51"/>
      <c r="SGX31" s="51"/>
      <c r="SGZ31" s="51"/>
      <c r="SHA31" s="51"/>
      <c r="SHC31" s="51"/>
      <c r="SHF31" s="51"/>
      <c r="SHH31" s="51"/>
      <c r="SHI31" s="51"/>
      <c r="SHK31" s="51"/>
      <c r="SHN31" s="51"/>
      <c r="SHP31" s="51"/>
      <c r="SHQ31" s="51"/>
      <c r="SHS31" s="51"/>
      <c r="SHV31" s="51"/>
      <c r="SHX31" s="51"/>
      <c r="SHY31" s="51"/>
      <c r="SIA31" s="51"/>
      <c r="SID31" s="51"/>
      <c r="SIF31" s="51"/>
      <c r="SIG31" s="51"/>
      <c r="SII31" s="51"/>
      <c r="SIL31" s="51"/>
      <c r="SIN31" s="51"/>
      <c r="SIO31" s="51"/>
      <c r="SIQ31" s="51"/>
      <c r="SIT31" s="51"/>
      <c r="SIV31" s="51"/>
      <c r="SIW31" s="51"/>
      <c r="SIY31" s="51"/>
      <c r="SJB31" s="51"/>
      <c r="SJD31" s="51"/>
      <c r="SJE31" s="51"/>
      <c r="SJG31" s="51"/>
      <c r="SJJ31" s="51"/>
      <c r="SJL31" s="51"/>
      <c r="SJM31" s="51"/>
      <c r="SJO31" s="51"/>
      <c r="SJR31" s="51"/>
      <c r="SJT31" s="51"/>
      <c r="SJU31" s="51"/>
      <c r="SJW31" s="51"/>
      <c r="SJZ31" s="51"/>
      <c r="SKB31" s="51"/>
      <c r="SKC31" s="51"/>
      <c r="SKE31" s="51"/>
      <c r="SKH31" s="51"/>
      <c r="SKJ31" s="51"/>
      <c r="SKK31" s="51"/>
      <c r="SKM31" s="51"/>
      <c r="SKP31" s="51"/>
      <c r="SKR31" s="51"/>
      <c r="SKS31" s="51"/>
      <c r="SKU31" s="51"/>
      <c r="SKX31" s="51"/>
      <c r="SKZ31" s="51"/>
      <c r="SLA31" s="51"/>
      <c r="SLC31" s="51"/>
      <c r="SLF31" s="51"/>
      <c r="SLH31" s="51"/>
      <c r="SLI31" s="51"/>
      <c r="SLK31" s="51"/>
      <c r="SLN31" s="51"/>
      <c r="SLP31" s="51"/>
      <c r="SLQ31" s="51"/>
      <c r="SLS31" s="51"/>
      <c r="SLV31" s="51"/>
      <c r="SLX31" s="51"/>
      <c r="SLY31" s="51"/>
      <c r="SMA31" s="51"/>
      <c r="SMD31" s="51"/>
      <c r="SMF31" s="51"/>
      <c r="SMG31" s="51"/>
      <c r="SMI31" s="51"/>
      <c r="SML31" s="51"/>
      <c r="SMN31" s="51"/>
      <c r="SMO31" s="51"/>
      <c r="SMQ31" s="51"/>
      <c r="SMT31" s="51"/>
      <c r="SMV31" s="51"/>
      <c r="SMW31" s="51"/>
      <c r="SMY31" s="51"/>
      <c r="SNB31" s="51"/>
      <c r="SND31" s="51"/>
      <c r="SNE31" s="51"/>
      <c r="SNG31" s="51"/>
      <c r="SNJ31" s="51"/>
      <c r="SNL31" s="51"/>
      <c r="SNM31" s="51"/>
      <c r="SNO31" s="51"/>
      <c r="SNR31" s="51"/>
      <c r="SNT31" s="51"/>
      <c r="SNU31" s="51"/>
      <c r="SNW31" s="51"/>
      <c r="SNZ31" s="51"/>
      <c r="SOB31" s="51"/>
      <c r="SOC31" s="51"/>
      <c r="SOE31" s="51"/>
      <c r="SOH31" s="51"/>
      <c r="SOJ31" s="51"/>
      <c r="SOK31" s="51"/>
      <c r="SOM31" s="51"/>
      <c r="SOP31" s="51"/>
      <c r="SOR31" s="51"/>
      <c r="SOS31" s="51"/>
      <c r="SOU31" s="51"/>
      <c r="SOX31" s="51"/>
      <c r="SOZ31" s="51"/>
      <c r="SPA31" s="51"/>
      <c r="SPC31" s="51"/>
      <c r="SPF31" s="51"/>
      <c r="SPH31" s="51"/>
      <c r="SPI31" s="51"/>
      <c r="SPK31" s="51"/>
      <c r="SPN31" s="51"/>
      <c r="SPP31" s="51"/>
      <c r="SPQ31" s="51"/>
      <c r="SPS31" s="51"/>
      <c r="SPV31" s="51"/>
      <c r="SPX31" s="51"/>
      <c r="SPY31" s="51"/>
      <c r="SQA31" s="51"/>
      <c r="SQD31" s="51"/>
      <c r="SQF31" s="51"/>
      <c r="SQG31" s="51"/>
      <c r="SQI31" s="51"/>
      <c r="SQL31" s="51"/>
      <c r="SQN31" s="51"/>
      <c r="SQO31" s="51"/>
      <c r="SQQ31" s="51"/>
      <c r="SQT31" s="51"/>
      <c r="SQV31" s="51"/>
      <c r="SQW31" s="51"/>
      <c r="SQY31" s="51"/>
      <c r="SRB31" s="51"/>
      <c r="SRD31" s="51"/>
      <c r="SRE31" s="51"/>
      <c r="SRG31" s="51"/>
      <c r="SRJ31" s="51"/>
      <c r="SRL31" s="51"/>
      <c r="SRM31" s="51"/>
      <c r="SRO31" s="51"/>
      <c r="SRR31" s="51"/>
      <c r="SRT31" s="51"/>
      <c r="SRU31" s="51"/>
      <c r="SRW31" s="51"/>
      <c r="SRZ31" s="51"/>
      <c r="SSB31" s="51"/>
      <c r="SSC31" s="51"/>
      <c r="SSE31" s="51"/>
      <c r="SSH31" s="51"/>
      <c r="SSJ31" s="51"/>
      <c r="SSK31" s="51"/>
      <c r="SSM31" s="51"/>
      <c r="SSP31" s="51"/>
      <c r="SSR31" s="51"/>
      <c r="SSS31" s="51"/>
      <c r="SSU31" s="51"/>
      <c r="SSX31" s="51"/>
      <c r="SSZ31" s="51"/>
      <c r="STA31" s="51"/>
      <c r="STC31" s="51"/>
      <c r="STF31" s="51"/>
      <c r="STH31" s="51"/>
      <c r="STI31" s="51"/>
      <c r="STK31" s="51"/>
      <c r="STN31" s="51"/>
      <c r="STP31" s="51"/>
      <c r="STQ31" s="51"/>
      <c r="STS31" s="51"/>
      <c r="STV31" s="51"/>
      <c r="STX31" s="51"/>
      <c r="STY31" s="51"/>
      <c r="SUA31" s="51"/>
      <c r="SUD31" s="51"/>
      <c r="SUF31" s="51"/>
      <c r="SUG31" s="51"/>
      <c r="SUI31" s="51"/>
      <c r="SUL31" s="51"/>
      <c r="SUN31" s="51"/>
      <c r="SUO31" s="51"/>
      <c r="SUQ31" s="51"/>
      <c r="SUT31" s="51"/>
      <c r="SUV31" s="51"/>
      <c r="SUW31" s="51"/>
      <c r="SUY31" s="51"/>
      <c r="SVB31" s="51"/>
      <c r="SVD31" s="51"/>
      <c r="SVE31" s="51"/>
      <c r="SVG31" s="51"/>
      <c r="SVJ31" s="51"/>
      <c r="SVL31" s="51"/>
      <c r="SVM31" s="51"/>
      <c r="SVO31" s="51"/>
      <c r="SVR31" s="51"/>
      <c r="SVT31" s="51"/>
      <c r="SVU31" s="51"/>
      <c r="SVW31" s="51"/>
      <c r="SVZ31" s="51"/>
      <c r="SWB31" s="51"/>
      <c r="SWC31" s="51"/>
      <c r="SWE31" s="51"/>
      <c r="SWH31" s="51"/>
      <c r="SWJ31" s="51"/>
      <c r="SWK31" s="51"/>
      <c r="SWM31" s="51"/>
      <c r="SWP31" s="51"/>
      <c r="SWR31" s="51"/>
      <c r="SWS31" s="51"/>
      <c r="SWU31" s="51"/>
      <c r="SWX31" s="51"/>
      <c r="SWZ31" s="51"/>
      <c r="SXA31" s="51"/>
      <c r="SXC31" s="51"/>
      <c r="SXF31" s="51"/>
      <c r="SXH31" s="51"/>
      <c r="SXI31" s="51"/>
      <c r="SXK31" s="51"/>
      <c r="SXN31" s="51"/>
      <c r="SXP31" s="51"/>
      <c r="SXQ31" s="51"/>
      <c r="SXS31" s="51"/>
      <c r="SXV31" s="51"/>
      <c r="SXX31" s="51"/>
      <c r="SXY31" s="51"/>
      <c r="SYA31" s="51"/>
      <c r="SYD31" s="51"/>
      <c r="SYF31" s="51"/>
      <c r="SYG31" s="51"/>
      <c r="SYI31" s="51"/>
      <c r="SYL31" s="51"/>
      <c r="SYN31" s="51"/>
      <c r="SYO31" s="51"/>
      <c r="SYQ31" s="51"/>
      <c r="SYT31" s="51"/>
      <c r="SYV31" s="51"/>
      <c r="SYW31" s="51"/>
      <c r="SYY31" s="51"/>
      <c r="SZB31" s="51"/>
      <c r="SZD31" s="51"/>
      <c r="SZE31" s="51"/>
      <c r="SZG31" s="51"/>
      <c r="SZJ31" s="51"/>
      <c r="SZL31" s="51"/>
      <c r="SZM31" s="51"/>
      <c r="SZO31" s="51"/>
      <c r="SZR31" s="51"/>
      <c r="SZT31" s="51"/>
      <c r="SZU31" s="51"/>
      <c r="SZW31" s="51"/>
      <c r="SZZ31" s="51"/>
      <c r="TAB31" s="51"/>
      <c r="TAC31" s="51"/>
      <c r="TAE31" s="51"/>
      <c r="TAH31" s="51"/>
      <c r="TAJ31" s="51"/>
      <c r="TAK31" s="51"/>
      <c r="TAM31" s="51"/>
      <c r="TAP31" s="51"/>
      <c r="TAR31" s="51"/>
      <c r="TAS31" s="51"/>
      <c r="TAU31" s="51"/>
      <c r="TAX31" s="51"/>
      <c r="TAZ31" s="51"/>
      <c r="TBA31" s="51"/>
      <c r="TBC31" s="51"/>
      <c r="TBF31" s="51"/>
      <c r="TBH31" s="51"/>
      <c r="TBI31" s="51"/>
      <c r="TBK31" s="51"/>
      <c r="TBN31" s="51"/>
      <c r="TBP31" s="51"/>
      <c r="TBQ31" s="51"/>
      <c r="TBS31" s="51"/>
      <c r="TBV31" s="51"/>
      <c r="TBX31" s="51"/>
      <c r="TBY31" s="51"/>
      <c r="TCA31" s="51"/>
      <c r="TCD31" s="51"/>
      <c r="TCF31" s="51"/>
      <c r="TCG31" s="51"/>
      <c r="TCI31" s="51"/>
      <c r="TCL31" s="51"/>
      <c r="TCN31" s="51"/>
      <c r="TCO31" s="51"/>
      <c r="TCQ31" s="51"/>
      <c r="TCT31" s="51"/>
      <c r="TCV31" s="51"/>
      <c r="TCW31" s="51"/>
      <c r="TCY31" s="51"/>
      <c r="TDB31" s="51"/>
      <c r="TDD31" s="51"/>
      <c r="TDE31" s="51"/>
      <c r="TDG31" s="51"/>
      <c r="TDJ31" s="51"/>
      <c r="TDL31" s="51"/>
      <c r="TDM31" s="51"/>
      <c r="TDO31" s="51"/>
      <c r="TDR31" s="51"/>
      <c r="TDT31" s="51"/>
      <c r="TDU31" s="51"/>
      <c r="TDW31" s="51"/>
      <c r="TDZ31" s="51"/>
      <c r="TEB31" s="51"/>
      <c r="TEC31" s="51"/>
      <c r="TEE31" s="51"/>
      <c r="TEH31" s="51"/>
      <c r="TEJ31" s="51"/>
      <c r="TEK31" s="51"/>
      <c r="TEM31" s="51"/>
      <c r="TEP31" s="51"/>
      <c r="TER31" s="51"/>
      <c r="TES31" s="51"/>
      <c r="TEU31" s="51"/>
      <c r="TEX31" s="51"/>
      <c r="TEZ31" s="51"/>
      <c r="TFA31" s="51"/>
      <c r="TFC31" s="51"/>
      <c r="TFF31" s="51"/>
      <c r="TFH31" s="51"/>
      <c r="TFI31" s="51"/>
      <c r="TFK31" s="51"/>
      <c r="TFN31" s="51"/>
      <c r="TFP31" s="51"/>
      <c r="TFQ31" s="51"/>
      <c r="TFS31" s="51"/>
      <c r="TFV31" s="51"/>
      <c r="TFX31" s="51"/>
      <c r="TFY31" s="51"/>
      <c r="TGA31" s="51"/>
      <c r="TGD31" s="51"/>
      <c r="TGF31" s="51"/>
      <c r="TGG31" s="51"/>
      <c r="TGI31" s="51"/>
      <c r="TGL31" s="51"/>
      <c r="TGN31" s="51"/>
      <c r="TGO31" s="51"/>
      <c r="TGQ31" s="51"/>
      <c r="TGT31" s="51"/>
      <c r="TGV31" s="51"/>
      <c r="TGW31" s="51"/>
      <c r="TGY31" s="51"/>
      <c r="THB31" s="51"/>
      <c r="THD31" s="51"/>
      <c r="THE31" s="51"/>
      <c r="THG31" s="51"/>
      <c r="THJ31" s="51"/>
      <c r="THL31" s="51"/>
      <c r="THM31" s="51"/>
      <c r="THO31" s="51"/>
      <c r="THR31" s="51"/>
      <c r="THT31" s="51"/>
      <c r="THU31" s="51"/>
      <c r="THW31" s="51"/>
      <c r="THZ31" s="51"/>
      <c r="TIB31" s="51"/>
      <c r="TIC31" s="51"/>
      <c r="TIE31" s="51"/>
      <c r="TIH31" s="51"/>
      <c r="TIJ31" s="51"/>
      <c r="TIK31" s="51"/>
      <c r="TIM31" s="51"/>
      <c r="TIP31" s="51"/>
      <c r="TIR31" s="51"/>
      <c r="TIS31" s="51"/>
      <c r="TIU31" s="51"/>
      <c r="TIX31" s="51"/>
      <c r="TIZ31" s="51"/>
      <c r="TJA31" s="51"/>
      <c r="TJC31" s="51"/>
      <c r="TJF31" s="51"/>
      <c r="TJH31" s="51"/>
      <c r="TJI31" s="51"/>
      <c r="TJK31" s="51"/>
      <c r="TJN31" s="51"/>
      <c r="TJP31" s="51"/>
      <c r="TJQ31" s="51"/>
      <c r="TJS31" s="51"/>
      <c r="TJV31" s="51"/>
      <c r="TJX31" s="51"/>
      <c r="TJY31" s="51"/>
      <c r="TKA31" s="51"/>
      <c r="TKD31" s="51"/>
      <c r="TKF31" s="51"/>
      <c r="TKG31" s="51"/>
      <c r="TKI31" s="51"/>
      <c r="TKL31" s="51"/>
      <c r="TKN31" s="51"/>
      <c r="TKO31" s="51"/>
      <c r="TKQ31" s="51"/>
      <c r="TKT31" s="51"/>
      <c r="TKV31" s="51"/>
      <c r="TKW31" s="51"/>
      <c r="TKY31" s="51"/>
      <c r="TLB31" s="51"/>
      <c r="TLD31" s="51"/>
      <c r="TLE31" s="51"/>
      <c r="TLG31" s="51"/>
      <c r="TLJ31" s="51"/>
      <c r="TLL31" s="51"/>
      <c r="TLM31" s="51"/>
      <c r="TLO31" s="51"/>
      <c r="TLR31" s="51"/>
      <c r="TLT31" s="51"/>
      <c r="TLU31" s="51"/>
      <c r="TLW31" s="51"/>
      <c r="TLZ31" s="51"/>
      <c r="TMB31" s="51"/>
      <c r="TMC31" s="51"/>
      <c r="TME31" s="51"/>
      <c r="TMH31" s="51"/>
      <c r="TMJ31" s="51"/>
      <c r="TMK31" s="51"/>
      <c r="TMM31" s="51"/>
      <c r="TMP31" s="51"/>
      <c r="TMR31" s="51"/>
      <c r="TMS31" s="51"/>
      <c r="TMU31" s="51"/>
      <c r="TMX31" s="51"/>
      <c r="TMZ31" s="51"/>
      <c r="TNA31" s="51"/>
      <c r="TNC31" s="51"/>
      <c r="TNF31" s="51"/>
      <c r="TNH31" s="51"/>
      <c r="TNI31" s="51"/>
      <c r="TNK31" s="51"/>
      <c r="TNN31" s="51"/>
      <c r="TNP31" s="51"/>
      <c r="TNQ31" s="51"/>
      <c r="TNS31" s="51"/>
      <c r="TNV31" s="51"/>
      <c r="TNX31" s="51"/>
      <c r="TNY31" s="51"/>
      <c r="TOA31" s="51"/>
      <c r="TOD31" s="51"/>
      <c r="TOF31" s="51"/>
      <c r="TOG31" s="51"/>
      <c r="TOI31" s="51"/>
      <c r="TOL31" s="51"/>
      <c r="TON31" s="51"/>
      <c r="TOO31" s="51"/>
      <c r="TOQ31" s="51"/>
      <c r="TOT31" s="51"/>
      <c r="TOV31" s="51"/>
      <c r="TOW31" s="51"/>
      <c r="TOY31" s="51"/>
      <c r="TPB31" s="51"/>
      <c r="TPD31" s="51"/>
      <c r="TPE31" s="51"/>
      <c r="TPG31" s="51"/>
      <c r="TPJ31" s="51"/>
      <c r="TPL31" s="51"/>
      <c r="TPM31" s="51"/>
      <c r="TPO31" s="51"/>
      <c r="TPR31" s="51"/>
      <c r="TPT31" s="51"/>
      <c r="TPU31" s="51"/>
      <c r="TPW31" s="51"/>
      <c r="TPZ31" s="51"/>
      <c r="TQB31" s="51"/>
      <c r="TQC31" s="51"/>
      <c r="TQE31" s="51"/>
      <c r="TQH31" s="51"/>
      <c r="TQJ31" s="51"/>
      <c r="TQK31" s="51"/>
      <c r="TQM31" s="51"/>
      <c r="TQP31" s="51"/>
      <c r="TQR31" s="51"/>
      <c r="TQS31" s="51"/>
      <c r="TQU31" s="51"/>
      <c r="TQX31" s="51"/>
      <c r="TQZ31" s="51"/>
      <c r="TRA31" s="51"/>
      <c r="TRC31" s="51"/>
      <c r="TRF31" s="51"/>
      <c r="TRH31" s="51"/>
      <c r="TRI31" s="51"/>
      <c r="TRK31" s="51"/>
      <c r="TRN31" s="51"/>
      <c r="TRP31" s="51"/>
      <c r="TRQ31" s="51"/>
      <c r="TRS31" s="51"/>
      <c r="TRV31" s="51"/>
      <c r="TRX31" s="51"/>
      <c r="TRY31" s="51"/>
      <c r="TSA31" s="51"/>
      <c r="TSD31" s="51"/>
      <c r="TSF31" s="51"/>
      <c r="TSG31" s="51"/>
      <c r="TSI31" s="51"/>
      <c r="TSL31" s="51"/>
      <c r="TSN31" s="51"/>
      <c r="TSO31" s="51"/>
      <c r="TSQ31" s="51"/>
      <c r="TST31" s="51"/>
      <c r="TSV31" s="51"/>
      <c r="TSW31" s="51"/>
      <c r="TSY31" s="51"/>
      <c r="TTB31" s="51"/>
      <c r="TTD31" s="51"/>
      <c r="TTE31" s="51"/>
      <c r="TTG31" s="51"/>
      <c r="TTJ31" s="51"/>
      <c r="TTL31" s="51"/>
      <c r="TTM31" s="51"/>
      <c r="TTO31" s="51"/>
      <c r="TTR31" s="51"/>
      <c r="TTT31" s="51"/>
      <c r="TTU31" s="51"/>
      <c r="TTW31" s="51"/>
      <c r="TTZ31" s="51"/>
      <c r="TUB31" s="51"/>
      <c r="TUC31" s="51"/>
      <c r="TUE31" s="51"/>
      <c r="TUH31" s="51"/>
      <c r="TUJ31" s="51"/>
      <c r="TUK31" s="51"/>
      <c r="TUM31" s="51"/>
      <c r="TUP31" s="51"/>
      <c r="TUR31" s="51"/>
      <c r="TUS31" s="51"/>
      <c r="TUU31" s="51"/>
      <c r="TUX31" s="51"/>
      <c r="TUZ31" s="51"/>
      <c r="TVA31" s="51"/>
      <c r="TVC31" s="51"/>
      <c r="TVF31" s="51"/>
      <c r="TVH31" s="51"/>
      <c r="TVI31" s="51"/>
      <c r="TVK31" s="51"/>
      <c r="TVN31" s="51"/>
      <c r="TVP31" s="51"/>
      <c r="TVQ31" s="51"/>
      <c r="TVS31" s="51"/>
      <c r="TVV31" s="51"/>
      <c r="TVX31" s="51"/>
      <c r="TVY31" s="51"/>
      <c r="TWA31" s="51"/>
      <c r="TWD31" s="51"/>
      <c r="TWF31" s="51"/>
      <c r="TWG31" s="51"/>
      <c r="TWI31" s="51"/>
      <c r="TWL31" s="51"/>
      <c r="TWN31" s="51"/>
      <c r="TWO31" s="51"/>
      <c r="TWQ31" s="51"/>
      <c r="TWT31" s="51"/>
      <c r="TWV31" s="51"/>
      <c r="TWW31" s="51"/>
      <c r="TWY31" s="51"/>
      <c r="TXB31" s="51"/>
      <c r="TXD31" s="51"/>
      <c r="TXE31" s="51"/>
      <c r="TXG31" s="51"/>
      <c r="TXJ31" s="51"/>
      <c r="TXL31" s="51"/>
      <c r="TXM31" s="51"/>
      <c r="TXO31" s="51"/>
      <c r="TXR31" s="51"/>
      <c r="TXT31" s="51"/>
      <c r="TXU31" s="51"/>
      <c r="TXW31" s="51"/>
      <c r="TXZ31" s="51"/>
      <c r="TYB31" s="51"/>
      <c r="TYC31" s="51"/>
      <c r="TYE31" s="51"/>
      <c r="TYH31" s="51"/>
      <c r="TYJ31" s="51"/>
      <c r="TYK31" s="51"/>
      <c r="TYM31" s="51"/>
      <c r="TYP31" s="51"/>
      <c r="TYR31" s="51"/>
      <c r="TYS31" s="51"/>
      <c r="TYU31" s="51"/>
      <c r="TYX31" s="51"/>
      <c r="TYZ31" s="51"/>
      <c r="TZA31" s="51"/>
      <c r="TZC31" s="51"/>
      <c r="TZF31" s="51"/>
      <c r="TZH31" s="51"/>
      <c r="TZI31" s="51"/>
      <c r="TZK31" s="51"/>
      <c r="TZN31" s="51"/>
      <c r="TZP31" s="51"/>
      <c r="TZQ31" s="51"/>
      <c r="TZS31" s="51"/>
      <c r="TZV31" s="51"/>
      <c r="TZX31" s="51"/>
      <c r="TZY31" s="51"/>
      <c r="UAA31" s="51"/>
      <c r="UAD31" s="51"/>
      <c r="UAF31" s="51"/>
      <c r="UAG31" s="51"/>
      <c r="UAI31" s="51"/>
      <c r="UAL31" s="51"/>
      <c r="UAN31" s="51"/>
      <c r="UAO31" s="51"/>
      <c r="UAQ31" s="51"/>
      <c r="UAT31" s="51"/>
      <c r="UAV31" s="51"/>
      <c r="UAW31" s="51"/>
      <c r="UAY31" s="51"/>
      <c r="UBB31" s="51"/>
      <c r="UBD31" s="51"/>
      <c r="UBE31" s="51"/>
      <c r="UBG31" s="51"/>
      <c r="UBJ31" s="51"/>
      <c r="UBL31" s="51"/>
      <c r="UBM31" s="51"/>
      <c r="UBO31" s="51"/>
      <c r="UBR31" s="51"/>
      <c r="UBT31" s="51"/>
      <c r="UBU31" s="51"/>
      <c r="UBW31" s="51"/>
      <c r="UBZ31" s="51"/>
      <c r="UCB31" s="51"/>
      <c r="UCC31" s="51"/>
      <c r="UCE31" s="51"/>
      <c r="UCH31" s="51"/>
      <c r="UCJ31" s="51"/>
      <c r="UCK31" s="51"/>
      <c r="UCM31" s="51"/>
      <c r="UCP31" s="51"/>
      <c r="UCR31" s="51"/>
      <c r="UCS31" s="51"/>
      <c r="UCU31" s="51"/>
      <c r="UCX31" s="51"/>
      <c r="UCZ31" s="51"/>
      <c r="UDA31" s="51"/>
      <c r="UDC31" s="51"/>
      <c r="UDF31" s="51"/>
      <c r="UDH31" s="51"/>
      <c r="UDI31" s="51"/>
      <c r="UDK31" s="51"/>
      <c r="UDN31" s="51"/>
      <c r="UDP31" s="51"/>
      <c r="UDQ31" s="51"/>
      <c r="UDS31" s="51"/>
      <c r="UDV31" s="51"/>
      <c r="UDX31" s="51"/>
      <c r="UDY31" s="51"/>
      <c r="UEA31" s="51"/>
      <c r="UED31" s="51"/>
      <c r="UEF31" s="51"/>
      <c r="UEG31" s="51"/>
      <c r="UEI31" s="51"/>
      <c r="UEL31" s="51"/>
      <c r="UEN31" s="51"/>
      <c r="UEO31" s="51"/>
      <c r="UEQ31" s="51"/>
      <c r="UET31" s="51"/>
      <c r="UEV31" s="51"/>
      <c r="UEW31" s="51"/>
      <c r="UEY31" s="51"/>
      <c r="UFB31" s="51"/>
      <c r="UFD31" s="51"/>
      <c r="UFE31" s="51"/>
      <c r="UFG31" s="51"/>
      <c r="UFJ31" s="51"/>
      <c r="UFL31" s="51"/>
      <c r="UFM31" s="51"/>
      <c r="UFO31" s="51"/>
      <c r="UFR31" s="51"/>
      <c r="UFT31" s="51"/>
      <c r="UFU31" s="51"/>
      <c r="UFW31" s="51"/>
      <c r="UFZ31" s="51"/>
      <c r="UGB31" s="51"/>
      <c r="UGC31" s="51"/>
      <c r="UGE31" s="51"/>
      <c r="UGH31" s="51"/>
      <c r="UGJ31" s="51"/>
      <c r="UGK31" s="51"/>
      <c r="UGM31" s="51"/>
      <c r="UGP31" s="51"/>
      <c r="UGR31" s="51"/>
      <c r="UGS31" s="51"/>
      <c r="UGU31" s="51"/>
      <c r="UGX31" s="51"/>
      <c r="UGZ31" s="51"/>
      <c r="UHA31" s="51"/>
      <c r="UHC31" s="51"/>
      <c r="UHF31" s="51"/>
      <c r="UHH31" s="51"/>
      <c r="UHI31" s="51"/>
      <c r="UHK31" s="51"/>
      <c r="UHN31" s="51"/>
      <c r="UHP31" s="51"/>
      <c r="UHQ31" s="51"/>
      <c r="UHS31" s="51"/>
      <c r="UHV31" s="51"/>
      <c r="UHX31" s="51"/>
      <c r="UHY31" s="51"/>
      <c r="UIA31" s="51"/>
      <c r="UID31" s="51"/>
      <c r="UIF31" s="51"/>
      <c r="UIG31" s="51"/>
      <c r="UII31" s="51"/>
      <c r="UIL31" s="51"/>
      <c r="UIN31" s="51"/>
      <c r="UIO31" s="51"/>
      <c r="UIQ31" s="51"/>
      <c r="UIT31" s="51"/>
      <c r="UIV31" s="51"/>
      <c r="UIW31" s="51"/>
      <c r="UIY31" s="51"/>
      <c r="UJB31" s="51"/>
      <c r="UJD31" s="51"/>
      <c r="UJE31" s="51"/>
      <c r="UJG31" s="51"/>
      <c r="UJJ31" s="51"/>
      <c r="UJL31" s="51"/>
      <c r="UJM31" s="51"/>
      <c r="UJO31" s="51"/>
      <c r="UJR31" s="51"/>
      <c r="UJT31" s="51"/>
      <c r="UJU31" s="51"/>
      <c r="UJW31" s="51"/>
      <c r="UJZ31" s="51"/>
      <c r="UKB31" s="51"/>
      <c r="UKC31" s="51"/>
      <c r="UKE31" s="51"/>
      <c r="UKH31" s="51"/>
      <c r="UKJ31" s="51"/>
      <c r="UKK31" s="51"/>
      <c r="UKM31" s="51"/>
      <c r="UKP31" s="51"/>
      <c r="UKR31" s="51"/>
      <c r="UKS31" s="51"/>
      <c r="UKU31" s="51"/>
      <c r="UKX31" s="51"/>
      <c r="UKZ31" s="51"/>
      <c r="ULA31" s="51"/>
      <c r="ULC31" s="51"/>
      <c r="ULF31" s="51"/>
      <c r="ULH31" s="51"/>
      <c r="ULI31" s="51"/>
      <c r="ULK31" s="51"/>
      <c r="ULN31" s="51"/>
      <c r="ULP31" s="51"/>
      <c r="ULQ31" s="51"/>
      <c r="ULS31" s="51"/>
      <c r="ULV31" s="51"/>
      <c r="ULX31" s="51"/>
      <c r="ULY31" s="51"/>
      <c r="UMA31" s="51"/>
      <c r="UMD31" s="51"/>
      <c r="UMF31" s="51"/>
      <c r="UMG31" s="51"/>
      <c r="UMI31" s="51"/>
      <c r="UML31" s="51"/>
      <c r="UMN31" s="51"/>
      <c r="UMO31" s="51"/>
      <c r="UMQ31" s="51"/>
      <c r="UMT31" s="51"/>
      <c r="UMV31" s="51"/>
      <c r="UMW31" s="51"/>
      <c r="UMY31" s="51"/>
      <c r="UNB31" s="51"/>
      <c r="UND31" s="51"/>
      <c r="UNE31" s="51"/>
      <c r="UNG31" s="51"/>
      <c r="UNJ31" s="51"/>
      <c r="UNL31" s="51"/>
      <c r="UNM31" s="51"/>
      <c r="UNO31" s="51"/>
      <c r="UNR31" s="51"/>
      <c r="UNT31" s="51"/>
      <c r="UNU31" s="51"/>
      <c r="UNW31" s="51"/>
      <c r="UNZ31" s="51"/>
      <c r="UOB31" s="51"/>
      <c r="UOC31" s="51"/>
      <c r="UOE31" s="51"/>
      <c r="UOH31" s="51"/>
      <c r="UOJ31" s="51"/>
      <c r="UOK31" s="51"/>
      <c r="UOM31" s="51"/>
      <c r="UOP31" s="51"/>
      <c r="UOR31" s="51"/>
      <c r="UOS31" s="51"/>
      <c r="UOU31" s="51"/>
      <c r="UOX31" s="51"/>
      <c r="UOZ31" s="51"/>
      <c r="UPA31" s="51"/>
      <c r="UPC31" s="51"/>
      <c r="UPF31" s="51"/>
      <c r="UPH31" s="51"/>
      <c r="UPI31" s="51"/>
      <c r="UPK31" s="51"/>
      <c r="UPN31" s="51"/>
      <c r="UPP31" s="51"/>
      <c r="UPQ31" s="51"/>
      <c r="UPS31" s="51"/>
      <c r="UPV31" s="51"/>
      <c r="UPX31" s="51"/>
      <c r="UPY31" s="51"/>
      <c r="UQA31" s="51"/>
      <c r="UQD31" s="51"/>
      <c r="UQF31" s="51"/>
      <c r="UQG31" s="51"/>
      <c r="UQI31" s="51"/>
      <c r="UQL31" s="51"/>
      <c r="UQN31" s="51"/>
      <c r="UQO31" s="51"/>
      <c r="UQQ31" s="51"/>
      <c r="UQT31" s="51"/>
      <c r="UQV31" s="51"/>
      <c r="UQW31" s="51"/>
      <c r="UQY31" s="51"/>
      <c r="URB31" s="51"/>
      <c r="URD31" s="51"/>
      <c r="URE31" s="51"/>
      <c r="URG31" s="51"/>
      <c r="URJ31" s="51"/>
      <c r="URL31" s="51"/>
      <c r="URM31" s="51"/>
      <c r="URO31" s="51"/>
      <c r="URR31" s="51"/>
      <c r="URT31" s="51"/>
      <c r="URU31" s="51"/>
      <c r="URW31" s="51"/>
      <c r="URZ31" s="51"/>
      <c r="USB31" s="51"/>
      <c r="USC31" s="51"/>
      <c r="USE31" s="51"/>
      <c r="USH31" s="51"/>
      <c r="USJ31" s="51"/>
      <c r="USK31" s="51"/>
      <c r="USM31" s="51"/>
      <c r="USP31" s="51"/>
      <c r="USR31" s="51"/>
      <c r="USS31" s="51"/>
      <c r="USU31" s="51"/>
      <c r="USX31" s="51"/>
      <c r="USZ31" s="51"/>
      <c r="UTA31" s="51"/>
      <c r="UTC31" s="51"/>
      <c r="UTF31" s="51"/>
      <c r="UTH31" s="51"/>
      <c r="UTI31" s="51"/>
      <c r="UTK31" s="51"/>
      <c r="UTN31" s="51"/>
      <c r="UTP31" s="51"/>
      <c r="UTQ31" s="51"/>
      <c r="UTS31" s="51"/>
      <c r="UTV31" s="51"/>
      <c r="UTX31" s="51"/>
      <c r="UTY31" s="51"/>
      <c r="UUA31" s="51"/>
      <c r="UUD31" s="51"/>
      <c r="UUF31" s="51"/>
      <c r="UUG31" s="51"/>
      <c r="UUI31" s="51"/>
      <c r="UUL31" s="51"/>
      <c r="UUN31" s="51"/>
      <c r="UUO31" s="51"/>
      <c r="UUQ31" s="51"/>
      <c r="UUT31" s="51"/>
      <c r="UUV31" s="51"/>
      <c r="UUW31" s="51"/>
      <c r="UUY31" s="51"/>
      <c r="UVB31" s="51"/>
      <c r="UVD31" s="51"/>
      <c r="UVE31" s="51"/>
      <c r="UVG31" s="51"/>
      <c r="UVJ31" s="51"/>
      <c r="UVL31" s="51"/>
      <c r="UVM31" s="51"/>
      <c r="UVO31" s="51"/>
      <c r="UVR31" s="51"/>
      <c r="UVT31" s="51"/>
      <c r="UVU31" s="51"/>
      <c r="UVW31" s="51"/>
      <c r="UVZ31" s="51"/>
      <c r="UWB31" s="51"/>
      <c r="UWC31" s="51"/>
      <c r="UWE31" s="51"/>
      <c r="UWH31" s="51"/>
      <c r="UWJ31" s="51"/>
      <c r="UWK31" s="51"/>
      <c r="UWM31" s="51"/>
      <c r="UWP31" s="51"/>
      <c r="UWR31" s="51"/>
      <c r="UWS31" s="51"/>
      <c r="UWU31" s="51"/>
      <c r="UWX31" s="51"/>
      <c r="UWZ31" s="51"/>
      <c r="UXA31" s="51"/>
      <c r="UXC31" s="51"/>
      <c r="UXF31" s="51"/>
      <c r="UXH31" s="51"/>
      <c r="UXI31" s="51"/>
      <c r="UXK31" s="51"/>
      <c r="UXN31" s="51"/>
      <c r="UXP31" s="51"/>
      <c r="UXQ31" s="51"/>
      <c r="UXS31" s="51"/>
      <c r="UXV31" s="51"/>
      <c r="UXX31" s="51"/>
      <c r="UXY31" s="51"/>
      <c r="UYA31" s="51"/>
      <c r="UYD31" s="51"/>
      <c r="UYF31" s="51"/>
      <c r="UYG31" s="51"/>
      <c r="UYI31" s="51"/>
      <c r="UYL31" s="51"/>
      <c r="UYN31" s="51"/>
      <c r="UYO31" s="51"/>
      <c r="UYQ31" s="51"/>
      <c r="UYT31" s="51"/>
      <c r="UYV31" s="51"/>
      <c r="UYW31" s="51"/>
      <c r="UYY31" s="51"/>
      <c r="UZB31" s="51"/>
      <c r="UZD31" s="51"/>
      <c r="UZE31" s="51"/>
      <c r="UZG31" s="51"/>
      <c r="UZJ31" s="51"/>
      <c r="UZL31" s="51"/>
      <c r="UZM31" s="51"/>
      <c r="UZO31" s="51"/>
      <c r="UZR31" s="51"/>
      <c r="UZT31" s="51"/>
      <c r="UZU31" s="51"/>
      <c r="UZW31" s="51"/>
      <c r="UZZ31" s="51"/>
      <c r="VAB31" s="51"/>
      <c r="VAC31" s="51"/>
      <c r="VAE31" s="51"/>
      <c r="VAH31" s="51"/>
      <c r="VAJ31" s="51"/>
      <c r="VAK31" s="51"/>
      <c r="VAM31" s="51"/>
      <c r="VAP31" s="51"/>
      <c r="VAR31" s="51"/>
      <c r="VAS31" s="51"/>
      <c r="VAU31" s="51"/>
      <c r="VAX31" s="51"/>
      <c r="VAZ31" s="51"/>
      <c r="VBA31" s="51"/>
      <c r="VBC31" s="51"/>
      <c r="VBF31" s="51"/>
      <c r="VBH31" s="51"/>
      <c r="VBI31" s="51"/>
      <c r="VBK31" s="51"/>
      <c r="VBN31" s="51"/>
      <c r="VBP31" s="51"/>
      <c r="VBQ31" s="51"/>
      <c r="VBS31" s="51"/>
      <c r="VBV31" s="51"/>
      <c r="VBX31" s="51"/>
      <c r="VBY31" s="51"/>
      <c r="VCA31" s="51"/>
      <c r="VCD31" s="51"/>
      <c r="VCF31" s="51"/>
      <c r="VCG31" s="51"/>
      <c r="VCI31" s="51"/>
      <c r="VCL31" s="51"/>
      <c r="VCN31" s="51"/>
      <c r="VCO31" s="51"/>
      <c r="VCQ31" s="51"/>
      <c r="VCT31" s="51"/>
      <c r="VCV31" s="51"/>
      <c r="VCW31" s="51"/>
      <c r="VCY31" s="51"/>
      <c r="VDB31" s="51"/>
      <c r="VDD31" s="51"/>
      <c r="VDE31" s="51"/>
      <c r="VDG31" s="51"/>
      <c r="VDJ31" s="51"/>
      <c r="VDL31" s="51"/>
      <c r="VDM31" s="51"/>
      <c r="VDO31" s="51"/>
      <c r="VDR31" s="51"/>
      <c r="VDT31" s="51"/>
      <c r="VDU31" s="51"/>
      <c r="VDW31" s="51"/>
      <c r="VDZ31" s="51"/>
      <c r="VEB31" s="51"/>
      <c r="VEC31" s="51"/>
      <c r="VEE31" s="51"/>
      <c r="VEH31" s="51"/>
      <c r="VEJ31" s="51"/>
      <c r="VEK31" s="51"/>
      <c r="VEM31" s="51"/>
      <c r="VEP31" s="51"/>
      <c r="VER31" s="51"/>
      <c r="VES31" s="51"/>
      <c r="VEU31" s="51"/>
      <c r="VEX31" s="51"/>
      <c r="VEZ31" s="51"/>
      <c r="VFA31" s="51"/>
      <c r="VFC31" s="51"/>
      <c r="VFF31" s="51"/>
      <c r="VFH31" s="51"/>
      <c r="VFI31" s="51"/>
      <c r="VFK31" s="51"/>
      <c r="VFN31" s="51"/>
      <c r="VFP31" s="51"/>
      <c r="VFQ31" s="51"/>
      <c r="VFS31" s="51"/>
      <c r="VFV31" s="51"/>
      <c r="VFX31" s="51"/>
      <c r="VFY31" s="51"/>
      <c r="VGA31" s="51"/>
      <c r="VGD31" s="51"/>
      <c r="VGF31" s="51"/>
      <c r="VGG31" s="51"/>
      <c r="VGI31" s="51"/>
      <c r="VGL31" s="51"/>
      <c r="VGN31" s="51"/>
      <c r="VGO31" s="51"/>
      <c r="VGQ31" s="51"/>
      <c r="VGT31" s="51"/>
      <c r="VGV31" s="51"/>
      <c r="VGW31" s="51"/>
      <c r="VGY31" s="51"/>
      <c r="VHB31" s="51"/>
      <c r="VHD31" s="51"/>
      <c r="VHE31" s="51"/>
      <c r="VHG31" s="51"/>
      <c r="VHJ31" s="51"/>
      <c r="VHL31" s="51"/>
      <c r="VHM31" s="51"/>
      <c r="VHO31" s="51"/>
      <c r="VHR31" s="51"/>
      <c r="VHT31" s="51"/>
      <c r="VHU31" s="51"/>
      <c r="VHW31" s="51"/>
      <c r="VHZ31" s="51"/>
      <c r="VIB31" s="51"/>
      <c r="VIC31" s="51"/>
      <c r="VIE31" s="51"/>
      <c r="VIH31" s="51"/>
      <c r="VIJ31" s="51"/>
      <c r="VIK31" s="51"/>
      <c r="VIM31" s="51"/>
      <c r="VIP31" s="51"/>
      <c r="VIR31" s="51"/>
      <c r="VIS31" s="51"/>
      <c r="VIU31" s="51"/>
      <c r="VIX31" s="51"/>
      <c r="VIZ31" s="51"/>
      <c r="VJA31" s="51"/>
      <c r="VJC31" s="51"/>
      <c r="VJF31" s="51"/>
      <c r="VJH31" s="51"/>
      <c r="VJI31" s="51"/>
      <c r="VJK31" s="51"/>
      <c r="VJN31" s="51"/>
      <c r="VJP31" s="51"/>
      <c r="VJQ31" s="51"/>
      <c r="VJS31" s="51"/>
      <c r="VJV31" s="51"/>
      <c r="VJX31" s="51"/>
      <c r="VJY31" s="51"/>
      <c r="VKA31" s="51"/>
      <c r="VKD31" s="51"/>
      <c r="VKF31" s="51"/>
      <c r="VKG31" s="51"/>
      <c r="VKI31" s="51"/>
      <c r="VKL31" s="51"/>
      <c r="VKN31" s="51"/>
      <c r="VKO31" s="51"/>
      <c r="VKQ31" s="51"/>
      <c r="VKT31" s="51"/>
      <c r="VKV31" s="51"/>
      <c r="VKW31" s="51"/>
      <c r="VKY31" s="51"/>
      <c r="VLB31" s="51"/>
      <c r="VLD31" s="51"/>
      <c r="VLE31" s="51"/>
      <c r="VLG31" s="51"/>
      <c r="VLJ31" s="51"/>
      <c r="VLL31" s="51"/>
      <c r="VLM31" s="51"/>
      <c r="VLO31" s="51"/>
      <c r="VLR31" s="51"/>
      <c r="VLT31" s="51"/>
      <c r="VLU31" s="51"/>
      <c r="VLW31" s="51"/>
      <c r="VLZ31" s="51"/>
      <c r="VMB31" s="51"/>
      <c r="VMC31" s="51"/>
      <c r="VME31" s="51"/>
      <c r="VMH31" s="51"/>
      <c r="VMJ31" s="51"/>
      <c r="VMK31" s="51"/>
      <c r="VMM31" s="51"/>
      <c r="VMP31" s="51"/>
      <c r="VMR31" s="51"/>
      <c r="VMS31" s="51"/>
      <c r="VMU31" s="51"/>
      <c r="VMX31" s="51"/>
      <c r="VMZ31" s="51"/>
      <c r="VNA31" s="51"/>
      <c r="VNC31" s="51"/>
      <c r="VNF31" s="51"/>
      <c r="VNH31" s="51"/>
      <c r="VNI31" s="51"/>
      <c r="VNK31" s="51"/>
      <c r="VNN31" s="51"/>
      <c r="VNP31" s="51"/>
      <c r="VNQ31" s="51"/>
      <c r="VNS31" s="51"/>
      <c r="VNV31" s="51"/>
      <c r="VNX31" s="51"/>
      <c r="VNY31" s="51"/>
      <c r="VOA31" s="51"/>
      <c r="VOD31" s="51"/>
      <c r="VOF31" s="51"/>
      <c r="VOG31" s="51"/>
      <c r="VOI31" s="51"/>
      <c r="VOL31" s="51"/>
      <c r="VON31" s="51"/>
      <c r="VOO31" s="51"/>
      <c r="VOQ31" s="51"/>
      <c r="VOT31" s="51"/>
      <c r="VOV31" s="51"/>
      <c r="VOW31" s="51"/>
      <c r="VOY31" s="51"/>
      <c r="VPB31" s="51"/>
      <c r="VPD31" s="51"/>
      <c r="VPE31" s="51"/>
      <c r="VPG31" s="51"/>
      <c r="VPJ31" s="51"/>
      <c r="VPL31" s="51"/>
      <c r="VPM31" s="51"/>
      <c r="VPO31" s="51"/>
      <c r="VPR31" s="51"/>
      <c r="VPT31" s="51"/>
      <c r="VPU31" s="51"/>
      <c r="VPW31" s="51"/>
      <c r="VPZ31" s="51"/>
      <c r="VQB31" s="51"/>
      <c r="VQC31" s="51"/>
      <c r="VQE31" s="51"/>
      <c r="VQH31" s="51"/>
      <c r="VQJ31" s="51"/>
      <c r="VQK31" s="51"/>
      <c r="VQM31" s="51"/>
      <c r="VQP31" s="51"/>
      <c r="VQR31" s="51"/>
      <c r="VQS31" s="51"/>
      <c r="VQU31" s="51"/>
      <c r="VQX31" s="51"/>
      <c r="VQZ31" s="51"/>
      <c r="VRA31" s="51"/>
      <c r="VRC31" s="51"/>
      <c r="VRF31" s="51"/>
      <c r="VRH31" s="51"/>
      <c r="VRI31" s="51"/>
      <c r="VRK31" s="51"/>
      <c r="VRN31" s="51"/>
      <c r="VRP31" s="51"/>
      <c r="VRQ31" s="51"/>
      <c r="VRS31" s="51"/>
      <c r="VRV31" s="51"/>
      <c r="VRX31" s="51"/>
      <c r="VRY31" s="51"/>
      <c r="VSA31" s="51"/>
      <c r="VSD31" s="51"/>
      <c r="VSF31" s="51"/>
      <c r="VSG31" s="51"/>
      <c r="VSI31" s="51"/>
      <c r="VSL31" s="51"/>
      <c r="VSN31" s="51"/>
      <c r="VSO31" s="51"/>
      <c r="VSQ31" s="51"/>
      <c r="VST31" s="51"/>
      <c r="VSV31" s="51"/>
      <c r="VSW31" s="51"/>
      <c r="VSY31" s="51"/>
      <c r="VTB31" s="51"/>
      <c r="VTD31" s="51"/>
      <c r="VTE31" s="51"/>
      <c r="VTG31" s="51"/>
      <c r="VTJ31" s="51"/>
      <c r="VTL31" s="51"/>
      <c r="VTM31" s="51"/>
      <c r="VTO31" s="51"/>
      <c r="VTR31" s="51"/>
      <c r="VTT31" s="51"/>
      <c r="VTU31" s="51"/>
      <c r="VTW31" s="51"/>
      <c r="VTZ31" s="51"/>
      <c r="VUB31" s="51"/>
      <c r="VUC31" s="51"/>
      <c r="VUE31" s="51"/>
      <c r="VUH31" s="51"/>
      <c r="VUJ31" s="51"/>
      <c r="VUK31" s="51"/>
      <c r="VUM31" s="51"/>
      <c r="VUP31" s="51"/>
      <c r="VUR31" s="51"/>
      <c r="VUS31" s="51"/>
      <c r="VUU31" s="51"/>
      <c r="VUX31" s="51"/>
      <c r="VUZ31" s="51"/>
      <c r="VVA31" s="51"/>
      <c r="VVC31" s="51"/>
      <c r="VVF31" s="51"/>
      <c r="VVH31" s="51"/>
      <c r="VVI31" s="51"/>
      <c r="VVK31" s="51"/>
      <c r="VVN31" s="51"/>
      <c r="VVP31" s="51"/>
      <c r="VVQ31" s="51"/>
      <c r="VVS31" s="51"/>
      <c r="VVV31" s="51"/>
      <c r="VVX31" s="51"/>
      <c r="VVY31" s="51"/>
      <c r="VWA31" s="51"/>
      <c r="VWD31" s="51"/>
      <c r="VWF31" s="51"/>
      <c r="VWG31" s="51"/>
      <c r="VWI31" s="51"/>
      <c r="VWL31" s="51"/>
      <c r="VWN31" s="51"/>
      <c r="VWO31" s="51"/>
      <c r="VWQ31" s="51"/>
      <c r="VWT31" s="51"/>
      <c r="VWV31" s="51"/>
      <c r="VWW31" s="51"/>
      <c r="VWY31" s="51"/>
      <c r="VXB31" s="51"/>
      <c r="VXD31" s="51"/>
      <c r="VXE31" s="51"/>
      <c r="VXG31" s="51"/>
      <c r="VXJ31" s="51"/>
      <c r="VXL31" s="51"/>
      <c r="VXM31" s="51"/>
      <c r="VXO31" s="51"/>
      <c r="VXR31" s="51"/>
      <c r="VXT31" s="51"/>
      <c r="VXU31" s="51"/>
      <c r="VXW31" s="51"/>
      <c r="VXZ31" s="51"/>
      <c r="VYB31" s="51"/>
      <c r="VYC31" s="51"/>
      <c r="VYE31" s="51"/>
      <c r="VYH31" s="51"/>
      <c r="VYJ31" s="51"/>
      <c r="VYK31" s="51"/>
      <c r="VYM31" s="51"/>
      <c r="VYP31" s="51"/>
      <c r="VYR31" s="51"/>
      <c r="VYS31" s="51"/>
      <c r="VYU31" s="51"/>
      <c r="VYX31" s="51"/>
      <c r="VYZ31" s="51"/>
      <c r="VZA31" s="51"/>
      <c r="VZC31" s="51"/>
      <c r="VZF31" s="51"/>
      <c r="VZH31" s="51"/>
      <c r="VZI31" s="51"/>
      <c r="VZK31" s="51"/>
      <c r="VZN31" s="51"/>
      <c r="VZP31" s="51"/>
      <c r="VZQ31" s="51"/>
      <c r="VZS31" s="51"/>
      <c r="VZV31" s="51"/>
      <c r="VZX31" s="51"/>
      <c r="VZY31" s="51"/>
      <c r="WAA31" s="51"/>
      <c r="WAD31" s="51"/>
      <c r="WAF31" s="51"/>
      <c r="WAG31" s="51"/>
      <c r="WAI31" s="51"/>
      <c r="WAL31" s="51"/>
      <c r="WAN31" s="51"/>
      <c r="WAO31" s="51"/>
      <c r="WAQ31" s="51"/>
      <c r="WAT31" s="51"/>
      <c r="WAV31" s="51"/>
      <c r="WAW31" s="51"/>
      <c r="WAY31" s="51"/>
      <c r="WBB31" s="51"/>
      <c r="WBD31" s="51"/>
      <c r="WBE31" s="51"/>
      <c r="WBG31" s="51"/>
      <c r="WBJ31" s="51"/>
      <c r="WBL31" s="51"/>
      <c r="WBM31" s="51"/>
      <c r="WBO31" s="51"/>
      <c r="WBR31" s="51"/>
      <c r="WBT31" s="51"/>
      <c r="WBU31" s="51"/>
      <c r="WBW31" s="51"/>
      <c r="WBZ31" s="51"/>
      <c r="WCB31" s="51"/>
      <c r="WCC31" s="51"/>
      <c r="WCE31" s="51"/>
      <c r="WCH31" s="51"/>
      <c r="WCJ31" s="51"/>
      <c r="WCK31" s="51"/>
      <c r="WCM31" s="51"/>
      <c r="WCP31" s="51"/>
      <c r="WCR31" s="51"/>
      <c r="WCS31" s="51"/>
      <c r="WCU31" s="51"/>
      <c r="WCX31" s="51"/>
      <c r="WCZ31" s="51"/>
      <c r="WDA31" s="51"/>
      <c r="WDC31" s="51"/>
      <c r="WDF31" s="51"/>
      <c r="WDH31" s="51"/>
      <c r="WDI31" s="51"/>
      <c r="WDK31" s="51"/>
      <c r="WDN31" s="51"/>
      <c r="WDP31" s="51"/>
      <c r="WDQ31" s="51"/>
      <c r="WDS31" s="51"/>
      <c r="WDV31" s="51"/>
      <c r="WDX31" s="51"/>
      <c r="WDY31" s="51"/>
      <c r="WEA31" s="51"/>
      <c r="WED31" s="51"/>
      <c r="WEF31" s="51"/>
      <c r="WEG31" s="51"/>
      <c r="WEI31" s="51"/>
      <c r="WEL31" s="51"/>
      <c r="WEN31" s="51"/>
      <c r="WEO31" s="51"/>
      <c r="WEQ31" s="51"/>
      <c r="WET31" s="51"/>
      <c r="WEV31" s="51"/>
      <c r="WEW31" s="51"/>
      <c r="WEY31" s="51"/>
      <c r="WFB31" s="51"/>
      <c r="WFD31" s="51"/>
      <c r="WFE31" s="51"/>
      <c r="WFG31" s="51"/>
      <c r="WFJ31" s="51"/>
      <c r="WFL31" s="51"/>
      <c r="WFM31" s="51"/>
      <c r="WFO31" s="51"/>
      <c r="WFR31" s="51"/>
      <c r="WFT31" s="51"/>
      <c r="WFU31" s="51"/>
      <c r="WFW31" s="51"/>
      <c r="WFZ31" s="51"/>
      <c r="WGB31" s="51"/>
      <c r="WGC31" s="51"/>
      <c r="WGE31" s="51"/>
      <c r="WGH31" s="51"/>
      <c r="WGJ31" s="51"/>
      <c r="WGK31" s="51"/>
      <c r="WGM31" s="51"/>
      <c r="WGP31" s="51"/>
      <c r="WGR31" s="51"/>
      <c r="WGS31" s="51"/>
      <c r="WGU31" s="51"/>
      <c r="WGX31" s="51"/>
      <c r="WGZ31" s="51"/>
      <c r="WHA31" s="51"/>
      <c r="WHC31" s="51"/>
      <c r="WHF31" s="51"/>
      <c r="WHH31" s="51"/>
      <c r="WHI31" s="51"/>
      <c r="WHK31" s="51"/>
      <c r="WHN31" s="51"/>
      <c r="WHP31" s="51"/>
      <c r="WHQ31" s="51"/>
      <c r="WHS31" s="51"/>
      <c r="WHV31" s="51"/>
      <c r="WHX31" s="51"/>
      <c r="WHY31" s="51"/>
      <c r="WIA31" s="51"/>
      <c r="WID31" s="51"/>
      <c r="WIF31" s="51"/>
      <c r="WIG31" s="51"/>
      <c r="WII31" s="51"/>
      <c r="WIL31" s="51"/>
      <c r="WIN31" s="51"/>
      <c r="WIO31" s="51"/>
      <c r="WIQ31" s="51"/>
      <c r="WIT31" s="51"/>
      <c r="WIV31" s="51"/>
      <c r="WIW31" s="51"/>
      <c r="WIY31" s="51"/>
      <c r="WJB31" s="51"/>
      <c r="WJD31" s="51"/>
      <c r="WJE31" s="51"/>
      <c r="WJG31" s="51"/>
      <c r="WJJ31" s="51"/>
      <c r="WJL31" s="51"/>
      <c r="WJM31" s="51"/>
      <c r="WJO31" s="51"/>
      <c r="WJR31" s="51"/>
      <c r="WJT31" s="51"/>
      <c r="WJU31" s="51"/>
      <c r="WJW31" s="51"/>
      <c r="WJZ31" s="51"/>
      <c r="WKB31" s="51"/>
      <c r="WKC31" s="51"/>
      <c r="WKE31" s="51"/>
      <c r="WKH31" s="51"/>
      <c r="WKJ31" s="51"/>
      <c r="WKK31" s="51"/>
      <c r="WKM31" s="51"/>
      <c r="WKP31" s="51"/>
      <c r="WKR31" s="51"/>
      <c r="WKS31" s="51"/>
      <c r="WKU31" s="51"/>
      <c r="WKX31" s="51"/>
      <c r="WKZ31" s="51"/>
      <c r="WLA31" s="51"/>
      <c r="WLC31" s="51"/>
      <c r="WLF31" s="51"/>
      <c r="WLH31" s="51"/>
      <c r="WLI31" s="51"/>
      <c r="WLK31" s="51"/>
      <c r="WLN31" s="51"/>
      <c r="WLP31" s="51"/>
      <c r="WLQ31" s="51"/>
      <c r="WLS31" s="51"/>
      <c r="WLV31" s="51"/>
      <c r="WLX31" s="51"/>
      <c r="WLY31" s="51"/>
      <c r="WMA31" s="51"/>
      <c r="WMD31" s="51"/>
      <c r="WMF31" s="51"/>
      <c r="WMG31" s="51"/>
      <c r="WMI31" s="51"/>
      <c r="WML31" s="51"/>
      <c r="WMN31" s="51"/>
      <c r="WMO31" s="51"/>
      <c r="WMQ31" s="51"/>
      <c r="WMT31" s="51"/>
      <c r="WMV31" s="51"/>
      <c r="WMW31" s="51"/>
      <c r="WMY31" s="51"/>
      <c r="WNB31" s="51"/>
      <c r="WND31" s="51"/>
      <c r="WNE31" s="51"/>
      <c r="WNG31" s="51"/>
      <c r="WNJ31" s="51"/>
      <c r="WNL31" s="51"/>
      <c r="WNM31" s="51"/>
      <c r="WNO31" s="51"/>
      <c r="WNR31" s="51"/>
      <c r="WNT31" s="51"/>
      <c r="WNU31" s="51"/>
      <c r="WNW31" s="51"/>
      <c r="WNZ31" s="51"/>
      <c r="WOB31" s="51"/>
      <c r="WOC31" s="51"/>
      <c r="WOE31" s="51"/>
      <c r="WOH31" s="51"/>
      <c r="WOJ31" s="51"/>
      <c r="WOK31" s="51"/>
      <c r="WOM31" s="51"/>
      <c r="WOP31" s="51"/>
      <c r="WOR31" s="51"/>
      <c r="WOS31" s="51"/>
      <c r="WOU31" s="51"/>
      <c r="WOX31" s="51"/>
      <c r="WOZ31" s="51"/>
      <c r="WPA31" s="51"/>
      <c r="WPC31" s="51"/>
      <c r="WPF31" s="51"/>
      <c r="WPH31" s="51"/>
      <c r="WPI31" s="51"/>
      <c r="WPK31" s="51"/>
      <c r="WPN31" s="51"/>
      <c r="WPP31" s="51"/>
      <c r="WPQ31" s="51"/>
      <c r="WPS31" s="51"/>
      <c r="WPV31" s="51"/>
      <c r="WPX31" s="51"/>
      <c r="WPY31" s="51"/>
      <c r="WQA31" s="51"/>
      <c r="WQD31" s="51"/>
      <c r="WQF31" s="51"/>
      <c r="WQG31" s="51"/>
      <c r="WQI31" s="51"/>
      <c r="WQL31" s="51"/>
      <c r="WQN31" s="51"/>
      <c r="WQO31" s="51"/>
      <c r="WQQ31" s="51"/>
      <c r="WQT31" s="51"/>
      <c r="WQV31" s="51"/>
      <c r="WQW31" s="51"/>
      <c r="WQY31" s="51"/>
      <c r="WRB31" s="51"/>
      <c r="WRD31" s="51"/>
      <c r="WRE31" s="51"/>
      <c r="WRG31" s="51"/>
      <c r="WRJ31" s="51"/>
      <c r="WRL31" s="51"/>
      <c r="WRM31" s="51"/>
      <c r="WRO31" s="51"/>
      <c r="WRR31" s="51"/>
      <c r="WRT31" s="51"/>
      <c r="WRU31" s="51"/>
      <c r="WRW31" s="51"/>
      <c r="WRZ31" s="51"/>
      <c r="WSB31" s="51"/>
      <c r="WSC31" s="51"/>
      <c r="WSE31" s="51"/>
      <c r="WSH31" s="51"/>
      <c r="WSJ31" s="51"/>
      <c r="WSK31" s="51"/>
      <c r="WSM31" s="51"/>
      <c r="WSP31" s="51"/>
      <c r="WSR31" s="51"/>
      <c r="WSS31" s="51"/>
      <c r="WSU31" s="51"/>
      <c r="WSX31" s="51"/>
      <c r="WSZ31" s="51"/>
      <c r="WTA31" s="51"/>
      <c r="WTC31" s="51"/>
      <c r="WTF31" s="51"/>
      <c r="WTH31" s="51"/>
      <c r="WTI31" s="51"/>
      <c r="WTK31" s="51"/>
      <c r="WTN31" s="51"/>
      <c r="WTP31" s="51"/>
      <c r="WTQ31" s="51"/>
      <c r="WTS31" s="51"/>
      <c r="WTV31" s="51"/>
      <c r="WTX31" s="51"/>
      <c r="WTY31" s="51"/>
      <c r="WUA31" s="51"/>
      <c r="WUD31" s="51"/>
      <c r="WUF31" s="51"/>
      <c r="WUG31" s="51"/>
      <c r="WUI31" s="51"/>
      <c r="WUL31" s="51"/>
      <c r="WUN31" s="51"/>
      <c r="WUO31" s="51"/>
      <c r="WUQ31" s="51"/>
      <c r="WUT31" s="51"/>
      <c r="WUV31" s="51"/>
      <c r="WUW31" s="51"/>
      <c r="WUY31" s="51"/>
      <c r="WVB31" s="51"/>
      <c r="WVD31" s="51"/>
      <c r="WVE31" s="51"/>
      <c r="WVG31" s="51"/>
      <c r="WVJ31" s="51"/>
      <c r="WVL31" s="51"/>
      <c r="WVM31" s="51"/>
      <c r="WVO31" s="51"/>
      <c r="WVR31" s="51"/>
      <c r="WVT31" s="51"/>
      <c r="WVU31" s="51"/>
      <c r="WVW31" s="51"/>
      <c r="WVZ31" s="51"/>
      <c r="WWB31" s="51"/>
      <c r="WWC31" s="51"/>
      <c r="WWE31" s="51"/>
      <c r="WWH31" s="51"/>
      <c r="WWJ31" s="51"/>
      <c r="WWK31" s="51"/>
      <c r="WWM31" s="51"/>
      <c r="WWP31" s="51"/>
      <c r="WWR31" s="51"/>
      <c r="WWS31" s="51"/>
      <c r="WWU31" s="51"/>
      <c r="WWX31" s="51"/>
      <c r="WWZ31" s="51"/>
      <c r="WXA31" s="51"/>
      <c r="WXC31" s="51"/>
      <c r="WXF31" s="51"/>
      <c r="WXH31" s="51"/>
      <c r="WXI31" s="51"/>
      <c r="WXK31" s="51"/>
      <c r="WXN31" s="51"/>
      <c r="WXP31" s="51"/>
      <c r="WXQ31" s="51"/>
      <c r="WXS31" s="51"/>
      <c r="WXV31" s="51"/>
      <c r="WXX31" s="51"/>
      <c r="WXY31" s="51"/>
      <c r="WYA31" s="51"/>
      <c r="WYD31" s="51"/>
      <c r="WYF31" s="51"/>
      <c r="WYG31" s="51"/>
      <c r="WYI31" s="51"/>
      <c r="WYL31" s="51"/>
      <c r="WYN31" s="51"/>
      <c r="WYO31" s="51"/>
      <c r="WYQ31" s="51"/>
      <c r="WYT31" s="51"/>
      <c r="WYV31" s="51"/>
      <c r="WYW31" s="51"/>
      <c r="WYY31" s="51"/>
      <c r="WZB31" s="51"/>
      <c r="WZD31" s="51"/>
      <c r="WZE31" s="51"/>
      <c r="WZG31" s="51"/>
      <c r="WZJ31" s="51"/>
      <c r="WZL31" s="51"/>
      <c r="WZM31" s="51"/>
      <c r="WZO31" s="51"/>
      <c r="WZR31" s="51"/>
      <c r="WZT31" s="51"/>
      <c r="WZU31" s="51"/>
      <c r="WZW31" s="51"/>
      <c r="WZZ31" s="51"/>
      <c r="XAB31" s="51"/>
      <c r="XAC31" s="51"/>
      <c r="XAE31" s="51"/>
      <c r="XAH31" s="51"/>
      <c r="XAJ31" s="51"/>
      <c r="XAK31" s="51"/>
      <c r="XAM31" s="51"/>
      <c r="XAP31" s="51"/>
      <c r="XAR31" s="51"/>
      <c r="XAS31" s="51"/>
      <c r="XAU31" s="51"/>
      <c r="XAX31" s="51"/>
      <c r="XAZ31" s="51"/>
      <c r="XBA31" s="51"/>
      <c r="XBC31" s="51"/>
      <c r="XBF31" s="51"/>
      <c r="XBH31" s="51"/>
      <c r="XBI31" s="51"/>
      <c r="XBK31" s="51"/>
      <c r="XBN31" s="51"/>
      <c r="XBP31" s="51"/>
      <c r="XBQ31" s="51"/>
      <c r="XBS31" s="51"/>
      <c r="XBV31" s="51"/>
      <c r="XBX31" s="51"/>
      <c r="XBY31" s="51"/>
      <c r="XCA31" s="51"/>
      <c r="XCD31" s="51"/>
      <c r="XCF31" s="51"/>
      <c r="XCG31" s="51"/>
      <c r="XCI31" s="51"/>
      <c r="XCL31" s="51"/>
      <c r="XCN31" s="51"/>
      <c r="XCO31" s="51"/>
      <c r="XCQ31" s="51"/>
      <c r="XCT31" s="51"/>
      <c r="XCV31" s="51"/>
      <c r="XCW31" s="51"/>
      <c r="XCY31" s="51"/>
      <c r="XDB31" s="51"/>
      <c r="XDD31" s="51"/>
      <c r="XDE31" s="51"/>
      <c r="XDG31" s="51"/>
      <c r="XDJ31" s="51"/>
      <c r="XDL31" s="51"/>
      <c r="XDM31" s="51"/>
      <c r="XDO31" s="51"/>
      <c r="XDR31" s="51"/>
      <c r="XDT31" s="51"/>
      <c r="XDU31" s="51"/>
      <c r="XDW31" s="51"/>
      <c r="XDZ31" s="51"/>
      <c r="XEB31" s="51"/>
      <c r="XEC31" s="51"/>
      <c r="XEE31" s="51"/>
      <c r="XEH31" s="51"/>
      <c r="XEJ31" s="51"/>
      <c r="XEK31" s="51"/>
      <c r="XEM31" s="51"/>
      <c r="XEP31" s="51"/>
      <c r="XER31" s="51"/>
      <c r="XES31" s="51"/>
      <c r="XEU31" s="51"/>
      <c r="XEX31" s="51"/>
      <c r="XEZ31" s="51"/>
      <c r="XFA31" s="51"/>
      <c r="XFC31" s="51"/>
    </row>
    <row r="32" spans="1:1023 1026:2047 2050:3071 3074:4095 4098:5119 5122:6143 6146:7167 7170:8191 8194:9215 9218:10239 10242:11263 11266:12287 12290:13311 13314:14335 14338:15359 15362:16383" x14ac:dyDescent="0.25">
      <c r="A32" s="54">
        <v>15000</v>
      </c>
      <c r="B32" s="46"/>
      <c r="E32" s="51">
        <f>E16*$A$18</f>
        <v>2695.5</v>
      </c>
      <c r="F32" s="51">
        <f t="shared" si="4"/>
        <v>0</v>
      </c>
      <c r="G32" s="51">
        <f t="shared" si="4"/>
        <v>0</v>
      </c>
      <c r="H32" s="51">
        <f t="shared" si="4"/>
        <v>0</v>
      </c>
      <c r="I32" s="51">
        <f t="shared" si="4"/>
        <v>1063.2249999999999</v>
      </c>
      <c r="J32" s="51">
        <f t="shared" si="4"/>
        <v>0</v>
      </c>
      <c r="K32" s="51"/>
      <c r="L32" s="51">
        <f t="shared" si="4"/>
        <v>2650.5749999999998</v>
      </c>
      <c r="M32" s="51"/>
      <c r="O32" s="51"/>
      <c r="R32" s="51"/>
      <c r="S32" s="450"/>
      <c r="T32" s="51"/>
      <c r="U32" s="51"/>
      <c r="W32" s="51"/>
      <c r="Z32" s="51"/>
      <c r="AB32" s="51"/>
      <c r="AC32" s="51"/>
      <c r="AE32" s="51"/>
      <c r="AH32" s="51"/>
      <c r="AJ32" s="51"/>
      <c r="AK32" s="51"/>
      <c r="AM32" s="51"/>
      <c r="AP32" s="51"/>
      <c r="AR32" s="51"/>
      <c r="AS32" s="51"/>
      <c r="AU32" s="51"/>
      <c r="AX32" s="51"/>
      <c r="AZ32" s="51"/>
      <c r="BA32" s="51"/>
      <c r="BC32" s="51"/>
      <c r="BF32" s="51"/>
      <c r="BH32" s="51"/>
      <c r="BI32" s="51"/>
      <c r="BK32" s="51"/>
      <c r="BN32" s="51"/>
      <c r="BP32" s="51"/>
      <c r="BQ32" s="51"/>
      <c r="BS32" s="51"/>
      <c r="BV32" s="51"/>
      <c r="BX32" s="51"/>
      <c r="BY32" s="51"/>
      <c r="CA32" s="51"/>
      <c r="CD32" s="51"/>
      <c r="CF32" s="51"/>
      <c r="CG32" s="51"/>
      <c r="CI32" s="51"/>
      <c r="CL32" s="51"/>
      <c r="CN32" s="51"/>
      <c r="CO32" s="51"/>
      <c r="CQ32" s="51"/>
      <c r="CT32" s="51"/>
      <c r="CV32" s="51"/>
      <c r="CW32" s="51"/>
      <c r="CY32" s="51"/>
      <c r="DB32" s="51"/>
      <c r="DD32" s="51"/>
      <c r="DE32" s="51"/>
      <c r="DG32" s="51"/>
      <c r="DJ32" s="51"/>
      <c r="DL32" s="51"/>
      <c r="DM32" s="51"/>
      <c r="DO32" s="51"/>
      <c r="DR32" s="51"/>
      <c r="DT32" s="51"/>
      <c r="DU32" s="51"/>
      <c r="DW32" s="51"/>
      <c r="DZ32" s="51"/>
      <c r="EB32" s="51"/>
      <c r="EC32" s="51"/>
      <c r="EE32" s="51"/>
      <c r="EH32" s="51"/>
      <c r="EJ32" s="51"/>
      <c r="EK32" s="51"/>
      <c r="EM32" s="51"/>
      <c r="EP32" s="51"/>
      <c r="ER32" s="51"/>
      <c r="ES32" s="51"/>
      <c r="EU32" s="51"/>
      <c r="EX32" s="51"/>
      <c r="EZ32" s="51"/>
      <c r="FA32" s="51"/>
      <c r="FC32" s="51"/>
      <c r="FF32" s="51"/>
      <c r="FH32" s="51"/>
      <c r="FI32" s="51"/>
      <c r="FK32" s="51"/>
      <c r="FN32" s="51"/>
      <c r="FP32" s="51"/>
      <c r="FQ32" s="51"/>
      <c r="FS32" s="51"/>
      <c r="FV32" s="51"/>
      <c r="FX32" s="51"/>
      <c r="FY32" s="51"/>
      <c r="GA32" s="51"/>
      <c r="GD32" s="51"/>
      <c r="GF32" s="51"/>
      <c r="GG32" s="51"/>
      <c r="GI32" s="51"/>
      <c r="GL32" s="51"/>
      <c r="GN32" s="51"/>
      <c r="GO32" s="51"/>
      <c r="GQ32" s="51"/>
      <c r="GT32" s="51"/>
      <c r="GV32" s="51"/>
      <c r="GW32" s="51"/>
      <c r="GY32" s="51"/>
      <c r="HB32" s="51"/>
      <c r="HD32" s="51"/>
      <c r="HE32" s="51"/>
      <c r="HG32" s="51"/>
      <c r="HJ32" s="51"/>
      <c r="HL32" s="51"/>
      <c r="HM32" s="51"/>
      <c r="HO32" s="51"/>
      <c r="HR32" s="51"/>
      <c r="HT32" s="51"/>
      <c r="HU32" s="51"/>
      <c r="HW32" s="51"/>
      <c r="HZ32" s="51"/>
      <c r="IB32" s="51"/>
      <c r="IC32" s="51"/>
      <c r="IE32" s="51"/>
      <c r="IH32" s="51"/>
      <c r="IJ32" s="51"/>
      <c r="IK32" s="51"/>
      <c r="IM32" s="51"/>
      <c r="IP32" s="51"/>
      <c r="IR32" s="51"/>
      <c r="IS32" s="51"/>
      <c r="IU32" s="51"/>
      <c r="IX32" s="51"/>
      <c r="IZ32" s="51"/>
      <c r="JA32" s="51"/>
      <c r="JC32" s="51"/>
      <c r="JF32" s="51"/>
      <c r="JH32" s="51"/>
      <c r="JI32" s="51"/>
      <c r="JK32" s="51"/>
      <c r="JN32" s="51"/>
      <c r="JP32" s="51"/>
      <c r="JQ32" s="51"/>
      <c r="JS32" s="51"/>
      <c r="JV32" s="51"/>
      <c r="JX32" s="51"/>
      <c r="JY32" s="51"/>
      <c r="KA32" s="51"/>
      <c r="KD32" s="51"/>
      <c r="KF32" s="51"/>
      <c r="KG32" s="51"/>
      <c r="KI32" s="51"/>
      <c r="KL32" s="51"/>
      <c r="KN32" s="51"/>
      <c r="KO32" s="51"/>
      <c r="KQ32" s="51"/>
      <c r="KT32" s="51"/>
      <c r="KV32" s="51"/>
      <c r="KW32" s="51"/>
      <c r="KY32" s="51"/>
      <c r="LB32" s="51"/>
      <c r="LD32" s="51"/>
      <c r="LU32" s="51"/>
      <c r="LW32" s="51"/>
      <c r="LZ32" s="51"/>
      <c r="MB32" s="51"/>
      <c r="MC32" s="51"/>
      <c r="ME32" s="51"/>
      <c r="MH32" s="51"/>
      <c r="MJ32" s="51"/>
      <c r="MK32" s="51"/>
      <c r="MM32" s="51"/>
      <c r="MP32" s="51"/>
      <c r="MR32" s="51"/>
      <c r="MS32" s="51"/>
      <c r="MU32" s="51"/>
      <c r="MX32" s="51"/>
      <c r="MZ32" s="51"/>
      <c r="NA32" s="51"/>
      <c r="NC32" s="51"/>
      <c r="NF32" s="51"/>
      <c r="NH32" s="51"/>
      <c r="NI32" s="51"/>
      <c r="NK32" s="51"/>
      <c r="NN32" s="51"/>
      <c r="NP32" s="51"/>
      <c r="NQ32" s="51"/>
      <c r="NS32" s="51"/>
      <c r="NV32" s="51"/>
      <c r="NX32" s="51"/>
      <c r="NY32" s="51"/>
      <c r="OA32" s="51"/>
      <c r="OD32" s="51"/>
      <c r="OF32" s="51"/>
      <c r="OG32" s="51"/>
      <c r="OI32" s="51"/>
      <c r="OL32" s="51"/>
      <c r="ON32" s="51"/>
      <c r="OO32" s="51"/>
      <c r="OQ32" s="51"/>
      <c r="OT32" s="51"/>
      <c r="OV32" s="51"/>
      <c r="OW32" s="51"/>
      <c r="OY32" s="51"/>
      <c r="PB32" s="51"/>
      <c r="PD32" s="51"/>
      <c r="PE32" s="51"/>
      <c r="PG32" s="51"/>
      <c r="PJ32" s="51"/>
      <c r="PL32" s="51"/>
      <c r="PM32" s="51"/>
      <c r="PO32" s="51"/>
      <c r="PR32" s="51"/>
      <c r="PT32" s="51"/>
      <c r="PU32" s="51"/>
      <c r="PW32" s="51"/>
      <c r="PZ32" s="51"/>
      <c r="QB32" s="51"/>
      <c r="QC32" s="51"/>
      <c r="QE32" s="51"/>
      <c r="QH32" s="51"/>
      <c r="QJ32" s="51"/>
      <c r="QK32" s="51"/>
      <c r="QM32" s="51"/>
      <c r="QP32" s="51"/>
      <c r="QR32" s="51"/>
      <c r="QS32" s="51"/>
      <c r="QU32" s="51"/>
      <c r="QX32" s="51"/>
      <c r="QZ32" s="51"/>
      <c r="RA32" s="51"/>
      <c r="RC32" s="51"/>
      <c r="RF32" s="51"/>
      <c r="RH32" s="51"/>
      <c r="RI32" s="51"/>
      <c r="RK32" s="51"/>
      <c r="RN32" s="51"/>
      <c r="RP32" s="51"/>
      <c r="RQ32" s="51"/>
      <c r="RS32" s="51"/>
      <c r="RV32" s="51"/>
      <c r="RX32" s="51"/>
      <c r="RY32" s="51"/>
      <c r="SA32" s="51"/>
      <c r="SD32" s="51"/>
      <c r="SF32" s="51"/>
      <c r="SG32" s="51"/>
      <c r="SI32" s="51"/>
      <c r="SL32" s="51"/>
      <c r="SN32" s="51"/>
      <c r="SO32" s="51"/>
      <c r="SQ32" s="51"/>
      <c r="ST32" s="51"/>
      <c r="SV32" s="51"/>
      <c r="SW32" s="51"/>
      <c r="SY32" s="51"/>
      <c r="TB32" s="51"/>
      <c r="TD32" s="51"/>
      <c r="TE32" s="51"/>
      <c r="TG32" s="51"/>
      <c r="TJ32" s="51"/>
      <c r="TL32" s="51"/>
      <c r="TM32" s="51"/>
      <c r="TO32" s="51"/>
      <c r="TR32" s="51"/>
      <c r="TT32" s="51"/>
      <c r="TU32" s="51"/>
      <c r="TW32" s="51"/>
      <c r="TZ32" s="51"/>
      <c r="UB32" s="51"/>
      <c r="UC32" s="51"/>
      <c r="UE32" s="51"/>
      <c r="UH32" s="51"/>
      <c r="UJ32" s="51"/>
      <c r="UK32" s="51"/>
      <c r="UM32" s="51"/>
      <c r="UP32" s="51"/>
      <c r="UR32" s="51"/>
      <c r="US32" s="51"/>
      <c r="UU32" s="51"/>
      <c r="UX32" s="51"/>
      <c r="UZ32" s="51"/>
      <c r="VA32" s="51"/>
      <c r="VC32" s="51"/>
      <c r="VF32" s="51"/>
      <c r="VH32" s="51"/>
      <c r="VI32" s="51"/>
      <c r="VK32" s="51"/>
      <c r="VN32" s="51"/>
      <c r="VP32" s="51"/>
      <c r="VQ32" s="51"/>
      <c r="VS32" s="51"/>
      <c r="VV32" s="51"/>
      <c r="VX32" s="51"/>
      <c r="VY32" s="51"/>
      <c r="WA32" s="51"/>
      <c r="WD32" s="51"/>
      <c r="WF32" s="51"/>
      <c r="WG32" s="51"/>
      <c r="WI32" s="51"/>
      <c r="WL32" s="51"/>
      <c r="WN32" s="51"/>
      <c r="WO32" s="51"/>
      <c r="WQ32" s="51"/>
      <c r="WT32" s="51"/>
      <c r="WV32" s="51"/>
      <c r="WW32" s="51"/>
      <c r="WY32" s="51"/>
      <c r="XB32" s="51"/>
      <c r="XD32" s="51"/>
      <c r="XE32" s="51"/>
      <c r="XG32" s="51"/>
      <c r="XJ32" s="51"/>
      <c r="XL32" s="51"/>
      <c r="XM32" s="51"/>
      <c r="XO32" s="51"/>
      <c r="XR32" s="51"/>
      <c r="XT32" s="51"/>
      <c r="XU32" s="51"/>
      <c r="XW32" s="51"/>
      <c r="XZ32" s="51"/>
      <c r="YB32" s="51"/>
      <c r="YC32" s="51"/>
      <c r="YE32" s="51"/>
      <c r="YH32" s="51"/>
      <c r="YJ32" s="51"/>
      <c r="YK32" s="51"/>
      <c r="YM32" s="51"/>
      <c r="YP32" s="51"/>
      <c r="YR32" s="51"/>
      <c r="YS32" s="51"/>
      <c r="YU32" s="51"/>
      <c r="YX32" s="51"/>
      <c r="YZ32" s="51"/>
      <c r="ZA32" s="51"/>
      <c r="ZC32" s="51"/>
      <c r="ZF32" s="51"/>
      <c r="ZH32" s="51"/>
      <c r="ZI32" s="51"/>
      <c r="ZK32" s="51"/>
      <c r="ZN32" s="51"/>
      <c r="ZP32" s="51"/>
      <c r="ZQ32" s="51"/>
      <c r="ZS32" s="51"/>
      <c r="ZV32" s="51"/>
      <c r="ZX32" s="51"/>
      <c r="ZY32" s="51"/>
      <c r="AAA32" s="51"/>
      <c r="AAD32" s="51"/>
      <c r="AAF32" s="51"/>
      <c r="AAG32" s="51"/>
      <c r="AAI32" s="51"/>
      <c r="AAL32" s="51"/>
      <c r="AAN32" s="51"/>
      <c r="AAO32" s="51"/>
      <c r="AAQ32" s="51"/>
      <c r="AAT32" s="51"/>
      <c r="AAV32" s="51"/>
      <c r="AAW32" s="51"/>
      <c r="AAY32" s="51"/>
      <c r="ABB32" s="51"/>
      <c r="ABD32" s="51"/>
      <c r="ABE32" s="51"/>
      <c r="ABG32" s="51"/>
      <c r="ABJ32" s="51"/>
      <c r="ABL32" s="51"/>
      <c r="ABM32" s="51"/>
      <c r="ABO32" s="51"/>
      <c r="ABR32" s="51"/>
      <c r="ABT32" s="51"/>
      <c r="ABU32" s="51"/>
      <c r="ABW32" s="51"/>
      <c r="ABZ32" s="51"/>
      <c r="ACB32" s="51"/>
      <c r="ACC32" s="51"/>
      <c r="ACE32" s="51"/>
      <c r="ACH32" s="51"/>
      <c r="ACJ32" s="51"/>
      <c r="ACK32" s="51"/>
      <c r="ACM32" s="51"/>
      <c r="ACP32" s="51"/>
      <c r="ACR32" s="51"/>
      <c r="ACS32" s="51"/>
      <c r="ACU32" s="51"/>
      <c r="ACX32" s="51"/>
      <c r="ACZ32" s="51"/>
      <c r="ADA32" s="51"/>
      <c r="ADC32" s="51"/>
      <c r="ADF32" s="51"/>
      <c r="ADH32" s="51"/>
      <c r="ADI32" s="51"/>
      <c r="ADK32" s="51"/>
      <c r="ADN32" s="51"/>
      <c r="ADP32" s="51"/>
      <c r="ADQ32" s="51"/>
      <c r="ADS32" s="51"/>
      <c r="ADV32" s="51"/>
      <c r="ADX32" s="51"/>
      <c r="ADY32" s="51"/>
      <c r="AEA32" s="51"/>
      <c r="AED32" s="51"/>
      <c r="AEF32" s="51"/>
      <c r="AEG32" s="51"/>
      <c r="AEI32" s="51"/>
      <c r="AEL32" s="51"/>
      <c r="AEN32" s="51"/>
      <c r="AEO32" s="51"/>
      <c r="AEQ32" s="51"/>
      <c r="AET32" s="51"/>
      <c r="AEV32" s="51"/>
      <c r="AEW32" s="51"/>
      <c r="AEY32" s="51"/>
      <c r="AFB32" s="51"/>
      <c r="AFD32" s="51"/>
      <c r="AFE32" s="51"/>
      <c r="AFG32" s="51"/>
      <c r="AFJ32" s="51"/>
      <c r="AFL32" s="51"/>
      <c r="AFM32" s="51"/>
      <c r="AFO32" s="51"/>
      <c r="AFR32" s="51"/>
      <c r="AFT32" s="51"/>
      <c r="AFU32" s="51"/>
      <c r="AFW32" s="51"/>
      <c r="AFZ32" s="51"/>
      <c r="AGB32" s="51"/>
      <c r="AGC32" s="51"/>
      <c r="AGE32" s="51"/>
      <c r="AGH32" s="51"/>
      <c r="AGJ32" s="51"/>
      <c r="AGK32" s="51"/>
      <c r="AGM32" s="51"/>
      <c r="AGP32" s="51"/>
      <c r="AGR32" s="51"/>
      <c r="AGS32" s="51"/>
      <c r="AGU32" s="51"/>
      <c r="AGX32" s="51"/>
      <c r="AGZ32" s="51"/>
      <c r="AHA32" s="51"/>
      <c r="AHC32" s="51"/>
      <c r="AHF32" s="51"/>
      <c r="AHH32" s="51"/>
      <c r="AHI32" s="51"/>
      <c r="AHK32" s="51"/>
      <c r="AHN32" s="51"/>
      <c r="AHP32" s="51"/>
      <c r="AHQ32" s="51"/>
      <c r="AHS32" s="51"/>
      <c r="AHV32" s="51"/>
      <c r="AHX32" s="51"/>
      <c r="AHY32" s="51"/>
      <c r="AIA32" s="51"/>
      <c r="AID32" s="51"/>
      <c r="AIF32" s="51"/>
      <c r="AIG32" s="51"/>
      <c r="AII32" s="51"/>
      <c r="AIL32" s="51"/>
      <c r="AIN32" s="51"/>
      <c r="AIO32" s="51"/>
      <c r="AIQ32" s="51"/>
      <c r="AIT32" s="51"/>
      <c r="AIV32" s="51"/>
      <c r="AIW32" s="51"/>
      <c r="AIY32" s="51"/>
      <c r="AJB32" s="51"/>
      <c r="AJD32" s="51"/>
      <c r="AJE32" s="51"/>
      <c r="AJG32" s="51"/>
      <c r="AJJ32" s="51"/>
      <c r="AJL32" s="51"/>
      <c r="AJM32" s="51"/>
      <c r="AJO32" s="51"/>
      <c r="AJR32" s="51"/>
      <c r="AJT32" s="51"/>
      <c r="AJU32" s="51"/>
      <c r="AJW32" s="51"/>
      <c r="AJZ32" s="51"/>
      <c r="AKB32" s="51"/>
      <c r="AKC32" s="51"/>
      <c r="AKE32" s="51"/>
      <c r="AKH32" s="51"/>
      <c r="AKJ32" s="51"/>
      <c r="AKK32" s="51"/>
      <c r="AKM32" s="51"/>
      <c r="AKP32" s="51"/>
      <c r="AKR32" s="51"/>
      <c r="AKS32" s="51"/>
      <c r="AKU32" s="51"/>
      <c r="AKX32" s="51"/>
      <c r="AKZ32" s="51"/>
      <c r="ALA32" s="51"/>
      <c r="ALC32" s="51"/>
      <c r="ALF32" s="51"/>
      <c r="ALH32" s="51"/>
      <c r="ALI32" s="51"/>
      <c r="ALK32" s="51"/>
      <c r="ALN32" s="51"/>
      <c r="ALP32" s="51"/>
      <c r="ALQ32" s="51"/>
      <c r="ALS32" s="51"/>
      <c r="ALV32" s="51"/>
      <c r="ALX32" s="51"/>
      <c r="ALY32" s="51"/>
      <c r="AMA32" s="51"/>
      <c r="AMD32" s="51"/>
      <c r="AMF32" s="51"/>
      <c r="AMG32" s="51"/>
      <c r="AMI32" s="51"/>
      <c r="AML32" s="51"/>
      <c r="AMN32" s="51"/>
      <c r="AMO32" s="51"/>
      <c r="AMQ32" s="51"/>
      <c r="AMT32" s="51"/>
      <c r="AMV32" s="51"/>
      <c r="AMW32" s="51"/>
      <c r="AMY32" s="51"/>
      <c r="ANB32" s="51"/>
      <c r="AND32" s="51"/>
      <c r="ANE32" s="51"/>
      <c r="ANG32" s="51"/>
      <c r="ANJ32" s="51"/>
      <c r="ANL32" s="51"/>
      <c r="ANM32" s="51"/>
      <c r="ANO32" s="51"/>
      <c r="ANR32" s="51"/>
      <c r="ANT32" s="51"/>
      <c r="ANU32" s="51"/>
      <c r="ANW32" s="51"/>
      <c r="ANZ32" s="51"/>
      <c r="AOB32" s="51"/>
      <c r="AOC32" s="51"/>
      <c r="AOE32" s="51"/>
      <c r="AOH32" s="51"/>
      <c r="AOJ32" s="51"/>
      <c r="AOK32" s="51"/>
      <c r="AOM32" s="51"/>
      <c r="AOP32" s="51"/>
      <c r="AOR32" s="51"/>
      <c r="AOS32" s="51"/>
      <c r="AOU32" s="51"/>
      <c r="AOX32" s="51"/>
      <c r="AOZ32" s="51"/>
      <c r="APA32" s="51"/>
      <c r="APC32" s="51"/>
      <c r="APF32" s="51"/>
      <c r="APH32" s="51"/>
      <c r="API32" s="51"/>
      <c r="APK32" s="51"/>
      <c r="APN32" s="51"/>
      <c r="APP32" s="51"/>
      <c r="APQ32" s="51"/>
      <c r="APS32" s="51"/>
      <c r="APV32" s="51"/>
      <c r="APX32" s="51"/>
      <c r="APY32" s="51"/>
      <c r="AQA32" s="51"/>
      <c r="AQD32" s="51"/>
      <c r="AQF32" s="51"/>
      <c r="AQG32" s="51"/>
      <c r="AQI32" s="51"/>
      <c r="AQL32" s="51"/>
      <c r="AQN32" s="51"/>
      <c r="AQO32" s="51"/>
      <c r="AQQ32" s="51"/>
      <c r="AQT32" s="51"/>
      <c r="AQV32" s="51"/>
      <c r="AQW32" s="51"/>
      <c r="AQY32" s="51"/>
      <c r="ARB32" s="51"/>
      <c r="ARD32" s="51"/>
      <c r="ARE32" s="51"/>
      <c r="ARG32" s="51"/>
      <c r="ARJ32" s="51"/>
      <c r="ARL32" s="51"/>
      <c r="ARM32" s="51"/>
      <c r="ARO32" s="51"/>
      <c r="ARR32" s="51"/>
      <c r="ART32" s="51"/>
      <c r="ARU32" s="51"/>
      <c r="ARW32" s="51"/>
      <c r="ARZ32" s="51"/>
      <c r="ASB32" s="51"/>
      <c r="ASC32" s="51"/>
      <c r="ASE32" s="51"/>
      <c r="ASH32" s="51"/>
      <c r="ASJ32" s="51"/>
      <c r="ASK32" s="51"/>
      <c r="ASM32" s="51"/>
      <c r="ASP32" s="51"/>
      <c r="ASR32" s="51"/>
      <c r="ASS32" s="51"/>
      <c r="ASU32" s="51"/>
      <c r="ASX32" s="51"/>
      <c r="ASZ32" s="51"/>
      <c r="ATA32" s="51"/>
      <c r="ATC32" s="51"/>
      <c r="ATF32" s="51"/>
      <c r="ATH32" s="51"/>
      <c r="ATI32" s="51"/>
      <c r="ATK32" s="51"/>
      <c r="ATN32" s="51"/>
      <c r="ATP32" s="51"/>
      <c r="ATQ32" s="51"/>
      <c r="ATS32" s="51"/>
      <c r="ATV32" s="51"/>
      <c r="ATX32" s="51"/>
      <c r="ATY32" s="51"/>
      <c r="AUA32" s="51"/>
      <c r="AUD32" s="51"/>
      <c r="AUF32" s="51"/>
      <c r="AUG32" s="51"/>
      <c r="AUI32" s="51"/>
      <c r="AUL32" s="51"/>
      <c r="AUN32" s="51"/>
      <c r="AUO32" s="51"/>
      <c r="AUQ32" s="51"/>
      <c r="AUT32" s="51"/>
      <c r="AUV32" s="51"/>
      <c r="AUW32" s="51"/>
      <c r="AUY32" s="51"/>
      <c r="AVB32" s="51"/>
      <c r="AVD32" s="51"/>
      <c r="AVE32" s="51"/>
      <c r="AVG32" s="51"/>
      <c r="AVJ32" s="51"/>
      <c r="AVL32" s="51"/>
      <c r="AVM32" s="51"/>
      <c r="AVO32" s="51"/>
      <c r="AVR32" s="51"/>
      <c r="AVT32" s="51"/>
      <c r="AVU32" s="51"/>
      <c r="AVW32" s="51"/>
      <c r="AVZ32" s="51"/>
      <c r="AWB32" s="51"/>
      <c r="AWC32" s="51"/>
      <c r="AWE32" s="51"/>
      <c r="AWH32" s="51"/>
      <c r="AWJ32" s="51"/>
      <c r="AWK32" s="51"/>
      <c r="AWM32" s="51"/>
      <c r="AWP32" s="51"/>
      <c r="AWR32" s="51"/>
      <c r="AWS32" s="51"/>
      <c r="AWU32" s="51"/>
      <c r="AWX32" s="51"/>
      <c r="AWZ32" s="51"/>
      <c r="AXA32" s="51"/>
      <c r="AXC32" s="51"/>
      <c r="AXF32" s="51"/>
      <c r="AXH32" s="51"/>
      <c r="AXI32" s="51"/>
      <c r="AXK32" s="51"/>
      <c r="AXN32" s="51"/>
      <c r="AXP32" s="51"/>
      <c r="AXQ32" s="51"/>
      <c r="AXS32" s="51"/>
      <c r="AXV32" s="51"/>
      <c r="AXX32" s="51"/>
      <c r="AXY32" s="51"/>
      <c r="AYA32" s="51"/>
      <c r="AYD32" s="51"/>
      <c r="AYF32" s="51"/>
      <c r="AYG32" s="51"/>
      <c r="AYI32" s="51"/>
      <c r="AYL32" s="51"/>
      <c r="AYN32" s="51"/>
      <c r="AYO32" s="51"/>
      <c r="AYQ32" s="51"/>
      <c r="AYT32" s="51"/>
      <c r="AYV32" s="51"/>
      <c r="AYW32" s="51"/>
      <c r="AYY32" s="51"/>
      <c r="AZB32" s="51"/>
      <c r="AZD32" s="51"/>
      <c r="AZE32" s="51"/>
      <c r="AZG32" s="51"/>
      <c r="AZJ32" s="51"/>
      <c r="AZL32" s="51"/>
      <c r="AZM32" s="51"/>
      <c r="AZO32" s="51"/>
      <c r="AZR32" s="51"/>
      <c r="AZT32" s="51"/>
      <c r="AZU32" s="51"/>
      <c r="AZW32" s="51"/>
      <c r="AZZ32" s="51"/>
      <c r="BAB32" s="51"/>
      <c r="BAC32" s="51"/>
      <c r="BAE32" s="51"/>
      <c r="BAH32" s="51"/>
      <c r="BAJ32" s="51"/>
      <c r="BAK32" s="51"/>
      <c r="BAM32" s="51"/>
      <c r="BAP32" s="51"/>
      <c r="BAR32" s="51"/>
      <c r="BAS32" s="51"/>
      <c r="BAU32" s="51"/>
      <c r="BAX32" s="51"/>
      <c r="BAZ32" s="51"/>
      <c r="BBA32" s="51"/>
      <c r="BBC32" s="51"/>
      <c r="BBF32" s="51"/>
      <c r="BBH32" s="51"/>
      <c r="BBI32" s="51"/>
      <c r="BBK32" s="51"/>
      <c r="BBN32" s="51"/>
      <c r="BBP32" s="51"/>
      <c r="BBQ32" s="51"/>
      <c r="BBS32" s="51"/>
      <c r="BBV32" s="51"/>
      <c r="BBX32" s="51"/>
      <c r="BBY32" s="51"/>
      <c r="BCA32" s="51"/>
      <c r="BCD32" s="51"/>
      <c r="BCF32" s="51"/>
      <c r="BCG32" s="51"/>
      <c r="BCI32" s="51"/>
      <c r="BCL32" s="51"/>
      <c r="BCN32" s="51"/>
      <c r="BCO32" s="51"/>
      <c r="BCQ32" s="51"/>
      <c r="BCT32" s="51"/>
      <c r="BCV32" s="51"/>
      <c r="BCW32" s="51"/>
      <c r="BCY32" s="51"/>
      <c r="BDB32" s="51"/>
      <c r="BDD32" s="51"/>
      <c r="BDE32" s="51"/>
      <c r="BDG32" s="51"/>
      <c r="BDJ32" s="51"/>
      <c r="BDL32" s="51"/>
      <c r="BDM32" s="51"/>
      <c r="BDO32" s="51"/>
      <c r="BDR32" s="51"/>
      <c r="BDT32" s="51"/>
      <c r="BDU32" s="51"/>
      <c r="BDW32" s="51"/>
      <c r="BDZ32" s="51"/>
      <c r="BEB32" s="51"/>
      <c r="BEC32" s="51"/>
      <c r="BEE32" s="51"/>
      <c r="BEH32" s="51"/>
      <c r="BEJ32" s="51"/>
      <c r="BEK32" s="51"/>
      <c r="BEM32" s="51"/>
      <c r="BEP32" s="51"/>
      <c r="BER32" s="51"/>
      <c r="BES32" s="51"/>
      <c r="BEU32" s="51"/>
      <c r="BEX32" s="51"/>
      <c r="BEZ32" s="51"/>
      <c r="BFA32" s="51"/>
      <c r="BFC32" s="51"/>
      <c r="BFF32" s="51"/>
      <c r="BFH32" s="51"/>
      <c r="BFI32" s="51"/>
      <c r="BFK32" s="51"/>
      <c r="BFN32" s="51"/>
      <c r="BFP32" s="51"/>
      <c r="BFQ32" s="51"/>
      <c r="BFS32" s="51"/>
      <c r="BFV32" s="51"/>
      <c r="BFX32" s="51"/>
      <c r="BFY32" s="51"/>
      <c r="BGA32" s="51"/>
      <c r="BGD32" s="51"/>
      <c r="BGF32" s="51"/>
      <c r="BGG32" s="51"/>
      <c r="BGI32" s="51"/>
      <c r="BGL32" s="51"/>
      <c r="BGN32" s="51"/>
      <c r="BGO32" s="51"/>
      <c r="BGQ32" s="51"/>
      <c r="BGT32" s="51"/>
      <c r="BGV32" s="51"/>
      <c r="BGW32" s="51"/>
      <c r="BGY32" s="51"/>
      <c r="BHB32" s="51"/>
      <c r="BHD32" s="51"/>
      <c r="BHE32" s="51"/>
      <c r="BHG32" s="51"/>
      <c r="BHJ32" s="51"/>
      <c r="BHL32" s="51"/>
      <c r="BHM32" s="51"/>
      <c r="BHO32" s="51"/>
      <c r="BHR32" s="51"/>
      <c r="BHT32" s="51"/>
      <c r="BHU32" s="51"/>
      <c r="BHW32" s="51"/>
      <c r="BHZ32" s="51"/>
      <c r="BIB32" s="51"/>
      <c r="BIC32" s="51"/>
      <c r="BIE32" s="51"/>
      <c r="BIH32" s="51"/>
      <c r="BIJ32" s="51"/>
      <c r="BIK32" s="51"/>
      <c r="BIM32" s="51"/>
      <c r="BIP32" s="51"/>
      <c r="BIR32" s="51"/>
      <c r="BIS32" s="51"/>
      <c r="BIU32" s="51"/>
      <c r="BIX32" s="51"/>
      <c r="BIZ32" s="51"/>
      <c r="BJA32" s="51"/>
      <c r="BJC32" s="51"/>
      <c r="BJF32" s="51"/>
      <c r="BJH32" s="51"/>
      <c r="BJI32" s="51"/>
      <c r="BJK32" s="51"/>
      <c r="BJN32" s="51"/>
      <c r="BJP32" s="51"/>
      <c r="BJQ32" s="51"/>
      <c r="BJS32" s="51"/>
      <c r="BJV32" s="51"/>
      <c r="BJX32" s="51"/>
      <c r="BJY32" s="51"/>
      <c r="BKA32" s="51"/>
      <c r="BKD32" s="51"/>
      <c r="BKF32" s="51"/>
      <c r="BKG32" s="51"/>
      <c r="BKI32" s="51"/>
      <c r="BKL32" s="51"/>
      <c r="BKN32" s="51"/>
      <c r="BKO32" s="51"/>
      <c r="BKQ32" s="51"/>
      <c r="BKT32" s="51"/>
      <c r="BKV32" s="51"/>
      <c r="BKW32" s="51"/>
      <c r="BKY32" s="51"/>
      <c r="BLB32" s="51"/>
      <c r="BLD32" s="51"/>
      <c r="BLE32" s="51"/>
      <c r="BLG32" s="51"/>
      <c r="BLJ32" s="51"/>
      <c r="BLL32" s="51"/>
      <c r="BLM32" s="51"/>
      <c r="BLO32" s="51"/>
      <c r="BLR32" s="51"/>
      <c r="BLT32" s="51"/>
      <c r="BLU32" s="51"/>
      <c r="BLW32" s="51"/>
      <c r="BLZ32" s="51"/>
      <c r="BMB32" s="51"/>
      <c r="BMC32" s="51"/>
      <c r="BME32" s="51"/>
      <c r="BMH32" s="51"/>
      <c r="BMJ32" s="51"/>
      <c r="BMK32" s="51"/>
      <c r="BMM32" s="51"/>
      <c r="BMP32" s="51"/>
      <c r="BMR32" s="51"/>
      <c r="BMS32" s="51"/>
      <c r="BMU32" s="51"/>
      <c r="BMX32" s="51"/>
      <c r="BMZ32" s="51"/>
      <c r="BNA32" s="51"/>
      <c r="BNC32" s="51"/>
      <c r="BNF32" s="51"/>
      <c r="BNH32" s="51"/>
      <c r="BNI32" s="51"/>
      <c r="BNK32" s="51"/>
      <c r="BNN32" s="51"/>
      <c r="BNP32" s="51"/>
      <c r="BNQ32" s="51"/>
      <c r="BNS32" s="51"/>
      <c r="BNV32" s="51"/>
      <c r="BNX32" s="51"/>
      <c r="BNY32" s="51"/>
      <c r="BOA32" s="51"/>
      <c r="BOD32" s="51"/>
      <c r="BOF32" s="51"/>
      <c r="BOG32" s="51"/>
      <c r="BOI32" s="51"/>
      <c r="BOL32" s="51"/>
      <c r="BON32" s="51"/>
      <c r="BOO32" s="51"/>
      <c r="BOQ32" s="51"/>
      <c r="BOT32" s="51"/>
      <c r="BOV32" s="51"/>
      <c r="BOW32" s="51"/>
      <c r="BOY32" s="51"/>
      <c r="BPB32" s="51"/>
      <c r="BPD32" s="51"/>
      <c r="BPE32" s="51"/>
      <c r="BPG32" s="51"/>
      <c r="BPJ32" s="51"/>
      <c r="BPL32" s="51"/>
      <c r="BPM32" s="51"/>
      <c r="BPO32" s="51"/>
      <c r="BPR32" s="51"/>
      <c r="BPT32" s="51"/>
      <c r="BPU32" s="51"/>
      <c r="BPW32" s="51"/>
      <c r="BPZ32" s="51"/>
      <c r="BQB32" s="51"/>
      <c r="BQC32" s="51"/>
      <c r="BQE32" s="51"/>
      <c r="BQH32" s="51"/>
      <c r="BQJ32" s="51"/>
      <c r="BQK32" s="51"/>
      <c r="BQM32" s="51"/>
      <c r="BQP32" s="51"/>
      <c r="BQR32" s="51"/>
      <c r="BQS32" s="51"/>
      <c r="BQU32" s="51"/>
      <c r="BQX32" s="51"/>
      <c r="BQZ32" s="51"/>
      <c r="BRA32" s="51"/>
      <c r="BRC32" s="51"/>
      <c r="BRF32" s="51"/>
      <c r="BRH32" s="51"/>
      <c r="BRI32" s="51"/>
      <c r="BRK32" s="51"/>
      <c r="BRN32" s="51"/>
      <c r="BRP32" s="51"/>
      <c r="BRQ32" s="51"/>
      <c r="BRS32" s="51"/>
      <c r="BRV32" s="51"/>
      <c r="BRX32" s="51"/>
      <c r="BRY32" s="51"/>
      <c r="BSA32" s="51"/>
      <c r="BSD32" s="51"/>
      <c r="BSF32" s="51"/>
      <c r="BSG32" s="51"/>
      <c r="BSI32" s="51"/>
      <c r="BSL32" s="51"/>
      <c r="BSN32" s="51"/>
      <c r="BSO32" s="51"/>
      <c r="BSQ32" s="51"/>
      <c r="BST32" s="51"/>
      <c r="BSV32" s="51"/>
      <c r="BSW32" s="51"/>
      <c r="BSY32" s="51"/>
      <c r="BTB32" s="51"/>
      <c r="BTD32" s="51"/>
      <c r="BTE32" s="51"/>
      <c r="BTG32" s="51"/>
      <c r="BTJ32" s="51"/>
      <c r="BTL32" s="51"/>
      <c r="BTM32" s="51"/>
      <c r="BTO32" s="51"/>
      <c r="BTR32" s="51"/>
      <c r="BTT32" s="51"/>
      <c r="BTU32" s="51"/>
      <c r="BTW32" s="51"/>
      <c r="BTZ32" s="51"/>
      <c r="BUB32" s="51"/>
      <c r="BUC32" s="51"/>
      <c r="BUE32" s="51"/>
      <c r="BUH32" s="51"/>
      <c r="BUJ32" s="51"/>
      <c r="BUK32" s="51"/>
      <c r="BUM32" s="51"/>
      <c r="BUP32" s="51"/>
      <c r="BUR32" s="51"/>
      <c r="BUS32" s="51"/>
      <c r="BUU32" s="51"/>
      <c r="BUX32" s="51"/>
      <c r="BUZ32" s="51"/>
      <c r="BVA32" s="51"/>
      <c r="BVC32" s="51"/>
      <c r="BVF32" s="51"/>
      <c r="BVH32" s="51"/>
      <c r="BVI32" s="51"/>
      <c r="BVK32" s="51"/>
      <c r="BVN32" s="51"/>
      <c r="BVP32" s="51"/>
      <c r="BVQ32" s="51"/>
      <c r="BVS32" s="51"/>
      <c r="BVV32" s="51"/>
      <c r="BVX32" s="51"/>
      <c r="BVY32" s="51"/>
      <c r="BWA32" s="51"/>
      <c r="BWD32" s="51"/>
      <c r="BWF32" s="51"/>
      <c r="BWG32" s="51"/>
      <c r="BWI32" s="51"/>
      <c r="BWL32" s="51"/>
      <c r="BWN32" s="51"/>
      <c r="BWO32" s="51"/>
      <c r="BWQ32" s="51"/>
      <c r="BWT32" s="51"/>
      <c r="BWV32" s="51"/>
      <c r="BWW32" s="51"/>
      <c r="BWY32" s="51"/>
      <c r="BXB32" s="51"/>
      <c r="BXD32" s="51"/>
      <c r="BXE32" s="51"/>
      <c r="BXG32" s="51"/>
      <c r="BXJ32" s="51"/>
      <c r="BXL32" s="51"/>
      <c r="BXM32" s="51"/>
      <c r="BXO32" s="51"/>
      <c r="BXR32" s="51"/>
      <c r="BXT32" s="51"/>
      <c r="BXU32" s="51"/>
      <c r="BXW32" s="51"/>
      <c r="BXZ32" s="51"/>
      <c r="BYB32" s="51"/>
      <c r="BYC32" s="51"/>
      <c r="BYE32" s="51"/>
      <c r="BYH32" s="51"/>
      <c r="BYJ32" s="51"/>
      <c r="BYK32" s="51"/>
      <c r="BYM32" s="51"/>
      <c r="BYP32" s="51"/>
      <c r="BYR32" s="51"/>
      <c r="BYS32" s="51"/>
      <c r="BYU32" s="51"/>
      <c r="BYX32" s="51"/>
      <c r="BYZ32" s="51"/>
      <c r="BZA32" s="51"/>
      <c r="BZC32" s="51"/>
      <c r="BZF32" s="51"/>
      <c r="BZH32" s="51"/>
      <c r="BZI32" s="51"/>
      <c r="BZK32" s="51"/>
      <c r="BZN32" s="51"/>
      <c r="BZP32" s="51"/>
      <c r="BZQ32" s="51"/>
      <c r="BZS32" s="51"/>
      <c r="BZV32" s="51"/>
      <c r="BZX32" s="51"/>
      <c r="BZY32" s="51"/>
      <c r="CAA32" s="51"/>
      <c r="CAD32" s="51"/>
      <c r="CAF32" s="51"/>
      <c r="CAG32" s="51"/>
      <c r="CAI32" s="51"/>
      <c r="CAL32" s="51"/>
      <c r="CAN32" s="51"/>
      <c r="CAO32" s="51"/>
      <c r="CAQ32" s="51"/>
      <c r="CAT32" s="51"/>
      <c r="CAV32" s="51"/>
      <c r="CAW32" s="51"/>
      <c r="CAY32" s="51"/>
      <c r="CBB32" s="51"/>
      <c r="CBD32" s="51"/>
      <c r="CBE32" s="51"/>
      <c r="CBG32" s="51"/>
      <c r="CBJ32" s="51"/>
      <c r="CBL32" s="51"/>
      <c r="CBM32" s="51"/>
      <c r="CBO32" s="51"/>
      <c r="CBR32" s="51"/>
      <c r="CBT32" s="51"/>
      <c r="CBU32" s="51"/>
      <c r="CBW32" s="51"/>
      <c r="CBZ32" s="51"/>
      <c r="CCB32" s="51"/>
      <c r="CCC32" s="51"/>
      <c r="CCE32" s="51"/>
      <c r="CCH32" s="51"/>
      <c r="CCJ32" s="51"/>
      <c r="CCK32" s="51"/>
      <c r="CCM32" s="51"/>
      <c r="CCP32" s="51"/>
      <c r="CCR32" s="51"/>
      <c r="CCS32" s="51"/>
      <c r="CCU32" s="51"/>
      <c r="CCX32" s="51"/>
      <c r="CCZ32" s="51"/>
      <c r="CDA32" s="51"/>
      <c r="CDC32" s="51"/>
      <c r="CDF32" s="51"/>
      <c r="CDH32" s="51"/>
      <c r="CDI32" s="51"/>
      <c r="CDK32" s="51"/>
      <c r="CDN32" s="51"/>
      <c r="CDP32" s="51"/>
      <c r="CDQ32" s="51"/>
      <c r="CDS32" s="51"/>
      <c r="CDV32" s="51"/>
      <c r="CDX32" s="51"/>
      <c r="CDY32" s="51"/>
      <c r="CEA32" s="51"/>
      <c r="CED32" s="51"/>
      <c r="CEF32" s="51"/>
      <c r="CEG32" s="51"/>
      <c r="CEI32" s="51"/>
      <c r="CEL32" s="51"/>
      <c r="CEN32" s="51"/>
      <c r="CEO32" s="51"/>
      <c r="CEQ32" s="51"/>
      <c r="CET32" s="51"/>
      <c r="CEV32" s="51"/>
      <c r="CEW32" s="51"/>
      <c r="CEY32" s="51"/>
      <c r="CFB32" s="51"/>
      <c r="CFD32" s="51"/>
      <c r="CFE32" s="51"/>
      <c r="CFG32" s="51"/>
      <c r="CFJ32" s="51"/>
      <c r="CFL32" s="51"/>
      <c r="CFM32" s="51"/>
      <c r="CFO32" s="51"/>
      <c r="CFR32" s="51"/>
      <c r="CFT32" s="51"/>
      <c r="CFU32" s="51"/>
      <c r="CFW32" s="51"/>
      <c r="CFZ32" s="51"/>
      <c r="CGB32" s="51"/>
      <c r="CGC32" s="51"/>
      <c r="CGE32" s="51"/>
      <c r="CGH32" s="51"/>
      <c r="CGJ32" s="51"/>
      <c r="CGK32" s="51"/>
      <c r="CGM32" s="51"/>
      <c r="CGP32" s="51"/>
      <c r="CGR32" s="51"/>
      <c r="CGS32" s="51"/>
      <c r="CGU32" s="51"/>
      <c r="CGX32" s="51"/>
      <c r="CGZ32" s="51"/>
      <c r="CHA32" s="51"/>
      <c r="CHC32" s="51"/>
      <c r="CHF32" s="51"/>
      <c r="CHH32" s="51"/>
      <c r="CHI32" s="51"/>
      <c r="CHK32" s="51"/>
      <c r="CHN32" s="51"/>
      <c r="CHP32" s="51"/>
      <c r="CHQ32" s="51"/>
      <c r="CHS32" s="51"/>
      <c r="CHV32" s="51"/>
      <c r="CHX32" s="51"/>
      <c r="CHY32" s="51"/>
      <c r="CIA32" s="51"/>
      <c r="CID32" s="51"/>
      <c r="CIF32" s="51"/>
      <c r="CIG32" s="51"/>
      <c r="CII32" s="51"/>
      <c r="CIL32" s="51"/>
      <c r="CIN32" s="51"/>
      <c r="CIO32" s="51"/>
      <c r="CIQ32" s="51"/>
      <c r="CIT32" s="51"/>
      <c r="CIV32" s="51"/>
      <c r="CIW32" s="51"/>
      <c r="CIY32" s="51"/>
      <c r="CJB32" s="51"/>
      <c r="CJD32" s="51"/>
      <c r="CJE32" s="51"/>
      <c r="CJG32" s="51"/>
      <c r="CJJ32" s="51"/>
      <c r="CJL32" s="51"/>
      <c r="CJM32" s="51"/>
      <c r="CJO32" s="51"/>
      <c r="CJR32" s="51"/>
      <c r="CJT32" s="51"/>
      <c r="CJU32" s="51"/>
      <c r="CJW32" s="51"/>
      <c r="CJZ32" s="51"/>
      <c r="CKB32" s="51"/>
      <c r="CKC32" s="51"/>
      <c r="CKE32" s="51"/>
      <c r="CKH32" s="51"/>
      <c r="CKJ32" s="51"/>
      <c r="CKK32" s="51"/>
      <c r="CKM32" s="51"/>
      <c r="CKP32" s="51"/>
      <c r="CKR32" s="51"/>
      <c r="CKS32" s="51"/>
      <c r="CKU32" s="51"/>
      <c r="CKX32" s="51"/>
      <c r="CKZ32" s="51"/>
      <c r="CLA32" s="51"/>
      <c r="CLC32" s="51"/>
      <c r="CLF32" s="51"/>
      <c r="CLH32" s="51"/>
      <c r="CLI32" s="51"/>
      <c r="CLK32" s="51"/>
      <c r="CLN32" s="51"/>
      <c r="CLP32" s="51"/>
      <c r="CLQ32" s="51"/>
      <c r="CLS32" s="51"/>
      <c r="CLV32" s="51"/>
      <c r="CLX32" s="51"/>
      <c r="CLY32" s="51"/>
      <c r="CMA32" s="51"/>
      <c r="CMD32" s="51"/>
      <c r="CMF32" s="51"/>
      <c r="CMG32" s="51"/>
      <c r="CMI32" s="51"/>
      <c r="CML32" s="51"/>
      <c r="CMN32" s="51"/>
      <c r="CMO32" s="51"/>
      <c r="CMQ32" s="51"/>
      <c r="CMT32" s="51"/>
      <c r="CMV32" s="51"/>
      <c r="CMW32" s="51"/>
      <c r="CMY32" s="51"/>
      <c r="CNB32" s="51"/>
      <c r="CND32" s="51"/>
      <c r="CNE32" s="51"/>
      <c r="CNG32" s="51"/>
      <c r="CNJ32" s="51"/>
      <c r="CNL32" s="51"/>
      <c r="CNM32" s="51"/>
      <c r="CNO32" s="51"/>
      <c r="CNR32" s="51"/>
      <c r="CNT32" s="51"/>
      <c r="CNU32" s="51"/>
      <c r="CNW32" s="51"/>
      <c r="CNZ32" s="51"/>
      <c r="COB32" s="51"/>
      <c r="COC32" s="51"/>
      <c r="COE32" s="51"/>
      <c r="COH32" s="51"/>
      <c r="COJ32" s="51"/>
      <c r="COK32" s="51"/>
      <c r="COM32" s="51"/>
      <c r="COP32" s="51"/>
      <c r="COR32" s="51"/>
      <c r="COS32" s="51"/>
      <c r="COU32" s="51"/>
      <c r="COX32" s="51"/>
      <c r="COZ32" s="51"/>
      <c r="CPA32" s="51"/>
      <c r="CPC32" s="51"/>
      <c r="CPF32" s="51"/>
      <c r="CPH32" s="51"/>
      <c r="CPI32" s="51"/>
      <c r="CPK32" s="51"/>
      <c r="CPN32" s="51"/>
      <c r="CPP32" s="51"/>
      <c r="CPQ32" s="51"/>
      <c r="CPS32" s="51"/>
      <c r="CPV32" s="51"/>
      <c r="CPX32" s="51"/>
      <c r="CPY32" s="51"/>
      <c r="CQA32" s="51"/>
      <c r="CQD32" s="51"/>
      <c r="CQF32" s="51"/>
      <c r="CQG32" s="51"/>
      <c r="CQI32" s="51"/>
      <c r="CQL32" s="51"/>
      <c r="CQN32" s="51"/>
      <c r="CQO32" s="51"/>
      <c r="CQQ32" s="51"/>
      <c r="CQT32" s="51"/>
      <c r="CQV32" s="51"/>
      <c r="CQW32" s="51"/>
      <c r="CQY32" s="51"/>
      <c r="CRB32" s="51"/>
      <c r="CRD32" s="51"/>
      <c r="CRE32" s="51"/>
      <c r="CRG32" s="51"/>
      <c r="CRJ32" s="51"/>
      <c r="CRL32" s="51"/>
      <c r="CRM32" s="51"/>
      <c r="CRO32" s="51"/>
      <c r="CRR32" s="51"/>
      <c r="CRT32" s="51"/>
      <c r="CRU32" s="51"/>
      <c r="CRW32" s="51"/>
      <c r="CRZ32" s="51"/>
      <c r="CSB32" s="51"/>
      <c r="CSC32" s="51"/>
      <c r="CSE32" s="51"/>
      <c r="CSH32" s="51"/>
      <c r="CSJ32" s="51"/>
      <c r="CSK32" s="51"/>
      <c r="CSM32" s="51"/>
      <c r="CSP32" s="51"/>
      <c r="CSR32" s="51"/>
      <c r="CSS32" s="51"/>
      <c r="CSU32" s="51"/>
      <c r="CSX32" s="51"/>
      <c r="CSZ32" s="51"/>
      <c r="CTA32" s="51"/>
      <c r="CTC32" s="51"/>
      <c r="CTF32" s="51"/>
      <c r="CTH32" s="51"/>
      <c r="CTI32" s="51"/>
      <c r="CTK32" s="51"/>
      <c r="CTN32" s="51"/>
      <c r="CTP32" s="51"/>
      <c r="CTQ32" s="51"/>
      <c r="CTS32" s="51"/>
      <c r="CTV32" s="51"/>
      <c r="CTX32" s="51"/>
      <c r="CTY32" s="51"/>
      <c r="CUA32" s="51"/>
      <c r="CUD32" s="51"/>
      <c r="CUF32" s="51"/>
      <c r="CUG32" s="51"/>
      <c r="CUI32" s="51"/>
      <c r="CUL32" s="51"/>
      <c r="CUN32" s="51"/>
      <c r="CUO32" s="51"/>
      <c r="CUQ32" s="51"/>
      <c r="CUT32" s="51"/>
      <c r="CUV32" s="51"/>
      <c r="CUW32" s="51"/>
      <c r="CUY32" s="51"/>
      <c r="CVB32" s="51"/>
      <c r="CVD32" s="51"/>
      <c r="CVE32" s="51"/>
      <c r="CVG32" s="51"/>
      <c r="CVJ32" s="51"/>
      <c r="CVL32" s="51"/>
      <c r="CVM32" s="51"/>
      <c r="CVO32" s="51"/>
      <c r="CVR32" s="51"/>
      <c r="CVT32" s="51"/>
      <c r="CVU32" s="51"/>
      <c r="CVW32" s="51"/>
      <c r="CVZ32" s="51"/>
      <c r="CWB32" s="51"/>
      <c r="CWC32" s="51"/>
      <c r="CWE32" s="51"/>
      <c r="CWH32" s="51"/>
      <c r="CWJ32" s="51"/>
      <c r="CWK32" s="51"/>
      <c r="CWM32" s="51"/>
      <c r="CWP32" s="51"/>
      <c r="CWR32" s="51"/>
      <c r="CWS32" s="51"/>
      <c r="CWU32" s="51"/>
      <c r="CWX32" s="51"/>
      <c r="CWZ32" s="51"/>
      <c r="CXA32" s="51"/>
      <c r="CXC32" s="51"/>
      <c r="CXF32" s="51"/>
      <c r="CXH32" s="51"/>
      <c r="CXI32" s="51"/>
      <c r="CXK32" s="51"/>
      <c r="CXN32" s="51"/>
      <c r="CXP32" s="51"/>
      <c r="CXQ32" s="51"/>
      <c r="CXS32" s="51"/>
      <c r="CXV32" s="51"/>
      <c r="CXX32" s="51"/>
      <c r="CXY32" s="51"/>
      <c r="CYA32" s="51"/>
      <c r="CYD32" s="51"/>
      <c r="CYF32" s="51"/>
      <c r="CYG32" s="51"/>
      <c r="CYI32" s="51"/>
      <c r="CYL32" s="51"/>
      <c r="CYN32" s="51"/>
      <c r="CYO32" s="51"/>
      <c r="CYQ32" s="51"/>
      <c r="CYT32" s="51"/>
      <c r="CYV32" s="51"/>
      <c r="CYW32" s="51"/>
      <c r="CYY32" s="51"/>
      <c r="CZB32" s="51"/>
      <c r="CZD32" s="51"/>
      <c r="CZE32" s="51"/>
      <c r="CZG32" s="51"/>
      <c r="CZJ32" s="51"/>
      <c r="CZL32" s="51"/>
      <c r="CZM32" s="51"/>
      <c r="CZO32" s="51"/>
      <c r="CZR32" s="51"/>
      <c r="CZT32" s="51"/>
      <c r="CZU32" s="51"/>
      <c r="CZW32" s="51"/>
      <c r="CZZ32" s="51"/>
      <c r="DAB32" s="51"/>
      <c r="DAC32" s="51"/>
      <c r="DAE32" s="51"/>
      <c r="DAH32" s="51"/>
      <c r="DAJ32" s="51"/>
      <c r="DAK32" s="51"/>
      <c r="DAM32" s="51"/>
      <c r="DAP32" s="51"/>
      <c r="DAR32" s="51"/>
      <c r="DAS32" s="51"/>
      <c r="DAU32" s="51"/>
      <c r="DAX32" s="51"/>
      <c r="DAZ32" s="51"/>
      <c r="DBA32" s="51"/>
      <c r="DBC32" s="51"/>
      <c r="DBF32" s="51"/>
      <c r="DBH32" s="51"/>
      <c r="DBI32" s="51"/>
      <c r="DBK32" s="51"/>
      <c r="DBN32" s="51"/>
      <c r="DBP32" s="51"/>
      <c r="DBQ32" s="51"/>
      <c r="DBS32" s="51"/>
      <c r="DBV32" s="51"/>
      <c r="DBX32" s="51"/>
      <c r="DBY32" s="51"/>
      <c r="DCA32" s="51"/>
      <c r="DCD32" s="51"/>
      <c r="DCF32" s="51"/>
      <c r="DCG32" s="51"/>
      <c r="DCI32" s="51"/>
      <c r="DCL32" s="51"/>
      <c r="DCN32" s="51"/>
      <c r="DCO32" s="51"/>
      <c r="DCQ32" s="51"/>
      <c r="DCT32" s="51"/>
      <c r="DCV32" s="51"/>
      <c r="DCW32" s="51"/>
      <c r="DCY32" s="51"/>
      <c r="DDB32" s="51"/>
      <c r="DDD32" s="51"/>
      <c r="DDE32" s="51"/>
      <c r="DDG32" s="51"/>
      <c r="DDJ32" s="51"/>
      <c r="DDL32" s="51"/>
      <c r="DDM32" s="51"/>
      <c r="DDO32" s="51"/>
      <c r="DDR32" s="51"/>
      <c r="DDT32" s="51"/>
      <c r="DDU32" s="51"/>
      <c r="DDW32" s="51"/>
      <c r="DDZ32" s="51"/>
      <c r="DEB32" s="51"/>
      <c r="DEC32" s="51"/>
      <c r="DEE32" s="51"/>
      <c r="DEH32" s="51"/>
      <c r="DEJ32" s="51"/>
      <c r="DEK32" s="51"/>
      <c r="DEM32" s="51"/>
      <c r="DEP32" s="51"/>
      <c r="DER32" s="51"/>
      <c r="DES32" s="51"/>
      <c r="DEU32" s="51"/>
      <c r="DEX32" s="51"/>
      <c r="DEZ32" s="51"/>
      <c r="DFA32" s="51"/>
      <c r="DFC32" s="51"/>
      <c r="DFF32" s="51"/>
      <c r="DFH32" s="51"/>
      <c r="DFI32" s="51"/>
      <c r="DFK32" s="51"/>
      <c r="DFN32" s="51"/>
      <c r="DFP32" s="51"/>
      <c r="DFQ32" s="51"/>
      <c r="DFS32" s="51"/>
      <c r="DFV32" s="51"/>
      <c r="DFX32" s="51"/>
      <c r="DFY32" s="51"/>
      <c r="DGA32" s="51"/>
      <c r="DGD32" s="51"/>
      <c r="DGF32" s="51"/>
      <c r="DGG32" s="51"/>
      <c r="DGI32" s="51"/>
      <c r="DGL32" s="51"/>
      <c r="DGN32" s="51"/>
      <c r="DGO32" s="51"/>
      <c r="DGQ32" s="51"/>
      <c r="DGT32" s="51"/>
      <c r="DGV32" s="51"/>
      <c r="DGW32" s="51"/>
      <c r="DGY32" s="51"/>
      <c r="DHB32" s="51"/>
      <c r="DHD32" s="51"/>
      <c r="DHE32" s="51"/>
      <c r="DHG32" s="51"/>
      <c r="DHJ32" s="51"/>
      <c r="DHL32" s="51"/>
      <c r="DHM32" s="51"/>
      <c r="DHO32" s="51"/>
      <c r="DHR32" s="51"/>
      <c r="DHT32" s="51"/>
      <c r="DHU32" s="51"/>
      <c r="DHW32" s="51"/>
      <c r="DHZ32" s="51"/>
      <c r="DIB32" s="51"/>
      <c r="DIC32" s="51"/>
      <c r="DIE32" s="51"/>
      <c r="DIH32" s="51"/>
      <c r="DIJ32" s="51"/>
      <c r="DIK32" s="51"/>
      <c r="DIM32" s="51"/>
      <c r="DIP32" s="51"/>
      <c r="DIR32" s="51"/>
      <c r="DIS32" s="51"/>
      <c r="DIU32" s="51"/>
      <c r="DIX32" s="51"/>
      <c r="DIZ32" s="51"/>
      <c r="DJA32" s="51"/>
      <c r="DJC32" s="51"/>
      <c r="DJF32" s="51"/>
      <c r="DJH32" s="51"/>
      <c r="DJI32" s="51"/>
      <c r="DJK32" s="51"/>
      <c r="DJN32" s="51"/>
      <c r="DJP32" s="51"/>
      <c r="DJQ32" s="51"/>
      <c r="DJS32" s="51"/>
      <c r="DJV32" s="51"/>
      <c r="DJX32" s="51"/>
      <c r="DJY32" s="51"/>
      <c r="DKA32" s="51"/>
      <c r="DKD32" s="51"/>
      <c r="DKF32" s="51"/>
      <c r="DKG32" s="51"/>
      <c r="DKI32" s="51"/>
      <c r="DKL32" s="51"/>
      <c r="DKN32" s="51"/>
      <c r="DKO32" s="51"/>
      <c r="DKQ32" s="51"/>
      <c r="DKT32" s="51"/>
      <c r="DKV32" s="51"/>
      <c r="DKW32" s="51"/>
      <c r="DKY32" s="51"/>
      <c r="DLB32" s="51"/>
      <c r="DLD32" s="51"/>
      <c r="DLE32" s="51"/>
      <c r="DLG32" s="51"/>
      <c r="DLJ32" s="51"/>
      <c r="DLL32" s="51"/>
      <c r="DLM32" s="51"/>
      <c r="DLO32" s="51"/>
      <c r="DLR32" s="51"/>
      <c r="DLT32" s="51"/>
      <c r="DLU32" s="51"/>
      <c r="DLW32" s="51"/>
      <c r="DLZ32" s="51"/>
      <c r="DMB32" s="51"/>
      <c r="DMC32" s="51"/>
      <c r="DME32" s="51"/>
      <c r="DMH32" s="51"/>
      <c r="DMJ32" s="51"/>
      <c r="DMK32" s="51"/>
      <c r="DMM32" s="51"/>
      <c r="DMP32" s="51"/>
      <c r="DMR32" s="51"/>
      <c r="DMS32" s="51"/>
      <c r="DMU32" s="51"/>
      <c r="DMX32" s="51"/>
      <c r="DMZ32" s="51"/>
      <c r="DNA32" s="51"/>
      <c r="DNC32" s="51"/>
      <c r="DNF32" s="51"/>
      <c r="DNH32" s="51"/>
      <c r="DNI32" s="51"/>
      <c r="DNK32" s="51"/>
      <c r="DNN32" s="51"/>
      <c r="DNP32" s="51"/>
      <c r="DNQ32" s="51"/>
      <c r="DNS32" s="51"/>
      <c r="DNV32" s="51"/>
      <c r="DNX32" s="51"/>
      <c r="DNY32" s="51"/>
      <c r="DOA32" s="51"/>
      <c r="DOD32" s="51"/>
      <c r="DOF32" s="51"/>
      <c r="DOG32" s="51"/>
      <c r="DOI32" s="51"/>
      <c r="DOL32" s="51"/>
      <c r="DON32" s="51"/>
      <c r="DOO32" s="51"/>
      <c r="DOQ32" s="51"/>
      <c r="DOT32" s="51"/>
      <c r="DOV32" s="51"/>
      <c r="DOW32" s="51"/>
      <c r="DOY32" s="51"/>
      <c r="DPB32" s="51"/>
      <c r="DPD32" s="51"/>
      <c r="DPE32" s="51"/>
      <c r="DPG32" s="51"/>
      <c r="DPJ32" s="51"/>
      <c r="DPL32" s="51"/>
      <c r="DPM32" s="51"/>
      <c r="DPO32" s="51"/>
      <c r="DPR32" s="51"/>
      <c r="DPT32" s="51"/>
      <c r="DPU32" s="51"/>
      <c r="DPW32" s="51"/>
      <c r="DPZ32" s="51"/>
      <c r="DQB32" s="51"/>
      <c r="DQC32" s="51"/>
      <c r="DQE32" s="51"/>
      <c r="DQH32" s="51"/>
      <c r="DQJ32" s="51"/>
      <c r="DQK32" s="51"/>
      <c r="DQM32" s="51"/>
      <c r="DQP32" s="51"/>
      <c r="DQR32" s="51"/>
      <c r="DQS32" s="51"/>
      <c r="DQU32" s="51"/>
      <c r="DQX32" s="51"/>
      <c r="DQZ32" s="51"/>
      <c r="DRA32" s="51"/>
      <c r="DRC32" s="51"/>
      <c r="DRF32" s="51"/>
      <c r="DRH32" s="51"/>
      <c r="DRI32" s="51"/>
      <c r="DRK32" s="51"/>
      <c r="DRN32" s="51"/>
      <c r="DRP32" s="51"/>
      <c r="DRQ32" s="51"/>
      <c r="DRS32" s="51"/>
      <c r="DRV32" s="51"/>
      <c r="DRX32" s="51"/>
      <c r="DRY32" s="51"/>
      <c r="DSA32" s="51"/>
      <c r="DSD32" s="51"/>
      <c r="DSF32" s="51"/>
      <c r="DSG32" s="51"/>
      <c r="DSI32" s="51"/>
      <c r="DSL32" s="51"/>
      <c r="DSN32" s="51"/>
      <c r="DSO32" s="51"/>
      <c r="DSQ32" s="51"/>
      <c r="DST32" s="51"/>
      <c r="DSV32" s="51"/>
      <c r="DSW32" s="51"/>
      <c r="DSY32" s="51"/>
      <c r="DTB32" s="51"/>
      <c r="DTD32" s="51"/>
      <c r="DTE32" s="51"/>
      <c r="DTG32" s="51"/>
      <c r="DTJ32" s="51"/>
      <c r="DTL32" s="51"/>
      <c r="DTM32" s="51"/>
      <c r="DTO32" s="51"/>
      <c r="DTR32" s="51"/>
      <c r="DTT32" s="51"/>
      <c r="DTU32" s="51"/>
      <c r="DTW32" s="51"/>
      <c r="DTZ32" s="51"/>
      <c r="DUB32" s="51"/>
      <c r="DUC32" s="51"/>
      <c r="DUE32" s="51"/>
      <c r="DUH32" s="51"/>
      <c r="DUJ32" s="51"/>
      <c r="DUK32" s="51"/>
      <c r="DUM32" s="51"/>
      <c r="DUP32" s="51"/>
      <c r="DUR32" s="51"/>
      <c r="DUS32" s="51"/>
      <c r="DUU32" s="51"/>
      <c r="DUX32" s="51"/>
      <c r="DUZ32" s="51"/>
      <c r="DVA32" s="51"/>
      <c r="DVC32" s="51"/>
      <c r="DVF32" s="51"/>
      <c r="DVH32" s="51"/>
      <c r="DVI32" s="51"/>
      <c r="DVK32" s="51"/>
      <c r="DVN32" s="51"/>
      <c r="DVP32" s="51"/>
      <c r="DVQ32" s="51"/>
      <c r="DVS32" s="51"/>
      <c r="DVV32" s="51"/>
      <c r="DVX32" s="51"/>
      <c r="DVY32" s="51"/>
      <c r="DWA32" s="51"/>
      <c r="DWD32" s="51"/>
      <c r="DWF32" s="51"/>
      <c r="DWG32" s="51"/>
      <c r="DWI32" s="51"/>
      <c r="DWL32" s="51"/>
      <c r="DWN32" s="51"/>
      <c r="DWO32" s="51"/>
      <c r="DWQ32" s="51"/>
      <c r="DWT32" s="51"/>
      <c r="DWV32" s="51"/>
      <c r="DWW32" s="51"/>
      <c r="DWY32" s="51"/>
      <c r="DXB32" s="51"/>
      <c r="DXD32" s="51"/>
      <c r="DXE32" s="51"/>
      <c r="DXG32" s="51"/>
      <c r="DXJ32" s="51"/>
      <c r="DXL32" s="51"/>
      <c r="DXM32" s="51"/>
      <c r="DXO32" s="51"/>
      <c r="DXR32" s="51"/>
      <c r="DXT32" s="51"/>
      <c r="DXU32" s="51"/>
      <c r="DXW32" s="51"/>
      <c r="DXZ32" s="51"/>
      <c r="DYB32" s="51"/>
      <c r="DYC32" s="51"/>
      <c r="DYE32" s="51"/>
      <c r="DYH32" s="51"/>
      <c r="DYJ32" s="51"/>
      <c r="DYK32" s="51"/>
      <c r="DYM32" s="51"/>
      <c r="DYP32" s="51"/>
      <c r="DYR32" s="51"/>
      <c r="DYS32" s="51"/>
      <c r="DYU32" s="51"/>
      <c r="DYX32" s="51"/>
      <c r="DYZ32" s="51"/>
      <c r="DZA32" s="51"/>
      <c r="DZC32" s="51"/>
      <c r="DZF32" s="51"/>
      <c r="DZH32" s="51"/>
      <c r="DZI32" s="51"/>
      <c r="DZK32" s="51"/>
      <c r="DZN32" s="51"/>
      <c r="DZP32" s="51"/>
      <c r="DZQ32" s="51"/>
      <c r="DZS32" s="51"/>
      <c r="DZV32" s="51"/>
      <c r="DZX32" s="51"/>
      <c r="DZY32" s="51"/>
      <c r="EAA32" s="51"/>
      <c r="EAD32" s="51"/>
      <c r="EAF32" s="51"/>
      <c r="EAG32" s="51"/>
      <c r="EAI32" s="51"/>
      <c r="EAL32" s="51"/>
      <c r="EAN32" s="51"/>
      <c r="EAO32" s="51"/>
      <c r="EAQ32" s="51"/>
      <c r="EAT32" s="51"/>
      <c r="EAV32" s="51"/>
      <c r="EAW32" s="51"/>
      <c r="EAY32" s="51"/>
      <c r="EBB32" s="51"/>
      <c r="EBD32" s="51"/>
      <c r="EBE32" s="51"/>
      <c r="EBG32" s="51"/>
      <c r="EBJ32" s="51"/>
      <c r="EBL32" s="51"/>
      <c r="EBM32" s="51"/>
      <c r="EBO32" s="51"/>
      <c r="EBR32" s="51"/>
      <c r="EBT32" s="51"/>
      <c r="EBU32" s="51"/>
      <c r="EBW32" s="51"/>
      <c r="EBZ32" s="51"/>
      <c r="ECB32" s="51"/>
      <c r="ECC32" s="51"/>
      <c r="ECE32" s="51"/>
      <c r="ECH32" s="51"/>
      <c r="ECJ32" s="51"/>
      <c r="ECK32" s="51"/>
      <c r="ECM32" s="51"/>
      <c r="ECP32" s="51"/>
      <c r="ECR32" s="51"/>
      <c r="ECS32" s="51"/>
      <c r="ECU32" s="51"/>
      <c r="ECX32" s="51"/>
      <c r="ECZ32" s="51"/>
      <c r="EDA32" s="51"/>
      <c r="EDC32" s="51"/>
      <c r="EDF32" s="51"/>
      <c r="EDH32" s="51"/>
      <c r="EDI32" s="51"/>
      <c r="EDK32" s="51"/>
      <c r="EDN32" s="51"/>
      <c r="EDP32" s="51"/>
      <c r="EDQ32" s="51"/>
      <c r="EDS32" s="51"/>
      <c r="EDV32" s="51"/>
      <c r="EDX32" s="51"/>
      <c r="EDY32" s="51"/>
      <c r="EEA32" s="51"/>
      <c r="EED32" s="51"/>
      <c r="EEF32" s="51"/>
      <c r="EEG32" s="51"/>
      <c r="EEI32" s="51"/>
      <c r="EEL32" s="51"/>
      <c r="EEN32" s="51"/>
      <c r="EEO32" s="51"/>
      <c r="EEQ32" s="51"/>
      <c r="EET32" s="51"/>
      <c r="EEV32" s="51"/>
      <c r="EEW32" s="51"/>
      <c r="EEY32" s="51"/>
      <c r="EFB32" s="51"/>
      <c r="EFD32" s="51"/>
      <c r="EFE32" s="51"/>
      <c r="EFG32" s="51"/>
      <c r="EFJ32" s="51"/>
      <c r="EFL32" s="51"/>
      <c r="EFM32" s="51"/>
      <c r="EFO32" s="51"/>
      <c r="EFR32" s="51"/>
      <c r="EFT32" s="51"/>
      <c r="EFU32" s="51"/>
      <c r="EFW32" s="51"/>
      <c r="EFZ32" s="51"/>
      <c r="EGB32" s="51"/>
      <c r="EGC32" s="51"/>
      <c r="EGE32" s="51"/>
      <c r="EGH32" s="51"/>
      <c r="EGJ32" s="51"/>
      <c r="EGK32" s="51"/>
      <c r="EGM32" s="51"/>
      <c r="EGP32" s="51"/>
      <c r="EGR32" s="51"/>
      <c r="EGS32" s="51"/>
      <c r="EGU32" s="51"/>
      <c r="EGX32" s="51"/>
      <c r="EGZ32" s="51"/>
      <c r="EHA32" s="51"/>
      <c r="EHC32" s="51"/>
      <c r="EHF32" s="51"/>
      <c r="EHH32" s="51"/>
      <c r="EHI32" s="51"/>
      <c r="EHK32" s="51"/>
      <c r="EHN32" s="51"/>
      <c r="EHP32" s="51"/>
      <c r="EHQ32" s="51"/>
      <c r="EHS32" s="51"/>
      <c r="EHV32" s="51"/>
      <c r="EHX32" s="51"/>
      <c r="EHY32" s="51"/>
      <c r="EIA32" s="51"/>
      <c r="EID32" s="51"/>
      <c r="EIF32" s="51"/>
      <c r="EIG32" s="51"/>
      <c r="EII32" s="51"/>
      <c r="EIL32" s="51"/>
      <c r="EIN32" s="51"/>
      <c r="EIO32" s="51"/>
      <c r="EIQ32" s="51"/>
      <c r="EIT32" s="51"/>
      <c r="EIV32" s="51"/>
      <c r="EIW32" s="51"/>
      <c r="EIY32" s="51"/>
      <c r="EJB32" s="51"/>
      <c r="EJD32" s="51"/>
      <c r="EJE32" s="51"/>
      <c r="EJG32" s="51"/>
      <c r="EJJ32" s="51"/>
      <c r="EJL32" s="51"/>
      <c r="EJM32" s="51"/>
      <c r="EJO32" s="51"/>
      <c r="EJR32" s="51"/>
      <c r="EJT32" s="51"/>
      <c r="EJU32" s="51"/>
      <c r="EJW32" s="51"/>
      <c r="EJZ32" s="51"/>
      <c r="EKB32" s="51"/>
      <c r="EKC32" s="51"/>
      <c r="EKE32" s="51"/>
      <c r="EKH32" s="51"/>
      <c r="EKJ32" s="51"/>
      <c r="EKK32" s="51"/>
      <c r="EKM32" s="51"/>
      <c r="EKP32" s="51"/>
      <c r="EKR32" s="51"/>
      <c r="EKS32" s="51"/>
      <c r="EKU32" s="51"/>
      <c r="EKX32" s="51"/>
      <c r="EKZ32" s="51"/>
      <c r="ELA32" s="51"/>
      <c r="ELC32" s="51"/>
      <c r="ELF32" s="51"/>
      <c r="ELH32" s="51"/>
      <c r="ELI32" s="51"/>
      <c r="ELK32" s="51"/>
      <c r="ELN32" s="51"/>
      <c r="ELP32" s="51"/>
      <c r="ELQ32" s="51"/>
      <c r="ELS32" s="51"/>
      <c r="ELV32" s="51"/>
      <c r="ELX32" s="51"/>
      <c r="ELY32" s="51"/>
      <c r="EMA32" s="51"/>
      <c r="EMD32" s="51"/>
      <c r="EMF32" s="51"/>
      <c r="EMG32" s="51"/>
      <c r="EMI32" s="51"/>
      <c r="EML32" s="51"/>
      <c r="EMN32" s="51"/>
      <c r="EMO32" s="51"/>
      <c r="EMQ32" s="51"/>
      <c r="EMT32" s="51"/>
      <c r="EMV32" s="51"/>
      <c r="EMW32" s="51"/>
      <c r="EMY32" s="51"/>
      <c r="ENB32" s="51"/>
      <c r="END32" s="51"/>
      <c r="ENE32" s="51"/>
      <c r="ENG32" s="51"/>
      <c r="ENJ32" s="51"/>
      <c r="ENL32" s="51"/>
      <c r="ENM32" s="51"/>
      <c r="ENO32" s="51"/>
      <c r="ENR32" s="51"/>
      <c r="ENT32" s="51"/>
      <c r="ENU32" s="51"/>
      <c r="ENW32" s="51"/>
      <c r="ENZ32" s="51"/>
      <c r="EOB32" s="51"/>
      <c r="EOC32" s="51"/>
      <c r="EOE32" s="51"/>
      <c r="EOH32" s="51"/>
      <c r="EOJ32" s="51"/>
      <c r="EOK32" s="51"/>
      <c r="EOM32" s="51"/>
      <c r="EOP32" s="51"/>
      <c r="EOR32" s="51"/>
      <c r="EOS32" s="51"/>
      <c r="EOU32" s="51"/>
      <c r="EOX32" s="51"/>
      <c r="EOZ32" s="51"/>
      <c r="EPA32" s="51"/>
      <c r="EPC32" s="51"/>
      <c r="EPF32" s="51"/>
      <c r="EPH32" s="51"/>
      <c r="EPI32" s="51"/>
      <c r="EPK32" s="51"/>
      <c r="EPN32" s="51"/>
      <c r="EPP32" s="51"/>
      <c r="EPQ32" s="51"/>
      <c r="EPS32" s="51"/>
      <c r="EPV32" s="51"/>
      <c r="EPX32" s="51"/>
      <c r="EPY32" s="51"/>
      <c r="EQA32" s="51"/>
      <c r="EQD32" s="51"/>
      <c r="EQF32" s="51"/>
      <c r="EQG32" s="51"/>
      <c r="EQI32" s="51"/>
      <c r="EQL32" s="51"/>
      <c r="EQN32" s="51"/>
      <c r="EQO32" s="51"/>
      <c r="EQQ32" s="51"/>
      <c r="EQT32" s="51"/>
      <c r="EQV32" s="51"/>
      <c r="EQW32" s="51"/>
      <c r="EQY32" s="51"/>
      <c r="ERB32" s="51"/>
      <c r="ERD32" s="51"/>
      <c r="ERE32" s="51"/>
      <c r="ERG32" s="51"/>
      <c r="ERJ32" s="51"/>
      <c r="ERL32" s="51"/>
      <c r="ERM32" s="51"/>
      <c r="ERO32" s="51"/>
      <c r="ERR32" s="51"/>
      <c r="ERT32" s="51"/>
      <c r="ERU32" s="51"/>
      <c r="ERW32" s="51"/>
      <c r="ERZ32" s="51"/>
      <c r="ESB32" s="51"/>
      <c r="ESC32" s="51"/>
      <c r="ESE32" s="51"/>
      <c r="ESH32" s="51"/>
      <c r="ESJ32" s="51"/>
      <c r="ESK32" s="51"/>
      <c r="ESM32" s="51"/>
      <c r="ESP32" s="51"/>
      <c r="ESR32" s="51"/>
      <c r="ESS32" s="51"/>
      <c r="ESU32" s="51"/>
      <c r="ESX32" s="51"/>
      <c r="ESZ32" s="51"/>
      <c r="ETA32" s="51"/>
      <c r="ETC32" s="51"/>
      <c r="ETF32" s="51"/>
      <c r="ETH32" s="51"/>
      <c r="ETI32" s="51"/>
      <c r="ETK32" s="51"/>
      <c r="ETN32" s="51"/>
      <c r="ETP32" s="51"/>
      <c r="ETQ32" s="51"/>
      <c r="ETS32" s="51"/>
      <c r="ETV32" s="51"/>
      <c r="ETX32" s="51"/>
      <c r="ETY32" s="51"/>
      <c r="EUA32" s="51"/>
      <c r="EUD32" s="51"/>
      <c r="EUF32" s="51"/>
      <c r="EUG32" s="51"/>
      <c r="EUI32" s="51"/>
      <c r="EUL32" s="51"/>
      <c r="EUN32" s="51"/>
      <c r="EUO32" s="51"/>
      <c r="EUQ32" s="51"/>
      <c r="EUT32" s="51"/>
      <c r="EUV32" s="51"/>
      <c r="EUW32" s="51"/>
      <c r="EUY32" s="51"/>
      <c r="EVB32" s="51"/>
      <c r="EVD32" s="51"/>
      <c r="EVE32" s="51"/>
      <c r="EVG32" s="51"/>
      <c r="EVJ32" s="51"/>
      <c r="EVL32" s="51"/>
      <c r="EVM32" s="51"/>
      <c r="EVO32" s="51"/>
      <c r="EVR32" s="51"/>
      <c r="EVT32" s="51"/>
      <c r="EVU32" s="51"/>
      <c r="EVW32" s="51"/>
      <c r="EVZ32" s="51"/>
      <c r="EWB32" s="51"/>
      <c r="EWC32" s="51"/>
      <c r="EWE32" s="51"/>
      <c r="EWH32" s="51"/>
      <c r="EWJ32" s="51"/>
      <c r="EWK32" s="51"/>
      <c r="EWM32" s="51"/>
      <c r="EWP32" s="51"/>
      <c r="EWR32" s="51"/>
      <c r="EWS32" s="51"/>
      <c r="EWU32" s="51"/>
      <c r="EWX32" s="51"/>
      <c r="EWZ32" s="51"/>
      <c r="EXA32" s="51"/>
      <c r="EXC32" s="51"/>
      <c r="EXF32" s="51"/>
      <c r="EXH32" s="51"/>
      <c r="EXI32" s="51"/>
      <c r="EXK32" s="51"/>
      <c r="EXN32" s="51"/>
      <c r="EXP32" s="51"/>
      <c r="EXQ32" s="51"/>
      <c r="EXS32" s="51"/>
      <c r="EXV32" s="51"/>
      <c r="EXX32" s="51"/>
      <c r="EXY32" s="51"/>
      <c r="EYA32" s="51"/>
      <c r="EYD32" s="51"/>
      <c r="EYF32" s="51"/>
      <c r="EYG32" s="51"/>
      <c r="EYI32" s="51"/>
      <c r="EYL32" s="51"/>
      <c r="EYN32" s="51"/>
      <c r="EYO32" s="51"/>
      <c r="EYQ32" s="51"/>
      <c r="EYT32" s="51"/>
      <c r="EYV32" s="51"/>
      <c r="EYW32" s="51"/>
      <c r="EYY32" s="51"/>
      <c r="EZB32" s="51"/>
      <c r="EZD32" s="51"/>
      <c r="EZE32" s="51"/>
      <c r="EZG32" s="51"/>
      <c r="EZJ32" s="51"/>
      <c r="EZL32" s="51"/>
      <c r="EZM32" s="51"/>
      <c r="EZO32" s="51"/>
      <c r="EZR32" s="51"/>
      <c r="EZT32" s="51"/>
      <c r="EZU32" s="51"/>
      <c r="EZW32" s="51"/>
      <c r="EZZ32" s="51"/>
      <c r="FAB32" s="51"/>
      <c r="FAC32" s="51"/>
      <c r="FAE32" s="51"/>
      <c r="FAH32" s="51"/>
      <c r="FAJ32" s="51"/>
      <c r="FAK32" s="51"/>
      <c r="FAM32" s="51"/>
      <c r="FAP32" s="51"/>
      <c r="FAR32" s="51"/>
      <c r="FAS32" s="51"/>
      <c r="FAU32" s="51"/>
      <c r="FAX32" s="51"/>
      <c r="FAZ32" s="51"/>
      <c r="FBA32" s="51"/>
      <c r="FBC32" s="51"/>
      <c r="FBF32" s="51"/>
      <c r="FBH32" s="51"/>
      <c r="FBI32" s="51"/>
      <c r="FBK32" s="51"/>
      <c r="FBN32" s="51"/>
      <c r="FBP32" s="51"/>
      <c r="FBQ32" s="51"/>
      <c r="FBS32" s="51"/>
      <c r="FBV32" s="51"/>
      <c r="FBX32" s="51"/>
      <c r="FBY32" s="51"/>
      <c r="FCA32" s="51"/>
      <c r="FCD32" s="51"/>
      <c r="FCF32" s="51"/>
      <c r="FCG32" s="51"/>
      <c r="FCI32" s="51"/>
      <c r="FCL32" s="51"/>
      <c r="FCN32" s="51"/>
      <c r="FCO32" s="51"/>
      <c r="FCQ32" s="51"/>
      <c r="FCT32" s="51"/>
      <c r="FCV32" s="51"/>
      <c r="FCW32" s="51"/>
      <c r="FCY32" s="51"/>
      <c r="FDB32" s="51"/>
      <c r="FDD32" s="51"/>
      <c r="FDE32" s="51"/>
      <c r="FDG32" s="51"/>
      <c r="FDJ32" s="51"/>
      <c r="FDL32" s="51"/>
      <c r="FDM32" s="51"/>
      <c r="FDO32" s="51"/>
      <c r="FDR32" s="51"/>
      <c r="FDT32" s="51"/>
      <c r="FDU32" s="51"/>
      <c r="FDW32" s="51"/>
      <c r="FDZ32" s="51"/>
      <c r="FEB32" s="51"/>
      <c r="FEC32" s="51"/>
      <c r="FEE32" s="51"/>
      <c r="FEH32" s="51"/>
      <c r="FEJ32" s="51"/>
      <c r="FEK32" s="51"/>
      <c r="FEM32" s="51"/>
      <c r="FEP32" s="51"/>
      <c r="FER32" s="51"/>
      <c r="FES32" s="51"/>
      <c r="FEU32" s="51"/>
      <c r="FEX32" s="51"/>
      <c r="FEZ32" s="51"/>
      <c r="FFA32" s="51"/>
      <c r="FFC32" s="51"/>
      <c r="FFF32" s="51"/>
      <c r="FFH32" s="51"/>
      <c r="FFI32" s="51"/>
      <c r="FFK32" s="51"/>
      <c r="FFN32" s="51"/>
      <c r="FFP32" s="51"/>
      <c r="FFQ32" s="51"/>
      <c r="FFS32" s="51"/>
      <c r="FFV32" s="51"/>
      <c r="FFX32" s="51"/>
      <c r="FFY32" s="51"/>
      <c r="FGA32" s="51"/>
      <c r="FGD32" s="51"/>
      <c r="FGF32" s="51"/>
      <c r="FGG32" s="51"/>
      <c r="FGI32" s="51"/>
      <c r="FGL32" s="51"/>
      <c r="FGN32" s="51"/>
      <c r="FGO32" s="51"/>
      <c r="FGQ32" s="51"/>
      <c r="FGT32" s="51"/>
      <c r="FGV32" s="51"/>
      <c r="FGW32" s="51"/>
      <c r="FGY32" s="51"/>
      <c r="FHB32" s="51"/>
      <c r="FHD32" s="51"/>
      <c r="FHE32" s="51"/>
      <c r="FHG32" s="51"/>
      <c r="FHJ32" s="51"/>
      <c r="FHL32" s="51"/>
      <c r="FHM32" s="51"/>
      <c r="FHO32" s="51"/>
      <c r="FHR32" s="51"/>
      <c r="FHT32" s="51"/>
      <c r="FHU32" s="51"/>
      <c r="FHW32" s="51"/>
      <c r="FHZ32" s="51"/>
      <c r="FIB32" s="51"/>
      <c r="FIC32" s="51"/>
      <c r="FIE32" s="51"/>
      <c r="FIH32" s="51"/>
      <c r="FIJ32" s="51"/>
      <c r="FIK32" s="51"/>
      <c r="FIM32" s="51"/>
      <c r="FIP32" s="51"/>
      <c r="FIR32" s="51"/>
      <c r="FIS32" s="51"/>
      <c r="FIU32" s="51"/>
      <c r="FIX32" s="51"/>
      <c r="FIZ32" s="51"/>
      <c r="FJA32" s="51"/>
      <c r="FJC32" s="51"/>
      <c r="FJF32" s="51"/>
      <c r="FJH32" s="51"/>
      <c r="FJI32" s="51"/>
      <c r="FJK32" s="51"/>
      <c r="FJN32" s="51"/>
      <c r="FJP32" s="51"/>
      <c r="FJQ32" s="51"/>
      <c r="FJS32" s="51"/>
      <c r="FJV32" s="51"/>
      <c r="FJX32" s="51"/>
      <c r="FJY32" s="51"/>
      <c r="FKA32" s="51"/>
      <c r="FKD32" s="51"/>
      <c r="FKF32" s="51"/>
      <c r="FKG32" s="51"/>
      <c r="FKI32" s="51"/>
      <c r="FKL32" s="51"/>
      <c r="FKN32" s="51"/>
      <c r="FKO32" s="51"/>
      <c r="FKQ32" s="51"/>
      <c r="FKT32" s="51"/>
      <c r="FKV32" s="51"/>
      <c r="FKW32" s="51"/>
      <c r="FKY32" s="51"/>
      <c r="FLB32" s="51"/>
      <c r="FLD32" s="51"/>
      <c r="FLE32" s="51"/>
      <c r="FLG32" s="51"/>
      <c r="FLJ32" s="51"/>
      <c r="FLL32" s="51"/>
      <c r="FLM32" s="51"/>
      <c r="FLO32" s="51"/>
      <c r="FLR32" s="51"/>
      <c r="FLT32" s="51"/>
      <c r="FLU32" s="51"/>
      <c r="FLW32" s="51"/>
      <c r="FLZ32" s="51"/>
      <c r="FMB32" s="51"/>
      <c r="FMC32" s="51"/>
      <c r="FME32" s="51"/>
      <c r="FMH32" s="51"/>
      <c r="FMJ32" s="51"/>
      <c r="FMK32" s="51"/>
      <c r="FMM32" s="51"/>
      <c r="FMP32" s="51"/>
      <c r="FMR32" s="51"/>
      <c r="FMS32" s="51"/>
      <c r="FMU32" s="51"/>
      <c r="FMX32" s="51"/>
      <c r="FMZ32" s="51"/>
      <c r="FNA32" s="51"/>
      <c r="FNC32" s="51"/>
      <c r="FNF32" s="51"/>
      <c r="FNH32" s="51"/>
      <c r="FNI32" s="51"/>
      <c r="FNK32" s="51"/>
      <c r="FNN32" s="51"/>
      <c r="FNP32" s="51"/>
      <c r="FNQ32" s="51"/>
      <c r="FNS32" s="51"/>
      <c r="FNV32" s="51"/>
      <c r="FNX32" s="51"/>
      <c r="FNY32" s="51"/>
      <c r="FOA32" s="51"/>
      <c r="FOD32" s="51"/>
      <c r="FOF32" s="51"/>
      <c r="FOG32" s="51"/>
      <c r="FOI32" s="51"/>
      <c r="FOL32" s="51"/>
      <c r="FON32" s="51"/>
      <c r="FOO32" s="51"/>
      <c r="FOQ32" s="51"/>
      <c r="FOT32" s="51"/>
      <c r="FOV32" s="51"/>
      <c r="FOW32" s="51"/>
      <c r="FOY32" s="51"/>
      <c r="FPB32" s="51"/>
      <c r="FPD32" s="51"/>
      <c r="FPE32" s="51"/>
      <c r="FPG32" s="51"/>
      <c r="FPJ32" s="51"/>
      <c r="FPL32" s="51"/>
      <c r="FPM32" s="51"/>
      <c r="FPO32" s="51"/>
      <c r="FPR32" s="51"/>
      <c r="FPT32" s="51"/>
      <c r="FPU32" s="51"/>
      <c r="FPW32" s="51"/>
      <c r="FPZ32" s="51"/>
      <c r="FQB32" s="51"/>
      <c r="FQC32" s="51"/>
      <c r="FQE32" s="51"/>
      <c r="FQH32" s="51"/>
      <c r="FQJ32" s="51"/>
      <c r="FQK32" s="51"/>
      <c r="FQM32" s="51"/>
      <c r="FQP32" s="51"/>
      <c r="FQR32" s="51"/>
      <c r="FQS32" s="51"/>
      <c r="FQU32" s="51"/>
      <c r="FQX32" s="51"/>
      <c r="FQZ32" s="51"/>
      <c r="FRA32" s="51"/>
      <c r="FRC32" s="51"/>
      <c r="FRF32" s="51"/>
      <c r="FRH32" s="51"/>
      <c r="FRI32" s="51"/>
      <c r="FRK32" s="51"/>
      <c r="FRN32" s="51"/>
      <c r="FRP32" s="51"/>
      <c r="FRQ32" s="51"/>
      <c r="FRS32" s="51"/>
      <c r="FRV32" s="51"/>
      <c r="FRX32" s="51"/>
      <c r="FRY32" s="51"/>
      <c r="FSA32" s="51"/>
      <c r="FSD32" s="51"/>
      <c r="FSF32" s="51"/>
      <c r="FSG32" s="51"/>
      <c r="FSI32" s="51"/>
      <c r="FSL32" s="51"/>
      <c r="FSN32" s="51"/>
      <c r="FSO32" s="51"/>
      <c r="FSQ32" s="51"/>
      <c r="FST32" s="51"/>
      <c r="FSV32" s="51"/>
      <c r="FSW32" s="51"/>
      <c r="FSY32" s="51"/>
      <c r="FTB32" s="51"/>
      <c r="FTD32" s="51"/>
      <c r="FTE32" s="51"/>
      <c r="FTG32" s="51"/>
      <c r="FTJ32" s="51"/>
      <c r="FTL32" s="51"/>
      <c r="FTM32" s="51"/>
      <c r="FTO32" s="51"/>
      <c r="FTR32" s="51"/>
      <c r="FTT32" s="51"/>
      <c r="FTU32" s="51"/>
      <c r="FTW32" s="51"/>
      <c r="FTZ32" s="51"/>
      <c r="FUB32" s="51"/>
      <c r="FUC32" s="51"/>
      <c r="FUE32" s="51"/>
      <c r="FUH32" s="51"/>
      <c r="FUJ32" s="51"/>
      <c r="FUK32" s="51"/>
      <c r="FUM32" s="51"/>
      <c r="FUP32" s="51"/>
      <c r="FUR32" s="51"/>
      <c r="FUS32" s="51"/>
      <c r="FUU32" s="51"/>
      <c r="FUX32" s="51"/>
      <c r="FUZ32" s="51"/>
      <c r="FVA32" s="51"/>
      <c r="FVC32" s="51"/>
      <c r="FVF32" s="51"/>
      <c r="FVH32" s="51"/>
      <c r="FVI32" s="51"/>
      <c r="FVK32" s="51"/>
      <c r="FVN32" s="51"/>
      <c r="FVP32" s="51"/>
      <c r="FVQ32" s="51"/>
      <c r="FVS32" s="51"/>
      <c r="FVV32" s="51"/>
      <c r="FVX32" s="51"/>
      <c r="FVY32" s="51"/>
      <c r="FWA32" s="51"/>
      <c r="FWD32" s="51"/>
      <c r="FWF32" s="51"/>
      <c r="FWG32" s="51"/>
      <c r="FWI32" s="51"/>
      <c r="FWL32" s="51"/>
      <c r="FWN32" s="51"/>
      <c r="FWO32" s="51"/>
      <c r="FWQ32" s="51"/>
      <c r="FWT32" s="51"/>
      <c r="FWV32" s="51"/>
      <c r="FWW32" s="51"/>
      <c r="FWY32" s="51"/>
      <c r="FXB32" s="51"/>
      <c r="FXD32" s="51"/>
      <c r="FXE32" s="51"/>
      <c r="FXG32" s="51"/>
      <c r="FXJ32" s="51"/>
      <c r="FXL32" s="51"/>
      <c r="FXM32" s="51"/>
      <c r="FXO32" s="51"/>
      <c r="FXR32" s="51"/>
      <c r="FXT32" s="51"/>
      <c r="FXU32" s="51"/>
      <c r="FXW32" s="51"/>
      <c r="FXZ32" s="51"/>
      <c r="FYB32" s="51"/>
      <c r="FYC32" s="51"/>
      <c r="FYE32" s="51"/>
      <c r="FYH32" s="51"/>
      <c r="FYJ32" s="51"/>
      <c r="FYK32" s="51"/>
      <c r="FYM32" s="51"/>
      <c r="FYP32" s="51"/>
      <c r="FYR32" s="51"/>
      <c r="FYS32" s="51"/>
      <c r="FYU32" s="51"/>
      <c r="FYX32" s="51"/>
      <c r="FYZ32" s="51"/>
      <c r="FZA32" s="51"/>
      <c r="FZC32" s="51"/>
      <c r="FZF32" s="51"/>
      <c r="FZH32" s="51"/>
      <c r="FZI32" s="51"/>
      <c r="FZK32" s="51"/>
      <c r="FZN32" s="51"/>
      <c r="FZP32" s="51"/>
      <c r="FZQ32" s="51"/>
      <c r="FZS32" s="51"/>
      <c r="FZV32" s="51"/>
      <c r="FZX32" s="51"/>
      <c r="FZY32" s="51"/>
      <c r="GAA32" s="51"/>
      <c r="GAD32" s="51"/>
      <c r="GAF32" s="51"/>
      <c r="GAG32" s="51"/>
      <c r="GAI32" s="51"/>
      <c r="GAL32" s="51"/>
      <c r="GAN32" s="51"/>
      <c r="GAO32" s="51"/>
      <c r="GAQ32" s="51"/>
      <c r="GAT32" s="51"/>
      <c r="GAV32" s="51"/>
      <c r="GAW32" s="51"/>
      <c r="GAY32" s="51"/>
      <c r="GBB32" s="51"/>
      <c r="GBD32" s="51"/>
      <c r="GBE32" s="51"/>
      <c r="GBG32" s="51"/>
      <c r="GBJ32" s="51"/>
      <c r="GBL32" s="51"/>
      <c r="GBM32" s="51"/>
      <c r="GBO32" s="51"/>
      <c r="GBR32" s="51"/>
      <c r="GBT32" s="51"/>
      <c r="GBU32" s="51"/>
      <c r="GBW32" s="51"/>
      <c r="GBZ32" s="51"/>
      <c r="GCB32" s="51"/>
      <c r="GCC32" s="51"/>
      <c r="GCE32" s="51"/>
      <c r="GCH32" s="51"/>
      <c r="GCJ32" s="51"/>
      <c r="GCK32" s="51"/>
      <c r="GCM32" s="51"/>
      <c r="GCP32" s="51"/>
      <c r="GCR32" s="51"/>
      <c r="GCS32" s="51"/>
      <c r="GCU32" s="51"/>
      <c r="GCX32" s="51"/>
      <c r="GCZ32" s="51"/>
      <c r="GDA32" s="51"/>
      <c r="GDC32" s="51"/>
      <c r="GDF32" s="51"/>
      <c r="GDH32" s="51"/>
      <c r="GDI32" s="51"/>
      <c r="GDK32" s="51"/>
      <c r="GDN32" s="51"/>
      <c r="GDP32" s="51"/>
      <c r="GDQ32" s="51"/>
      <c r="GDS32" s="51"/>
      <c r="GDV32" s="51"/>
      <c r="GDX32" s="51"/>
      <c r="GDY32" s="51"/>
      <c r="GEA32" s="51"/>
      <c r="GED32" s="51"/>
      <c r="GEF32" s="51"/>
      <c r="GEG32" s="51"/>
      <c r="GEI32" s="51"/>
      <c r="GEL32" s="51"/>
      <c r="GEN32" s="51"/>
      <c r="GEO32" s="51"/>
      <c r="GEQ32" s="51"/>
      <c r="GET32" s="51"/>
      <c r="GEV32" s="51"/>
      <c r="GEW32" s="51"/>
      <c r="GEY32" s="51"/>
      <c r="GFB32" s="51"/>
      <c r="GFD32" s="51"/>
      <c r="GFE32" s="51"/>
      <c r="GFG32" s="51"/>
      <c r="GFJ32" s="51"/>
      <c r="GFL32" s="51"/>
      <c r="GFM32" s="51"/>
      <c r="GFO32" s="51"/>
      <c r="GFR32" s="51"/>
      <c r="GFT32" s="51"/>
      <c r="GFU32" s="51"/>
      <c r="GFW32" s="51"/>
      <c r="GFZ32" s="51"/>
      <c r="GGB32" s="51"/>
      <c r="GGC32" s="51"/>
      <c r="GGE32" s="51"/>
      <c r="GGH32" s="51"/>
      <c r="GGJ32" s="51"/>
      <c r="GGK32" s="51"/>
      <c r="GGM32" s="51"/>
      <c r="GGP32" s="51"/>
      <c r="GGR32" s="51"/>
      <c r="GGS32" s="51"/>
      <c r="GGU32" s="51"/>
      <c r="GGX32" s="51"/>
      <c r="GGZ32" s="51"/>
      <c r="GHA32" s="51"/>
      <c r="GHC32" s="51"/>
      <c r="GHF32" s="51"/>
      <c r="GHH32" s="51"/>
      <c r="GHI32" s="51"/>
      <c r="GHK32" s="51"/>
      <c r="GHN32" s="51"/>
      <c r="GHP32" s="51"/>
      <c r="GHQ32" s="51"/>
      <c r="GHS32" s="51"/>
      <c r="GHV32" s="51"/>
      <c r="GHX32" s="51"/>
      <c r="GHY32" s="51"/>
      <c r="GIA32" s="51"/>
      <c r="GID32" s="51"/>
      <c r="GIF32" s="51"/>
      <c r="GIG32" s="51"/>
      <c r="GII32" s="51"/>
      <c r="GIL32" s="51"/>
      <c r="GIN32" s="51"/>
      <c r="GIO32" s="51"/>
      <c r="GIQ32" s="51"/>
      <c r="GIT32" s="51"/>
      <c r="GIV32" s="51"/>
      <c r="GIW32" s="51"/>
      <c r="GIY32" s="51"/>
      <c r="GJB32" s="51"/>
      <c r="GJD32" s="51"/>
      <c r="GJE32" s="51"/>
      <c r="GJG32" s="51"/>
      <c r="GJJ32" s="51"/>
      <c r="GJL32" s="51"/>
      <c r="GJM32" s="51"/>
      <c r="GJO32" s="51"/>
      <c r="GJR32" s="51"/>
      <c r="GJT32" s="51"/>
      <c r="GJU32" s="51"/>
      <c r="GJW32" s="51"/>
      <c r="GJZ32" s="51"/>
      <c r="GKB32" s="51"/>
      <c r="GKC32" s="51"/>
      <c r="GKE32" s="51"/>
      <c r="GKH32" s="51"/>
      <c r="GKJ32" s="51"/>
      <c r="GKK32" s="51"/>
      <c r="GKM32" s="51"/>
      <c r="GKP32" s="51"/>
      <c r="GKR32" s="51"/>
      <c r="GKS32" s="51"/>
      <c r="GKU32" s="51"/>
      <c r="GKX32" s="51"/>
      <c r="GKZ32" s="51"/>
      <c r="GLA32" s="51"/>
      <c r="GLC32" s="51"/>
      <c r="GLF32" s="51"/>
      <c r="GLH32" s="51"/>
      <c r="GLI32" s="51"/>
      <c r="GLK32" s="51"/>
      <c r="GLN32" s="51"/>
      <c r="GLP32" s="51"/>
      <c r="GLQ32" s="51"/>
      <c r="GLS32" s="51"/>
      <c r="GLV32" s="51"/>
      <c r="GLX32" s="51"/>
      <c r="GLY32" s="51"/>
      <c r="GMA32" s="51"/>
      <c r="GMD32" s="51"/>
      <c r="GMF32" s="51"/>
      <c r="GMG32" s="51"/>
      <c r="GMI32" s="51"/>
      <c r="GML32" s="51"/>
      <c r="GMN32" s="51"/>
      <c r="GMO32" s="51"/>
      <c r="GMQ32" s="51"/>
      <c r="GMT32" s="51"/>
      <c r="GMV32" s="51"/>
      <c r="GMW32" s="51"/>
      <c r="GMY32" s="51"/>
      <c r="GNB32" s="51"/>
      <c r="GND32" s="51"/>
      <c r="GNE32" s="51"/>
      <c r="GNG32" s="51"/>
      <c r="GNJ32" s="51"/>
      <c r="GNL32" s="51"/>
      <c r="GNM32" s="51"/>
      <c r="GNO32" s="51"/>
      <c r="GNR32" s="51"/>
      <c r="GNT32" s="51"/>
      <c r="GNU32" s="51"/>
      <c r="GNW32" s="51"/>
      <c r="GNZ32" s="51"/>
      <c r="GOB32" s="51"/>
      <c r="GOC32" s="51"/>
      <c r="GOE32" s="51"/>
      <c r="GOH32" s="51"/>
      <c r="GOJ32" s="51"/>
      <c r="GOK32" s="51"/>
      <c r="GOM32" s="51"/>
      <c r="GOP32" s="51"/>
      <c r="GOR32" s="51"/>
      <c r="GOS32" s="51"/>
      <c r="GOU32" s="51"/>
      <c r="GOX32" s="51"/>
      <c r="GOZ32" s="51"/>
      <c r="GPA32" s="51"/>
      <c r="GPC32" s="51"/>
      <c r="GPF32" s="51"/>
      <c r="GPH32" s="51"/>
      <c r="GPI32" s="51"/>
      <c r="GPK32" s="51"/>
      <c r="GPN32" s="51"/>
      <c r="GPP32" s="51"/>
      <c r="GPQ32" s="51"/>
      <c r="GPS32" s="51"/>
      <c r="GPV32" s="51"/>
      <c r="GPX32" s="51"/>
      <c r="GPY32" s="51"/>
      <c r="GQA32" s="51"/>
      <c r="GQD32" s="51"/>
      <c r="GQF32" s="51"/>
      <c r="GQG32" s="51"/>
      <c r="GQI32" s="51"/>
      <c r="GQL32" s="51"/>
      <c r="GQN32" s="51"/>
      <c r="GQO32" s="51"/>
      <c r="GQQ32" s="51"/>
      <c r="GQT32" s="51"/>
      <c r="GQV32" s="51"/>
      <c r="GQW32" s="51"/>
      <c r="GQY32" s="51"/>
      <c r="GRB32" s="51"/>
      <c r="GRD32" s="51"/>
      <c r="GRE32" s="51"/>
      <c r="GRG32" s="51"/>
      <c r="GRJ32" s="51"/>
      <c r="GRL32" s="51"/>
      <c r="GRM32" s="51"/>
      <c r="GRO32" s="51"/>
      <c r="GRR32" s="51"/>
      <c r="GRT32" s="51"/>
      <c r="GRU32" s="51"/>
      <c r="GRW32" s="51"/>
      <c r="GRZ32" s="51"/>
      <c r="GSB32" s="51"/>
      <c r="GSC32" s="51"/>
      <c r="GSE32" s="51"/>
      <c r="GSH32" s="51"/>
      <c r="GSJ32" s="51"/>
      <c r="GSK32" s="51"/>
      <c r="GSM32" s="51"/>
      <c r="GSP32" s="51"/>
      <c r="GSR32" s="51"/>
      <c r="GSS32" s="51"/>
      <c r="GSU32" s="51"/>
      <c r="GSX32" s="51"/>
      <c r="GSZ32" s="51"/>
      <c r="GTA32" s="51"/>
      <c r="GTC32" s="51"/>
      <c r="GTF32" s="51"/>
      <c r="GTH32" s="51"/>
      <c r="GTI32" s="51"/>
      <c r="GTK32" s="51"/>
      <c r="GTN32" s="51"/>
      <c r="GTP32" s="51"/>
      <c r="GTQ32" s="51"/>
      <c r="GTS32" s="51"/>
      <c r="GTV32" s="51"/>
      <c r="GTX32" s="51"/>
      <c r="GTY32" s="51"/>
      <c r="GUA32" s="51"/>
      <c r="GUD32" s="51"/>
      <c r="GUF32" s="51"/>
      <c r="GUG32" s="51"/>
      <c r="GUI32" s="51"/>
      <c r="GUL32" s="51"/>
      <c r="GUN32" s="51"/>
      <c r="GUO32" s="51"/>
      <c r="GUQ32" s="51"/>
      <c r="GUT32" s="51"/>
      <c r="GUV32" s="51"/>
      <c r="GUW32" s="51"/>
      <c r="GUY32" s="51"/>
      <c r="GVB32" s="51"/>
      <c r="GVD32" s="51"/>
      <c r="GVE32" s="51"/>
      <c r="GVG32" s="51"/>
      <c r="GVJ32" s="51"/>
      <c r="GVL32" s="51"/>
      <c r="GVM32" s="51"/>
      <c r="GVO32" s="51"/>
      <c r="GVR32" s="51"/>
      <c r="GVT32" s="51"/>
      <c r="GVU32" s="51"/>
      <c r="GVW32" s="51"/>
      <c r="GVZ32" s="51"/>
      <c r="GWB32" s="51"/>
      <c r="GWC32" s="51"/>
      <c r="GWE32" s="51"/>
      <c r="GWH32" s="51"/>
      <c r="GWJ32" s="51"/>
      <c r="GWK32" s="51"/>
      <c r="GWM32" s="51"/>
      <c r="GWP32" s="51"/>
      <c r="GWR32" s="51"/>
      <c r="GWS32" s="51"/>
      <c r="GWU32" s="51"/>
      <c r="GWX32" s="51"/>
      <c r="GWZ32" s="51"/>
      <c r="GXA32" s="51"/>
      <c r="GXC32" s="51"/>
      <c r="GXF32" s="51"/>
      <c r="GXH32" s="51"/>
      <c r="GXI32" s="51"/>
      <c r="GXK32" s="51"/>
      <c r="GXN32" s="51"/>
      <c r="GXP32" s="51"/>
      <c r="GXQ32" s="51"/>
      <c r="GXS32" s="51"/>
      <c r="GXV32" s="51"/>
      <c r="GXX32" s="51"/>
      <c r="GXY32" s="51"/>
      <c r="GYA32" s="51"/>
      <c r="GYD32" s="51"/>
      <c r="GYF32" s="51"/>
      <c r="GYG32" s="51"/>
      <c r="GYI32" s="51"/>
      <c r="GYL32" s="51"/>
      <c r="GYN32" s="51"/>
      <c r="GYO32" s="51"/>
      <c r="GYQ32" s="51"/>
      <c r="GYT32" s="51"/>
      <c r="GYV32" s="51"/>
      <c r="GYW32" s="51"/>
      <c r="GYY32" s="51"/>
      <c r="GZB32" s="51"/>
      <c r="GZD32" s="51"/>
      <c r="GZE32" s="51"/>
      <c r="GZG32" s="51"/>
      <c r="GZJ32" s="51"/>
      <c r="GZL32" s="51"/>
      <c r="GZM32" s="51"/>
      <c r="GZO32" s="51"/>
      <c r="GZR32" s="51"/>
      <c r="GZT32" s="51"/>
      <c r="GZU32" s="51"/>
      <c r="GZW32" s="51"/>
      <c r="GZZ32" s="51"/>
      <c r="HAB32" s="51"/>
      <c r="HAC32" s="51"/>
      <c r="HAE32" s="51"/>
      <c r="HAH32" s="51"/>
      <c r="HAJ32" s="51"/>
      <c r="HAK32" s="51"/>
      <c r="HAM32" s="51"/>
      <c r="HAP32" s="51"/>
      <c r="HAR32" s="51"/>
      <c r="HAS32" s="51"/>
      <c r="HAU32" s="51"/>
      <c r="HAX32" s="51"/>
      <c r="HAZ32" s="51"/>
      <c r="HBA32" s="51"/>
      <c r="HBC32" s="51"/>
      <c r="HBF32" s="51"/>
      <c r="HBH32" s="51"/>
      <c r="HBI32" s="51"/>
      <c r="HBK32" s="51"/>
      <c r="HBN32" s="51"/>
      <c r="HBP32" s="51"/>
      <c r="HBQ32" s="51"/>
      <c r="HBS32" s="51"/>
      <c r="HBV32" s="51"/>
      <c r="HBX32" s="51"/>
      <c r="HBY32" s="51"/>
      <c r="HCA32" s="51"/>
      <c r="HCD32" s="51"/>
      <c r="HCF32" s="51"/>
      <c r="HCG32" s="51"/>
      <c r="HCI32" s="51"/>
      <c r="HCL32" s="51"/>
      <c r="HCN32" s="51"/>
      <c r="HCO32" s="51"/>
      <c r="HCQ32" s="51"/>
      <c r="HCT32" s="51"/>
      <c r="HCV32" s="51"/>
      <c r="HCW32" s="51"/>
      <c r="HCY32" s="51"/>
      <c r="HDB32" s="51"/>
      <c r="HDD32" s="51"/>
      <c r="HDE32" s="51"/>
      <c r="HDG32" s="51"/>
      <c r="HDJ32" s="51"/>
      <c r="HDL32" s="51"/>
      <c r="HDM32" s="51"/>
      <c r="HDO32" s="51"/>
      <c r="HDR32" s="51"/>
      <c r="HDT32" s="51"/>
      <c r="HDU32" s="51"/>
      <c r="HDW32" s="51"/>
      <c r="HDZ32" s="51"/>
      <c r="HEB32" s="51"/>
      <c r="HEC32" s="51"/>
      <c r="HEE32" s="51"/>
      <c r="HEH32" s="51"/>
      <c r="HEJ32" s="51"/>
      <c r="HEK32" s="51"/>
      <c r="HEM32" s="51"/>
      <c r="HEP32" s="51"/>
      <c r="HER32" s="51"/>
      <c r="HES32" s="51"/>
      <c r="HEU32" s="51"/>
      <c r="HEX32" s="51"/>
      <c r="HEZ32" s="51"/>
      <c r="HFA32" s="51"/>
      <c r="HFC32" s="51"/>
      <c r="HFF32" s="51"/>
      <c r="HFH32" s="51"/>
      <c r="HFI32" s="51"/>
      <c r="HFK32" s="51"/>
      <c r="HFN32" s="51"/>
      <c r="HFP32" s="51"/>
      <c r="HFQ32" s="51"/>
      <c r="HFS32" s="51"/>
      <c r="HFV32" s="51"/>
      <c r="HFX32" s="51"/>
      <c r="HFY32" s="51"/>
      <c r="HGA32" s="51"/>
      <c r="HGD32" s="51"/>
      <c r="HGF32" s="51"/>
      <c r="HGG32" s="51"/>
      <c r="HGI32" s="51"/>
      <c r="HGL32" s="51"/>
      <c r="HGN32" s="51"/>
      <c r="HGO32" s="51"/>
      <c r="HGQ32" s="51"/>
      <c r="HGT32" s="51"/>
      <c r="HGV32" s="51"/>
      <c r="HGW32" s="51"/>
      <c r="HGY32" s="51"/>
      <c r="HHB32" s="51"/>
      <c r="HHD32" s="51"/>
      <c r="HHE32" s="51"/>
      <c r="HHG32" s="51"/>
      <c r="HHJ32" s="51"/>
      <c r="HHL32" s="51"/>
      <c r="HHM32" s="51"/>
      <c r="HHO32" s="51"/>
      <c r="HHR32" s="51"/>
      <c r="HHT32" s="51"/>
      <c r="HHU32" s="51"/>
      <c r="HHW32" s="51"/>
      <c r="HHZ32" s="51"/>
      <c r="HIB32" s="51"/>
      <c r="HIC32" s="51"/>
      <c r="HIE32" s="51"/>
      <c r="HIH32" s="51"/>
      <c r="HIJ32" s="51"/>
      <c r="HIK32" s="51"/>
      <c r="HIM32" s="51"/>
      <c r="HIP32" s="51"/>
      <c r="HIR32" s="51"/>
      <c r="HIS32" s="51"/>
      <c r="HIU32" s="51"/>
      <c r="HIX32" s="51"/>
      <c r="HIZ32" s="51"/>
      <c r="HJA32" s="51"/>
      <c r="HJC32" s="51"/>
      <c r="HJF32" s="51"/>
      <c r="HJH32" s="51"/>
      <c r="HJI32" s="51"/>
      <c r="HJK32" s="51"/>
      <c r="HJN32" s="51"/>
      <c r="HJP32" s="51"/>
      <c r="HJQ32" s="51"/>
      <c r="HJS32" s="51"/>
      <c r="HJV32" s="51"/>
      <c r="HJX32" s="51"/>
      <c r="HJY32" s="51"/>
      <c r="HKA32" s="51"/>
      <c r="HKD32" s="51"/>
      <c r="HKF32" s="51"/>
      <c r="HKG32" s="51"/>
      <c r="HKI32" s="51"/>
      <c r="HKL32" s="51"/>
      <c r="HKN32" s="51"/>
      <c r="HKO32" s="51"/>
      <c r="HKQ32" s="51"/>
      <c r="HKT32" s="51"/>
      <c r="HKV32" s="51"/>
      <c r="HKW32" s="51"/>
      <c r="HKY32" s="51"/>
      <c r="HLB32" s="51"/>
      <c r="HLD32" s="51"/>
      <c r="HLE32" s="51"/>
      <c r="HLG32" s="51"/>
      <c r="HLJ32" s="51"/>
      <c r="HLL32" s="51"/>
      <c r="HLM32" s="51"/>
      <c r="HLO32" s="51"/>
      <c r="HLR32" s="51"/>
      <c r="HLT32" s="51"/>
      <c r="HLU32" s="51"/>
      <c r="HLW32" s="51"/>
      <c r="HLZ32" s="51"/>
      <c r="HMB32" s="51"/>
      <c r="HMC32" s="51"/>
      <c r="HME32" s="51"/>
      <c r="HMH32" s="51"/>
      <c r="HMJ32" s="51"/>
      <c r="HMK32" s="51"/>
      <c r="HMM32" s="51"/>
      <c r="HMP32" s="51"/>
      <c r="HMR32" s="51"/>
      <c r="HMS32" s="51"/>
      <c r="HMU32" s="51"/>
      <c r="HMX32" s="51"/>
      <c r="HMZ32" s="51"/>
      <c r="HNA32" s="51"/>
      <c r="HNC32" s="51"/>
      <c r="HNF32" s="51"/>
      <c r="HNH32" s="51"/>
      <c r="HNI32" s="51"/>
      <c r="HNK32" s="51"/>
      <c r="HNN32" s="51"/>
      <c r="HNP32" s="51"/>
      <c r="HNQ32" s="51"/>
      <c r="HNS32" s="51"/>
      <c r="HNV32" s="51"/>
      <c r="HNX32" s="51"/>
      <c r="HNY32" s="51"/>
      <c r="HOA32" s="51"/>
      <c r="HOD32" s="51"/>
      <c r="HOF32" s="51"/>
      <c r="HOG32" s="51"/>
      <c r="HOI32" s="51"/>
      <c r="HOL32" s="51"/>
      <c r="HON32" s="51"/>
      <c r="HOO32" s="51"/>
      <c r="HOQ32" s="51"/>
      <c r="HOT32" s="51"/>
      <c r="HOV32" s="51"/>
      <c r="HOW32" s="51"/>
      <c r="HOY32" s="51"/>
      <c r="HPB32" s="51"/>
      <c r="HPD32" s="51"/>
      <c r="HPE32" s="51"/>
      <c r="HPG32" s="51"/>
      <c r="HPJ32" s="51"/>
      <c r="HPL32" s="51"/>
      <c r="HPM32" s="51"/>
      <c r="HPO32" s="51"/>
      <c r="HPR32" s="51"/>
      <c r="HPT32" s="51"/>
      <c r="HPU32" s="51"/>
      <c r="HPW32" s="51"/>
      <c r="HPZ32" s="51"/>
      <c r="HQB32" s="51"/>
      <c r="HQC32" s="51"/>
      <c r="HQE32" s="51"/>
      <c r="HQH32" s="51"/>
      <c r="HQJ32" s="51"/>
      <c r="HQK32" s="51"/>
      <c r="HQM32" s="51"/>
      <c r="HQP32" s="51"/>
      <c r="HQR32" s="51"/>
      <c r="HQS32" s="51"/>
      <c r="HQU32" s="51"/>
      <c r="HQX32" s="51"/>
      <c r="HQZ32" s="51"/>
      <c r="HRA32" s="51"/>
      <c r="HRC32" s="51"/>
      <c r="HRF32" s="51"/>
      <c r="HRH32" s="51"/>
      <c r="HRI32" s="51"/>
      <c r="HRK32" s="51"/>
      <c r="HRN32" s="51"/>
      <c r="HRP32" s="51"/>
      <c r="HRQ32" s="51"/>
      <c r="HRS32" s="51"/>
      <c r="HRV32" s="51"/>
      <c r="HRX32" s="51"/>
      <c r="HRY32" s="51"/>
      <c r="HSA32" s="51"/>
      <c r="HSD32" s="51"/>
      <c r="HSF32" s="51"/>
      <c r="HSG32" s="51"/>
      <c r="HSI32" s="51"/>
      <c r="HSL32" s="51"/>
      <c r="HSN32" s="51"/>
      <c r="HSO32" s="51"/>
      <c r="HSQ32" s="51"/>
      <c r="HST32" s="51"/>
      <c r="HSV32" s="51"/>
      <c r="HSW32" s="51"/>
      <c r="HSY32" s="51"/>
      <c r="HTB32" s="51"/>
      <c r="HTD32" s="51"/>
      <c r="HTE32" s="51"/>
      <c r="HTG32" s="51"/>
      <c r="HTJ32" s="51"/>
      <c r="HTL32" s="51"/>
      <c r="HTM32" s="51"/>
      <c r="HTO32" s="51"/>
      <c r="HTR32" s="51"/>
      <c r="HTT32" s="51"/>
      <c r="HTU32" s="51"/>
      <c r="HTW32" s="51"/>
      <c r="HTZ32" s="51"/>
      <c r="HUB32" s="51"/>
      <c r="HUC32" s="51"/>
      <c r="HUE32" s="51"/>
      <c r="HUH32" s="51"/>
      <c r="HUJ32" s="51"/>
      <c r="HUK32" s="51"/>
      <c r="HUM32" s="51"/>
      <c r="HUP32" s="51"/>
      <c r="HUR32" s="51"/>
      <c r="HUS32" s="51"/>
      <c r="HUU32" s="51"/>
      <c r="HUX32" s="51"/>
      <c r="HUZ32" s="51"/>
      <c r="HVA32" s="51"/>
      <c r="HVC32" s="51"/>
      <c r="HVF32" s="51"/>
      <c r="HVH32" s="51"/>
      <c r="HVI32" s="51"/>
      <c r="HVK32" s="51"/>
      <c r="HVN32" s="51"/>
      <c r="HVP32" s="51"/>
      <c r="HVQ32" s="51"/>
      <c r="HVS32" s="51"/>
      <c r="HVV32" s="51"/>
      <c r="HVX32" s="51"/>
      <c r="HVY32" s="51"/>
      <c r="HWA32" s="51"/>
      <c r="HWD32" s="51"/>
      <c r="HWF32" s="51"/>
      <c r="HWG32" s="51"/>
      <c r="HWI32" s="51"/>
      <c r="HWL32" s="51"/>
      <c r="HWN32" s="51"/>
      <c r="HWO32" s="51"/>
      <c r="HWQ32" s="51"/>
      <c r="HWT32" s="51"/>
      <c r="HWV32" s="51"/>
      <c r="HWW32" s="51"/>
      <c r="HWY32" s="51"/>
      <c r="HXB32" s="51"/>
      <c r="HXD32" s="51"/>
      <c r="HXE32" s="51"/>
      <c r="HXG32" s="51"/>
      <c r="HXJ32" s="51"/>
      <c r="HXL32" s="51"/>
      <c r="HXM32" s="51"/>
      <c r="HXO32" s="51"/>
      <c r="HXR32" s="51"/>
      <c r="HXT32" s="51"/>
      <c r="HXU32" s="51"/>
      <c r="HXW32" s="51"/>
      <c r="HXZ32" s="51"/>
      <c r="HYB32" s="51"/>
      <c r="HYC32" s="51"/>
      <c r="HYE32" s="51"/>
      <c r="HYH32" s="51"/>
      <c r="HYJ32" s="51"/>
      <c r="HYK32" s="51"/>
      <c r="HYM32" s="51"/>
      <c r="HYP32" s="51"/>
      <c r="HYR32" s="51"/>
      <c r="HYS32" s="51"/>
      <c r="HYU32" s="51"/>
      <c r="HYX32" s="51"/>
      <c r="HYZ32" s="51"/>
      <c r="HZA32" s="51"/>
      <c r="HZC32" s="51"/>
      <c r="HZF32" s="51"/>
      <c r="HZH32" s="51"/>
      <c r="HZI32" s="51"/>
      <c r="HZK32" s="51"/>
      <c r="HZN32" s="51"/>
      <c r="HZP32" s="51"/>
      <c r="HZQ32" s="51"/>
      <c r="HZS32" s="51"/>
      <c r="HZV32" s="51"/>
      <c r="HZX32" s="51"/>
      <c r="HZY32" s="51"/>
      <c r="IAA32" s="51"/>
      <c r="IAD32" s="51"/>
      <c r="IAF32" s="51"/>
      <c r="IAG32" s="51"/>
      <c r="IAI32" s="51"/>
      <c r="IAL32" s="51"/>
      <c r="IAN32" s="51"/>
      <c r="IAO32" s="51"/>
      <c r="IAQ32" s="51"/>
      <c r="IAT32" s="51"/>
      <c r="IAV32" s="51"/>
      <c r="IAW32" s="51"/>
      <c r="IAY32" s="51"/>
      <c r="IBB32" s="51"/>
      <c r="IBD32" s="51"/>
      <c r="IBE32" s="51"/>
      <c r="IBG32" s="51"/>
      <c r="IBJ32" s="51"/>
      <c r="IBL32" s="51"/>
      <c r="IBM32" s="51"/>
      <c r="IBO32" s="51"/>
      <c r="IBR32" s="51"/>
      <c r="IBT32" s="51"/>
      <c r="IBU32" s="51"/>
      <c r="IBW32" s="51"/>
      <c r="IBZ32" s="51"/>
      <c r="ICB32" s="51"/>
      <c r="ICC32" s="51"/>
      <c r="ICE32" s="51"/>
      <c r="ICH32" s="51"/>
      <c r="ICJ32" s="51"/>
      <c r="ICK32" s="51"/>
      <c r="ICM32" s="51"/>
      <c r="ICP32" s="51"/>
      <c r="ICR32" s="51"/>
      <c r="ICS32" s="51"/>
      <c r="ICU32" s="51"/>
      <c r="ICX32" s="51"/>
      <c r="ICZ32" s="51"/>
      <c r="IDA32" s="51"/>
      <c r="IDC32" s="51"/>
      <c r="IDF32" s="51"/>
      <c r="IDH32" s="51"/>
      <c r="IDI32" s="51"/>
      <c r="IDK32" s="51"/>
      <c r="IDN32" s="51"/>
      <c r="IDP32" s="51"/>
      <c r="IDQ32" s="51"/>
      <c r="IDS32" s="51"/>
      <c r="IDV32" s="51"/>
      <c r="IDX32" s="51"/>
      <c r="IDY32" s="51"/>
      <c r="IEA32" s="51"/>
      <c r="IED32" s="51"/>
      <c r="IEF32" s="51"/>
      <c r="IEG32" s="51"/>
      <c r="IEI32" s="51"/>
      <c r="IEL32" s="51"/>
      <c r="IEN32" s="51"/>
      <c r="IEO32" s="51"/>
      <c r="IEQ32" s="51"/>
      <c r="IET32" s="51"/>
      <c r="IEV32" s="51"/>
      <c r="IEW32" s="51"/>
      <c r="IEY32" s="51"/>
      <c r="IFB32" s="51"/>
      <c r="IFD32" s="51"/>
      <c r="IFE32" s="51"/>
      <c r="IFG32" s="51"/>
      <c r="IFJ32" s="51"/>
      <c r="IFL32" s="51"/>
      <c r="IFM32" s="51"/>
      <c r="IFO32" s="51"/>
      <c r="IFR32" s="51"/>
      <c r="IFT32" s="51"/>
      <c r="IFU32" s="51"/>
      <c r="IFW32" s="51"/>
      <c r="IFZ32" s="51"/>
      <c r="IGB32" s="51"/>
      <c r="IGC32" s="51"/>
      <c r="IGE32" s="51"/>
      <c r="IGH32" s="51"/>
      <c r="IGJ32" s="51"/>
      <c r="IGK32" s="51"/>
      <c r="IGM32" s="51"/>
      <c r="IGP32" s="51"/>
      <c r="IGR32" s="51"/>
      <c r="IGS32" s="51"/>
      <c r="IGU32" s="51"/>
      <c r="IGX32" s="51"/>
      <c r="IGZ32" s="51"/>
      <c r="IHA32" s="51"/>
      <c r="IHC32" s="51"/>
      <c r="IHF32" s="51"/>
      <c r="IHH32" s="51"/>
      <c r="IHI32" s="51"/>
      <c r="IHK32" s="51"/>
      <c r="IHN32" s="51"/>
      <c r="IHP32" s="51"/>
      <c r="IHQ32" s="51"/>
      <c r="IHS32" s="51"/>
      <c r="IHV32" s="51"/>
      <c r="IHX32" s="51"/>
      <c r="IHY32" s="51"/>
      <c r="IIA32" s="51"/>
      <c r="IID32" s="51"/>
      <c r="IIF32" s="51"/>
      <c r="IIG32" s="51"/>
      <c r="III32" s="51"/>
      <c r="IIL32" s="51"/>
      <c r="IIN32" s="51"/>
      <c r="IIO32" s="51"/>
      <c r="IIQ32" s="51"/>
      <c r="IIT32" s="51"/>
      <c r="IIV32" s="51"/>
      <c r="IIW32" s="51"/>
      <c r="IIY32" s="51"/>
      <c r="IJB32" s="51"/>
      <c r="IJD32" s="51"/>
      <c r="IJE32" s="51"/>
      <c r="IJG32" s="51"/>
      <c r="IJJ32" s="51"/>
      <c r="IJL32" s="51"/>
      <c r="IJM32" s="51"/>
      <c r="IJO32" s="51"/>
      <c r="IJR32" s="51"/>
      <c r="IJT32" s="51"/>
      <c r="IJU32" s="51"/>
      <c r="IJW32" s="51"/>
      <c r="IJZ32" s="51"/>
      <c r="IKB32" s="51"/>
      <c r="IKC32" s="51"/>
      <c r="IKE32" s="51"/>
      <c r="IKH32" s="51"/>
      <c r="IKJ32" s="51"/>
      <c r="IKK32" s="51"/>
      <c r="IKM32" s="51"/>
      <c r="IKP32" s="51"/>
      <c r="IKR32" s="51"/>
      <c r="IKS32" s="51"/>
      <c r="IKU32" s="51"/>
      <c r="IKX32" s="51"/>
      <c r="IKZ32" s="51"/>
      <c r="ILA32" s="51"/>
      <c r="ILC32" s="51"/>
      <c r="ILF32" s="51"/>
      <c r="ILH32" s="51"/>
      <c r="ILI32" s="51"/>
      <c r="ILK32" s="51"/>
      <c r="ILN32" s="51"/>
      <c r="ILP32" s="51"/>
      <c r="ILQ32" s="51"/>
      <c r="ILS32" s="51"/>
      <c r="ILV32" s="51"/>
      <c r="ILX32" s="51"/>
      <c r="ILY32" s="51"/>
      <c r="IMA32" s="51"/>
      <c r="IMD32" s="51"/>
      <c r="IMF32" s="51"/>
      <c r="IMG32" s="51"/>
      <c r="IMI32" s="51"/>
      <c r="IML32" s="51"/>
      <c r="IMN32" s="51"/>
      <c r="IMO32" s="51"/>
      <c r="IMQ32" s="51"/>
      <c r="IMT32" s="51"/>
      <c r="IMV32" s="51"/>
      <c r="IMW32" s="51"/>
      <c r="IMY32" s="51"/>
      <c r="INB32" s="51"/>
      <c r="IND32" s="51"/>
      <c r="INE32" s="51"/>
      <c r="ING32" s="51"/>
      <c r="INJ32" s="51"/>
      <c r="INL32" s="51"/>
      <c r="INM32" s="51"/>
      <c r="INO32" s="51"/>
      <c r="INR32" s="51"/>
      <c r="INT32" s="51"/>
      <c r="INU32" s="51"/>
      <c r="INW32" s="51"/>
      <c r="INZ32" s="51"/>
      <c r="IOB32" s="51"/>
      <c r="IOC32" s="51"/>
      <c r="IOE32" s="51"/>
      <c r="IOH32" s="51"/>
      <c r="IOJ32" s="51"/>
      <c r="IOK32" s="51"/>
      <c r="IOM32" s="51"/>
      <c r="IOP32" s="51"/>
      <c r="IOR32" s="51"/>
      <c r="IOS32" s="51"/>
      <c r="IOU32" s="51"/>
      <c r="IOX32" s="51"/>
      <c r="IOZ32" s="51"/>
      <c r="IPA32" s="51"/>
      <c r="IPC32" s="51"/>
      <c r="IPF32" s="51"/>
      <c r="IPH32" s="51"/>
      <c r="IPI32" s="51"/>
      <c r="IPK32" s="51"/>
      <c r="IPN32" s="51"/>
      <c r="IPP32" s="51"/>
      <c r="IPQ32" s="51"/>
      <c r="IPS32" s="51"/>
      <c r="IPV32" s="51"/>
      <c r="IPX32" s="51"/>
      <c r="IPY32" s="51"/>
      <c r="IQA32" s="51"/>
      <c r="IQD32" s="51"/>
      <c r="IQF32" s="51"/>
      <c r="IQG32" s="51"/>
      <c r="IQI32" s="51"/>
      <c r="IQL32" s="51"/>
      <c r="IQN32" s="51"/>
      <c r="IQO32" s="51"/>
      <c r="IQQ32" s="51"/>
      <c r="IQT32" s="51"/>
      <c r="IQV32" s="51"/>
      <c r="IQW32" s="51"/>
      <c r="IQY32" s="51"/>
      <c r="IRB32" s="51"/>
      <c r="IRD32" s="51"/>
      <c r="IRE32" s="51"/>
      <c r="IRG32" s="51"/>
      <c r="IRJ32" s="51"/>
      <c r="IRL32" s="51"/>
      <c r="IRM32" s="51"/>
      <c r="IRO32" s="51"/>
      <c r="IRR32" s="51"/>
      <c r="IRT32" s="51"/>
      <c r="IRU32" s="51"/>
      <c r="IRW32" s="51"/>
      <c r="IRZ32" s="51"/>
      <c r="ISB32" s="51"/>
      <c r="ISC32" s="51"/>
      <c r="ISE32" s="51"/>
      <c r="ISH32" s="51"/>
      <c r="ISJ32" s="51"/>
      <c r="ISK32" s="51"/>
      <c r="ISM32" s="51"/>
      <c r="ISP32" s="51"/>
      <c r="ISR32" s="51"/>
      <c r="ISS32" s="51"/>
      <c r="ISU32" s="51"/>
      <c r="ISX32" s="51"/>
      <c r="ISZ32" s="51"/>
      <c r="ITA32" s="51"/>
      <c r="ITC32" s="51"/>
      <c r="ITF32" s="51"/>
      <c r="ITH32" s="51"/>
      <c r="ITI32" s="51"/>
      <c r="ITK32" s="51"/>
      <c r="ITN32" s="51"/>
      <c r="ITP32" s="51"/>
      <c r="ITQ32" s="51"/>
      <c r="ITS32" s="51"/>
      <c r="ITV32" s="51"/>
      <c r="ITX32" s="51"/>
      <c r="ITY32" s="51"/>
      <c r="IUA32" s="51"/>
      <c r="IUD32" s="51"/>
      <c r="IUF32" s="51"/>
      <c r="IUG32" s="51"/>
      <c r="IUI32" s="51"/>
      <c r="IUL32" s="51"/>
      <c r="IUN32" s="51"/>
      <c r="IUO32" s="51"/>
      <c r="IUQ32" s="51"/>
      <c r="IUT32" s="51"/>
      <c r="IUV32" s="51"/>
      <c r="IUW32" s="51"/>
      <c r="IUY32" s="51"/>
      <c r="IVB32" s="51"/>
      <c r="IVD32" s="51"/>
      <c r="IVE32" s="51"/>
      <c r="IVG32" s="51"/>
      <c r="IVJ32" s="51"/>
      <c r="IVL32" s="51"/>
      <c r="IVM32" s="51"/>
      <c r="IVO32" s="51"/>
      <c r="IVR32" s="51"/>
      <c r="IVT32" s="51"/>
      <c r="IVU32" s="51"/>
      <c r="IVW32" s="51"/>
      <c r="IVZ32" s="51"/>
      <c r="IWB32" s="51"/>
      <c r="IWC32" s="51"/>
      <c r="IWE32" s="51"/>
      <c r="IWH32" s="51"/>
      <c r="IWJ32" s="51"/>
      <c r="IWK32" s="51"/>
      <c r="IWM32" s="51"/>
      <c r="IWP32" s="51"/>
      <c r="IWR32" s="51"/>
      <c r="IWS32" s="51"/>
      <c r="IWU32" s="51"/>
      <c r="IWX32" s="51"/>
      <c r="IWZ32" s="51"/>
      <c r="IXA32" s="51"/>
      <c r="IXC32" s="51"/>
      <c r="IXF32" s="51"/>
      <c r="IXH32" s="51"/>
      <c r="IXI32" s="51"/>
      <c r="IXK32" s="51"/>
      <c r="IXN32" s="51"/>
      <c r="IXP32" s="51"/>
      <c r="IXQ32" s="51"/>
      <c r="IXS32" s="51"/>
      <c r="IXV32" s="51"/>
      <c r="IXX32" s="51"/>
      <c r="IXY32" s="51"/>
      <c r="IYA32" s="51"/>
      <c r="IYD32" s="51"/>
      <c r="IYF32" s="51"/>
      <c r="IYG32" s="51"/>
      <c r="IYI32" s="51"/>
      <c r="IYL32" s="51"/>
      <c r="IYN32" s="51"/>
      <c r="IYO32" s="51"/>
      <c r="IYQ32" s="51"/>
      <c r="IYT32" s="51"/>
      <c r="IYV32" s="51"/>
      <c r="IYW32" s="51"/>
      <c r="IYY32" s="51"/>
      <c r="IZB32" s="51"/>
      <c r="IZD32" s="51"/>
      <c r="IZE32" s="51"/>
      <c r="IZG32" s="51"/>
      <c r="IZJ32" s="51"/>
      <c r="IZL32" s="51"/>
      <c r="IZM32" s="51"/>
      <c r="IZO32" s="51"/>
      <c r="IZR32" s="51"/>
      <c r="IZT32" s="51"/>
      <c r="IZU32" s="51"/>
      <c r="IZW32" s="51"/>
      <c r="IZZ32" s="51"/>
      <c r="JAB32" s="51"/>
      <c r="JAC32" s="51"/>
      <c r="JAE32" s="51"/>
      <c r="JAH32" s="51"/>
      <c r="JAJ32" s="51"/>
      <c r="JAK32" s="51"/>
      <c r="JAM32" s="51"/>
      <c r="JAP32" s="51"/>
      <c r="JAR32" s="51"/>
      <c r="JAS32" s="51"/>
      <c r="JAU32" s="51"/>
      <c r="JAX32" s="51"/>
      <c r="JAZ32" s="51"/>
      <c r="JBA32" s="51"/>
      <c r="JBC32" s="51"/>
      <c r="JBF32" s="51"/>
      <c r="JBH32" s="51"/>
      <c r="JBI32" s="51"/>
      <c r="JBK32" s="51"/>
      <c r="JBN32" s="51"/>
      <c r="JBP32" s="51"/>
      <c r="JBQ32" s="51"/>
      <c r="JBS32" s="51"/>
      <c r="JBV32" s="51"/>
      <c r="JBX32" s="51"/>
      <c r="JBY32" s="51"/>
      <c r="JCA32" s="51"/>
      <c r="JCD32" s="51"/>
      <c r="JCF32" s="51"/>
      <c r="JCG32" s="51"/>
      <c r="JCI32" s="51"/>
      <c r="JCL32" s="51"/>
      <c r="JCN32" s="51"/>
      <c r="JCO32" s="51"/>
      <c r="JCQ32" s="51"/>
      <c r="JCT32" s="51"/>
      <c r="JCV32" s="51"/>
      <c r="JCW32" s="51"/>
      <c r="JCY32" s="51"/>
      <c r="JDB32" s="51"/>
      <c r="JDD32" s="51"/>
      <c r="JDE32" s="51"/>
      <c r="JDG32" s="51"/>
      <c r="JDJ32" s="51"/>
      <c r="JDL32" s="51"/>
      <c r="JDM32" s="51"/>
      <c r="JDO32" s="51"/>
      <c r="JDR32" s="51"/>
      <c r="JDT32" s="51"/>
      <c r="JDU32" s="51"/>
      <c r="JDW32" s="51"/>
      <c r="JDZ32" s="51"/>
      <c r="JEB32" s="51"/>
      <c r="JEC32" s="51"/>
      <c r="JEE32" s="51"/>
      <c r="JEH32" s="51"/>
      <c r="JEJ32" s="51"/>
      <c r="JEK32" s="51"/>
      <c r="JEM32" s="51"/>
      <c r="JEP32" s="51"/>
      <c r="JER32" s="51"/>
      <c r="JES32" s="51"/>
      <c r="JEU32" s="51"/>
      <c r="JEX32" s="51"/>
      <c r="JEZ32" s="51"/>
      <c r="JFA32" s="51"/>
      <c r="JFC32" s="51"/>
      <c r="JFF32" s="51"/>
      <c r="JFH32" s="51"/>
      <c r="JFI32" s="51"/>
      <c r="JFK32" s="51"/>
      <c r="JFN32" s="51"/>
      <c r="JFP32" s="51"/>
      <c r="JFQ32" s="51"/>
      <c r="JFS32" s="51"/>
      <c r="JFV32" s="51"/>
      <c r="JFX32" s="51"/>
      <c r="JFY32" s="51"/>
      <c r="JGA32" s="51"/>
      <c r="JGD32" s="51"/>
      <c r="JGF32" s="51"/>
      <c r="JGG32" s="51"/>
      <c r="JGI32" s="51"/>
      <c r="JGL32" s="51"/>
      <c r="JGN32" s="51"/>
      <c r="JGO32" s="51"/>
      <c r="JGQ32" s="51"/>
      <c r="JGT32" s="51"/>
      <c r="JGV32" s="51"/>
      <c r="JGW32" s="51"/>
      <c r="JGY32" s="51"/>
      <c r="JHB32" s="51"/>
      <c r="JHD32" s="51"/>
      <c r="JHE32" s="51"/>
      <c r="JHG32" s="51"/>
      <c r="JHJ32" s="51"/>
      <c r="JHL32" s="51"/>
      <c r="JHM32" s="51"/>
      <c r="JHO32" s="51"/>
      <c r="JHR32" s="51"/>
      <c r="JHT32" s="51"/>
      <c r="JHU32" s="51"/>
      <c r="JHW32" s="51"/>
      <c r="JHZ32" s="51"/>
      <c r="JIB32" s="51"/>
      <c r="JIC32" s="51"/>
      <c r="JIE32" s="51"/>
      <c r="JIH32" s="51"/>
      <c r="JIJ32" s="51"/>
      <c r="JIK32" s="51"/>
      <c r="JIM32" s="51"/>
      <c r="JIP32" s="51"/>
      <c r="JIR32" s="51"/>
      <c r="JIS32" s="51"/>
      <c r="JIU32" s="51"/>
      <c r="JIX32" s="51"/>
      <c r="JIZ32" s="51"/>
      <c r="JJA32" s="51"/>
      <c r="JJC32" s="51"/>
      <c r="JJF32" s="51"/>
      <c r="JJH32" s="51"/>
      <c r="JJI32" s="51"/>
      <c r="JJK32" s="51"/>
      <c r="JJN32" s="51"/>
      <c r="JJP32" s="51"/>
      <c r="JJQ32" s="51"/>
      <c r="JJS32" s="51"/>
      <c r="JJV32" s="51"/>
      <c r="JJX32" s="51"/>
      <c r="JJY32" s="51"/>
      <c r="JKA32" s="51"/>
      <c r="JKD32" s="51"/>
      <c r="JKF32" s="51"/>
      <c r="JKG32" s="51"/>
      <c r="JKI32" s="51"/>
      <c r="JKL32" s="51"/>
      <c r="JKN32" s="51"/>
      <c r="JKO32" s="51"/>
      <c r="JKQ32" s="51"/>
      <c r="JKT32" s="51"/>
      <c r="JKV32" s="51"/>
      <c r="JKW32" s="51"/>
      <c r="JKY32" s="51"/>
      <c r="JLB32" s="51"/>
      <c r="JLD32" s="51"/>
      <c r="JLE32" s="51"/>
      <c r="JLG32" s="51"/>
      <c r="JLJ32" s="51"/>
      <c r="JLL32" s="51"/>
      <c r="JLM32" s="51"/>
      <c r="JLO32" s="51"/>
      <c r="JLR32" s="51"/>
      <c r="JLT32" s="51"/>
      <c r="JLU32" s="51"/>
      <c r="JLW32" s="51"/>
      <c r="JLZ32" s="51"/>
      <c r="JMB32" s="51"/>
      <c r="JMC32" s="51"/>
      <c r="JME32" s="51"/>
      <c r="JMH32" s="51"/>
      <c r="JMJ32" s="51"/>
      <c r="JMK32" s="51"/>
      <c r="JMM32" s="51"/>
      <c r="JMP32" s="51"/>
      <c r="JMR32" s="51"/>
      <c r="JMS32" s="51"/>
      <c r="JMU32" s="51"/>
      <c r="JMX32" s="51"/>
      <c r="JMZ32" s="51"/>
      <c r="JNA32" s="51"/>
      <c r="JNC32" s="51"/>
      <c r="JNF32" s="51"/>
      <c r="JNH32" s="51"/>
      <c r="JNI32" s="51"/>
      <c r="JNK32" s="51"/>
      <c r="JNN32" s="51"/>
      <c r="JNP32" s="51"/>
      <c r="JNQ32" s="51"/>
      <c r="JNS32" s="51"/>
      <c r="JNV32" s="51"/>
      <c r="JNX32" s="51"/>
      <c r="JNY32" s="51"/>
      <c r="JOA32" s="51"/>
      <c r="JOD32" s="51"/>
      <c r="JOF32" s="51"/>
      <c r="JOG32" s="51"/>
      <c r="JOI32" s="51"/>
      <c r="JOL32" s="51"/>
      <c r="JON32" s="51"/>
      <c r="JOO32" s="51"/>
      <c r="JOQ32" s="51"/>
      <c r="JOT32" s="51"/>
      <c r="JOV32" s="51"/>
      <c r="JOW32" s="51"/>
      <c r="JOY32" s="51"/>
      <c r="JPB32" s="51"/>
      <c r="JPD32" s="51"/>
      <c r="JPE32" s="51"/>
      <c r="JPG32" s="51"/>
      <c r="JPJ32" s="51"/>
      <c r="JPL32" s="51"/>
      <c r="JPM32" s="51"/>
      <c r="JPO32" s="51"/>
      <c r="JPR32" s="51"/>
      <c r="JPT32" s="51"/>
      <c r="JPU32" s="51"/>
      <c r="JPW32" s="51"/>
      <c r="JPZ32" s="51"/>
      <c r="JQB32" s="51"/>
      <c r="JQC32" s="51"/>
      <c r="JQE32" s="51"/>
      <c r="JQH32" s="51"/>
      <c r="JQJ32" s="51"/>
      <c r="JQK32" s="51"/>
      <c r="JQM32" s="51"/>
      <c r="JQP32" s="51"/>
      <c r="JQR32" s="51"/>
      <c r="JQS32" s="51"/>
      <c r="JQU32" s="51"/>
      <c r="JQX32" s="51"/>
      <c r="JQZ32" s="51"/>
      <c r="JRA32" s="51"/>
      <c r="JRC32" s="51"/>
      <c r="JRF32" s="51"/>
      <c r="JRH32" s="51"/>
      <c r="JRI32" s="51"/>
      <c r="JRK32" s="51"/>
      <c r="JRN32" s="51"/>
      <c r="JRP32" s="51"/>
      <c r="JRQ32" s="51"/>
      <c r="JRS32" s="51"/>
      <c r="JRV32" s="51"/>
      <c r="JRX32" s="51"/>
      <c r="JRY32" s="51"/>
      <c r="JSA32" s="51"/>
      <c r="JSD32" s="51"/>
      <c r="JSF32" s="51"/>
      <c r="JSG32" s="51"/>
      <c r="JSI32" s="51"/>
      <c r="JSL32" s="51"/>
      <c r="JSN32" s="51"/>
      <c r="JSO32" s="51"/>
      <c r="JSQ32" s="51"/>
      <c r="JST32" s="51"/>
      <c r="JSV32" s="51"/>
      <c r="JSW32" s="51"/>
      <c r="JSY32" s="51"/>
      <c r="JTB32" s="51"/>
      <c r="JTD32" s="51"/>
      <c r="JTE32" s="51"/>
      <c r="JTG32" s="51"/>
      <c r="JTJ32" s="51"/>
      <c r="JTL32" s="51"/>
      <c r="JTM32" s="51"/>
      <c r="JTO32" s="51"/>
      <c r="JTR32" s="51"/>
      <c r="JTT32" s="51"/>
      <c r="JTU32" s="51"/>
      <c r="JTW32" s="51"/>
      <c r="JTZ32" s="51"/>
      <c r="JUB32" s="51"/>
      <c r="JUC32" s="51"/>
      <c r="JUE32" s="51"/>
      <c r="JUH32" s="51"/>
      <c r="JUJ32" s="51"/>
      <c r="JUK32" s="51"/>
      <c r="JUM32" s="51"/>
      <c r="JUP32" s="51"/>
      <c r="JUR32" s="51"/>
      <c r="JUS32" s="51"/>
      <c r="JUU32" s="51"/>
      <c r="JUX32" s="51"/>
      <c r="JUZ32" s="51"/>
      <c r="JVA32" s="51"/>
      <c r="JVC32" s="51"/>
      <c r="JVF32" s="51"/>
      <c r="JVH32" s="51"/>
      <c r="JVI32" s="51"/>
      <c r="JVK32" s="51"/>
      <c r="JVN32" s="51"/>
      <c r="JVP32" s="51"/>
      <c r="JVQ32" s="51"/>
      <c r="JVS32" s="51"/>
      <c r="JVV32" s="51"/>
      <c r="JVX32" s="51"/>
      <c r="JVY32" s="51"/>
      <c r="JWA32" s="51"/>
      <c r="JWD32" s="51"/>
      <c r="JWF32" s="51"/>
      <c r="JWG32" s="51"/>
      <c r="JWI32" s="51"/>
      <c r="JWL32" s="51"/>
      <c r="JWN32" s="51"/>
      <c r="JWO32" s="51"/>
      <c r="JWQ32" s="51"/>
      <c r="JWT32" s="51"/>
      <c r="JWV32" s="51"/>
      <c r="JWW32" s="51"/>
      <c r="JWY32" s="51"/>
      <c r="JXB32" s="51"/>
      <c r="JXD32" s="51"/>
      <c r="JXE32" s="51"/>
      <c r="JXG32" s="51"/>
      <c r="JXJ32" s="51"/>
      <c r="JXL32" s="51"/>
      <c r="JXM32" s="51"/>
      <c r="JXO32" s="51"/>
      <c r="JXR32" s="51"/>
      <c r="JXT32" s="51"/>
      <c r="JXU32" s="51"/>
      <c r="JXW32" s="51"/>
      <c r="JXZ32" s="51"/>
      <c r="JYB32" s="51"/>
      <c r="JYC32" s="51"/>
      <c r="JYE32" s="51"/>
      <c r="JYH32" s="51"/>
      <c r="JYJ32" s="51"/>
      <c r="JYK32" s="51"/>
      <c r="JYM32" s="51"/>
      <c r="JYP32" s="51"/>
      <c r="JYR32" s="51"/>
      <c r="JYS32" s="51"/>
      <c r="JYU32" s="51"/>
      <c r="JYX32" s="51"/>
      <c r="JYZ32" s="51"/>
      <c r="JZA32" s="51"/>
      <c r="JZC32" s="51"/>
      <c r="JZF32" s="51"/>
      <c r="JZH32" s="51"/>
      <c r="JZI32" s="51"/>
      <c r="JZK32" s="51"/>
      <c r="JZN32" s="51"/>
      <c r="JZP32" s="51"/>
      <c r="JZQ32" s="51"/>
      <c r="JZS32" s="51"/>
      <c r="JZV32" s="51"/>
      <c r="JZX32" s="51"/>
      <c r="JZY32" s="51"/>
      <c r="KAA32" s="51"/>
      <c r="KAD32" s="51"/>
      <c r="KAF32" s="51"/>
      <c r="KAG32" s="51"/>
      <c r="KAI32" s="51"/>
      <c r="KAL32" s="51"/>
      <c r="KAN32" s="51"/>
      <c r="KAO32" s="51"/>
      <c r="KAQ32" s="51"/>
      <c r="KAT32" s="51"/>
      <c r="KAV32" s="51"/>
      <c r="KAW32" s="51"/>
      <c r="KAY32" s="51"/>
      <c r="KBB32" s="51"/>
      <c r="KBD32" s="51"/>
      <c r="KBE32" s="51"/>
      <c r="KBG32" s="51"/>
      <c r="KBJ32" s="51"/>
      <c r="KBL32" s="51"/>
      <c r="KBM32" s="51"/>
      <c r="KBO32" s="51"/>
      <c r="KBR32" s="51"/>
      <c r="KBT32" s="51"/>
      <c r="KBU32" s="51"/>
      <c r="KBW32" s="51"/>
      <c r="KBZ32" s="51"/>
      <c r="KCB32" s="51"/>
      <c r="KCC32" s="51"/>
      <c r="KCE32" s="51"/>
      <c r="KCH32" s="51"/>
      <c r="KCJ32" s="51"/>
      <c r="KCK32" s="51"/>
      <c r="KCM32" s="51"/>
      <c r="KCP32" s="51"/>
      <c r="KCR32" s="51"/>
      <c r="KCS32" s="51"/>
      <c r="KCU32" s="51"/>
      <c r="KCX32" s="51"/>
      <c r="KCZ32" s="51"/>
      <c r="KDA32" s="51"/>
      <c r="KDC32" s="51"/>
      <c r="KDF32" s="51"/>
      <c r="KDH32" s="51"/>
      <c r="KDI32" s="51"/>
      <c r="KDK32" s="51"/>
      <c r="KDN32" s="51"/>
      <c r="KDP32" s="51"/>
      <c r="KDQ32" s="51"/>
      <c r="KDS32" s="51"/>
      <c r="KDV32" s="51"/>
      <c r="KDX32" s="51"/>
      <c r="KDY32" s="51"/>
      <c r="KEA32" s="51"/>
      <c r="KED32" s="51"/>
      <c r="KEF32" s="51"/>
      <c r="KEG32" s="51"/>
      <c r="KEI32" s="51"/>
      <c r="KEL32" s="51"/>
      <c r="KEN32" s="51"/>
      <c r="KEO32" s="51"/>
      <c r="KEQ32" s="51"/>
      <c r="KET32" s="51"/>
      <c r="KEV32" s="51"/>
      <c r="KEW32" s="51"/>
      <c r="KEY32" s="51"/>
      <c r="KFB32" s="51"/>
      <c r="KFD32" s="51"/>
      <c r="KFE32" s="51"/>
      <c r="KFG32" s="51"/>
      <c r="KFJ32" s="51"/>
      <c r="KFL32" s="51"/>
      <c r="KFM32" s="51"/>
      <c r="KFO32" s="51"/>
      <c r="KFR32" s="51"/>
      <c r="KFT32" s="51"/>
      <c r="KFU32" s="51"/>
      <c r="KFW32" s="51"/>
      <c r="KFZ32" s="51"/>
      <c r="KGB32" s="51"/>
      <c r="KGC32" s="51"/>
      <c r="KGE32" s="51"/>
      <c r="KGH32" s="51"/>
      <c r="KGJ32" s="51"/>
      <c r="KGK32" s="51"/>
      <c r="KGM32" s="51"/>
      <c r="KGP32" s="51"/>
      <c r="KGR32" s="51"/>
      <c r="KGS32" s="51"/>
      <c r="KGU32" s="51"/>
      <c r="KGX32" s="51"/>
      <c r="KGZ32" s="51"/>
      <c r="KHA32" s="51"/>
      <c r="KHC32" s="51"/>
      <c r="KHF32" s="51"/>
      <c r="KHH32" s="51"/>
      <c r="KHI32" s="51"/>
      <c r="KHK32" s="51"/>
      <c r="KHN32" s="51"/>
      <c r="KHP32" s="51"/>
      <c r="KHQ32" s="51"/>
      <c r="KHS32" s="51"/>
      <c r="KHV32" s="51"/>
      <c r="KHX32" s="51"/>
      <c r="KHY32" s="51"/>
      <c r="KIA32" s="51"/>
      <c r="KID32" s="51"/>
      <c r="KIF32" s="51"/>
      <c r="KIG32" s="51"/>
      <c r="KII32" s="51"/>
      <c r="KIL32" s="51"/>
      <c r="KIN32" s="51"/>
      <c r="KIO32" s="51"/>
      <c r="KIQ32" s="51"/>
      <c r="KIT32" s="51"/>
      <c r="KIV32" s="51"/>
      <c r="KIW32" s="51"/>
      <c r="KIY32" s="51"/>
      <c r="KJB32" s="51"/>
      <c r="KJD32" s="51"/>
      <c r="KJE32" s="51"/>
      <c r="KJG32" s="51"/>
      <c r="KJJ32" s="51"/>
      <c r="KJL32" s="51"/>
      <c r="KJM32" s="51"/>
      <c r="KJO32" s="51"/>
      <c r="KJR32" s="51"/>
      <c r="KJT32" s="51"/>
      <c r="KJU32" s="51"/>
      <c r="KJW32" s="51"/>
      <c r="KJZ32" s="51"/>
      <c r="KKB32" s="51"/>
      <c r="KKC32" s="51"/>
      <c r="KKE32" s="51"/>
      <c r="KKH32" s="51"/>
      <c r="KKJ32" s="51"/>
      <c r="KKK32" s="51"/>
      <c r="KKM32" s="51"/>
      <c r="KKP32" s="51"/>
      <c r="KKR32" s="51"/>
      <c r="KKS32" s="51"/>
      <c r="KKU32" s="51"/>
      <c r="KKX32" s="51"/>
      <c r="KKZ32" s="51"/>
      <c r="KLA32" s="51"/>
      <c r="KLC32" s="51"/>
      <c r="KLF32" s="51"/>
      <c r="KLH32" s="51"/>
      <c r="KLI32" s="51"/>
      <c r="KLK32" s="51"/>
      <c r="KLN32" s="51"/>
      <c r="KLP32" s="51"/>
      <c r="KLQ32" s="51"/>
      <c r="KLS32" s="51"/>
      <c r="KLV32" s="51"/>
      <c r="KLX32" s="51"/>
      <c r="KLY32" s="51"/>
      <c r="KMA32" s="51"/>
      <c r="KMD32" s="51"/>
      <c r="KMF32" s="51"/>
      <c r="KMG32" s="51"/>
      <c r="KMI32" s="51"/>
      <c r="KML32" s="51"/>
      <c r="KMN32" s="51"/>
      <c r="KMO32" s="51"/>
      <c r="KMQ32" s="51"/>
      <c r="KMT32" s="51"/>
      <c r="KMV32" s="51"/>
      <c r="KMW32" s="51"/>
      <c r="KMY32" s="51"/>
      <c r="KNB32" s="51"/>
      <c r="KND32" s="51"/>
      <c r="KNE32" s="51"/>
      <c r="KNG32" s="51"/>
      <c r="KNJ32" s="51"/>
      <c r="KNL32" s="51"/>
      <c r="KNM32" s="51"/>
      <c r="KNO32" s="51"/>
      <c r="KNR32" s="51"/>
      <c r="KNT32" s="51"/>
      <c r="KNU32" s="51"/>
      <c r="KNW32" s="51"/>
      <c r="KNZ32" s="51"/>
      <c r="KOB32" s="51"/>
      <c r="KOC32" s="51"/>
      <c r="KOE32" s="51"/>
      <c r="KOH32" s="51"/>
      <c r="KOJ32" s="51"/>
      <c r="KOK32" s="51"/>
      <c r="KOM32" s="51"/>
      <c r="KOP32" s="51"/>
      <c r="KOR32" s="51"/>
      <c r="KOS32" s="51"/>
      <c r="KOU32" s="51"/>
      <c r="KOX32" s="51"/>
      <c r="KOZ32" s="51"/>
      <c r="KPA32" s="51"/>
      <c r="KPC32" s="51"/>
      <c r="KPF32" s="51"/>
      <c r="KPH32" s="51"/>
      <c r="KPI32" s="51"/>
      <c r="KPK32" s="51"/>
      <c r="KPN32" s="51"/>
      <c r="KPP32" s="51"/>
      <c r="KPQ32" s="51"/>
      <c r="KPS32" s="51"/>
      <c r="KPV32" s="51"/>
      <c r="KPX32" s="51"/>
      <c r="KPY32" s="51"/>
      <c r="KQA32" s="51"/>
      <c r="KQD32" s="51"/>
      <c r="KQF32" s="51"/>
      <c r="KQG32" s="51"/>
      <c r="KQI32" s="51"/>
      <c r="KQL32" s="51"/>
      <c r="KQN32" s="51"/>
      <c r="KQO32" s="51"/>
      <c r="KQQ32" s="51"/>
      <c r="KQT32" s="51"/>
      <c r="KQV32" s="51"/>
      <c r="KQW32" s="51"/>
      <c r="KQY32" s="51"/>
      <c r="KRB32" s="51"/>
      <c r="KRD32" s="51"/>
      <c r="KRE32" s="51"/>
      <c r="KRG32" s="51"/>
      <c r="KRJ32" s="51"/>
      <c r="KRL32" s="51"/>
      <c r="KRM32" s="51"/>
      <c r="KRO32" s="51"/>
      <c r="KRR32" s="51"/>
      <c r="KRT32" s="51"/>
      <c r="KRU32" s="51"/>
      <c r="KRW32" s="51"/>
      <c r="KRZ32" s="51"/>
      <c r="KSB32" s="51"/>
      <c r="KSC32" s="51"/>
      <c r="KSE32" s="51"/>
      <c r="KSH32" s="51"/>
      <c r="KSJ32" s="51"/>
      <c r="KSK32" s="51"/>
      <c r="KSM32" s="51"/>
      <c r="KSP32" s="51"/>
      <c r="KSR32" s="51"/>
      <c r="KSS32" s="51"/>
      <c r="KSU32" s="51"/>
      <c r="KSX32" s="51"/>
      <c r="KSZ32" s="51"/>
      <c r="KTA32" s="51"/>
      <c r="KTC32" s="51"/>
      <c r="KTF32" s="51"/>
      <c r="KTH32" s="51"/>
      <c r="KTI32" s="51"/>
      <c r="KTK32" s="51"/>
      <c r="KTN32" s="51"/>
      <c r="KTP32" s="51"/>
      <c r="KTQ32" s="51"/>
      <c r="KTS32" s="51"/>
      <c r="KTV32" s="51"/>
      <c r="KTX32" s="51"/>
      <c r="KTY32" s="51"/>
      <c r="KUA32" s="51"/>
      <c r="KUD32" s="51"/>
      <c r="KUF32" s="51"/>
      <c r="KUG32" s="51"/>
      <c r="KUI32" s="51"/>
      <c r="KUL32" s="51"/>
      <c r="KUN32" s="51"/>
      <c r="KUO32" s="51"/>
      <c r="KUQ32" s="51"/>
      <c r="KUT32" s="51"/>
      <c r="KUV32" s="51"/>
      <c r="KUW32" s="51"/>
      <c r="KUY32" s="51"/>
      <c r="KVB32" s="51"/>
      <c r="KVD32" s="51"/>
      <c r="KVE32" s="51"/>
      <c r="KVG32" s="51"/>
      <c r="KVJ32" s="51"/>
      <c r="KVL32" s="51"/>
      <c r="KVM32" s="51"/>
      <c r="KVO32" s="51"/>
      <c r="KVR32" s="51"/>
      <c r="KVT32" s="51"/>
      <c r="KVU32" s="51"/>
      <c r="KVW32" s="51"/>
      <c r="KVZ32" s="51"/>
      <c r="KWB32" s="51"/>
      <c r="KWC32" s="51"/>
      <c r="KWE32" s="51"/>
      <c r="KWH32" s="51"/>
      <c r="KWJ32" s="51"/>
      <c r="KWK32" s="51"/>
      <c r="KWM32" s="51"/>
      <c r="KWP32" s="51"/>
      <c r="KWR32" s="51"/>
      <c r="KWS32" s="51"/>
      <c r="KWU32" s="51"/>
      <c r="KWX32" s="51"/>
      <c r="KWZ32" s="51"/>
      <c r="KXA32" s="51"/>
      <c r="KXC32" s="51"/>
      <c r="KXF32" s="51"/>
      <c r="KXH32" s="51"/>
      <c r="KXI32" s="51"/>
      <c r="KXK32" s="51"/>
      <c r="KXN32" s="51"/>
      <c r="KXP32" s="51"/>
      <c r="KXQ32" s="51"/>
      <c r="KXS32" s="51"/>
      <c r="KXV32" s="51"/>
      <c r="KXX32" s="51"/>
      <c r="KXY32" s="51"/>
      <c r="KYA32" s="51"/>
      <c r="KYD32" s="51"/>
      <c r="KYF32" s="51"/>
      <c r="KYG32" s="51"/>
      <c r="KYI32" s="51"/>
      <c r="KYL32" s="51"/>
      <c r="KYN32" s="51"/>
      <c r="KYO32" s="51"/>
      <c r="KYQ32" s="51"/>
      <c r="KYT32" s="51"/>
      <c r="KYV32" s="51"/>
      <c r="KYW32" s="51"/>
      <c r="KYY32" s="51"/>
      <c r="KZB32" s="51"/>
      <c r="KZD32" s="51"/>
      <c r="KZE32" s="51"/>
      <c r="KZG32" s="51"/>
      <c r="KZJ32" s="51"/>
      <c r="KZL32" s="51"/>
      <c r="KZM32" s="51"/>
      <c r="KZO32" s="51"/>
      <c r="KZR32" s="51"/>
      <c r="KZT32" s="51"/>
      <c r="KZU32" s="51"/>
      <c r="KZW32" s="51"/>
      <c r="KZZ32" s="51"/>
      <c r="LAB32" s="51"/>
      <c r="LAC32" s="51"/>
      <c r="LAE32" s="51"/>
      <c r="LAH32" s="51"/>
      <c r="LAJ32" s="51"/>
      <c r="LAK32" s="51"/>
      <c r="LAM32" s="51"/>
      <c r="LAP32" s="51"/>
      <c r="LAR32" s="51"/>
      <c r="LAS32" s="51"/>
      <c r="LAU32" s="51"/>
      <c r="LAX32" s="51"/>
      <c r="LAZ32" s="51"/>
      <c r="LBA32" s="51"/>
      <c r="LBC32" s="51"/>
      <c r="LBF32" s="51"/>
      <c r="LBH32" s="51"/>
      <c r="LBI32" s="51"/>
      <c r="LBK32" s="51"/>
      <c r="LBN32" s="51"/>
      <c r="LBP32" s="51"/>
      <c r="LBQ32" s="51"/>
      <c r="LBS32" s="51"/>
      <c r="LBV32" s="51"/>
      <c r="LBX32" s="51"/>
      <c r="LBY32" s="51"/>
      <c r="LCA32" s="51"/>
      <c r="LCD32" s="51"/>
      <c r="LCF32" s="51"/>
      <c r="LCG32" s="51"/>
      <c r="LCI32" s="51"/>
      <c r="LCL32" s="51"/>
      <c r="LCN32" s="51"/>
      <c r="LCO32" s="51"/>
      <c r="LCQ32" s="51"/>
      <c r="LCT32" s="51"/>
      <c r="LCV32" s="51"/>
      <c r="LCW32" s="51"/>
      <c r="LCY32" s="51"/>
      <c r="LDB32" s="51"/>
      <c r="LDD32" s="51"/>
      <c r="LDE32" s="51"/>
      <c r="LDG32" s="51"/>
      <c r="LDJ32" s="51"/>
      <c r="LDL32" s="51"/>
      <c r="LDM32" s="51"/>
      <c r="LDO32" s="51"/>
      <c r="LDR32" s="51"/>
      <c r="LDT32" s="51"/>
      <c r="LDU32" s="51"/>
      <c r="LDW32" s="51"/>
      <c r="LDZ32" s="51"/>
      <c r="LEB32" s="51"/>
      <c r="LEC32" s="51"/>
      <c r="LEE32" s="51"/>
      <c r="LEH32" s="51"/>
      <c r="LEJ32" s="51"/>
      <c r="LEK32" s="51"/>
      <c r="LEM32" s="51"/>
      <c r="LEP32" s="51"/>
      <c r="LER32" s="51"/>
      <c r="LES32" s="51"/>
      <c r="LEU32" s="51"/>
      <c r="LEX32" s="51"/>
      <c r="LEZ32" s="51"/>
      <c r="LFA32" s="51"/>
      <c r="LFC32" s="51"/>
      <c r="LFF32" s="51"/>
      <c r="LFH32" s="51"/>
      <c r="LFI32" s="51"/>
      <c r="LFK32" s="51"/>
      <c r="LFN32" s="51"/>
      <c r="LFP32" s="51"/>
      <c r="LFQ32" s="51"/>
      <c r="LFS32" s="51"/>
      <c r="LFV32" s="51"/>
      <c r="LFX32" s="51"/>
      <c r="LFY32" s="51"/>
      <c r="LGA32" s="51"/>
      <c r="LGD32" s="51"/>
      <c r="LGF32" s="51"/>
      <c r="LGG32" s="51"/>
      <c r="LGI32" s="51"/>
      <c r="LGL32" s="51"/>
      <c r="LGN32" s="51"/>
      <c r="LGO32" s="51"/>
      <c r="LGQ32" s="51"/>
      <c r="LGT32" s="51"/>
      <c r="LGV32" s="51"/>
      <c r="LGW32" s="51"/>
      <c r="LGY32" s="51"/>
      <c r="LHB32" s="51"/>
      <c r="LHD32" s="51"/>
      <c r="LHE32" s="51"/>
      <c r="LHG32" s="51"/>
      <c r="LHJ32" s="51"/>
      <c r="LHL32" s="51"/>
      <c r="LHM32" s="51"/>
      <c r="LHO32" s="51"/>
      <c r="LHR32" s="51"/>
      <c r="LHT32" s="51"/>
      <c r="LHU32" s="51"/>
      <c r="LHW32" s="51"/>
      <c r="LHZ32" s="51"/>
      <c r="LIB32" s="51"/>
      <c r="LIC32" s="51"/>
      <c r="LIE32" s="51"/>
      <c r="LIH32" s="51"/>
      <c r="LIJ32" s="51"/>
      <c r="LIK32" s="51"/>
      <c r="LIM32" s="51"/>
      <c r="LIP32" s="51"/>
      <c r="LIR32" s="51"/>
      <c r="LIS32" s="51"/>
      <c r="LIU32" s="51"/>
      <c r="LIX32" s="51"/>
      <c r="LIZ32" s="51"/>
      <c r="LJA32" s="51"/>
      <c r="LJC32" s="51"/>
      <c r="LJF32" s="51"/>
      <c r="LJH32" s="51"/>
      <c r="LJI32" s="51"/>
      <c r="LJK32" s="51"/>
      <c r="LJN32" s="51"/>
      <c r="LJP32" s="51"/>
      <c r="LJQ32" s="51"/>
      <c r="LJS32" s="51"/>
      <c r="LJV32" s="51"/>
      <c r="LJX32" s="51"/>
      <c r="LJY32" s="51"/>
      <c r="LKA32" s="51"/>
      <c r="LKD32" s="51"/>
      <c r="LKF32" s="51"/>
      <c r="LKG32" s="51"/>
      <c r="LKI32" s="51"/>
      <c r="LKL32" s="51"/>
      <c r="LKN32" s="51"/>
      <c r="LKO32" s="51"/>
      <c r="LKQ32" s="51"/>
      <c r="LKT32" s="51"/>
      <c r="LKV32" s="51"/>
      <c r="LKW32" s="51"/>
      <c r="LKY32" s="51"/>
      <c r="LLB32" s="51"/>
      <c r="LLD32" s="51"/>
      <c r="LLE32" s="51"/>
      <c r="LLG32" s="51"/>
      <c r="LLJ32" s="51"/>
      <c r="LLL32" s="51"/>
      <c r="LLM32" s="51"/>
      <c r="LLO32" s="51"/>
      <c r="LLR32" s="51"/>
      <c r="LLT32" s="51"/>
      <c r="LLU32" s="51"/>
      <c r="LLW32" s="51"/>
      <c r="LLZ32" s="51"/>
      <c r="LMB32" s="51"/>
      <c r="LMC32" s="51"/>
      <c r="LME32" s="51"/>
      <c r="LMH32" s="51"/>
      <c r="LMJ32" s="51"/>
      <c r="LMK32" s="51"/>
      <c r="LMM32" s="51"/>
      <c r="LMP32" s="51"/>
      <c r="LMR32" s="51"/>
      <c r="LMS32" s="51"/>
      <c r="LMU32" s="51"/>
      <c r="LMX32" s="51"/>
      <c r="LMZ32" s="51"/>
      <c r="LNA32" s="51"/>
      <c r="LNC32" s="51"/>
      <c r="LNF32" s="51"/>
      <c r="LNH32" s="51"/>
      <c r="LNI32" s="51"/>
      <c r="LNK32" s="51"/>
      <c r="LNN32" s="51"/>
      <c r="LNP32" s="51"/>
      <c r="LNQ32" s="51"/>
      <c r="LNS32" s="51"/>
      <c r="LNV32" s="51"/>
      <c r="LNX32" s="51"/>
      <c r="LNY32" s="51"/>
      <c r="LOA32" s="51"/>
      <c r="LOD32" s="51"/>
      <c r="LOF32" s="51"/>
      <c r="LOG32" s="51"/>
      <c r="LOI32" s="51"/>
      <c r="LOL32" s="51"/>
      <c r="LON32" s="51"/>
      <c r="LOO32" s="51"/>
      <c r="LOQ32" s="51"/>
      <c r="LOT32" s="51"/>
      <c r="LOV32" s="51"/>
      <c r="LOW32" s="51"/>
      <c r="LOY32" s="51"/>
      <c r="LPB32" s="51"/>
      <c r="LPD32" s="51"/>
      <c r="LPE32" s="51"/>
      <c r="LPG32" s="51"/>
      <c r="LPJ32" s="51"/>
      <c r="LPL32" s="51"/>
      <c r="LPM32" s="51"/>
      <c r="LPO32" s="51"/>
      <c r="LPR32" s="51"/>
      <c r="LPT32" s="51"/>
      <c r="LPU32" s="51"/>
      <c r="LPW32" s="51"/>
      <c r="LPZ32" s="51"/>
      <c r="LQB32" s="51"/>
      <c r="LQC32" s="51"/>
      <c r="LQE32" s="51"/>
      <c r="LQH32" s="51"/>
      <c r="LQJ32" s="51"/>
      <c r="LQK32" s="51"/>
      <c r="LQM32" s="51"/>
      <c r="LQP32" s="51"/>
      <c r="LQR32" s="51"/>
      <c r="LQS32" s="51"/>
      <c r="LQU32" s="51"/>
      <c r="LQX32" s="51"/>
      <c r="LQZ32" s="51"/>
      <c r="LRA32" s="51"/>
      <c r="LRC32" s="51"/>
      <c r="LRF32" s="51"/>
      <c r="LRH32" s="51"/>
      <c r="LRI32" s="51"/>
      <c r="LRK32" s="51"/>
      <c r="LRN32" s="51"/>
      <c r="LRP32" s="51"/>
      <c r="LRQ32" s="51"/>
      <c r="LRS32" s="51"/>
      <c r="LRV32" s="51"/>
      <c r="LRX32" s="51"/>
      <c r="LRY32" s="51"/>
      <c r="LSA32" s="51"/>
      <c r="LSD32" s="51"/>
      <c r="LSF32" s="51"/>
      <c r="LSG32" s="51"/>
      <c r="LSI32" s="51"/>
      <c r="LSL32" s="51"/>
      <c r="LSN32" s="51"/>
      <c r="LSO32" s="51"/>
      <c r="LSQ32" s="51"/>
      <c r="LST32" s="51"/>
      <c r="LSV32" s="51"/>
      <c r="LSW32" s="51"/>
      <c r="LSY32" s="51"/>
      <c r="LTB32" s="51"/>
      <c r="LTD32" s="51"/>
      <c r="LTE32" s="51"/>
      <c r="LTG32" s="51"/>
      <c r="LTJ32" s="51"/>
      <c r="LTL32" s="51"/>
      <c r="LTM32" s="51"/>
      <c r="LTO32" s="51"/>
      <c r="LTR32" s="51"/>
      <c r="LTT32" s="51"/>
      <c r="LTU32" s="51"/>
      <c r="LTW32" s="51"/>
      <c r="LTZ32" s="51"/>
      <c r="LUB32" s="51"/>
      <c r="LUC32" s="51"/>
      <c r="LUE32" s="51"/>
      <c r="LUH32" s="51"/>
      <c r="LUJ32" s="51"/>
      <c r="LUK32" s="51"/>
      <c r="LUM32" s="51"/>
      <c r="LUP32" s="51"/>
      <c r="LUR32" s="51"/>
      <c r="LUS32" s="51"/>
      <c r="LUU32" s="51"/>
      <c r="LUX32" s="51"/>
      <c r="LUZ32" s="51"/>
      <c r="LVA32" s="51"/>
      <c r="LVC32" s="51"/>
      <c r="LVF32" s="51"/>
      <c r="LVH32" s="51"/>
      <c r="LVI32" s="51"/>
      <c r="LVK32" s="51"/>
      <c r="LVN32" s="51"/>
      <c r="LVP32" s="51"/>
      <c r="LVQ32" s="51"/>
      <c r="LVS32" s="51"/>
      <c r="LVV32" s="51"/>
      <c r="LVX32" s="51"/>
      <c r="LVY32" s="51"/>
      <c r="LWA32" s="51"/>
      <c r="LWD32" s="51"/>
      <c r="LWF32" s="51"/>
      <c r="LWG32" s="51"/>
      <c r="LWI32" s="51"/>
      <c r="LWL32" s="51"/>
      <c r="LWN32" s="51"/>
      <c r="LWO32" s="51"/>
      <c r="LWQ32" s="51"/>
      <c r="LWT32" s="51"/>
      <c r="LWV32" s="51"/>
      <c r="LWW32" s="51"/>
      <c r="LWY32" s="51"/>
      <c r="LXB32" s="51"/>
      <c r="LXD32" s="51"/>
      <c r="LXE32" s="51"/>
      <c r="LXG32" s="51"/>
      <c r="LXJ32" s="51"/>
      <c r="LXL32" s="51"/>
      <c r="LXM32" s="51"/>
      <c r="LXO32" s="51"/>
      <c r="LXR32" s="51"/>
      <c r="LXT32" s="51"/>
      <c r="LXU32" s="51"/>
      <c r="LXW32" s="51"/>
      <c r="LXZ32" s="51"/>
      <c r="LYB32" s="51"/>
      <c r="LYC32" s="51"/>
      <c r="LYE32" s="51"/>
      <c r="LYH32" s="51"/>
      <c r="LYJ32" s="51"/>
      <c r="LYK32" s="51"/>
      <c r="LYM32" s="51"/>
      <c r="LYP32" s="51"/>
      <c r="LYR32" s="51"/>
      <c r="LYS32" s="51"/>
      <c r="LYU32" s="51"/>
      <c r="LYX32" s="51"/>
      <c r="LYZ32" s="51"/>
      <c r="LZA32" s="51"/>
      <c r="LZC32" s="51"/>
      <c r="LZF32" s="51"/>
      <c r="LZH32" s="51"/>
      <c r="LZI32" s="51"/>
      <c r="LZK32" s="51"/>
      <c r="LZN32" s="51"/>
      <c r="LZP32" s="51"/>
      <c r="LZQ32" s="51"/>
      <c r="LZS32" s="51"/>
      <c r="LZV32" s="51"/>
      <c r="LZX32" s="51"/>
      <c r="LZY32" s="51"/>
      <c r="MAA32" s="51"/>
      <c r="MAD32" s="51"/>
      <c r="MAF32" s="51"/>
      <c r="MAG32" s="51"/>
      <c r="MAI32" s="51"/>
      <c r="MAL32" s="51"/>
      <c r="MAN32" s="51"/>
      <c r="MAO32" s="51"/>
      <c r="MAQ32" s="51"/>
      <c r="MAT32" s="51"/>
      <c r="MAV32" s="51"/>
      <c r="MAW32" s="51"/>
      <c r="MAY32" s="51"/>
      <c r="MBB32" s="51"/>
      <c r="MBD32" s="51"/>
      <c r="MBE32" s="51"/>
      <c r="MBG32" s="51"/>
      <c r="MBJ32" s="51"/>
      <c r="MBL32" s="51"/>
      <c r="MBM32" s="51"/>
      <c r="MBO32" s="51"/>
      <c r="MBR32" s="51"/>
      <c r="MBT32" s="51"/>
      <c r="MBU32" s="51"/>
      <c r="MBW32" s="51"/>
      <c r="MBZ32" s="51"/>
      <c r="MCB32" s="51"/>
      <c r="MCC32" s="51"/>
      <c r="MCE32" s="51"/>
      <c r="MCH32" s="51"/>
      <c r="MCJ32" s="51"/>
      <c r="MCK32" s="51"/>
      <c r="MCM32" s="51"/>
      <c r="MCP32" s="51"/>
      <c r="MCR32" s="51"/>
      <c r="MCS32" s="51"/>
      <c r="MCU32" s="51"/>
      <c r="MCX32" s="51"/>
      <c r="MCZ32" s="51"/>
      <c r="MDA32" s="51"/>
      <c r="MDC32" s="51"/>
      <c r="MDF32" s="51"/>
      <c r="MDH32" s="51"/>
      <c r="MDI32" s="51"/>
      <c r="MDK32" s="51"/>
      <c r="MDN32" s="51"/>
      <c r="MDP32" s="51"/>
      <c r="MDQ32" s="51"/>
      <c r="MDS32" s="51"/>
      <c r="MDV32" s="51"/>
      <c r="MDX32" s="51"/>
      <c r="MDY32" s="51"/>
      <c r="MEA32" s="51"/>
      <c r="MED32" s="51"/>
      <c r="MEF32" s="51"/>
      <c r="MEG32" s="51"/>
      <c r="MEI32" s="51"/>
      <c r="MEL32" s="51"/>
      <c r="MEN32" s="51"/>
      <c r="MEO32" s="51"/>
      <c r="MEQ32" s="51"/>
      <c r="MET32" s="51"/>
      <c r="MEV32" s="51"/>
      <c r="MEW32" s="51"/>
      <c r="MEY32" s="51"/>
      <c r="MFB32" s="51"/>
      <c r="MFD32" s="51"/>
      <c r="MFE32" s="51"/>
      <c r="MFG32" s="51"/>
      <c r="MFJ32" s="51"/>
      <c r="MFL32" s="51"/>
      <c r="MFM32" s="51"/>
      <c r="MFO32" s="51"/>
      <c r="MFR32" s="51"/>
      <c r="MFT32" s="51"/>
      <c r="MFU32" s="51"/>
      <c r="MFW32" s="51"/>
      <c r="MFZ32" s="51"/>
      <c r="MGB32" s="51"/>
      <c r="MGC32" s="51"/>
      <c r="MGE32" s="51"/>
      <c r="MGH32" s="51"/>
      <c r="MGJ32" s="51"/>
      <c r="MGK32" s="51"/>
      <c r="MGM32" s="51"/>
      <c r="MGP32" s="51"/>
      <c r="MGR32" s="51"/>
      <c r="MGS32" s="51"/>
      <c r="MGU32" s="51"/>
      <c r="MGX32" s="51"/>
      <c r="MGZ32" s="51"/>
      <c r="MHA32" s="51"/>
      <c r="MHC32" s="51"/>
      <c r="MHF32" s="51"/>
      <c r="MHH32" s="51"/>
      <c r="MHI32" s="51"/>
      <c r="MHK32" s="51"/>
      <c r="MHN32" s="51"/>
      <c r="MHP32" s="51"/>
      <c r="MHQ32" s="51"/>
      <c r="MHS32" s="51"/>
      <c r="MHV32" s="51"/>
      <c r="MHX32" s="51"/>
      <c r="MHY32" s="51"/>
      <c r="MIA32" s="51"/>
      <c r="MID32" s="51"/>
      <c r="MIF32" s="51"/>
      <c r="MIG32" s="51"/>
      <c r="MII32" s="51"/>
      <c r="MIL32" s="51"/>
      <c r="MIN32" s="51"/>
      <c r="MIO32" s="51"/>
      <c r="MIQ32" s="51"/>
      <c r="MIT32" s="51"/>
      <c r="MIV32" s="51"/>
      <c r="MIW32" s="51"/>
      <c r="MIY32" s="51"/>
      <c r="MJB32" s="51"/>
      <c r="MJD32" s="51"/>
      <c r="MJE32" s="51"/>
      <c r="MJG32" s="51"/>
      <c r="MJJ32" s="51"/>
      <c r="MJL32" s="51"/>
      <c r="MJM32" s="51"/>
      <c r="MJO32" s="51"/>
      <c r="MJR32" s="51"/>
      <c r="MJT32" s="51"/>
      <c r="MJU32" s="51"/>
      <c r="MJW32" s="51"/>
      <c r="MJZ32" s="51"/>
      <c r="MKB32" s="51"/>
      <c r="MKC32" s="51"/>
      <c r="MKE32" s="51"/>
      <c r="MKH32" s="51"/>
      <c r="MKJ32" s="51"/>
      <c r="MKK32" s="51"/>
      <c r="MKM32" s="51"/>
      <c r="MKP32" s="51"/>
      <c r="MKR32" s="51"/>
      <c r="MKS32" s="51"/>
      <c r="MKU32" s="51"/>
      <c r="MKX32" s="51"/>
      <c r="MKZ32" s="51"/>
      <c r="MLA32" s="51"/>
      <c r="MLC32" s="51"/>
      <c r="MLF32" s="51"/>
      <c r="MLH32" s="51"/>
      <c r="MLI32" s="51"/>
      <c r="MLK32" s="51"/>
      <c r="MLN32" s="51"/>
      <c r="MLP32" s="51"/>
      <c r="MLQ32" s="51"/>
      <c r="MLS32" s="51"/>
      <c r="MLV32" s="51"/>
      <c r="MLX32" s="51"/>
      <c r="MLY32" s="51"/>
      <c r="MMA32" s="51"/>
      <c r="MMD32" s="51"/>
      <c r="MMF32" s="51"/>
      <c r="MMG32" s="51"/>
      <c r="MMI32" s="51"/>
      <c r="MML32" s="51"/>
      <c r="MMN32" s="51"/>
      <c r="MMO32" s="51"/>
      <c r="MMQ32" s="51"/>
      <c r="MMT32" s="51"/>
      <c r="MMV32" s="51"/>
      <c r="MMW32" s="51"/>
      <c r="MMY32" s="51"/>
      <c r="MNB32" s="51"/>
      <c r="MND32" s="51"/>
      <c r="MNE32" s="51"/>
      <c r="MNG32" s="51"/>
      <c r="MNJ32" s="51"/>
      <c r="MNL32" s="51"/>
      <c r="MNM32" s="51"/>
      <c r="MNO32" s="51"/>
      <c r="MNR32" s="51"/>
      <c r="MNT32" s="51"/>
      <c r="MNU32" s="51"/>
      <c r="MNW32" s="51"/>
      <c r="MNZ32" s="51"/>
      <c r="MOB32" s="51"/>
      <c r="MOC32" s="51"/>
      <c r="MOE32" s="51"/>
      <c r="MOH32" s="51"/>
      <c r="MOJ32" s="51"/>
      <c r="MOK32" s="51"/>
      <c r="MOM32" s="51"/>
      <c r="MOP32" s="51"/>
      <c r="MOR32" s="51"/>
      <c r="MOS32" s="51"/>
      <c r="MOU32" s="51"/>
      <c r="MOX32" s="51"/>
      <c r="MOZ32" s="51"/>
      <c r="MPA32" s="51"/>
      <c r="MPC32" s="51"/>
      <c r="MPF32" s="51"/>
      <c r="MPH32" s="51"/>
      <c r="MPI32" s="51"/>
      <c r="MPK32" s="51"/>
      <c r="MPN32" s="51"/>
      <c r="MPP32" s="51"/>
      <c r="MPQ32" s="51"/>
      <c r="MPS32" s="51"/>
      <c r="MPV32" s="51"/>
      <c r="MPX32" s="51"/>
      <c r="MPY32" s="51"/>
      <c r="MQA32" s="51"/>
      <c r="MQD32" s="51"/>
      <c r="MQF32" s="51"/>
      <c r="MQG32" s="51"/>
      <c r="MQI32" s="51"/>
      <c r="MQL32" s="51"/>
      <c r="MQN32" s="51"/>
      <c r="MQO32" s="51"/>
      <c r="MQQ32" s="51"/>
      <c r="MQT32" s="51"/>
      <c r="MQV32" s="51"/>
      <c r="MQW32" s="51"/>
      <c r="MQY32" s="51"/>
      <c r="MRB32" s="51"/>
      <c r="MRD32" s="51"/>
      <c r="MRE32" s="51"/>
      <c r="MRG32" s="51"/>
      <c r="MRJ32" s="51"/>
      <c r="MRL32" s="51"/>
      <c r="MRM32" s="51"/>
      <c r="MRO32" s="51"/>
      <c r="MRR32" s="51"/>
      <c r="MRT32" s="51"/>
      <c r="MRU32" s="51"/>
      <c r="MRW32" s="51"/>
      <c r="MRZ32" s="51"/>
      <c r="MSB32" s="51"/>
      <c r="MSC32" s="51"/>
      <c r="MSE32" s="51"/>
      <c r="MSH32" s="51"/>
      <c r="MSJ32" s="51"/>
      <c r="MSK32" s="51"/>
      <c r="MSM32" s="51"/>
      <c r="MSP32" s="51"/>
      <c r="MSR32" s="51"/>
      <c r="MSS32" s="51"/>
      <c r="MSU32" s="51"/>
      <c r="MSX32" s="51"/>
      <c r="MSZ32" s="51"/>
      <c r="MTA32" s="51"/>
      <c r="MTC32" s="51"/>
      <c r="MTF32" s="51"/>
      <c r="MTH32" s="51"/>
      <c r="MTI32" s="51"/>
      <c r="MTK32" s="51"/>
      <c r="MTN32" s="51"/>
      <c r="MTP32" s="51"/>
      <c r="MTQ32" s="51"/>
      <c r="MTS32" s="51"/>
      <c r="MTV32" s="51"/>
      <c r="MTX32" s="51"/>
      <c r="MTY32" s="51"/>
      <c r="MUA32" s="51"/>
      <c r="MUD32" s="51"/>
      <c r="MUF32" s="51"/>
      <c r="MUG32" s="51"/>
      <c r="MUI32" s="51"/>
      <c r="MUL32" s="51"/>
      <c r="MUN32" s="51"/>
      <c r="MUO32" s="51"/>
      <c r="MUQ32" s="51"/>
      <c r="MUT32" s="51"/>
      <c r="MUV32" s="51"/>
      <c r="MUW32" s="51"/>
      <c r="MUY32" s="51"/>
      <c r="MVB32" s="51"/>
      <c r="MVD32" s="51"/>
      <c r="MVE32" s="51"/>
      <c r="MVG32" s="51"/>
      <c r="MVJ32" s="51"/>
      <c r="MVL32" s="51"/>
      <c r="MVM32" s="51"/>
      <c r="MVO32" s="51"/>
      <c r="MVR32" s="51"/>
      <c r="MVT32" s="51"/>
      <c r="MVU32" s="51"/>
      <c r="MVW32" s="51"/>
      <c r="MVZ32" s="51"/>
      <c r="MWB32" s="51"/>
      <c r="MWC32" s="51"/>
      <c r="MWE32" s="51"/>
      <c r="MWH32" s="51"/>
      <c r="MWJ32" s="51"/>
      <c r="MWK32" s="51"/>
      <c r="MWM32" s="51"/>
      <c r="MWP32" s="51"/>
      <c r="MWR32" s="51"/>
      <c r="MWS32" s="51"/>
      <c r="MWU32" s="51"/>
      <c r="MWX32" s="51"/>
      <c r="MWZ32" s="51"/>
      <c r="MXA32" s="51"/>
      <c r="MXC32" s="51"/>
      <c r="MXF32" s="51"/>
      <c r="MXH32" s="51"/>
      <c r="MXI32" s="51"/>
      <c r="MXK32" s="51"/>
      <c r="MXN32" s="51"/>
      <c r="MXP32" s="51"/>
      <c r="MXQ32" s="51"/>
      <c r="MXS32" s="51"/>
      <c r="MXV32" s="51"/>
      <c r="MXX32" s="51"/>
      <c r="MXY32" s="51"/>
      <c r="MYA32" s="51"/>
      <c r="MYD32" s="51"/>
      <c r="MYF32" s="51"/>
      <c r="MYG32" s="51"/>
      <c r="MYI32" s="51"/>
      <c r="MYL32" s="51"/>
      <c r="MYN32" s="51"/>
      <c r="MYO32" s="51"/>
      <c r="MYQ32" s="51"/>
      <c r="MYT32" s="51"/>
      <c r="MYV32" s="51"/>
      <c r="MYW32" s="51"/>
      <c r="MYY32" s="51"/>
      <c r="MZB32" s="51"/>
      <c r="MZD32" s="51"/>
      <c r="MZE32" s="51"/>
      <c r="MZG32" s="51"/>
      <c r="MZJ32" s="51"/>
      <c r="MZL32" s="51"/>
      <c r="MZM32" s="51"/>
      <c r="MZO32" s="51"/>
      <c r="MZR32" s="51"/>
      <c r="MZT32" s="51"/>
      <c r="MZU32" s="51"/>
      <c r="MZW32" s="51"/>
      <c r="MZZ32" s="51"/>
      <c r="NAB32" s="51"/>
      <c r="NAC32" s="51"/>
      <c r="NAE32" s="51"/>
      <c r="NAH32" s="51"/>
      <c r="NAJ32" s="51"/>
      <c r="NAK32" s="51"/>
      <c r="NAM32" s="51"/>
      <c r="NAP32" s="51"/>
      <c r="NAR32" s="51"/>
      <c r="NAS32" s="51"/>
      <c r="NAU32" s="51"/>
      <c r="NAX32" s="51"/>
      <c r="NAZ32" s="51"/>
      <c r="NBA32" s="51"/>
      <c r="NBC32" s="51"/>
      <c r="NBF32" s="51"/>
      <c r="NBH32" s="51"/>
      <c r="NBI32" s="51"/>
      <c r="NBK32" s="51"/>
      <c r="NBN32" s="51"/>
      <c r="NBP32" s="51"/>
      <c r="NBQ32" s="51"/>
      <c r="NBS32" s="51"/>
      <c r="NBV32" s="51"/>
      <c r="NBX32" s="51"/>
      <c r="NBY32" s="51"/>
      <c r="NCA32" s="51"/>
      <c r="NCD32" s="51"/>
      <c r="NCF32" s="51"/>
      <c r="NCG32" s="51"/>
      <c r="NCI32" s="51"/>
      <c r="NCL32" s="51"/>
      <c r="NCN32" s="51"/>
      <c r="NCO32" s="51"/>
      <c r="NCQ32" s="51"/>
      <c r="NCT32" s="51"/>
      <c r="NCV32" s="51"/>
      <c r="NCW32" s="51"/>
      <c r="NCY32" s="51"/>
      <c r="NDB32" s="51"/>
      <c r="NDD32" s="51"/>
      <c r="NDE32" s="51"/>
      <c r="NDG32" s="51"/>
      <c r="NDJ32" s="51"/>
      <c r="NDL32" s="51"/>
      <c r="NDM32" s="51"/>
      <c r="NDO32" s="51"/>
      <c r="NDR32" s="51"/>
      <c r="NDT32" s="51"/>
      <c r="NDU32" s="51"/>
      <c r="NDW32" s="51"/>
      <c r="NDZ32" s="51"/>
      <c r="NEB32" s="51"/>
      <c r="NEC32" s="51"/>
      <c r="NEE32" s="51"/>
      <c r="NEH32" s="51"/>
      <c r="NEJ32" s="51"/>
      <c r="NEK32" s="51"/>
      <c r="NEM32" s="51"/>
      <c r="NEP32" s="51"/>
      <c r="NER32" s="51"/>
      <c r="NES32" s="51"/>
      <c r="NEU32" s="51"/>
      <c r="NEX32" s="51"/>
      <c r="NEZ32" s="51"/>
      <c r="NFA32" s="51"/>
      <c r="NFC32" s="51"/>
      <c r="NFF32" s="51"/>
      <c r="NFH32" s="51"/>
      <c r="NFI32" s="51"/>
      <c r="NFK32" s="51"/>
      <c r="NFN32" s="51"/>
      <c r="NFP32" s="51"/>
      <c r="NFQ32" s="51"/>
      <c r="NFS32" s="51"/>
      <c r="NFV32" s="51"/>
      <c r="NFX32" s="51"/>
      <c r="NFY32" s="51"/>
      <c r="NGA32" s="51"/>
      <c r="NGD32" s="51"/>
      <c r="NGF32" s="51"/>
      <c r="NGG32" s="51"/>
      <c r="NGI32" s="51"/>
      <c r="NGL32" s="51"/>
      <c r="NGN32" s="51"/>
      <c r="NGO32" s="51"/>
      <c r="NGQ32" s="51"/>
      <c r="NGT32" s="51"/>
      <c r="NGV32" s="51"/>
      <c r="NGW32" s="51"/>
      <c r="NGY32" s="51"/>
      <c r="NHB32" s="51"/>
      <c r="NHD32" s="51"/>
      <c r="NHE32" s="51"/>
      <c r="NHG32" s="51"/>
      <c r="NHJ32" s="51"/>
      <c r="NHL32" s="51"/>
      <c r="NHM32" s="51"/>
      <c r="NHO32" s="51"/>
      <c r="NHR32" s="51"/>
      <c r="NHT32" s="51"/>
      <c r="NHU32" s="51"/>
      <c r="NHW32" s="51"/>
      <c r="NHZ32" s="51"/>
      <c r="NIB32" s="51"/>
      <c r="NIC32" s="51"/>
      <c r="NIE32" s="51"/>
      <c r="NIH32" s="51"/>
      <c r="NIJ32" s="51"/>
      <c r="NIK32" s="51"/>
      <c r="NIM32" s="51"/>
      <c r="NIP32" s="51"/>
      <c r="NIR32" s="51"/>
      <c r="NIS32" s="51"/>
      <c r="NIU32" s="51"/>
      <c r="NIX32" s="51"/>
      <c r="NIZ32" s="51"/>
      <c r="NJA32" s="51"/>
      <c r="NJC32" s="51"/>
      <c r="NJF32" s="51"/>
      <c r="NJH32" s="51"/>
      <c r="NJI32" s="51"/>
      <c r="NJK32" s="51"/>
      <c r="NJN32" s="51"/>
      <c r="NJP32" s="51"/>
      <c r="NJQ32" s="51"/>
      <c r="NJS32" s="51"/>
      <c r="NJV32" s="51"/>
      <c r="NJX32" s="51"/>
      <c r="NJY32" s="51"/>
      <c r="NKA32" s="51"/>
      <c r="NKD32" s="51"/>
      <c r="NKF32" s="51"/>
      <c r="NKG32" s="51"/>
      <c r="NKI32" s="51"/>
      <c r="NKL32" s="51"/>
      <c r="NKN32" s="51"/>
      <c r="NKO32" s="51"/>
      <c r="NKQ32" s="51"/>
      <c r="NKT32" s="51"/>
      <c r="NKV32" s="51"/>
      <c r="NKW32" s="51"/>
      <c r="NKY32" s="51"/>
      <c r="NLB32" s="51"/>
      <c r="NLD32" s="51"/>
      <c r="NLE32" s="51"/>
      <c r="NLG32" s="51"/>
      <c r="NLJ32" s="51"/>
      <c r="NLL32" s="51"/>
      <c r="NLM32" s="51"/>
      <c r="NLO32" s="51"/>
      <c r="NLR32" s="51"/>
      <c r="NLT32" s="51"/>
      <c r="NLU32" s="51"/>
      <c r="NLW32" s="51"/>
      <c r="NLZ32" s="51"/>
      <c r="NMB32" s="51"/>
      <c r="NMC32" s="51"/>
      <c r="NME32" s="51"/>
      <c r="NMH32" s="51"/>
      <c r="NMJ32" s="51"/>
      <c r="NMK32" s="51"/>
      <c r="NMM32" s="51"/>
      <c r="NMP32" s="51"/>
      <c r="NMR32" s="51"/>
      <c r="NMS32" s="51"/>
      <c r="NMU32" s="51"/>
      <c r="NMX32" s="51"/>
      <c r="NMZ32" s="51"/>
      <c r="NNA32" s="51"/>
      <c r="NNC32" s="51"/>
      <c r="NNF32" s="51"/>
      <c r="NNH32" s="51"/>
      <c r="NNI32" s="51"/>
      <c r="NNK32" s="51"/>
      <c r="NNN32" s="51"/>
      <c r="NNP32" s="51"/>
      <c r="NNQ32" s="51"/>
      <c r="NNS32" s="51"/>
      <c r="NNV32" s="51"/>
      <c r="NNX32" s="51"/>
      <c r="NNY32" s="51"/>
      <c r="NOA32" s="51"/>
      <c r="NOD32" s="51"/>
      <c r="NOF32" s="51"/>
      <c r="NOG32" s="51"/>
      <c r="NOI32" s="51"/>
      <c r="NOL32" s="51"/>
      <c r="NON32" s="51"/>
      <c r="NOO32" s="51"/>
      <c r="NOQ32" s="51"/>
      <c r="NOT32" s="51"/>
      <c r="NOV32" s="51"/>
      <c r="NOW32" s="51"/>
      <c r="NOY32" s="51"/>
      <c r="NPB32" s="51"/>
      <c r="NPD32" s="51"/>
      <c r="NPE32" s="51"/>
      <c r="NPG32" s="51"/>
      <c r="NPJ32" s="51"/>
      <c r="NPL32" s="51"/>
      <c r="NPM32" s="51"/>
      <c r="NPO32" s="51"/>
      <c r="NPR32" s="51"/>
      <c r="NPT32" s="51"/>
      <c r="NPU32" s="51"/>
      <c r="NPW32" s="51"/>
      <c r="NPZ32" s="51"/>
      <c r="NQB32" s="51"/>
      <c r="NQC32" s="51"/>
      <c r="NQE32" s="51"/>
      <c r="NQH32" s="51"/>
      <c r="NQJ32" s="51"/>
      <c r="NQK32" s="51"/>
      <c r="NQM32" s="51"/>
      <c r="NQP32" s="51"/>
      <c r="NQR32" s="51"/>
      <c r="NQS32" s="51"/>
      <c r="NQU32" s="51"/>
      <c r="NQX32" s="51"/>
      <c r="NQZ32" s="51"/>
      <c r="NRA32" s="51"/>
      <c r="NRC32" s="51"/>
      <c r="NRF32" s="51"/>
      <c r="NRH32" s="51"/>
      <c r="NRI32" s="51"/>
      <c r="NRK32" s="51"/>
      <c r="NRN32" s="51"/>
      <c r="NRP32" s="51"/>
      <c r="NRQ32" s="51"/>
      <c r="NRS32" s="51"/>
      <c r="NRV32" s="51"/>
      <c r="NRX32" s="51"/>
      <c r="NRY32" s="51"/>
      <c r="NSA32" s="51"/>
      <c r="NSD32" s="51"/>
      <c r="NSF32" s="51"/>
      <c r="NSG32" s="51"/>
      <c r="NSI32" s="51"/>
      <c r="NSL32" s="51"/>
      <c r="NSN32" s="51"/>
      <c r="NSO32" s="51"/>
      <c r="NSQ32" s="51"/>
      <c r="NST32" s="51"/>
      <c r="NSV32" s="51"/>
      <c r="NSW32" s="51"/>
      <c r="NSY32" s="51"/>
      <c r="NTB32" s="51"/>
      <c r="NTD32" s="51"/>
      <c r="NTE32" s="51"/>
      <c r="NTG32" s="51"/>
      <c r="NTJ32" s="51"/>
      <c r="NTL32" s="51"/>
      <c r="NTM32" s="51"/>
      <c r="NTO32" s="51"/>
      <c r="NTR32" s="51"/>
      <c r="NTT32" s="51"/>
      <c r="NTU32" s="51"/>
      <c r="NTW32" s="51"/>
      <c r="NTZ32" s="51"/>
      <c r="NUB32" s="51"/>
      <c r="NUC32" s="51"/>
      <c r="NUE32" s="51"/>
      <c r="NUH32" s="51"/>
      <c r="NUJ32" s="51"/>
      <c r="NUK32" s="51"/>
      <c r="NUM32" s="51"/>
      <c r="NUP32" s="51"/>
      <c r="NUR32" s="51"/>
      <c r="NUS32" s="51"/>
      <c r="NUU32" s="51"/>
      <c r="NUX32" s="51"/>
      <c r="NUZ32" s="51"/>
      <c r="NVA32" s="51"/>
      <c r="NVC32" s="51"/>
      <c r="NVF32" s="51"/>
      <c r="NVH32" s="51"/>
      <c r="NVI32" s="51"/>
      <c r="NVK32" s="51"/>
      <c r="NVN32" s="51"/>
      <c r="NVP32" s="51"/>
      <c r="NVQ32" s="51"/>
      <c r="NVS32" s="51"/>
      <c r="NVV32" s="51"/>
      <c r="NVX32" s="51"/>
      <c r="NVY32" s="51"/>
      <c r="NWA32" s="51"/>
      <c r="NWD32" s="51"/>
      <c r="NWF32" s="51"/>
      <c r="NWG32" s="51"/>
      <c r="NWI32" s="51"/>
      <c r="NWL32" s="51"/>
      <c r="NWN32" s="51"/>
      <c r="NWO32" s="51"/>
      <c r="NWQ32" s="51"/>
      <c r="NWT32" s="51"/>
      <c r="NWV32" s="51"/>
      <c r="NWW32" s="51"/>
      <c r="NWY32" s="51"/>
      <c r="NXB32" s="51"/>
      <c r="NXD32" s="51"/>
      <c r="NXE32" s="51"/>
      <c r="NXG32" s="51"/>
      <c r="NXJ32" s="51"/>
      <c r="NXL32" s="51"/>
      <c r="NXM32" s="51"/>
      <c r="NXO32" s="51"/>
      <c r="NXR32" s="51"/>
      <c r="NXT32" s="51"/>
      <c r="NXU32" s="51"/>
      <c r="NXW32" s="51"/>
      <c r="NXZ32" s="51"/>
      <c r="NYB32" s="51"/>
      <c r="NYC32" s="51"/>
      <c r="NYE32" s="51"/>
      <c r="NYH32" s="51"/>
      <c r="NYJ32" s="51"/>
      <c r="NYK32" s="51"/>
      <c r="NYM32" s="51"/>
      <c r="NYP32" s="51"/>
      <c r="NYR32" s="51"/>
      <c r="NYS32" s="51"/>
      <c r="NYU32" s="51"/>
      <c r="NYX32" s="51"/>
      <c r="NYZ32" s="51"/>
      <c r="NZA32" s="51"/>
      <c r="NZC32" s="51"/>
      <c r="NZF32" s="51"/>
      <c r="NZH32" s="51"/>
      <c r="NZI32" s="51"/>
      <c r="NZK32" s="51"/>
      <c r="NZN32" s="51"/>
      <c r="NZP32" s="51"/>
      <c r="NZQ32" s="51"/>
      <c r="NZS32" s="51"/>
      <c r="NZV32" s="51"/>
      <c r="NZX32" s="51"/>
      <c r="NZY32" s="51"/>
      <c r="OAA32" s="51"/>
      <c r="OAD32" s="51"/>
      <c r="OAF32" s="51"/>
      <c r="OAG32" s="51"/>
      <c r="OAI32" s="51"/>
      <c r="OAL32" s="51"/>
      <c r="OAN32" s="51"/>
      <c r="OAO32" s="51"/>
      <c r="OAQ32" s="51"/>
      <c r="OAT32" s="51"/>
      <c r="OAV32" s="51"/>
      <c r="OAW32" s="51"/>
      <c r="OAY32" s="51"/>
      <c r="OBB32" s="51"/>
      <c r="OBD32" s="51"/>
      <c r="OBE32" s="51"/>
      <c r="OBG32" s="51"/>
      <c r="OBJ32" s="51"/>
      <c r="OBL32" s="51"/>
      <c r="OBM32" s="51"/>
      <c r="OBO32" s="51"/>
      <c r="OBR32" s="51"/>
      <c r="OBT32" s="51"/>
      <c r="OBU32" s="51"/>
      <c r="OBW32" s="51"/>
      <c r="OBZ32" s="51"/>
      <c r="OCB32" s="51"/>
      <c r="OCC32" s="51"/>
      <c r="OCE32" s="51"/>
      <c r="OCH32" s="51"/>
      <c r="OCJ32" s="51"/>
      <c r="OCK32" s="51"/>
      <c r="OCM32" s="51"/>
      <c r="OCP32" s="51"/>
      <c r="OCR32" s="51"/>
      <c r="OCS32" s="51"/>
      <c r="OCU32" s="51"/>
      <c r="OCX32" s="51"/>
      <c r="OCZ32" s="51"/>
      <c r="ODA32" s="51"/>
      <c r="ODC32" s="51"/>
      <c r="ODF32" s="51"/>
      <c r="ODH32" s="51"/>
      <c r="ODI32" s="51"/>
      <c r="ODK32" s="51"/>
      <c r="ODN32" s="51"/>
      <c r="ODP32" s="51"/>
      <c r="ODQ32" s="51"/>
      <c r="ODS32" s="51"/>
      <c r="ODV32" s="51"/>
      <c r="ODX32" s="51"/>
      <c r="ODY32" s="51"/>
      <c r="OEA32" s="51"/>
      <c r="OED32" s="51"/>
      <c r="OEF32" s="51"/>
      <c r="OEG32" s="51"/>
      <c r="OEI32" s="51"/>
      <c r="OEL32" s="51"/>
      <c r="OEN32" s="51"/>
      <c r="OEO32" s="51"/>
      <c r="OEQ32" s="51"/>
      <c r="OET32" s="51"/>
      <c r="OEV32" s="51"/>
      <c r="OEW32" s="51"/>
      <c r="OEY32" s="51"/>
      <c r="OFB32" s="51"/>
      <c r="OFD32" s="51"/>
      <c r="OFE32" s="51"/>
      <c r="OFG32" s="51"/>
      <c r="OFJ32" s="51"/>
      <c r="OFL32" s="51"/>
      <c r="OFM32" s="51"/>
      <c r="OFO32" s="51"/>
      <c r="OFR32" s="51"/>
      <c r="OFT32" s="51"/>
      <c r="OFU32" s="51"/>
      <c r="OFW32" s="51"/>
      <c r="OFZ32" s="51"/>
      <c r="OGB32" s="51"/>
      <c r="OGC32" s="51"/>
      <c r="OGE32" s="51"/>
      <c r="OGH32" s="51"/>
      <c r="OGJ32" s="51"/>
      <c r="OGK32" s="51"/>
      <c r="OGM32" s="51"/>
      <c r="OGP32" s="51"/>
      <c r="OGR32" s="51"/>
      <c r="OGS32" s="51"/>
      <c r="OGU32" s="51"/>
      <c r="OGX32" s="51"/>
      <c r="OGZ32" s="51"/>
      <c r="OHA32" s="51"/>
      <c r="OHC32" s="51"/>
      <c r="OHF32" s="51"/>
      <c r="OHH32" s="51"/>
      <c r="OHI32" s="51"/>
      <c r="OHK32" s="51"/>
      <c r="OHN32" s="51"/>
      <c r="OHP32" s="51"/>
      <c r="OHQ32" s="51"/>
      <c r="OHS32" s="51"/>
      <c r="OHV32" s="51"/>
      <c r="OHX32" s="51"/>
      <c r="OHY32" s="51"/>
      <c r="OIA32" s="51"/>
      <c r="OID32" s="51"/>
      <c r="OIF32" s="51"/>
      <c r="OIG32" s="51"/>
      <c r="OII32" s="51"/>
      <c r="OIL32" s="51"/>
      <c r="OIN32" s="51"/>
      <c r="OIO32" s="51"/>
      <c r="OIQ32" s="51"/>
      <c r="OIT32" s="51"/>
      <c r="OIV32" s="51"/>
      <c r="OIW32" s="51"/>
      <c r="OIY32" s="51"/>
      <c r="OJB32" s="51"/>
      <c r="OJD32" s="51"/>
      <c r="OJE32" s="51"/>
      <c r="OJG32" s="51"/>
      <c r="OJJ32" s="51"/>
      <c r="OJL32" s="51"/>
      <c r="OJM32" s="51"/>
      <c r="OJO32" s="51"/>
      <c r="OJR32" s="51"/>
      <c r="OJT32" s="51"/>
      <c r="OJU32" s="51"/>
      <c r="OJW32" s="51"/>
      <c r="OJZ32" s="51"/>
      <c r="OKB32" s="51"/>
      <c r="OKC32" s="51"/>
      <c r="OKE32" s="51"/>
      <c r="OKH32" s="51"/>
      <c r="OKJ32" s="51"/>
      <c r="OKK32" s="51"/>
      <c r="OKM32" s="51"/>
      <c r="OKP32" s="51"/>
      <c r="OKR32" s="51"/>
      <c r="OKS32" s="51"/>
      <c r="OKU32" s="51"/>
      <c r="OKX32" s="51"/>
      <c r="OKZ32" s="51"/>
      <c r="OLA32" s="51"/>
      <c r="OLC32" s="51"/>
      <c r="OLF32" s="51"/>
      <c r="OLH32" s="51"/>
      <c r="OLI32" s="51"/>
      <c r="OLK32" s="51"/>
      <c r="OLN32" s="51"/>
      <c r="OLP32" s="51"/>
      <c r="OLQ32" s="51"/>
      <c r="OLS32" s="51"/>
      <c r="OLV32" s="51"/>
      <c r="OLX32" s="51"/>
      <c r="OLY32" s="51"/>
      <c r="OMA32" s="51"/>
      <c r="OMD32" s="51"/>
      <c r="OMF32" s="51"/>
      <c r="OMG32" s="51"/>
      <c r="OMI32" s="51"/>
      <c r="OML32" s="51"/>
      <c r="OMN32" s="51"/>
      <c r="OMO32" s="51"/>
      <c r="OMQ32" s="51"/>
      <c r="OMT32" s="51"/>
      <c r="OMV32" s="51"/>
      <c r="OMW32" s="51"/>
      <c r="OMY32" s="51"/>
      <c r="ONB32" s="51"/>
      <c r="OND32" s="51"/>
      <c r="ONE32" s="51"/>
      <c r="ONG32" s="51"/>
      <c r="ONJ32" s="51"/>
      <c r="ONL32" s="51"/>
      <c r="ONM32" s="51"/>
      <c r="ONO32" s="51"/>
      <c r="ONR32" s="51"/>
      <c r="ONT32" s="51"/>
      <c r="ONU32" s="51"/>
      <c r="ONW32" s="51"/>
      <c r="ONZ32" s="51"/>
      <c r="OOB32" s="51"/>
      <c r="OOC32" s="51"/>
      <c r="OOE32" s="51"/>
      <c r="OOH32" s="51"/>
      <c r="OOJ32" s="51"/>
      <c r="OOK32" s="51"/>
      <c r="OOM32" s="51"/>
      <c r="OOP32" s="51"/>
      <c r="OOR32" s="51"/>
      <c r="OOS32" s="51"/>
      <c r="OOU32" s="51"/>
      <c r="OOX32" s="51"/>
      <c r="OOZ32" s="51"/>
      <c r="OPA32" s="51"/>
      <c r="OPC32" s="51"/>
      <c r="OPF32" s="51"/>
      <c r="OPH32" s="51"/>
      <c r="OPI32" s="51"/>
      <c r="OPK32" s="51"/>
      <c r="OPN32" s="51"/>
      <c r="OPP32" s="51"/>
      <c r="OPQ32" s="51"/>
      <c r="OPS32" s="51"/>
      <c r="OPV32" s="51"/>
      <c r="OPX32" s="51"/>
      <c r="OPY32" s="51"/>
      <c r="OQA32" s="51"/>
      <c r="OQD32" s="51"/>
      <c r="OQF32" s="51"/>
      <c r="OQG32" s="51"/>
      <c r="OQI32" s="51"/>
      <c r="OQL32" s="51"/>
      <c r="OQN32" s="51"/>
      <c r="OQO32" s="51"/>
      <c r="OQQ32" s="51"/>
      <c r="OQT32" s="51"/>
      <c r="OQV32" s="51"/>
      <c r="OQW32" s="51"/>
      <c r="OQY32" s="51"/>
      <c r="ORB32" s="51"/>
      <c r="ORD32" s="51"/>
      <c r="ORE32" s="51"/>
      <c r="ORG32" s="51"/>
      <c r="ORJ32" s="51"/>
      <c r="ORL32" s="51"/>
      <c r="ORM32" s="51"/>
      <c r="ORO32" s="51"/>
      <c r="ORR32" s="51"/>
      <c r="ORT32" s="51"/>
      <c r="ORU32" s="51"/>
      <c r="ORW32" s="51"/>
      <c r="ORZ32" s="51"/>
      <c r="OSB32" s="51"/>
      <c r="OSC32" s="51"/>
      <c r="OSE32" s="51"/>
      <c r="OSH32" s="51"/>
      <c r="OSJ32" s="51"/>
      <c r="OSK32" s="51"/>
      <c r="OSM32" s="51"/>
      <c r="OSP32" s="51"/>
      <c r="OSR32" s="51"/>
      <c r="OSS32" s="51"/>
      <c r="OSU32" s="51"/>
      <c r="OSX32" s="51"/>
      <c r="OSZ32" s="51"/>
      <c r="OTA32" s="51"/>
      <c r="OTC32" s="51"/>
      <c r="OTF32" s="51"/>
      <c r="OTH32" s="51"/>
      <c r="OTI32" s="51"/>
      <c r="OTK32" s="51"/>
      <c r="OTN32" s="51"/>
      <c r="OTP32" s="51"/>
      <c r="OTQ32" s="51"/>
      <c r="OTS32" s="51"/>
      <c r="OTV32" s="51"/>
      <c r="OTX32" s="51"/>
      <c r="OTY32" s="51"/>
      <c r="OUA32" s="51"/>
      <c r="OUD32" s="51"/>
      <c r="OUF32" s="51"/>
      <c r="OUG32" s="51"/>
      <c r="OUI32" s="51"/>
      <c r="OUL32" s="51"/>
      <c r="OUN32" s="51"/>
      <c r="OUO32" s="51"/>
      <c r="OUQ32" s="51"/>
      <c r="OUT32" s="51"/>
      <c r="OUV32" s="51"/>
      <c r="OUW32" s="51"/>
      <c r="OUY32" s="51"/>
      <c r="OVB32" s="51"/>
      <c r="OVD32" s="51"/>
      <c r="OVE32" s="51"/>
      <c r="OVG32" s="51"/>
      <c r="OVJ32" s="51"/>
      <c r="OVL32" s="51"/>
      <c r="OVM32" s="51"/>
      <c r="OVO32" s="51"/>
      <c r="OVR32" s="51"/>
      <c r="OVT32" s="51"/>
      <c r="OVU32" s="51"/>
      <c r="OVW32" s="51"/>
      <c r="OVZ32" s="51"/>
      <c r="OWB32" s="51"/>
      <c r="OWC32" s="51"/>
      <c r="OWE32" s="51"/>
      <c r="OWH32" s="51"/>
      <c r="OWJ32" s="51"/>
      <c r="OWK32" s="51"/>
      <c r="OWM32" s="51"/>
      <c r="OWP32" s="51"/>
      <c r="OWR32" s="51"/>
      <c r="OWS32" s="51"/>
      <c r="OWU32" s="51"/>
      <c r="OWX32" s="51"/>
      <c r="OWZ32" s="51"/>
      <c r="OXA32" s="51"/>
      <c r="OXC32" s="51"/>
      <c r="OXF32" s="51"/>
      <c r="OXH32" s="51"/>
      <c r="OXI32" s="51"/>
      <c r="OXK32" s="51"/>
      <c r="OXN32" s="51"/>
      <c r="OXP32" s="51"/>
      <c r="OXQ32" s="51"/>
      <c r="OXS32" s="51"/>
      <c r="OXV32" s="51"/>
      <c r="OXX32" s="51"/>
      <c r="OXY32" s="51"/>
      <c r="OYA32" s="51"/>
      <c r="OYD32" s="51"/>
      <c r="OYF32" s="51"/>
      <c r="OYG32" s="51"/>
      <c r="OYI32" s="51"/>
      <c r="OYL32" s="51"/>
      <c r="OYN32" s="51"/>
      <c r="OYO32" s="51"/>
      <c r="OYQ32" s="51"/>
      <c r="OYT32" s="51"/>
      <c r="OYV32" s="51"/>
      <c r="OYW32" s="51"/>
      <c r="OYY32" s="51"/>
      <c r="OZB32" s="51"/>
      <c r="OZD32" s="51"/>
      <c r="OZE32" s="51"/>
      <c r="OZG32" s="51"/>
      <c r="OZJ32" s="51"/>
      <c r="OZL32" s="51"/>
      <c r="OZM32" s="51"/>
      <c r="OZO32" s="51"/>
      <c r="OZR32" s="51"/>
      <c r="OZT32" s="51"/>
      <c r="OZU32" s="51"/>
      <c r="OZW32" s="51"/>
      <c r="OZZ32" s="51"/>
      <c r="PAB32" s="51"/>
      <c r="PAC32" s="51"/>
      <c r="PAE32" s="51"/>
      <c r="PAH32" s="51"/>
      <c r="PAJ32" s="51"/>
      <c r="PAK32" s="51"/>
      <c r="PAM32" s="51"/>
      <c r="PAP32" s="51"/>
      <c r="PAR32" s="51"/>
      <c r="PAS32" s="51"/>
      <c r="PAU32" s="51"/>
      <c r="PAX32" s="51"/>
      <c r="PAZ32" s="51"/>
      <c r="PBA32" s="51"/>
      <c r="PBC32" s="51"/>
      <c r="PBF32" s="51"/>
      <c r="PBH32" s="51"/>
      <c r="PBI32" s="51"/>
      <c r="PBK32" s="51"/>
      <c r="PBN32" s="51"/>
      <c r="PBP32" s="51"/>
      <c r="PBQ32" s="51"/>
      <c r="PBS32" s="51"/>
      <c r="PBV32" s="51"/>
      <c r="PBX32" s="51"/>
      <c r="PBY32" s="51"/>
      <c r="PCA32" s="51"/>
      <c r="PCD32" s="51"/>
      <c r="PCF32" s="51"/>
      <c r="PCG32" s="51"/>
      <c r="PCI32" s="51"/>
      <c r="PCL32" s="51"/>
      <c r="PCN32" s="51"/>
      <c r="PCO32" s="51"/>
      <c r="PCQ32" s="51"/>
      <c r="PCT32" s="51"/>
      <c r="PCV32" s="51"/>
      <c r="PCW32" s="51"/>
      <c r="PCY32" s="51"/>
      <c r="PDB32" s="51"/>
      <c r="PDD32" s="51"/>
      <c r="PDE32" s="51"/>
      <c r="PDG32" s="51"/>
      <c r="PDJ32" s="51"/>
      <c r="PDL32" s="51"/>
      <c r="PDM32" s="51"/>
      <c r="PDO32" s="51"/>
      <c r="PDR32" s="51"/>
      <c r="PDT32" s="51"/>
      <c r="PDU32" s="51"/>
      <c r="PDW32" s="51"/>
      <c r="PDZ32" s="51"/>
      <c r="PEB32" s="51"/>
      <c r="PEC32" s="51"/>
      <c r="PEE32" s="51"/>
      <c r="PEH32" s="51"/>
      <c r="PEJ32" s="51"/>
      <c r="PEK32" s="51"/>
      <c r="PEM32" s="51"/>
      <c r="PEP32" s="51"/>
      <c r="PER32" s="51"/>
      <c r="PES32" s="51"/>
      <c r="PEU32" s="51"/>
      <c r="PEX32" s="51"/>
      <c r="PEZ32" s="51"/>
      <c r="PFA32" s="51"/>
      <c r="PFC32" s="51"/>
      <c r="PFF32" s="51"/>
      <c r="PFH32" s="51"/>
      <c r="PFI32" s="51"/>
      <c r="PFK32" s="51"/>
      <c r="PFN32" s="51"/>
      <c r="PFP32" s="51"/>
      <c r="PFQ32" s="51"/>
      <c r="PFS32" s="51"/>
      <c r="PFV32" s="51"/>
      <c r="PFX32" s="51"/>
      <c r="PFY32" s="51"/>
      <c r="PGA32" s="51"/>
      <c r="PGD32" s="51"/>
      <c r="PGF32" s="51"/>
      <c r="PGG32" s="51"/>
      <c r="PGI32" s="51"/>
      <c r="PGL32" s="51"/>
      <c r="PGN32" s="51"/>
      <c r="PGO32" s="51"/>
      <c r="PGQ32" s="51"/>
      <c r="PGT32" s="51"/>
      <c r="PGV32" s="51"/>
      <c r="PGW32" s="51"/>
      <c r="PGY32" s="51"/>
      <c r="PHB32" s="51"/>
      <c r="PHD32" s="51"/>
      <c r="PHE32" s="51"/>
      <c r="PHG32" s="51"/>
      <c r="PHJ32" s="51"/>
      <c r="PHL32" s="51"/>
      <c r="PHM32" s="51"/>
      <c r="PHO32" s="51"/>
      <c r="PHR32" s="51"/>
      <c r="PHT32" s="51"/>
      <c r="PHU32" s="51"/>
      <c r="PHW32" s="51"/>
      <c r="PHZ32" s="51"/>
      <c r="PIB32" s="51"/>
      <c r="PIC32" s="51"/>
      <c r="PIE32" s="51"/>
      <c r="PIH32" s="51"/>
      <c r="PIJ32" s="51"/>
      <c r="PIK32" s="51"/>
      <c r="PIM32" s="51"/>
      <c r="PIP32" s="51"/>
      <c r="PIR32" s="51"/>
      <c r="PIS32" s="51"/>
      <c r="PIU32" s="51"/>
      <c r="PIX32" s="51"/>
      <c r="PIZ32" s="51"/>
      <c r="PJA32" s="51"/>
      <c r="PJC32" s="51"/>
      <c r="PJF32" s="51"/>
      <c r="PJH32" s="51"/>
      <c r="PJI32" s="51"/>
      <c r="PJK32" s="51"/>
      <c r="PJN32" s="51"/>
      <c r="PJP32" s="51"/>
      <c r="PJQ32" s="51"/>
      <c r="PJS32" s="51"/>
      <c r="PJV32" s="51"/>
      <c r="PJX32" s="51"/>
      <c r="PJY32" s="51"/>
      <c r="PKA32" s="51"/>
      <c r="PKD32" s="51"/>
      <c r="PKF32" s="51"/>
      <c r="PKG32" s="51"/>
      <c r="PKI32" s="51"/>
      <c r="PKL32" s="51"/>
      <c r="PKN32" s="51"/>
      <c r="PKO32" s="51"/>
      <c r="PKQ32" s="51"/>
      <c r="PKT32" s="51"/>
      <c r="PKV32" s="51"/>
      <c r="PKW32" s="51"/>
      <c r="PKY32" s="51"/>
      <c r="PLB32" s="51"/>
      <c r="PLD32" s="51"/>
      <c r="PLE32" s="51"/>
      <c r="PLG32" s="51"/>
      <c r="PLJ32" s="51"/>
      <c r="PLL32" s="51"/>
      <c r="PLM32" s="51"/>
      <c r="PLO32" s="51"/>
      <c r="PLR32" s="51"/>
      <c r="PLT32" s="51"/>
      <c r="PLU32" s="51"/>
      <c r="PLW32" s="51"/>
      <c r="PLZ32" s="51"/>
      <c r="PMB32" s="51"/>
      <c r="PMC32" s="51"/>
      <c r="PME32" s="51"/>
      <c r="PMH32" s="51"/>
      <c r="PMJ32" s="51"/>
      <c r="PMK32" s="51"/>
      <c r="PMM32" s="51"/>
      <c r="PMP32" s="51"/>
      <c r="PMR32" s="51"/>
      <c r="PMS32" s="51"/>
      <c r="PMU32" s="51"/>
      <c r="PMX32" s="51"/>
      <c r="PMZ32" s="51"/>
      <c r="PNA32" s="51"/>
      <c r="PNC32" s="51"/>
      <c r="PNF32" s="51"/>
      <c r="PNH32" s="51"/>
      <c r="PNI32" s="51"/>
      <c r="PNK32" s="51"/>
      <c r="PNN32" s="51"/>
      <c r="PNP32" s="51"/>
      <c r="PNQ32" s="51"/>
      <c r="PNS32" s="51"/>
      <c r="PNV32" s="51"/>
      <c r="PNX32" s="51"/>
      <c r="PNY32" s="51"/>
      <c r="POA32" s="51"/>
      <c r="POD32" s="51"/>
      <c r="POF32" s="51"/>
      <c r="POG32" s="51"/>
      <c r="POI32" s="51"/>
      <c r="POL32" s="51"/>
      <c r="PON32" s="51"/>
      <c r="POO32" s="51"/>
      <c r="POQ32" s="51"/>
      <c r="POT32" s="51"/>
      <c r="POV32" s="51"/>
      <c r="POW32" s="51"/>
      <c r="POY32" s="51"/>
      <c r="PPB32" s="51"/>
      <c r="PPD32" s="51"/>
      <c r="PPE32" s="51"/>
      <c r="PPG32" s="51"/>
      <c r="PPJ32" s="51"/>
      <c r="PPL32" s="51"/>
      <c r="PPM32" s="51"/>
      <c r="PPO32" s="51"/>
      <c r="PPR32" s="51"/>
      <c r="PPT32" s="51"/>
      <c r="PPU32" s="51"/>
      <c r="PPW32" s="51"/>
      <c r="PPZ32" s="51"/>
      <c r="PQB32" s="51"/>
      <c r="PQC32" s="51"/>
      <c r="PQE32" s="51"/>
      <c r="PQH32" s="51"/>
      <c r="PQJ32" s="51"/>
      <c r="PQK32" s="51"/>
      <c r="PQM32" s="51"/>
      <c r="PQP32" s="51"/>
      <c r="PQR32" s="51"/>
      <c r="PQS32" s="51"/>
      <c r="PQU32" s="51"/>
      <c r="PQX32" s="51"/>
      <c r="PQZ32" s="51"/>
      <c r="PRA32" s="51"/>
      <c r="PRC32" s="51"/>
      <c r="PRF32" s="51"/>
      <c r="PRH32" s="51"/>
      <c r="PRI32" s="51"/>
      <c r="PRK32" s="51"/>
      <c r="PRN32" s="51"/>
      <c r="PRP32" s="51"/>
      <c r="PRQ32" s="51"/>
      <c r="PRS32" s="51"/>
      <c r="PRV32" s="51"/>
      <c r="PRX32" s="51"/>
      <c r="PRY32" s="51"/>
      <c r="PSA32" s="51"/>
      <c r="PSD32" s="51"/>
      <c r="PSF32" s="51"/>
      <c r="PSG32" s="51"/>
      <c r="PSI32" s="51"/>
      <c r="PSL32" s="51"/>
      <c r="PSN32" s="51"/>
      <c r="PSO32" s="51"/>
      <c r="PSQ32" s="51"/>
      <c r="PST32" s="51"/>
      <c r="PSV32" s="51"/>
      <c r="PSW32" s="51"/>
      <c r="PSY32" s="51"/>
      <c r="PTB32" s="51"/>
      <c r="PTD32" s="51"/>
      <c r="PTE32" s="51"/>
      <c r="PTG32" s="51"/>
      <c r="PTJ32" s="51"/>
      <c r="PTL32" s="51"/>
      <c r="PTM32" s="51"/>
      <c r="PTO32" s="51"/>
      <c r="PTR32" s="51"/>
      <c r="PTT32" s="51"/>
      <c r="PTU32" s="51"/>
      <c r="PTW32" s="51"/>
      <c r="PTZ32" s="51"/>
      <c r="PUB32" s="51"/>
      <c r="PUC32" s="51"/>
      <c r="PUE32" s="51"/>
      <c r="PUH32" s="51"/>
      <c r="PUJ32" s="51"/>
      <c r="PUK32" s="51"/>
      <c r="PUM32" s="51"/>
      <c r="PUP32" s="51"/>
      <c r="PUR32" s="51"/>
      <c r="PUS32" s="51"/>
      <c r="PUU32" s="51"/>
      <c r="PUX32" s="51"/>
      <c r="PUZ32" s="51"/>
      <c r="PVA32" s="51"/>
      <c r="PVC32" s="51"/>
      <c r="PVF32" s="51"/>
      <c r="PVH32" s="51"/>
      <c r="PVI32" s="51"/>
      <c r="PVK32" s="51"/>
      <c r="PVN32" s="51"/>
      <c r="PVP32" s="51"/>
      <c r="PVQ32" s="51"/>
      <c r="PVS32" s="51"/>
      <c r="PVV32" s="51"/>
      <c r="PVX32" s="51"/>
      <c r="PVY32" s="51"/>
      <c r="PWA32" s="51"/>
      <c r="PWD32" s="51"/>
      <c r="PWF32" s="51"/>
      <c r="PWG32" s="51"/>
      <c r="PWI32" s="51"/>
      <c r="PWL32" s="51"/>
      <c r="PWN32" s="51"/>
      <c r="PWO32" s="51"/>
      <c r="PWQ32" s="51"/>
      <c r="PWT32" s="51"/>
      <c r="PWV32" s="51"/>
      <c r="PWW32" s="51"/>
      <c r="PWY32" s="51"/>
      <c r="PXB32" s="51"/>
      <c r="PXD32" s="51"/>
      <c r="PXE32" s="51"/>
      <c r="PXG32" s="51"/>
      <c r="PXJ32" s="51"/>
      <c r="PXL32" s="51"/>
      <c r="PXM32" s="51"/>
      <c r="PXO32" s="51"/>
      <c r="PXR32" s="51"/>
      <c r="PXT32" s="51"/>
      <c r="PXU32" s="51"/>
      <c r="PXW32" s="51"/>
      <c r="PXZ32" s="51"/>
      <c r="PYB32" s="51"/>
      <c r="PYC32" s="51"/>
      <c r="PYE32" s="51"/>
      <c r="PYH32" s="51"/>
      <c r="PYJ32" s="51"/>
      <c r="PYK32" s="51"/>
      <c r="PYM32" s="51"/>
      <c r="PYP32" s="51"/>
      <c r="PYR32" s="51"/>
      <c r="PYS32" s="51"/>
      <c r="PYU32" s="51"/>
      <c r="PYX32" s="51"/>
      <c r="PYZ32" s="51"/>
      <c r="PZA32" s="51"/>
      <c r="PZC32" s="51"/>
      <c r="PZF32" s="51"/>
      <c r="PZH32" s="51"/>
      <c r="PZI32" s="51"/>
      <c r="PZK32" s="51"/>
      <c r="PZN32" s="51"/>
      <c r="PZP32" s="51"/>
      <c r="PZQ32" s="51"/>
      <c r="PZS32" s="51"/>
      <c r="PZV32" s="51"/>
      <c r="PZX32" s="51"/>
      <c r="PZY32" s="51"/>
      <c r="QAA32" s="51"/>
      <c r="QAD32" s="51"/>
      <c r="QAF32" s="51"/>
      <c r="QAG32" s="51"/>
      <c r="QAI32" s="51"/>
      <c r="QAL32" s="51"/>
      <c r="QAN32" s="51"/>
      <c r="QAO32" s="51"/>
      <c r="QAQ32" s="51"/>
      <c r="QAT32" s="51"/>
      <c r="QAV32" s="51"/>
      <c r="QAW32" s="51"/>
      <c r="QAY32" s="51"/>
      <c r="QBB32" s="51"/>
      <c r="QBD32" s="51"/>
      <c r="QBE32" s="51"/>
      <c r="QBG32" s="51"/>
      <c r="QBJ32" s="51"/>
      <c r="QBL32" s="51"/>
      <c r="QBM32" s="51"/>
      <c r="QBO32" s="51"/>
      <c r="QBR32" s="51"/>
      <c r="QBT32" s="51"/>
      <c r="QBU32" s="51"/>
      <c r="QBW32" s="51"/>
      <c r="QBZ32" s="51"/>
      <c r="QCB32" s="51"/>
      <c r="QCC32" s="51"/>
      <c r="QCE32" s="51"/>
      <c r="QCH32" s="51"/>
      <c r="QCJ32" s="51"/>
      <c r="QCK32" s="51"/>
      <c r="QCM32" s="51"/>
      <c r="QCP32" s="51"/>
      <c r="QCR32" s="51"/>
      <c r="QCS32" s="51"/>
      <c r="QCU32" s="51"/>
      <c r="QCX32" s="51"/>
      <c r="QCZ32" s="51"/>
      <c r="QDA32" s="51"/>
      <c r="QDC32" s="51"/>
      <c r="QDF32" s="51"/>
      <c r="QDH32" s="51"/>
      <c r="QDI32" s="51"/>
      <c r="QDK32" s="51"/>
      <c r="QDN32" s="51"/>
      <c r="QDP32" s="51"/>
      <c r="QDQ32" s="51"/>
      <c r="QDS32" s="51"/>
      <c r="QDV32" s="51"/>
      <c r="QDX32" s="51"/>
      <c r="QDY32" s="51"/>
      <c r="QEA32" s="51"/>
      <c r="QED32" s="51"/>
      <c r="QEF32" s="51"/>
      <c r="QEG32" s="51"/>
      <c r="QEI32" s="51"/>
      <c r="QEL32" s="51"/>
      <c r="QEN32" s="51"/>
      <c r="QEO32" s="51"/>
      <c r="QEQ32" s="51"/>
      <c r="QET32" s="51"/>
      <c r="QEV32" s="51"/>
      <c r="QEW32" s="51"/>
      <c r="QEY32" s="51"/>
      <c r="QFB32" s="51"/>
      <c r="QFD32" s="51"/>
      <c r="QFE32" s="51"/>
      <c r="QFG32" s="51"/>
      <c r="QFJ32" s="51"/>
      <c r="QFL32" s="51"/>
      <c r="QFM32" s="51"/>
      <c r="QFO32" s="51"/>
      <c r="QFR32" s="51"/>
      <c r="QFT32" s="51"/>
      <c r="QFU32" s="51"/>
      <c r="QFW32" s="51"/>
      <c r="QFZ32" s="51"/>
      <c r="QGB32" s="51"/>
      <c r="QGC32" s="51"/>
      <c r="QGE32" s="51"/>
      <c r="QGH32" s="51"/>
      <c r="QGJ32" s="51"/>
      <c r="QGK32" s="51"/>
      <c r="QGM32" s="51"/>
      <c r="QGP32" s="51"/>
      <c r="QGR32" s="51"/>
      <c r="QGS32" s="51"/>
      <c r="QGU32" s="51"/>
      <c r="QGX32" s="51"/>
      <c r="QGZ32" s="51"/>
      <c r="QHA32" s="51"/>
      <c r="QHC32" s="51"/>
      <c r="QHF32" s="51"/>
      <c r="QHH32" s="51"/>
      <c r="QHI32" s="51"/>
      <c r="QHK32" s="51"/>
      <c r="QHN32" s="51"/>
      <c r="QHP32" s="51"/>
      <c r="QHQ32" s="51"/>
      <c r="QHS32" s="51"/>
      <c r="QHV32" s="51"/>
      <c r="QHX32" s="51"/>
      <c r="QHY32" s="51"/>
      <c r="QIA32" s="51"/>
      <c r="QID32" s="51"/>
      <c r="QIF32" s="51"/>
      <c r="QIG32" s="51"/>
      <c r="QII32" s="51"/>
      <c r="QIL32" s="51"/>
      <c r="QIN32" s="51"/>
      <c r="QIO32" s="51"/>
      <c r="QIQ32" s="51"/>
      <c r="QIT32" s="51"/>
      <c r="QIV32" s="51"/>
      <c r="QIW32" s="51"/>
      <c r="QIY32" s="51"/>
      <c r="QJB32" s="51"/>
      <c r="QJD32" s="51"/>
      <c r="QJE32" s="51"/>
      <c r="QJG32" s="51"/>
      <c r="QJJ32" s="51"/>
      <c r="QJL32" s="51"/>
      <c r="QJM32" s="51"/>
      <c r="QJO32" s="51"/>
      <c r="QJR32" s="51"/>
      <c r="QJT32" s="51"/>
      <c r="QJU32" s="51"/>
      <c r="QJW32" s="51"/>
      <c r="QJZ32" s="51"/>
      <c r="QKB32" s="51"/>
      <c r="QKC32" s="51"/>
      <c r="QKE32" s="51"/>
      <c r="QKH32" s="51"/>
      <c r="QKJ32" s="51"/>
      <c r="QKK32" s="51"/>
      <c r="QKM32" s="51"/>
      <c r="QKP32" s="51"/>
      <c r="QKR32" s="51"/>
      <c r="QKS32" s="51"/>
      <c r="QKU32" s="51"/>
      <c r="QKX32" s="51"/>
      <c r="QKZ32" s="51"/>
      <c r="QLA32" s="51"/>
      <c r="QLC32" s="51"/>
      <c r="QLF32" s="51"/>
      <c r="QLH32" s="51"/>
      <c r="QLI32" s="51"/>
      <c r="QLK32" s="51"/>
      <c r="QLN32" s="51"/>
      <c r="QLP32" s="51"/>
      <c r="QLQ32" s="51"/>
      <c r="QLS32" s="51"/>
      <c r="QLV32" s="51"/>
      <c r="QLX32" s="51"/>
      <c r="QLY32" s="51"/>
      <c r="QMA32" s="51"/>
      <c r="QMD32" s="51"/>
      <c r="QMF32" s="51"/>
      <c r="QMG32" s="51"/>
      <c r="QMI32" s="51"/>
      <c r="QML32" s="51"/>
      <c r="QMN32" s="51"/>
      <c r="QMO32" s="51"/>
      <c r="QMQ32" s="51"/>
      <c r="QMT32" s="51"/>
      <c r="QMV32" s="51"/>
      <c r="QMW32" s="51"/>
      <c r="QMY32" s="51"/>
      <c r="QNB32" s="51"/>
      <c r="QND32" s="51"/>
      <c r="QNE32" s="51"/>
      <c r="QNG32" s="51"/>
      <c r="QNJ32" s="51"/>
      <c r="QNL32" s="51"/>
      <c r="QNM32" s="51"/>
      <c r="QNO32" s="51"/>
      <c r="QNR32" s="51"/>
      <c r="QNT32" s="51"/>
      <c r="QNU32" s="51"/>
      <c r="QNW32" s="51"/>
      <c r="QNZ32" s="51"/>
      <c r="QOB32" s="51"/>
      <c r="QOC32" s="51"/>
      <c r="QOE32" s="51"/>
      <c r="QOH32" s="51"/>
      <c r="QOJ32" s="51"/>
      <c r="QOK32" s="51"/>
      <c r="QOM32" s="51"/>
      <c r="QOP32" s="51"/>
      <c r="QOR32" s="51"/>
      <c r="QOS32" s="51"/>
      <c r="QOU32" s="51"/>
      <c r="QOX32" s="51"/>
      <c r="QOZ32" s="51"/>
      <c r="QPA32" s="51"/>
      <c r="QPC32" s="51"/>
      <c r="QPF32" s="51"/>
      <c r="QPH32" s="51"/>
      <c r="QPI32" s="51"/>
      <c r="QPK32" s="51"/>
      <c r="QPN32" s="51"/>
      <c r="QPP32" s="51"/>
      <c r="QPQ32" s="51"/>
      <c r="QPS32" s="51"/>
      <c r="QPV32" s="51"/>
      <c r="QPX32" s="51"/>
      <c r="QPY32" s="51"/>
      <c r="QQA32" s="51"/>
      <c r="QQD32" s="51"/>
      <c r="QQF32" s="51"/>
      <c r="QQG32" s="51"/>
      <c r="QQI32" s="51"/>
      <c r="QQL32" s="51"/>
      <c r="QQN32" s="51"/>
      <c r="QQO32" s="51"/>
      <c r="QQQ32" s="51"/>
      <c r="QQT32" s="51"/>
      <c r="QQV32" s="51"/>
      <c r="QQW32" s="51"/>
      <c r="QQY32" s="51"/>
      <c r="QRB32" s="51"/>
      <c r="QRD32" s="51"/>
      <c r="QRE32" s="51"/>
      <c r="QRG32" s="51"/>
      <c r="QRJ32" s="51"/>
      <c r="QRL32" s="51"/>
      <c r="QRM32" s="51"/>
      <c r="QRO32" s="51"/>
      <c r="QRR32" s="51"/>
      <c r="QRT32" s="51"/>
      <c r="QRU32" s="51"/>
      <c r="QRW32" s="51"/>
      <c r="QRZ32" s="51"/>
      <c r="QSB32" s="51"/>
      <c r="QSC32" s="51"/>
      <c r="QSE32" s="51"/>
      <c r="QSH32" s="51"/>
      <c r="QSJ32" s="51"/>
      <c r="QSK32" s="51"/>
      <c r="QSM32" s="51"/>
      <c r="QSP32" s="51"/>
      <c r="QSR32" s="51"/>
      <c r="QSS32" s="51"/>
      <c r="QSU32" s="51"/>
      <c r="QSX32" s="51"/>
      <c r="QSZ32" s="51"/>
      <c r="QTA32" s="51"/>
      <c r="QTC32" s="51"/>
      <c r="QTF32" s="51"/>
      <c r="QTH32" s="51"/>
      <c r="QTI32" s="51"/>
      <c r="QTK32" s="51"/>
      <c r="QTN32" s="51"/>
      <c r="QTP32" s="51"/>
      <c r="QTQ32" s="51"/>
      <c r="QTS32" s="51"/>
      <c r="QTV32" s="51"/>
      <c r="QTX32" s="51"/>
      <c r="QTY32" s="51"/>
      <c r="QUA32" s="51"/>
      <c r="QUD32" s="51"/>
      <c r="QUF32" s="51"/>
      <c r="QUG32" s="51"/>
      <c r="QUI32" s="51"/>
      <c r="QUL32" s="51"/>
      <c r="QUN32" s="51"/>
      <c r="QUO32" s="51"/>
      <c r="QUQ32" s="51"/>
      <c r="QUT32" s="51"/>
      <c r="QUV32" s="51"/>
      <c r="QUW32" s="51"/>
      <c r="QUY32" s="51"/>
      <c r="QVB32" s="51"/>
      <c r="QVD32" s="51"/>
      <c r="QVE32" s="51"/>
      <c r="QVG32" s="51"/>
      <c r="QVJ32" s="51"/>
      <c r="QVL32" s="51"/>
      <c r="QVM32" s="51"/>
      <c r="QVO32" s="51"/>
      <c r="QVR32" s="51"/>
      <c r="QVT32" s="51"/>
      <c r="QVU32" s="51"/>
      <c r="QVW32" s="51"/>
      <c r="QVZ32" s="51"/>
      <c r="QWB32" s="51"/>
      <c r="QWC32" s="51"/>
      <c r="QWE32" s="51"/>
      <c r="QWH32" s="51"/>
      <c r="QWJ32" s="51"/>
      <c r="QWK32" s="51"/>
      <c r="QWM32" s="51"/>
      <c r="QWP32" s="51"/>
      <c r="QWR32" s="51"/>
      <c r="QWS32" s="51"/>
      <c r="QWU32" s="51"/>
      <c r="QWX32" s="51"/>
      <c r="QWZ32" s="51"/>
      <c r="QXA32" s="51"/>
      <c r="QXC32" s="51"/>
      <c r="QXF32" s="51"/>
      <c r="QXH32" s="51"/>
      <c r="QXI32" s="51"/>
      <c r="QXK32" s="51"/>
      <c r="QXN32" s="51"/>
      <c r="QXP32" s="51"/>
      <c r="QXQ32" s="51"/>
      <c r="QXS32" s="51"/>
      <c r="QXV32" s="51"/>
      <c r="QXX32" s="51"/>
      <c r="QXY32" s="51"/>
      <c r="QYA32" s="51"/>
      <c r="QYD32" s="51"/>
      <c r="QYF32" s="51"/>
      <c r="QYG32" s="51"/>
      <c r="QYI32" s="51"/>
      <c r="QYL32" s="51"/>
      <c r="QYN32" s="51"/>
      <c r="QYO32" s="51"/>
      <c r="QYQ32" s="51"/>
      <c r="QYT32" s="51"/>
      <c r="QYV32" s="51"/>
      <c r="QYW32" s="51"/>
      <c r="QYY32" s="51"/>
      <c r="QZB32" s="51"/>
      <c r="QZD32" s="51"/>
      <c r="QZE32" s="51"/>
      <c r="QZG32" s="51"/>
      <c r="QZJ32" s="51"/>
      <c r="QZL32" s="51"/>
      <c r="QZM32" s="51"/>
      <c r="QZO32" s="51"/>
      <c r="QZR32" s="51"/>
      <c r="QZT32" s="51"/>
      <c r="QZU32" s="51"/>
      <c r="QZW32" s="51"/>
      <c r="QZZ32" s="51"/>
      <c r="RAB32" s="51"/>
      <c r="RAC32" s="51"/>
      <c r="RAE32" s="51"/>
      <c r="RAH32" s="51"/>
      <c r="RAJ32" s="51"/>
      <c r="RAK32" s="51"/>
      <c r="RAM32" s="51"/>
      <c r="RAP32" s="51"/>
      <c r="RAR32" s="51"/>
      <c r="RAS32" s="51"/>
      <c r="RAU32" s="51"/>
      <c r="RAX32" s="51"/>
      <c r="RAZ32" s="51"/>
      <c r="RBA32" s="51"/>
      <c r="RBC32" s="51"/>
      <c r="RBF32" s="51"/>
      <c r="RBH32" s="51"/>
      <c r="RBI32" s="51"/>
      <c r="RBK32" s="51"/>
      <c r="RBN32" s="51"/>
      <c r="RBP32" s="51"/>
      <c r="RBQ32" s="51"/>
      <c r="RBS32" s="51"/>
      <c r="RBV32" s="51"/>
      <c r="RBX32" s="51"/>
      <c r="RBY32" s="51"/>
      <c r="RCA32" s="51"/>
      <c r="RCD32" s="51"/>
      <c r="RCF32" s="51"/>
      <c r="RCG32" s="51"/>
      <c r="RCI32" s="51"/>
      <c r="RCL32" s="51"/>
      <c r="RCN32" s="51"/>
      <c r="RCO32" s="51"/>
      <c r="RCQ32" s="51"/>
      <c r="RCT32" s="51"/>
      <c r="RCV32" s="51"/>
      <c r="RCW32" s="51"/>
      <c r="RCY32" s="51"/>
      <c r="RDB32" s="51"/>
      <c r="RDD32" s="51"/>
      <c r="RDE32" s="51"/>
      <c r="RDG32" s="51"/>
      <c r="RDJ32" s="51"/>
      <c r="RDL32" s="51"/>
      <c r="RDM32" s="51"/>
      <c r="RDO32" s="51"/>
      <c r="RDR32" s="51"/>
      <c r="RDT32" s="51"/>
      <c r="RDU32" s="51"/>
      <c r="RDW32" s="51"/>
      <c r="RDZ32" s="51"/>
      <c r="REB32" s="51"/>
      <c r="REC32" s="51"/>
      <c r="REE32" s="51"/>
      <c r="REH32" s="51"/>
      <c r="REJ32" s="51"/>
      <c r="REK32" s="51"/>
      <c r="REM32" s="51"/>
      <c r="REP32" s="51"/>
      <c r="RER32" s="51"/>
      <c r="RES32" s="51"/>
      <c r="REU32" s="51"/>
      <c r="REX32" s="51"/>
      <c r="REZ32" s="51"/>
      <c r="RFA32" s="51"/>
      <c r="RFC32" s="51"/>
      <c r="RFF32" s="51"/>
      <c r="RFH32" s="51"/>
      <c r="RFI32" s="51"/>
      <c r="RFK32" s="51"/>
      <c r="RFN32" s="51"/>
      <c r="RFP32" s="51"/>
      <c r="RFQ32" s="51"/>
      <c r="RFS32" s="51"/>
      <c r="RFV32" s="51"/>
      <c r="RFX32" s="51"/>
      <c r="RFY32" s="51"/>
      <c r="RGA32" s="51"/>
      <c r="RGD32" s="51"/>
      <c r="RGF32" s="51"/>
      <c r="RGG32" s="51"/>
      <c r="RGI32" s="51"/>
      <c r="RGL32" s="51"/>
      <c r="RGN32" s="51"/>
      <c r="RGO32" s="51"/>
      <c r="RGQ32" s="51"/>
      <c r="RGT32" s="51"/>
      <c r="RGV32" s="51"/>
      <c r="RGW32" s="51"/>
      <c r="RGY32" s="51"/>
      <c r="RHB32" s="51"/>
      <c r="RHD32" s="51"/>
      <c r="RHE32" s="51"/>
      <c r="RHG32" s="51"/>
      <c r="RHJ32" s="51"/>
      <c r="RHL32" s="51"/>
      <c r="RHM32" s="51"/>
      <c r="RHO32" s="51"/>
      <c r="RHR32" s="51"/>
      <c r="RHT32" s="51"/>
      <c r="RHU32" s="51"/>
      <c r="RHW32" s="51"/>
      <c r="RHZ32" s="51"/>
      <c r="RIB32" s="51"/>
      <c r="RIC32" s="51"/>
      <c r="RIE32" s="51"/>
      <c r="RIH32" s="51"/>
      <c r="RIJ32" s="51"/>
      <c r="RIK32" s="51"/>
      <c r="RIM32" s="51"/>
      <c r="RIP32" s="51"/>
      <c r="RIR32" s="51"/>
      <c r="RIS32" s="51"/>
      <c r="RIU32" s="51"/>
      <c r="RIX32" s="51"/>
      <c r="RIZ32" s="51"/>
      <c r="RJA32" s="51"/>
      <c r="RJC32" s="51"/>
      <c r="RJF32" s="51"/>
      <c r="RJH32" s="51"/>
      <c r="RJI32" s="51"/>
      <c r="RJK32" s="51"/>
      <c r="RJN32" s="51"/>
      <c r="RJP32" s="51"/>
      <c r="RJQ32" s="51"/>
      <c r="RJS32" s="51"/>
      <c r="RJV32" s="51"/>
      <c r="RJX32" s="51"/>
      <c r="RJY32" s="51"/>
      <c r="RKA32" s="51"/>
      <c r="RKD32" s="51"/>
      <c r="RKF32" s="51"/>
      <c r="RKG32" s="51"/>
      <c r="RKI32" s="51"/>
      <c r="RKL32" s="51"/>
      <c r="RKN32" s="51"/>
      <c r="RKO32" s="51"/>
      <c r="RKQ32" s="51"/>
      <c r="RKT32" s="51"/>
      <c r="RKV32" s="51"/>
      <c r="RKW32" s="51"/>
      <c r="RKY32" s="51"/>
      <c r="RLB32" s="51"/>
      <c r="RLD32" s="51"/>
      <c r="RLE32" s="51"/>
      <c r="RLG32" s="51"/>
      <c r="RLJ32" s="51"/>
      <c r="RLL32" s="51"/>
      <c r="RLM32" s="51"/>
      <c r="RLO32" s="51"/>
      <c r="RLR32" s="51"/>
      <c r="RLT32" s="51"/>
      <c r="RLU32" s="51"/>
      <c r="RLW32" s="51"/>
      <c r="RLZ32" s="51"/>
      <c r="RMB32" s="51"/>
      <c r="RMC32" s="51"/>
      <c r="RME32" s="51"/>
      <c r="RMH32" s="51"/>
      <c r="RMJ32" s="51"/>
      <c r="RMK32" s="51"/>
      <c r="RMM32" s="51"/>
      <c r="RMP32" s="51"/>
      <c r="RMR32" s="51"/>
      <c r="RMS32" s="51"/>
      <c r="RMU32" s="51"/>
      <c r="RMX32" s="51"/>
      <c r="RMZ32" s="51"/>
      <c r="RNA32" s="51"/>
      <c r="RNC32" s="51"/>
      <c r="RNF32" s="51"/>
      <c r="RNH32" s="51"/>
      <c r="RNI32" s="51"/>
      <c r="RNK32" s="51"/>
      <c r="RNN32" s="51"/>
      <c r="RNP32" s="51"/>
      <c r="RNQ32" s="51"/>
      <c r="RNS32" s="51"/>
      <c r="RNV32" s="51"/>
      <c r="RNX32" s="51"/>
      <c r="RNY32" s="51"/>
      <c r="ROA32" s="51"/>
      <c r="ROD32" s="51"/>
      <c r="ROF32" s="51"/>
      <c r="ROG32" s="51"/>
      <c r="ROI32" s="51"/>
      <c r="ROL32" s="51"/>
      <c r="RON32" s="51"/>
      <c r="ROO32" s="51"/>
      <c r="ROQ32" s="51"/>
      <c r="ROT32" s="51"/>
      <c r="ROV32" s="51"/>
      <c r="ROW32" s="51"/>
      <c r="ROY32" s="51"/>
      <c r="RPB32" s="51"/>
      <c r="RPD32" s="51"/>
      <c r="RPE32" s="51"/>
      <c r="RPG32" s="51"/>
      <c r="RPJ32" s="51"/>
      <c r="RPL32" s="51"/>
      <c r="RPM32" s="51"/>
      <c r="RPO32" s="51"/>
      <c r="RPR32" s="51"/>
      <c r="RPT32" s="51"/>
      <c r="RPU32" s="51"/>
      <c r="RPW32" s="51"/>
      <c r="RPZ32" s="51"/>
      <c r="RQB32" s="51"/>
      <c r="RQC32" s="51"/>
      <c r="RQE32" s="51"/>
      <c r="RQH32" s="51"/>
      <c r="RQJ32" s="51"/>
      <c r="RQK32" s="51"/>
      <c r="RQM32" s="51"/>
      <c r="RQP32" s="51"/>
      <c r="RQR32" s="51"/>
      <c r="RQS32" s="51"/>
      <c r="RQU32" s="51"/>
      <c r="RQX32" s="51"/>
      <c r="RQZ32" s="51"/>
      <c r="RRA32" s="51"/>
      <c r="RRC32" s="51"/>
      <c r="RRF32" s="51"/>
      <c r="RRH32" s="51"/>
      <c r="RRI32" s="51"/>
      <c r="RRK32" s="51"/>
      <c r="RRN32" s="51"/>
      <c r="RRP32" s="51"/>
      <c r="RRQ32" s="51"/>
      <c r="RRS32" s="51"/>
      <c r="RRV32" s="51"/>
      <c r="RRX32" s="51"/>
      <c r="RRY32" s="51"/>
      <c r="RSA32" s="51"/>
      <c r="RSD32" s="51"/>
      <c r="RSF32" s="51"/>
      <c r="RSG32" s="51"/>
      <c r="RSI32" s="51"/>
      <c r="RSL32" s="51"/>
      <c r="RSN32" s="51"/>
      <c r="RSO32" s="51"/>
      <c r="RSQ32" s="51"/>
      <c r="RST32" s="51"/>
      <c r="RSV32" s="51"/>
      <c r="RSW32" s="51"/>
      <c r="RSY32" s="51"/>
      <c r="RTB32" s="51"/>
      <c r="RTD32" s="51"/>
      <c r="RTE32" s="51"/>
      <c r="RTG32" s="51"/>
      <c r="RTJ32" s="51"/>
      <c r="RTL32" s="51"/>
      <c r="RTM32" s="51"/>
      <c r="RTO32" s="51"/>
      <c r="RTR32" s="51"/>
      <c r="RTT32" s="51"/>
      <c r="RTU32" s="51"/>
      <c r="RTW32" s="51"/>
      <c r="RTZ32" s="51"/>
      <c r="RUB32" s="51"/>
      <c r="RUC32" s="51"/>
      <c r="RUE32" s="51"/>
      <c r="RUH32" s="51"/>
      <c r="RUJ32" s="51"/>
      <c r="RUK32" s="51"/>
      <c r="RUM32" s="51"/>
      <c r="RUP32" s="51"/>
      <c r="RUR32" s="51"/>
      <c r="RUS32" s="51"/>
      <c r="RUU32" s="51"/>
      <c r="RUX32" s="51"/>
      <c r="RUZ32" s="51"/>
      <c r="RVA32" s="51"/>
      <c r="RVC32" s="51"/>
      <c r="RVF32" s="51"/>
      <c r="RVH32" s="51"/>
      <c r="RVI32" s="51"/>
      <c r="RVK32" s="51"/>
      <c r="RVN32" s="51"/>
      <c r="RVP32" s="51"/>
      <c r="RVQ32" s="51"/>
      <c r="RVS32" s="51"/>
      <c r="RVV32" s="51"/>
      <c r="RVX32" s="51"/>
      <c r="RVY32" s="51"/>
      <c r="RWA32" s="51"/>
      <c r="RWD32" s="51"/>
      <c r="RWF32" s="51"/>
      <c r="RWG32" s="51"/>
      <c r="RWI32" s="51"/>
      <c r="RWL32" s="51"/>
      <c r="RWN32" s="51"/>
      <c r="RWO32" s="51"/>
      <c r="RWQ32" s="51"/>
      <c r="RWT32" s="51"/>
      <c r="RWV32" s="51"/>
      <c r="RWW32" s="51"/>
      <c r="RWY32" s="51"/>
      <c r="RXB32" s="51"/>
      <c r="RXD32" s="51"/>
      <c r="RXE32" s="51"/>
      <c r="RXG32" s="51"/>
      <c r="RXJ32" s="51"/>
      <c r="RXL32" s="51"/>
      <c r="RXM32" s="51"/>
      <c r="RXO32" s="51"/>
      <c r="RXR32" s="51"/>
      <c r="RXT32" s="51"/>
      <c r="RXU32" s="51"/>
      <c r="RXW32" s="51"/>
      <c r="RXZ32" s="51"/>
      <c r="RYB32" s="51"/>
      <c r="RYC32" s="51"/>
      <c r="RYE32" s="51"/>
      <c r="RYH32" s="51"/>
      <c r="RYJ32" s="51"/>
      <c r="RYK32" s="51"/>
      <c r="RYM32" s="51"/>
      <c r="RYP32" s="51"/>
      <c r="RYR32" s="51"/>
      <c r="RYS32" s="51"/>
      <c r="RYU32" s="51"/>
      <c r="RYX32" s="51"/>
      <c r="RYZ32" s="51"/>
      <c r="RZA32" s="51"/>
      <c r="RZC32" s="51"/>
      <c r="RZF32" s="51"/>
      <c r="RZH32" s="51"/>
      <c r="RZI32" s="51"/>
      <c r="RZK32" s="51"/>
      <c r="RZN32" s="51"/>
      <c r="RZP32" s="51"/>
      <c r="RZQ32" s="51"/>
      <c r="RZS32" s="51"/>
      <c r="RZV32" s="51"/>
      <c r="RZX32" s="51"/>
      <c r="RZY32" s="51"/>
      <c r="SAA32" s="51"/>
      <c r="SAD32" s="51"/>
      <c r="SAF32" s="51"/>
      <c r="SAG32" s="51"/>
      <c r="SAI32" s="51"/>
      <c r="SAL32" s="51"/>
      <c r="SAN32" s="51"/>
      <c r="SAO32" s="51"/>
      <c r="SAQ32" s="51"/>
      <c r="SAT32" s="51"/>
      <c r="SAV32" s="51"/>
      <c r="SAW32" s="51"/>
      <c r="SAY32" s="51"/>
      <c r="SBB32" s="51"/>
      <c r="SBD32" s="51"/>
      <c r="SBE32" s="51"/>
      <c r="SBG32" s="51"/>
      <c r="SBJ32" s="51"/>
      <c r="SBL32" s="51"/>
      <c r="SBM32" s="51"/>
      <c r="SBO32" s="51"/>
      <c r="SBR32" s="51"/>
      <c r="SBT32" s="51"/>
      <c r="SBU32" s="51"/>
      <c r="SBW32" s="51"/>
      <c r="SBZ32" s="51"/>
      <c r="SCB32" s="51"/>
      <c r="SCC32" s="51"/>
      <c r="SCE32" s="51"/>
      <c r="SCH32" s="51"/>
      <c r="SCJ32" s="51"/>
      <c r="SCK32" s="51"/>
      <c r="SCM32" s="51"/>
      <c r="SCP32" s="51"/>
      <c r="SCR32" s="51"/>
      <c r="SCS32" s="51"/>
      <c r="SCU32" s="51"/>
      <c r="SCX32" s="51"/>
      <c r="SCZ32" s="51"/>
      <c r="SDA32" s="51"/>
      <c r="SDC32" s="51"/>
      <c r="SDF32" s="51"/>
      <c r="SDH32" s="51"/>
      <c r="SDI32" s="51"/>
      <c r="SDK32" s="51"/>
      <c r="SDN32" s="51"/>
      <c r="SDP32" s="51"/>
      <c r="SDQ32" s="51"/>
      <c r="SDS32" s="51"/>
      <c r="SDV32" s="51"/>
      <c r="SDX32" s="51"/>
      <c r="SDY32" s="51"/>
      <c r="SEA32" s="51"/>
      <c r="SED32" s="51"/>
      <c r="SEF32" s="51"/>
      <c r="SEG32" s="51"/>
      <c r="SEI32" s="51"/>
      <c r="SEL32" s="51"/>
      <c r="SEN32" s="51"/>
      <c r="SEO32" s="51"/>
      <c r="SEQ32" s="51"/>
      <c r="SET32" s="51"/>
      <c r="SEV32" s="51"/>
      <c r="SEW32" s="51"/>
      <c r="SEY32" s="51"/>
      <c r="SFB32" s="51"/>
      <c r="SFD32" s="51"/>
      <c r="SFE32" s="51"/>
      <c r="SFG32" s="51"/>
      <c r="SFJ32" s="51"/>
      <c r="SFL32" s="51"/>
      <c r="SFM32" s="51"/>
      <c r="SFO32" s="51"/>
      <c r="SFR32" s="51"/>
      <c r="SFT32" s="51"/>
      <c r="SFU32" s="51"/>
      <c r="SFW32" s="51"/>
      <c r="SFZ32" s="51"/>
      <c r="SGB32" s="51"/>
      <c r="SGC32" s="51"/>
      <c r="SGE32" s="51"/>
      <c r="SGH32" s="51"/>
      <c r="SGJ32" s="51"/>
      <c r="SGK32" s="51"/>
      <c r="SGM32" s="51"/>
      <c r="SGP32" s="51"/>
      <c r="SGR32" s="51"/>
      <c r="SGS32" s="51"/>
      <c r="SGU32" s="51"/>
      <c r="SGX32" s="51"/>
      <c r="SGZ32" s="51"/>
      <c r="SHA32" s="51"/>
      <c r="SHC32" s="51"/>
      <c r="SHF32" s="51"/>
      <c r="SHH32" s="51"/>
      <c r="SHI32" s="51"/>
      <c r="SHK32" s="51"/>
      <c r="SHN32" s="51"/>
      <c r="SHP32" s="51"/>
      <c r="SHQ32" s="51"/>
      <c r="SHS32" s="51"/>
      <c r="SHV32" s="51"/>
      <c r="SHX32" s="51"/>
      <c r="SHY32" s="51"/>
      <c r="SIA32" s="51"/>
      <c r="SID32" s="51"/>
      <c r="SIF32" s="51"/>
      <c r="SIG32" s="51"/>
      <c r="SII32" s="51"/>
      <c r="SIL32" s="51"/>
      <c r="SIN32" s="51"/>
      <c r="SIO32" s="51"/>
      <c r="SIQ32" s="51"/>
      <c r="SIT32" s="51"/>
      <c r="SIV32" s="51"/>
      <c r="SIW32" s="51"/>
      <c r="SIY32" s="51"/>
      <c r="SJB32" s="51"/>
      <c r="SJD32" s="51"/>
      <c r="SJE32" s="51"/>
      <c r="SJG32" s="51"/>
      <c r="SJJ32" s="51"/>
      <c r="SJL32" s="51"/>
      <c r="SJM32" s="51"/>
      <c r="SJO32" s="51"/>
      <c r="SJR32" s="51"/>
      <c r="SJT32" s="51"/>
      <c r="SJU32" s="51"/>
      <c r="SJW32" s="51"/>
      <c r="SJZ32" s="51"/>
      <c r="SKB32" s="51"/>
      <c r="SKC32" s="51"/>
      <c r="SKE32" s="51"/>
      <c r="SKH32" s="51"/>
      <c r="SKJ32" s="51"/>
      <c r="SKK32" s="51"/>
      <c r="SKM32" s="51"/>
      <c r="SKP32" s="51"/>
      <c r="SKR32" s="51"/>
      <c r="SKS32" s="51"/>
      <c r="SKU32" s="51"/>
      <c r="SKX32" s="51"/>
      <c r="SKZ32" s="51"/>
      <c r="SLA32" s="51"/>
      <c r="SLC32" s="51"/>
      <c r="SLF32" s="51"/>
      <c r="SLH32" s="51"/>
      <c r="SLI32" s="51"/>
      <c r="SLK32" s="51"/>
      <c r="SLN32" s="51"/>
      <c r="SLP32" s="51"/>
      <c r="SLQ32" s="51"/>
      <c r="SLS32" s="51"/>
      <c r="SLV32" s="51"/>
      <c r="SLX32" s="51"/>
      <c r="SLY32" s="51"/>
      <c r="SMA32" s="51"/>
      <c r="SMD32" s="51"/>
      <c r="SMF32" s="51"/>
      <c r="SMG32" s="51"/>
      <c r="SMI32" s="51"/>
      <c r="SML32" s="51"/>
      <c r="SMN32" s="51"/>
      <c r="SMO32" s="51"/>
      <c r="SMQ32" s="51"/>
      <c r="SMT32" s="51"/>
      <c r="SMV32" s="51"/>
      <c r="SMW32" s="51"/>
      <c r="SMY32" s="51"/>
      <c r="SNB32" s="51"/>
      <c r="SND32" s="51"/>
      <c r="SNE32" s="51"/>
      <c r="SNG32" s="51"/>
      <c r="SNJ32" s="51"/>
      <c r="SNL32" s="51"/>
      <c r="SNM32" s="51"/>
      <c r="SNO32" s="51"/>
      <c r="SNR32" s="51"/>
      <c r="SNT32" s="51"/>
      <c r="SNU32" s="51"/>
      <c r="SNW32" s="51"/>
      <c r="SNZ32" s="51"/>
      <c r="SOB32" s="51"/>
      <c r="SOC32" s="51"/>
      <c r="SOE32" s="51"/>
      <c r="SOH32" s="51"/>
      <c r="SOJ32" s="51"/>
      <c r="SOK32" s="51"/>
      <c r="SOM32" s="51"/>
      <c r="SOP32" s="51"/>
      <c r="SOR32" s="51"/>
      <c r="SOS32" s="51"/>
      <c r="SOU32" s="51"/>
      <c r="SOX32" s="51"/>
      <c r="SOZ32" s="51"/>
      <c r="SPA32" s="51"/>
      <c r="SPC32" s="51"/>
      <c r="SPF32" s="51"/>
      <c r="SPH32" s="51"/>
      <c r="SPI32" s="51"/>
      <c r="SPK32" s="51"/>
      <c r="SPN32" s="51"/>
      <c r="SPP32" s="51"/>
      <c r="SPQ32" s="51"/>
      <c r="SPS32" s="51"/>
      <c r="SPV32" s="51"/>
      <c r="SPX32" s="51"/>
      <c r="SPY32" s="51"/>
      <c r="SQA32" s="51"/>
      <c r="SQD32" s="51"/>
      <c r="SQF32" s="51"/>
      <c r="SQG32" s="51"/>
      <c r="SQI32" s="51"/>
      <c r="SQL32" s="51"/>
      <c r="SQN32" s="51"/>
      <c r="SQO32" s="51"/>
      <c r="SQQ32" s="51"/>
      <c r="SQT32" s="51"/>
      <c r="SQV32" s="51"/>
      <c r="SQW32" s="51"/>
      <c r="SQY32" s="51"/>
      <c r="SRB32" s="51"/>
      <c r="SRD32" s="51"/>
      <c r="SRE32" s="51"/>
      <c r="SRG32" s="51"/>
      <c r="SRJ32" s="51"/>
      <c r="SRL32" s="51"/>
      <c r="SRM32" s="51"/>
      <c r="SRO32" s="51"/>
      <c r="SRR32" s="51"/>
      <c r="SRT32" s="51"/>
      <c r="SRU32" s="51"/>
      <c r="SRW32" s="51"/>
      <c r="SRZ32" s="51"/>
      <c r="SSB32" s="51"/>
      <c r="SSC32" s="51"/>
      <c r="SSE32" s="51"/>
      <c r="SSH32" s="51"/>
      <c r="SSJ32" s="51"/>
      <c r="SSK32" s="51"/>
      <c r="SSM32" s="51"/>
      <c r="SSP32" s="51"/>
      <c r="SSR32" s="51"/>
      <c r="SSS32" s="51"/>
      <c r="SSU32" s="51"/>
      <c r="SSX32" s="51"/>
      <c r="SSZ32" s="51"/>
      <c r="STA32" s="51"/>
      <c r="STC32" s="51"/>
      <c r="STF32" s="51"/>
      <c r="STH32" s="51"/>
      <c r="STI32" s="51"/>
      <c r="STK32" s="51"/>
      <c r="STN32" s="51"/>
      <c r="STP32" s="51"/>
      <c r="STQ32" s="51"/>
      <c r="STS32" s="51"/>
      <c r="STV32" s="51"/>
      <c r="STX32" s="51"/>
      <c r="STY32" s="51"/>
      <c r="SUA32" s="51"/>
      <c r="SUD32" s="51"/>
      <c r="SUF32" s="51"/>
      <c r="SUG32" s="51"/>
      <c r="SUI32" s="51"/>
      <c r="SUL32" s="51"/>
      <c r="SUN32" s="51"/>
      <c r="SUO32" s="51"/>
      <c r="SUQ32" s="51"/>
      <c r="SUT32" s="51"/>
      <c r="SUV32" s="51"/>
      <c r="SUW32" s="51"/>
      <c r="SUY32" s="51"/>
      <c r="SVB32" s="51"/>
      <c r="SVD32" s="51"/>
      <c r="SVE32" s="51"/>
      <c r="SVG32" s="51"/>
      <c r="SVJ32" s="51"/>
      <c r="SVL32" s="51"/>
      <c r="SVM32" s="51"/>
      <c r="SVO32" s="51"/>
      <c r="SVR32" s="51"/>
      <c r="SVT32" s="51"/>
      <c r="SVU32" s="51"/>
      <c r="SVW32" s="51"/>
      <c r="SVZ32" s="51"/>
      <c r="SWB32" s="51"/>
      <c r="SWC32" s="51"/>
      <c r="SWE32" s="51"/>
      <c r="SWH32" s="51"/>
      <c r="SWJ32" s="51"/>
      <c r="SWK32" s="51"/>
      <c r="SWM32" s="51"/>
      <c r="SWP32" s="51"/>
      <c r="SWR32" s="51"/>
      <c r="SWS32" s="51"/>
      <c r="SWU32" s="51"/>
      <c r="SWX32" s="51"/>
      <c r="SWZ32" s="51"/>
      <c r="SXA32" s="51"/>
      <c r="SXC32" s="51"/>
      <c r="SXF32" s="51"/>
      <c r="SXH32" s="51"/>
      <c r="SXI32" s="51"/>
      <c r="SXK32" s="51"/>
      <c r="SXN32" s="51"/>
      <c r="SXP32" s="51"/>
      <c r="SXQ32" s="51"/>
      <c r="SXS32" s="51"/>
      <c r="SXV32" s="51"/>
      <c r="SXX32" s="51"/>
      <c r="SXY32" s="51"/>
      <c r="SYA32" s="51"/>
      <c r="SYD32" s="51"/>
      <c r="SYF32" s="51"/>
      <c r="SYG32" s="51"/>
      <c r="SYI32" s="51"/>
      <c r="SYL32" s="51"/>
      <c r="SYN32" s="51"/>
      <c r="SYO32" s="51"/>
      <c r="SYQ32" s="51"/>
      <c r="SYT32" s="51"/>
      <c r="SYV32" s="51"/>
      <c r="SYW32" s="51"/>
      <c r="SYY32" s="51"/>
      <c r="SZB32" s="51"/>
      <c r="SZD32" s="51"/>
      <c r="SZE32" s="51"/>
      <c r="SZG32" s="51"/>
      <c r="SZJ32" s="51"/>
      <c r="SZL32" s="51"/>
      <c r="SZM32" s="51"/>
      <c r="SZO32" s="51"/>
      <c r="SZR32" s="51"/>
      <c r="SZT32" s="51"/>
      <c r="SZU32" s="51"/>
      <c r="SZW32" s="51"/>
      <c r="SZZ32" s="51"/>
      <c r="TAB32" s="51"/>
      <c r="TAC32" s="51"/>
      <c r="TAE32" s="51"/>
      <c r="TAH32" s="51"/>
      <c r="TAJ32" s="51"/>
      <c r="TAK32" s="51"/>
      <c r="TAM32" s="51"/>
      <c r="TAP32" s="51"/>
      <c r="TAR32" s="51"/>
      <c r="TAS32" s="51"/>
      <c r="TAU32" s="51"/>
      <c r="TAX32" s="51"/>
      <c r="TAZ32" s="51"/>
      <c r="TBA32" s="51"/>
      <c r="TBC32" s="51"/>
      <c r="TBF32" s="51"/>
      <c r="TBH32" s="51"/>
      <c r="TBI32" s="51"/>
      <c r="TBK32" s="51"/>
      <c r="TBN32" s="51"/>
      <c r="TBP32" s="51"/>
      <c r="TBQ32" s="51"/>
      <c r="TBS32" s="51"/>
      <c r="TBV32" s="51"/>
      <c r="TBX32" s="51"/>
      <c r="TBY32" s="51"/>
      <c r="TCA32" s="51"/>
      <c r="TCD32" s="51"/>
      <c r="TCF32" s="51"/>
      <c r="TCG32" s="51"/>
      <c r="TCI32" s="51"/>
      <c r="TCL32" s="51"/>
      <c r="TCN32" s="51"/>
      <c r="TCO32" s="51"/>
      <c r="TCQ32" s="51"/>
      <c r="TCT32" s="51"/>
      <c r="TCV32" s="51"/>
      <c r="TCW32" s="51"/>
      <c r="TCY32" s="51"/>
      <c r="TDB32" s="51"/>
      <c r="TDD32" s="51"/>
      <c r="TDE32" s="51"/>
      <c r="TDG32" s="51"/>
      <c r="TDJ32" s="51"/>
      <c r="TDL32" s="51"/>
      <c r="TDM32" s="51"/>
      <c r="TDO32" s="51"/>
      <c r="TDR32" s="51"/>
      <c r="TDT32" s="51"/>
      <c r="TDU32" s="51"/>
      <c r="TDW32" s="51"/>
      <c r="TDZ32" s="51"/>
      <c r="TEB32" s="51"/>
      <c r="TEC32" s="51"/>
      <c r="TEE32" s="51"/>
      <c r="TEH32" s="51"/>
      <c r="TEJ32" s="51"/>
      <c r="TEK32" s="51"/>
      <c r="TEM32" s="51"/>
      <c r="TEP32" s="51"/>
      <c r="TER32" s="51"/>
      <c r="TES32" s="51"/>
      <c r="TEU32" s="51"/>
      <c r="TEX32" s="51"/>
      <c r="TEZ32" s="51"/>
      <c r="TFA32" s="51"/>
      <c r="TFC32" s="51"/>
      <c r="TFF32" s="51"/>
      <c r="TFH32" s="51"/>
      <c r="TFI32" s="51"/>
      <c r="TFK32" s="51"/>
      <c r="TFN32" s="51"/>
      <c r="TFP32" s="51"/>
      <c r="TFQ32" s="51"/>
      <c r="TFS32" s="51"/>
      <c r="TFV32" s="51"/>
      <c r="TFX32" s="51"/>
      <c r="TFY32" s="51"/>
      <c r="TGA32" s="51"/>
      <c r="TGD32" s="51"/>
      <c r="TGF32" s="51"/>
      <c r="TGG32" s="51"/>
      <c r="TGI32" s="51"/>
      <c r="TGL32" s="51"/>
      <c r="TGN32" s="51"/>
      <c r="TGO32" s="51"/>
      <c r="TGQ32" s="51"/>
      <c r="TGT32" s="51"/>
      <c r="TGV32" s="51"/>
      <c r="TGW32" s="51"/>
      <c r="TGY32" s="51"/>
      <c r="THB32" s="51"/>
      <c r="THD32" s="51"/>
      <c r="THE32" s="51"/>
      <c r="THG32" s="51"/>
      <c r="THJ32" s="51"/>
      <c r="THL32" s="51"/>
      <c r="THM32" s="51"/>
      <c r="THO32" s="51"/>
      <c r="THR32" s="51"/>
      <c r="THT32" s="51"/>
      <c r="THU32" s="51"/>
      <c r="THW32" s="51"/>
      <c r="THZ32" s="51"/>
      <c r="TIB32" s="51"/>
      <c r="TIC32" s="51"/>
      <c r="TIE32" s="51"/>
      <c r="TIH32" s="51"/>
      <c r="TIJ32" s="51"/>
      <c r="TIK32" s="51"/>
      <c r="TIM32" s="51"/>
      <c r="TIP32" s="51"/>
      <c r="TIR32" s="51"/>
      <c r="TIS32" s="51"/>
      <c r="TIU32" s="51"/>
      <c r="TIX32" s="51"/>
      <c r="TIZ32" s="51"/>
      <c r="TJA32" s="51"/>
      <c r="TJC32" s="51"/>
      <c r="TJF32" s="51"/>
      <c r="TJH32" s="51"/>
      <c r="TJI32" s="51"/>
      <c r="TJK32" s="51"/>
      <c r="TJN32" s="51"/>
      <c r="TJP32" s="51"/>
      <c r="TJQ32" s="51"/>
      <c r="TJS32" s="51"/>
      <c r="TJV32" s="51"/>
      <c r="TJX32" s="51"/>
      <c r="TJY32" s="51"/>
      <c r="TKA32" s="51"/>
      <c r="TKD32" s="51"/>
      <c r="TKF32" s="51"/>
      <c r="TKG32" s="51"/>
      <c r="TKI32" s="51"/>
      <c r="TKL32" s="51"/>
      <c r="TKN32" s="51"/>
      <c r="TKO32" s="51"/>
      <c r="TKQ32" s="51"/>
      <c r="TKT32" s="51"/>
      <c r="TKV32" s="51"/>
      <c r="TKW32" s="51"/>
      <c r="TKY32" s="51"/>
      <c r="TLB32" s="51"/>
      <c r="TLD32" s="51"/>
      <c r="TLE32" s="51"/>
      <c r="TLG32" s="51"/>
      <c r="TLJ32" s="51"/>
      <c r="TLL32" s="51"/>
      <c r="TLM32" s="51"/>
      <c r="TLO32" s="51"/>
      <c r="TLR32" s="51"/>
      <c r="TLT32" s="51"/>
      <c r="TLU32" s="51"/>
      <c r="TLW32" s="51"/>
      <c r="TLZ32" s="51"/>
      <c r="TMB32" s="51"/>
      <c r="TMC32" s="51"/>
      <c r="TME32" s="51"/>
      <c r="TMH32" s="51"/>
      <c r="TMJ32" s="51"/>
      <c r="TMK32" s="51"/>
      <c r="TMM32" s="51"/>
      <c r="TMP32" s="51"/>
      <c r="TMR32" s="51"/>
      <c r="TMS32" s="51"/>
      <c r="TMU32" s="51"/>
      <c r="TMX32" s="51"/>
      <c r="TMZ32" s="51"/>
      <c r="TNA32" s="51"/>
      <c r="TNC32" s="51"/>
      <c r="TNF32" s="51"/>
      <c r="TNH32" s="51"/>
      <c r="TNI32" s="51"/>
      <c r="TNK32" s="51"/>
      <c r="TNN32" s="51"/>
      <c r="TNP32" s="51"/>
      <c r="TNQ32" s="51"/>
      <c r="TNS32" s="51"/>
      <c r="TNV32" s="51"/>
      <c r="TNX32" s="51"/>
      <c r="TNY32" s="51"/>
      <c r="TOA32" s="51"/>
      <c r="TOD32" s="51"/>
      <c r="TOF32" s="51"/>
      <c r="TOG32" s="51"/>
      <c r="TOI32" s="51"/>
      <c r="TOL32" s="51"/>
      <c r="TON32" s="51"/>
      <c r="TOO32" s="51"/>
      <c r="TOQ32" s="51"/>
      <c r="TOT32" s="51"/>
      <c r="TOV32" s="51"/>
      <c r="TOW32" s="51"/>
      <c r="TOY32" s="51"/>
      <c r="TPB32" s="51"/>
      <c r="TPD32" s="51"/>
      <c r="TPE32" s="51"/>
      <c r="TPG32" s="51"/>
      <c r="TPJ32" s="51"/>
      <c r="TPL32" s="51"/>
      <c r="TPM32" s="51"/>
      <c r="TPO32" s="51"/>
      <c r="TPR32" s="51"/>
      <c r="TPT32" s="51"/>
      <c r="TPU32" s="51"/>
      <c r="TPW32" s="51"/>
      <c r="TPZ32" s="51"/>
      <c r="TQB32" s="51"/>
      <c r="TQC32" s="51"/>
      <c r="TQE32" s="51"/>
      <c r="TQH32" s="51"/>
      <c r="TQJ32" s="51"/>
      <c r="TQK32" s="51"/>
      <c r="TQM32" s="51"/>
      <c r="TQP32" s="51"/>
      <c r="TQR32" s="51"/>
      <c r="TQS32" s="51"/>
      <c r="TQU32" s="51"/>
      <c r="TQX32" s="51"/>
      <c r="TQZ32" s="51"/>
      <c r="TRA32" s="51"/>
      <c r="TRC32" s="51"/>
      <c r="TRF32" s="51"/>
      <c r="TRH32" s="51"/>
      <c r="TRI32" s="51"/>
      <c r="TRK32" s="51"/>
      <c r="TRN32" s="51"/>
      <c r="TRP32" s="51"/>
      <c r="TRQ32" s="51"/>
      <c r="TRS32" s="51"/>
      <c r="TRV32" s="51"/>
      <c r="TRX32" s="51"/>
      <c r="TRY32" s="51"/>
      <c r="TSA32" s="51"/>
      <c r="TSD32" s="51"/>
      <c r="TSF32" s="51"/>
      <c r="TSG32" s="51"/>
      <c r="TSI32" s="51"/>
      <c r="TSL32" s="51"/>
      <c r="TSN32" s="51"/>
      <c r="TSO32" s="51"/>
      <c r="TSQ32" s="51"/>
      <c r="TST32" s="51"/>
      <c r="TSV32" s="51"/>
      <c r="TSW32" s="51"/>
      <c r="TSY32" s="51"/>
      <c r="TTB32" s="51"/>
      <c r="TTD32" s="51"/>
      <c r="TTE32" s="51"/>
      <c r="TTG32" s="51"/>
      <c r="TTJ32" s="51"/>
      <c r="TTL32" s="51"/>
      <c r="TTM32" s="51"/>
      <c r="TTO32" s="51"/>
      <c r="TTR32" s="51"/>
      <c r="TTT32" s="51"/>
      <c r="TTU32" s="51"/>
      <c r="TTW32" s="51"/>
      <c r="TTZ32" s="51"/>
      <c r="TUB32" s="51"/>
      <c r="TUC32" s="51"/>
      <c r="TUE32" s="51"/>
      <c r="TUH32" s="51"/>
      <c r="TUJ32" s="51"/>
      <c r="TUK32" s="51"/>
      <c r="TUM32" s="51"/>
      <c r="TUP32" s="51"/>
      <c r="TUR32" s="51"/>
      <c r="TUS32" s="51"/>
      <c r="TUU32" s="51"/>
      <c r="TUX32" s="51"/>
      <c r="TUZ32" s="51"/>
      <c r="TVA32" s="51"/>
      <c r="TVC32" s="51"/>
      <c r="TVF32" s="51"/>
      <c r="TVH32" s="51"/>
      <c r="TVI32" s="51"/>
      <c r="TVK32" s="51"/>
      <c r="TVN32" s="51"/>
      <c r="TVP32" s="51"/>
      <c r="TVQ32" s="51"/>
      <c r="TVS32" s="51"/>
      <c r="TVV32" s="51"/>
      <c r="TVX32" s="51"/>
      <c r="TVY32" s="51"/>
      <c r="TWA32" s="51"/>
      <c r="TWD32" s="51"/>
      <c r="TWF32" s="51"/>
      <c r="TWG32" s="51"/>
      <c r="TWI32" s="51"/>
      <c r="TWL32" s="51"/>
      <c r="TWN32" s="51"/>
      <c r="TWO32" s="51"/>
      <c r="TWQ32" s="51"/>
      <c r="TWT32" s="51"/>
      <c r="TWV32" s="51"/>
      <c r="TWW32" s="51"/>
      <c r="TWY32" s="51"/>
      <c r="TXB32" s="51"/>
      <c r="TXD32" s="51"/>
      <c r="TXE32" s="51"/>
      <c r="TXG32" s="51"/>
      <c r="TXJ32" s="51"/>
      <c r="TXL32" s="51"/>
      <c r="TXM32" s="51"/>
      <c r="TXO32" s="51"/>
      <c r="TXR32" s="51"/>
      <c r="TXT32" s="51"/>
      <c r="TXU32" s="51"/>
      <c r="TXW32" s="51"/>
      <c r="TXZ32" s="51"/>
      <c r="TYB32" s="51"/>
      <c r="TYC32" s="51"/>
      <c r="TYE32" s="51"/>
      <c r="TYH32" s="51"/>
      <c r="TYJ32" s="51"/>
      <c r="TYK32" s="51"/>
      <c r="TYM32" s="51"/>
      <c r="TYP32" s="51"/>
      <c r="TYR32" s="51"/>
      <c r="TYS32" s="51"/>
      <c r="TYU32" s="51"/>
      <c r="TYX32" s="51"/>
      <c r="TYZ32" s="51"/>
      <c r="TZA32" s="51"/>
      <c r="TZC32" s="51"/>
      <c r="TZF32" s="51"/>
      <c r="TZH32" s="51"/>
      <c r="TZI32" s="51"/>
      <c r="TZK32" s="51"/>
      <c r="TZN32" s="51"/>
      <c r="TZP32" s="51"/>
      <c r="TZQ32" s="51"/>
      <c r="TZS32" s="51"/>
      <c r="TZV32" s="51"/>
      <c r="TZX32" s="51"/>
      <c r="TZY32" s="51"/>
      <c r="UAA32" s="51"/>
      <c r="UAD32" s="51"/>
      <c r="UAF32" s="51"/>
      <c r="UAG32" s="51"/>
      <c r="UAI32" s="51"/>
      <c r="UAL32" s="51"/>
      <c r="UAN32" s="51"/>
      <c r="UAO32" s="51"/>
      <c r="UAQ32" s="51"/>
      <c r="UAT32" s="51"/>
      <c r="UAV32" s="51"/>
      <c r="UAW32" s="51"/>
      <c r="UAY32" s="51"/>
      <c r="UBB32" s="51"/>
      <c r="UBD32" s="51"/>
      <c r="UBE32" s="51"/>
      <c r="UBG32" s="51"/>
      <c r="UBJ32" s="51"/>
      <c r="UBL32" s="51"/>
      <c r="UBM32" s="51"/>
      <c r="UBO32" s="51"/>
      <c r="UBR32" s="51"/>
      <c r="UBT32" s="51"/>
      <c r="UBU32" s="51"/>
      <c r="UBW32" s="51"/>
      <c r="UBZ32" s="51"/>
      <c r="UCB32" s="51"/>
      <c r="UCC32" s="51"/>
      <c r="UCE32" s="51"/>
      <c r="UCH32" s="51"/>
      <c r="UCJ32" s="51"/>
      <c r="UCK32" s="51"/>
      <c r="UCM32" s="51"/>
      <c r="UCP32" s="51"/>
      <c r="UCR32" s="51"/>
      <c r="UCS32" s="51"/>
      <c r="UCU32" s="51"/>
      <c r="UCX32" s="51"/>
      <c r="UCZ32" s="51"/>
      <c r="UDA32" s="51"/>
      <c r="UDC32" s="51"/>
      <c r="UDF32" s="51"/>
      <c r="UDH32" s="51"/>
      <c r="UDI32" s="51"/>
      <c r="UDK32" s="51"/>
      <c r="UDN32" s="51"/>
      <c r="UDP32" s="51"/>
      <c r="UDQ32" s="51"/>
      <c r="UDS32" s="51"/>
      <c r="UDV32" s="51"/>
      <c r="UDX32" s="51"/>
      <c r="UDY32" s="51"/>
      <c r="UEA32" s="51"/>
      <c r="UED32" s="51"/>
      <c r="UEF32" s="51"/>
      <c r="UEG32" s="51"/>
      <c r="UEI32" s="51"/>
      <c r="UEL32" s="51"/>
      <c r="UEN32" s="51"/>
      <c r="UEO32" s="51"/>
      <c r="UEQ32" s="51"/>
      <c r="UET32" s="51"/>
      <c r="UEV32" s="51"/>
      <c r="UEW32" s="51"/>
      <c r="UEY32" s="51"/>
      <c r="UFB32" s="51"/>
      <c r="UFD32" s="51"/>
      <c r="UFE32" s="51"/>
      <c r="UFG32" s="51"/>
      <c r="UFJ32" s="51"/>
      <c r="UFL32" s="51"/>
      <c r="UFM32" s="51"/>
      <c r="UFO32" s="51"/>
      <c r="UFR32" s="51"/>
      <c r="UFT32" s="51"/>
      <c r="UFU32" s="51"/>
      <c r="UFW32" s="51"/>
      <c r="UFZ32" s="51"/>
      <c r="UGB32" s="51"/>
      <c r="UGC32" s="51"/>
      <c r="UGE32" s="51"/>
      <c r="UGH32" s="51"/>
      <c r="UGJ32" s="51"/>
      <c r="UGK32" s="51"/>
      <c r="UGM32" s="51"/>
      <c r="UGP32" s="51"/>
      <c r="UGR32" s="51"/>
      <c r="UGS32" s="51"/>
      <c r="UGU32" s="51"/>
      <c r="UGX32" s="51"/>
      <c r="UGZ32" s="51"/>
      <c r="UHA32" s="51"/>
      <c r="UHC32" s="51"/>
      <c r="UHF32" s="51"/>
      <c r="UHH32" s="51"/>
      <c r="UHI32" s="51"/>
      <c r="UHK32" s="51"/>
      <c r="UHN32" s="51"/>
      <c r="UHP32" s="51"/>
      <c r="UHQ32" s="51"/>
      <c r="UHS32" s="51"/>
      <c r="UHV32" s="51"/>
      <c r="UHX32" s="51"/>
      <c r="UHY32" s="51"/>
      <c r="UIA32" s="51"/>
      <c r="UID32" s="51"/>
      <c r="UIF32" s="51"/>
      <c r="UIG32" s="51"/>
      <c r="UII32" s="51"/>
      <c r="UIL32" s="51"/>
      <c r="UIN32" s="51"/>
      <c r="UIO32" s="51"/>
      <c r="UIQ32" s="51"/>
      <c r="UIT32" s="51"/>
      <c r="UIV32" s="51"/>
      <c r="UIW32" s="51"/>
      <c r="UIY32" s="51"/>
      <c r="UJB32" s="51"/>
      <c r="UJD32" s="51"/>
      <c r="UJE32" s="51"/>
      <c r="UJG32" s="51"/>
      <c r="UJJ32" s="51"/>
      <c r="UJL32" s="51"/>
      <c r="UJM32" s="51"/>
      <c r="UJO32" s="51"/>
      <c r="UJR32" s="51"/>
      <c r="UJT32" s="51"/>
      <c r="UJU32" s="51"/>
      <c r="UJW32" s="51"/>
      <c r="UJZ32" s="51"/>
      <c r="UKB32" s="51"/>
      <c r="UKC32" s="51"/>
      <c r="UKE32" s="51"/>
      <c r="UKH32" s="51"/>
      <c r="UKJ32" s="51"/>
      <c r="UKK32" s="51"/>
      <c r="UKM32" s="51"/>
      <c r="UKP32" s="51"/>
      <c r="UKR32" s="51"/>
      <c r="UKS32" s="51"/>
      <c r="UKU32" s="51"/>
      <c r="UKX32" s="51"/>
      <c r="UKZ32" s="51"/>
      <c r="ULA32" s="51"/>
      <c r="ULC32" s="51"/>
      <c r="ULF32" s="51"/>
      <c r="ULH32" s="51"/>
      <c r="ULI32" s="51"/>
      <c r="ULK32" s="51"/>
      <c r="ULN32" s="51"/>
      <c r="ULP32" s="51"/>
      <c r="ULQ32" s="51"/>
      <c r="ULS32" s="51"/>
      <c r="ULV32" s="51"/>
      <c r="ULX32" s="51"/>
      <c r="ULY32" s="51"/>
      <c r="UMA32" s="51"/>
      <c r="UMD32" s="51"/>
      <c r="UMF32" s="51"/>
      <c r="UMG32" s="51"/>
      <c r="UMI32" s="51"/>
      <c r="UML32" s="51"/>
      <c r="UMN32" s="51"/>
      <c r="UMO32" s="51"/>
      <c r="UMQ32" s="51"/>
      <c r="UMT32" s="51"/>
      <c r="UMV32" s="51"/>
      <c r="UMW32" s="51"/>
      <c r="UMY32" s="51"/>
      <c r="UNB32" s="51"/>
      <c r="UND32" s="51"/>
      <c r="UNE32" s="51"/>
      <c r="UNG32" s="51"/>
      <c r="UNJ32" s="51"/>
      <c r="UNL32" s="51"/>
      <c r="UNM32" s="51"/>
      <c r="UNO32" s="51"/>
      <c r="UNR32" s="51"/>
      <c r="UNT32" s="51"/>
      <c r="UNU32" s="51"/>
      <c r="UNW32" s="51"/>
      <c r="UNZ32" s="51"/>
      <c r="UOB32" s="51"/>
      <c r="UOC32" s="51"/>
      <c r="UOE32" s="51"/>
      <c r="UOH32" s="51"/>
      <c r="UOJ32" s="51"/>
      <c r="UOK32" s="51"/>
      <c r="UOM32" s="51"/>
      <c r="UOP32" s="51"/>
      <c r="UOR32" s="51"/>
      <c r="UOS32" s="51"/>
      <c r="UOU32" s="51"/>
      <c r="UOX32" s="51"/>
      <c r="UOZ32" s="51"/>
      <c r="UPA32" s="51"/>
      <c r="UPC32" s="51"/>
      <c r="UPF32" s="51"/>
      <c r="UPH32" s="51"/>
      <c r="UPI32" s="51"/>
      <c r="UPK32" s="51"/>
      <c r="UPN32" s="51"/>
      <c r="UPP32" s="51"/>
      <c r="UPQ32" s="51"/>
      <c r="UPS32" s="51"/>
      <c r="UPV32" s="51"/>
      <c r="UPX32" s="51"/>
      <c r="UPY32" s="51"/>
      <c r="UQA32" s="51"/>
      <c r="UQD32" s="51"/>
      <c r="UQF32" s="51"/>
      <c r="UQG32" s="51"/>
      <c r="UQI32" s="51"/>
      <c r="UQL32" s="51"/>
      <c r="UQN32" s="51"/>
      <c r="UQO32" s="51"/>
      <c r="UQQ32" s="51"/>
      <c r="UQT32" s="51"/>
      <c r="UQV32" s="51"/>
      <c r="UQW32" s="51"/>
      <c r="UQY32" s="51"/>
      <c r="URB32" s="51"/>
      <c r="URD32" s="51"/>
      <c r="URE32" s="51"/>
      <c r="URG32" s="51"/>
      <c r="URJ32" s="51"/>
      <c r="URL32" s="51"/>
      <c r="URM32" s="51"/>
      <c r="URO32" s="51"/>
      <c r="URR32" s="51"/>
      <c r="URT32" s="51"/>
      <c r="URU32" s="51"/>
      <c r="URW32" s="51"/>
      <c r="URZ32" s="51"/>
      <c r="USB32" s="51"/>
      <c r="USC32" s="51"/>
      <c r="USE32" s="51"/>
      <c r="USH32" s="51"/>
      <c r="USJ32" s="51"/>
      <c r="USK32" s="51"/>
      <c r="USM32" s="51"/>
      <c r="USP32" s="51"/>
      <c r="USR32" s="51"/>
      <c r="USS32" s="51"/>
      <c r="USU32" s="51"/>
      <c r="USX32" s="51"/>
      <c r="USZ32" s="51"/>
      <c r="UTA32" s="51"/>
      <c r="UTC32" s="51"/>
      <c r="UTF32" s="51"/>
      <c r="UTH32" s="51"/>
      <c r="UTI32" s="51"/>
      <c r="UTK32" s="51"/>
      <c r="UTN32" s="51"/>
      <c r="UTP32" s="51"/>
      <c r="UTQ32" s="51"/>
      <c r="UTS32" s="51"/>
      <c r="UTV32" s="51"/>
      <c r="UTX32" s="51"/>
      <c r="UTY32" s="51"/>
      <c r="UUA32" s="51"/>
      <c r="UUD32" s="51"/>
      <c r="UUF32" s="51"/>
      <c r="UUG32" s="51"/>
      <c r="UUI32" s="51"/>
      <c r="UUL32" s="51"/>
      <c r="UUN32" s="51"/>
      <c r="UUO32" s="51"/>
      <c r="UUQ32" s="51"/>
      <c r="UUT32" s="51"/>
      <c r="UUV32" s="51"/>
      <c r="UUW32" s="51"/>
      <c r="UUY32" s="51"/>
      <c r="UVB32" s="51"/>
      <c r="UVD32" s="51"/>
      <c r="UVE32" s="51"/>
      <c r="UVG32" s="51"/>
      <c r="UVJ32" s="51"/>
      <c r="UVL32" s="51"/>
      <c r="UVM32" s="51"/>
      <c r="UVO32" s="51"/>
      <c r="UVR32" s="51"/>
      <c r="UVT32" s="51"/>
      <c r="UVU32" s="51"/>
      <c r="UVW32" s="51"/>
      <c r="UVZ32" s="51"/>
      <c r="UWB32" s="51"/>
      <c r="UWC32" s="51"/>
      <c r="UWE32" s="51"/>
      <c r="UWH32" s="51"/>
      <c r="UWJ32" s="51"/>
      <c r="UWK32" s="51"/>
      <c r="UWM32" s="51"/>
      <c r="UWP32" s="51"/>
      <c r="UWR32" s="51"/>
      <c r="UWS32" s="51"/>
      <c r="UWU32" s="51"/>
      <c r="UWX32" s="51"/>
      <c r="UWZ32" s="51"/>
      <c r="UXA32" s="51"/>
      <c r="UXC32" s="51"/>
      <c r="UXF32" s="51"/>
      <c r="UXH32" s="51"/>
      <c r="UXI32" s="51"/>
      <c r="UXK32" s="51"/>
      <c r="UXN32" s="51"/>
      <c r="UXP32" s="51"/>
      <c r="UXQ32" s="51"/>
      <c r="UXS32" s="51"/>
      <c r="UXV32" s="51"/>
      <c r="UXX32" s="51"/>
      <c r="UXY32" s="51"/>
      <c r="UYA32" s="51"/>
      <c r="UYD32" s="51"/>
      <c r="UYF32" s="51"/>
      <c r="UYG32" s="51"/>
      <c r="UYI32" s="51"/>
      <c r="UYL32" s="51"/>
      <c r="UYN32" s="51"/>
      <c r="UYO32" s="51"/>
      <c r="UYQ32" s="51"/>
      <c r="UYT32" s="51"/>
      <c r="UYV32" s="51"/>
      <c r="UYW32" s="51"/>
      <c r="UYY32" s="51"/>
      <c r="UZB32" s="51"/>
      <c r="UZD32" s="51"/>
      <c r="UZE32" s="51"/>
      <c r="UZG32" s="51"/>
      <c r="UZJ32" s="51"/>
      <c r="UZL32" s="51"/>
      <c r="UZM32" s="51"/>
      <c r="UZO32" s="51"/>
      <c r="UZR32" s="51"/>
      <c r="UZT32" s="51"/>
      <c r="UZU32" s="51"/>
      <c r="UZW32" s="51"/>
      <c r="UZZ32" s="51"/>
      <c r="VAB32" s="51"/>
      <c r="VAC32" s="51"/>
      <c r="VAE32" s="51"/>
      <c r="VAH32" s="51"/>
      <c r="VAJ32" s="51"/>
      <c r="VAK32" s="51"/>
      <c r="VAM32" s="51"/>
      <c r="VAP32" s="51"/>
      <c r="VAR32" s="51"/>
      <c r="VAS32" s="51"/>
      <c r="VAU32" s="51"/>
      <c r="VAX32" s="51"/>
      <c r="VAZ32" s="51"/>
      <c r="VBA32" s="51"/>
      <c r="VBC32" s="51"/>
      <c r="VBF32" s="51"/>
      <c r="VBH32" s="51"/>
      <c r="VBI32" s="51"/>
      <c r="VBK32" s="51"/>
      <c r="VBN32" s="51"/>
      <c r="VBP32" s="51"/>
      <c r="VBQ32" s="51"/>
      <c r="VBS32" s="51"/>
      <c r="VBV32" s="51"/>
      <c r="VBX32" s="51"/>
      <c r="VBY32" s="51"/>
      <c r="VCA32" s="51"/>
      <c r="VCD32" s="51"/>
      <c r="VCF32" s="51"/>
      <c r="VCG32" s="51"/>
      <c r="VCI32" s="51"/>
      <c r="VCL32" s="51"/>
      <c r="VCN32" s="51"/>
      <c r="VCO32" s="51"/>
      <c r="VCQ32" s="51"/>
      <c r="VCT32" s="51"/>
      <c r="VCV32" s="51"/>
      <c r="VCW32" s="51"/>
      <c r="VCY32" s="51"/>
      <c r="VDB32" s="51"/>
      <c r="VDD32" s="51"/>
      <c r="VDE32" s="51"/>
      <c r="VDG32" s="51"/>
      <c r="VDJ32" s="51"/>
      <c r="VDL32" s="51"/>
      <c r="VDM32" s="51"/>
      <c r="VDO32" s="51"/>
      <c r="VDR32" s="51"/>
      <c r="VDT32" s="51"/>
      <c r="VDU32" s="51"/>
      <c r="VDW32" s="51"/>
      <c r="VDZ32" s="51"/>
      <c r="VEB32" s="51"/>
      <c r="VEC32" s="51"/>
      <c r="VEE32" s="51"/>
      <c r="VEH32" s="51"/>
      <c r="VEJ32" s="51"/>
      <c r="VEK32" s="51"/>
      <c r="VEM32" s="51"/>
      <c r="VEP32" s="51"/>
      <c r="VER32" s="51"/>
      <c r="VES32" s="51"/>
      <c r="VEU32" s="51"/>
      <c r="VEX32" s="51"/>
      <c r="VEZ32" s="51"/>
      <c r="VFA32" s="51"/>
      <c r="VFC32" s="51"/>
      <c r="VFF32" s="51"/>
      <c r="VFH32" s="51"/>
      <c r="VFI32" s="51"/>
      <c r="VFK32" s="51"/>
      <c r="VFN32" s="51"/>
      <c r="VFP32" s="51"/>
      <c r="VFQ32" s="51"/>
      <c r="VFS32" s="51"/>
      <c r="VFV32" s="51"/>
      <c r="VFX32" s="51"/>
      <c r="VFY32" s="51"/>
      <c r="VGA32" s="51"/>
      <c r="VGD32" s="51"/>
      <c r="VGF32" s="51"/>
      <c r="VGG32" s="51"/>
      <c r="VGI32" s="51"/>
      <c r="VGL32" s="51"/>
      <c r="VGN32" s="51"/>
      <c r="VGO32" s="51"/>
      <c r="VGQ32" s="51"/>
      <c r="VGT32" s="51"/>
      <c r="VGV32" s="51"/>
      <c r="VGW32" s="51"/>
      <c r="VGY32" s="51"/>
      <c r="VHB32" s="51"/>
      <c r="VHD32" s="51"/>
      <c r="VHE32" s="51"/>
      <c r="VHG32" s="51"/>
      <c r="VHJ32" s="51"/>
      <c r="VHL32" s="51"/>
      <c r="VHM32" s="51"/>
      <c r="VHO32" s="51"/>
      <c r="VHR32" s="51"/>
      <c r="VHT32" s="51"/>
      <c r="VHU32" s="51"/>
      <c r="VHW32" s="51"/>
      <c r="VHZ32" s="51"/>
      <c r="VIB32" s="51"/>
      <c r="VIC32" s="51"/>
      <c r="VIE32" s="51"/>
      <c r="VIH32" s="51"/>
      <c r="VIJ32" s="51"/>
      <c r="VIK32" s="51"/>
      <c r="VIM32" s="51"/>
      <c r="VIP32" s="51"/>
      <c r="VIR32" s="51"/>
      <c r="VIS32" s="51"/>
      <c r="VIU32" s="51"/>
      <c r="VIX32" s="51"/>
      <c r="VIZ32" s="51"/>
      <c r="VJA32" s="51"/>
      <c r="VJC32" s="51"/>
      <c r="VJF32" s="51"/>
      <c r="VJH32" s="51"/>
      <c r="VJI32" s="51"/>
      <c r="VJK32" s="51"/>
      <c r="VJN32" s="51"/>
      <c r="VJP32" s="51"/>
      <c r="VJQ32" s="51"/>
      <c r="VJS32" s="51"/>
      <c r="VJV32" s="51"/>
      <c r="VJX32" s="51"/>
      <c r="VJY32" s="51"/>
      <c r="VKA32" s="51"/>
      <c r="VKD32" s="51"/>
      <c r="VKF32" s="51"/>
      <c r="VKG32" s="51"/>
      <c r="VKI32" s="51"/>
      <c r="VKL32" s="51"/>
      <c r="VKN32" s="51"/>
      <c r="VKO32" s="51"/>
      <c r="VKQ32" s="51"/>
      <c r="VKT32" s="51"/>
      <c r="VKV32" s="51"/>
      <c r="VKW32" s="51"/>
      <c r="VKY32" s="51"/>
      <c r="VLB32" s="51"/>
      <c r="VLD32" s="51"/>
      <c r="VLE32" s="51"/>
      <c r="VLG32" s="51"/>
      <c r="VLJ32" s="51"/>
      <c r="VLL32" s="51"/>
      <c r="VLM32" s="51"/>
      <c r="VLO32" s="51"/>
      <c r="VLR32" s="51"/>
      <c r="VLT32" s="51"/>
      <c r="VLU32" s="51"/>
      <c r="VLW32" s="51"/>
      <c r="VLZ32" s="51"/>
      <c r="VMB32" s="51"/>
      <c r="VMC32" s="51"/>
      <c r="VME32" s="51"/>
      <c r="VMH32" s="51"/>
      <c r="VMJ32" s="51"/>
      <c r="VMK32" s="51"/>
      <c r="VMM32" s="51"/>
      <c r="VMP32" s="51"/>
      <c r="VMR32" s="51"/>
      <c r="VMS32" s="51"/>
      <c r="VMU32" s="51"/>
      <c r="VMX32" s="51"/>
      <c r="VMZ32" s="51"/>
      <c r="VNA32" s="51"/>
      <c r="VNC32" s="51"/>
      <c r="VNF32" s="51"/>
      <c r="VNH32" s="51"/>
      <c r="VNI32" s="51"/>
      <c r="VNK32" s="51"/>
      <c r="VNN32" s="51"/>
      <c r="VNP32" s="51"/>
      <c r="VNQ32" s="51"/>
      <c r="VNS32" s="51"/>
      <c r="VNV32" s="51"/>
      <c r="VNX32" s="51"/>
      <c r="VNY32" s="51"/>
      <c r="VOA32" s="51"/>
      <c r="VOD32" s="51"/>
      <c r="VOF32" s="51"/>
      <c r="VOG32" s="51"/>
      <c r="VOI32" s="51"/>
      <c r="VOL32" s="51"/>
      <c r="VON32" s="51"/>
      <c r="VOO32" s="51"/>
      <c r="VOQ32" s="51"/>
      <c r="VOT32" s="51"/>
      <c r="VOV32" s="51"/>
      <c r="VOW32" s="51"/>
      <c r="VOY32" s="51"/>
      <c r="VPB32" s="51"/>
      <c r="VPD32" s="51"/>
      <c r="VPE32" s="51"/>
      <c r="VPG32" s="51"/>
      <c r="VPJ32" s="51"/>
      <c r="VPL32" s="51"/>
      <c r="VPM32" s="51"/>
      <c r="VPO32" s="51"/>
      <c r="VPR32" s="51"/>
      <c r="VPT32" s="51"/>
      <c r="VPU32" s="51"/>
      <c r="VPW32" s="51"/>
      <c r="VPZ32" s="51"/>
      <c r="VQB32" s="51"/>
      <c r="VQC32" s="51"/>
      <c r="VQE32" s="51"/>
      <c r="VQH32" s="51"/>
      <c r="VQJ32" s="51"/>
      <c r="VQK32" s="51"/>
      <c r="VQM32" s="51"/>
      <c r="VQP32" s="51"/>
      <c r="VQR32" s="51"/>
      <c r="VQS32" s="51"/>
      <c r="VQU32" s="51"/>
      <c r="VQX32" s="51"/>
      <c r="VQZ32" s="51"/>
      <c r="VRA32" s="51"/>
      <c r="VRC32" s="51"/>
      <c r="VRF32" s="51"/>
      <c r="VRH32" s="51"/>
      <c r="VRI32" s="51"/>
      <c r="VRK32" s="51"/>
      <c r="VRN32" s="51"/>
      <c r="VRP32" s="51"/>
      <c r="VRQ32" s="51"/>
      <c r="VRS32" s="51"/>
      <c r="VRV32" s="51"/>
      <c r="VRX32" s="51"/>
      <c r="VRY32" s="51"/>
      <c r="VSA32" s="51"/>
      <c r="VSD32" s="51"/>
      <c r="VSF32" s="51"/>
      <c r="VSG32" s="51"/>
      <c r="VSI32" s="51"/>
      <c r="VSL32" s="51"/>
      <c r="VSN32" s="51"/>
      <c r="VSO32" s="51"/>
      <c r="VSQ32" s="51"/>
      <c r="VST32" s="51"/>
      <c r="VSV32" s="51"/>
      <c r="VSW32" s="51"/>
      <c r="VSY32" s="51"/>
      <c r="VTB32" s="51"/>
      <c r="VTD32" s="51"/>
      <c r="VTE32" s="51"/>
      <c r="VTG32" s="51"/>
      <c r="VTJ32" s="51"/>
      <c r="VTL32" s="51"/>
      <c r="VTM32" s="51"/>
      <c r="VTO32" s="51"/>
      <c r="VTR32" s="51"/>
      <c r="VTT32" s="51"/>
      <c r="VTU32" s="51"/>
      <c r="VTW32" s="51"/>
      <c r="VTZ32" s="51"/>
      <c r="VUB32" s="51"/>
      <c r="VUC32" s="51"/>
      <c r="VUE32" s="51"/>
      <c r="VUH32" s="51"/>
      <c r="VUJ32" s="51"/>
      <c r="VUK32" s="51"/>
      <c r="VUM32" s="51"/>
      <c r="VUP32" s="51"/>
      <c r="VUR32" s="51"/>
      <c r="VUS32" s="51"/>
      <c r="VUU32" s="51"/>
      <c r="VUX32" s="51"/>
      <c r="VUZ32" s="51"/>
      <c r="VVA32" s="51"/>
      <c r="VVC32" s="51"/>
      <c r="VVF32" s="51"/>
      <c r="VVH32" s="51"/>
      <c r="VVI32" s="51"/>
      <c r="VVK32" s="51"/>
      <c r="VVN32" s="51"/>
      <c r="VVP32" s="51"/>
      <c r="VVQ32" s="51"/>
      <c r="VVS32" s="51"/>
      <c r="VVV32" s="51"/>
      <c r="VVX32" s="51"/>
      <c r="VVY32" s="51"/>
      <c r="VWA32" s="51"/>
      <c r="VWD32" s="51"/>
      <c r="VWF32" s="51"/>
      <c r="VWG32" s="51"/>
      <c r="VWI32" s="51"/>
      <c r="VWL32" s="51"/>
      <c r="VWN32" s="51"/>
      <c r="VWO32" s="51"/>
      <c r="VWQ32" s="51"/>
      <c r="VWT32" s="51"/>
      <c r="VWV32" s="51"/>
      <c r="VWW32" s="51"/>
      <c r="VWY32" s="51"/>
      <c r="VXB32" s="51"/>
      <c r="VXD32" s="51"/>
      <c r="VXE32" s="51"/>
      <c r="VXG32" s="51"/>
      <c r="VXJ32" s="51"/>
      <c r="VXL32" s="51"/>
      <c r="VXM32" s="51"/>
      <c r="VXO32" s="51"/>
      <c r="VXR32" s="51"/>
      <c r="VXT32" s="51"/>
      <c r="VXU32" s="51"/>
      <c r="VXW32" s="51"/>
      <c r="VXZ32" s="51"/>
      <c r="VYB32" s="51"/>
      <c r="VYC32" s="51"/>
      <c r="VYE32" s="51"/>
      <c r="VYH32" s="51"/>
      <c r="VYJ32" s="51"/>
      <c r="VYK32" s="51"/>
      <c r="VYM32" s="51"/>
      <c r="VYP32" s="51"/>
      <c r="VYR32" s="51"/>
      <c r="VYS32" s="51"/>
      <c r="VYU32" s="51"/>
      <c r="VYX32" s="51"/>
      <c r="VYZ32" s="51"/>
      <c r="VZA32" s="51"/>
      <c r="VZC32" s="51"/>
      <c r="VZF32" s="51"/>
      <c r="VZH32" s="51"/>
      <c r="VZI32" s="51"/>
      <c r="VZK32" s="51"/>
      <c r="VZN32" s="51"/>
      <c r="VZP32" s="51"/>
      <c r="VZQ32" s="51"/>
      <c r="VZS32" s="51"/>
      <c r="VZV32" s="51"/>
      <c r="VZX32" s="51"/>
      <c r="VZY32" s="51"/>
      <c r="WAA32" s="51"/>
      <c r="WAD32" s="51"/>
      <c r="WAF32" s="51"/>
      <c r="WAG32" s="51"/>
      <c r="WAI32" s="51"/>
      <c r="WAL32" s="51"/>
      <c r="WAN32" s="51"/>
      <c r="WAO32" s="51"/>
      <c r="WAQ32" s="51"/>
      <c r="WAT32" s="51"/>
      <c r="WAV32" s="51"/>
      <c r="WAW32" s="51"/>
      <c r="WAY32" s="51"/>
      <c r="WBB32" s="51"/>
      <c r="WBD32" s="51"/>
      <c r="WBE32" s="51"/>
      <c r="WBG32" s="51"/>
      <c r="WBJ32" s="51"/>
      <c r="WBL32" s="51"/>
      <c r="WBM32" s="51"/>
      <c r="WBO32" s="51"/>
      <c r="WBR32" s="51"/>
      <c r="WBT32" s="51"/>
      <c r="WBU32" s="51"/>
      <c r="WBW32" s="51"/>
      <c r="WBZ32" s="51"/>
      <c r="WCB32" s="51"/>
      <c r="WCC32" s="51"/>
      <c r="WCE32" s="51"/>
      <c r="WCH32" s="51"/>
      <c r="WCJ32" s="51"/>
      <c r="WCK32" s="51"/>
      <c r="WCM32" s="51"/>
      <c r="WCP32" s="51"/>
      <c r="WCR32" s="51"/>
      <c r="WCS32" s="51"/>
      <c r="WCU32" s="51"/>
      <c r="WCX32" s="51"/>
      <c r="WCZ32" s="51"/>
      <c r="WDA32" s="51"/>
      <c r="WDC32" s="51"/>
      <c r="WDF32" s="51"/>
      <c r="WDH32" s="51"/>
      <c r="WDI32" s="51"/>
      <c r="WDK32" s="51"/>
      <c r="WDN32" s="51"/>
      <c r="WDP32" s="51"/>
      <c r="WDQ32" s="51"/>
      <c r="WDS32" s="51"/>
      <c r="WDV32" s="51"/>
      <c r="WDX32" s="51"/>
      <c r="WDY32" s="51"/>
      <c r="WEA32" s="51"/>
      <c r="WED32" s="51"/>
      <c r="WEF32" s="51"/>
      <c r="WEG32" s="51"/>
      <c r="WEI32" s="51"/>
      <c r="WEL32" s="51"/>
      <c r="WEN32" s="51"/>
      <c r="WEO32" s="51"/>
      <c r="WEQ32" s="51"/>
      <c r="WET32" s="51"/>
      <c r="WEV32" s="51"/>
      <c r="WEW32" s="51"/>
      <c r="WEY32" s="51"/>
      <c r="WFB32" s="51"/>
      <c r="WFD32" s="51"/>
      <c r="WFE32" s="51"/>
      <c r="WFG32" s="51"/>
      <c r="WFJ32" s="51"/>
      <c r="WFL32" s="51"/>
      <c r="WFM32" s="51"/>
      <c r="WFO32" s="51"/>
      <c r="WFR32" s="51"/>
      <c r="WFT32" s="51"/>
      <c r="WFU32" s="51"/>
      <c r="WFW32" s="51"/>
      <c r="WFZ32" s="51"/>
      <c r="WGB32" s="51"/>
      <c r="WGC32" s="51"/>
      <c r="WGE32" s="51"/>
      <c r="WGH32" s="51"/>
      <c r="WGJ32" s="51"/>
      <c r="WGK32" s="51"/>
      <c r="WGM32" s="51"/>
      <c r="WGP32" s="51"/>
      <c r="WGR32" s="51"/>
      <c r="WGS32" s="51"/>
      <c r="WGU32" s="51"/>
      <c r="WGX32" s="51"/>
      <c r="WGZ32" s="51"/>
      <c r="WHA32" s="51"/>
      <c r="WHC32" s="51"/>
      <c r="WHF32" s="51"/>
      <c r="WHH32" s="51"/>
      <c r="WHI32" s="51"/>
      <c r="WHK32" s="51"/>
      <c r="WHN32" s="51"/>
      <c r="WHP32" s="51"/>
      <c r="WHQ32" s="51"/>
      <c r="WHS32" s="51"/>
      <c r="WHV32" s="51"/>
      <c r="WHX32" s="51"/>
      <c r="WHY32" s="51"/>
      <c r="WIA32" s="51"/>
      <c r="WID32" s="51"/>
      <c r="WIF32" s="51"/>
      <c r="WIG32" s="51"/>
      <c r="WII32" s="51"/>
      <c r="WIL32" s="51"/>
      <c r="WIN32" s="51"/>
      <c r="WIO32" s="51"/>
      <c r="WIQ32" s="51"/>
      <c r="WIT32" s="51"/>
      <c r="WIV32" s="51"/>
      <c r="WIW32" s="51"/>
      <c r="WIY32" s="51"/>
      <c r="WJB32" s="51"/>
      <c r="WJD32" s="51"/>
      <c r="WJE32" s="51"/>
      <c r="WJG32" s="51"/>
      <c r="WJJ32" s="51"/>
      <c r="WJL32" s="51"/>
      <c r="WJM32" s="51"/>
      <c r="WJO32" s="51"/>
      <c r="WJR32" s="51"/>
      <c r="WJT32" s="51"/>
      <c r="WJU32" s="51"/>
      <c r="WJW32" s="51"/>
      <c r="WJZ32" s="51"/>
      <c r="WKB32" s="51"/>
      <c r="WKC32" s="51"/>
      <c r="WKE32" s="51"/>
      <c r="WKH32" s="51"/>
      <c r="WKJ32" s="51"/>
      <c r="WKK32" s="51"/>
      <c r="WKM32" s="51"/>
      <c r="WKP32" s="51"/>
      <c r="WKR32" s="51"/>
      <c r="WKS32" s="51"/>
      <c r="WKU32" s="51"/>
      <c r="WKX32" s="51"/>
      <c r="WKZ32" s="51"/>
      <c r="WLA32" s="51"/>
      <c r="WLC32" s="51"/>
      <c r="WLF32" s="51"/>
      <c r="WLH32" s="51"/>
      <c r="WLI32" s="51"/>
      <c r="WLK32" s="51"/>
      <c r="WLN32" s="51"/>
      <c r="WLP32" s="51"/>
      <c r="WLQ32" s="51"/>
      <c r="WLS32" s="51"/>
      <c r="WLV32" s="51"/>
      <c r="WLX32" s="51"/>
      <c r="WLY32" s="51"/>
      <c r="WMA32" s="51"/>
      <c r="WMD32" s="51"/>
      <c r="WMF32" s="51"/>
      <c r="WMG32" s="51"/>
      <c r="WMI32" s="51"/>
      <c r="WML32" s="51"/>
      <c r="WMN32" s="51"/>
      <c r="WMO32" s="51"/>
      <c r="WMQ32" s="51"/>
      <c r="WMT32" s="51"/>
      <c r="WMV32" s="51"/>
      <c r="WMW32" s="51"/>
      <c r="WMY32" s="51"/>
      <c r="WNB32" s="51"/>
      <c r="WND32" s="51"/>
      <c r="WNE32" s="51"/>
      <c r="WNG32" s="51"/>
      <c r="WNJ32" s="51"/>
      <c r="WNL32" s="51"/>
      <c r="WNM32" s="51"/>
      <c r="WNO32" s="51"/>
      <c r="WNR32" s="51"/>
      <c r="WNT32" s="51"/>
      <c r="WNU32" s="51"/>
      <c r="WNW32" s="51"/>
      <c r="WNZ32" s="51"/>
      <c r="WOB32" s="51"/>
      <c r="WOC32" s="51"/>
      <c r="WOE32" s="51"/>
      <c r="WOH32" s="51"/>
      <c r="WOJ32" s="51"/>
      <c r="WOK32" s="51"/>
      <c r="WOM32" s="51"/>
      <c r="WOP32" s="51"/>
      <c r="WOR32" s="51"/>
      <c r="WOS32" s="51"/>
      <c r="WOU32" s="51"/>
      <c r="WOX32" s="51"/>
      <c r="WOZ32" s="51"/>
      <c r="WPA32" s="51"/>
      <c r="WPC32" s="51"/>
      <c r="WPF32" s="51"/>
      <c r="WPH32" s="51"/>
      <c r="WPI32" s="51"/>
      <c r="WPK32" s="51"/>
      <c r="WPN32" s="51"/>
      <c r="WPP32" s="51"/>
      <c r="WPQ32" s="51"/>
      <c r="WPS32" s="51"/>
      <c r="WPV32" s="51"/>
      <c r="WPX32" s="51"/>
      <c r="WPY32" s="51"/>
      <c r="WQA32" s="51"/>
      <c r="WQD32" s="51"/>
      <c r="WQF32" s="51"/>
      <c r="WQG32" s="51"/>
      <c r="WQI32" s="51"/>
      <c r="WQL32" s="51"/>
      <c r="WQN32" s="51"/>
      <c r="WQO32" s="51"/>
      <c r="WQQ32" s="51"/>
      <c r="WQT32" s="51"/>
      <c r="WQV32" s="51"/>
      <c r="WQW32" s="51"/>
      <c r="WQY32" s="51"/>
      <c r="WRB32" s="51"/>
      <c r="WRD32" s="51"/>
      <c r="WRE32" s="51"/>
      <c r="WRG32" s="51"/>
      <c r="WRJ32" s="51"/>
      <c r="WRL32" s="51"/>
      <c r="WRM32" s="51"/>
      <c r="WRO32" s="51"/>
      <c r="WRR32" s="51"/>
      <c r="WRT32" s="51"/>
      <c r="WRU32" s="51"/>
      <c r="WRW32" s="51"/>
      <c r="WRZ32" s="51"/>
      <c r="WSB32" s="51"/>
      <c r="WSC32" s="51"/>
      <c r="WSE32" s="51"/>
      <c r="WSH32" s="51"/>
      <c r="WSJ32" s="51"/>
      <c r="WSK32" s="51"/>
      <c r="WSM32" s="51"/>
      <c r="WSP32" s="51"/>
      <c r="WSR32" s="51"/>
      <c r="WSS32" s="51"/>
      <c r="WSU32" s="51"/>
      <c r="WSX32" s="51"/>
      <c r="WSZ32" s="51"/>
      <c r="WTA32" s="51"/>
      <c r="WTC32" s="51"/>
      <c r="WTF32" s="51"/>
      <c r="WTH32" s="51"/>
      <c r="WTI32" s="51"/>
      <c r="WTK32" s="51"/>
      <c r="WTN32" s="51"/>
      <c r="WTP32" s="51"/>
      <c r="WTQ32" s="51"/>
      <c r="WTS32" s="51"/>
      <c r="WTV32" s="51"/>
      <c r="WTX32" s="51"/>
      <c r="WTY32" s="51"/>
      <c r="WUA32" s="51"/>
      <c r="WUD32" s="51"/>
      <c r="WUF32" s="51"/>
      <c r="WUG32" s="51"/>
      <c r="WUI32" s="51"/>
      <c r="WUL32" s="51"/>
      <c r="WUN32" s="51"/>
      <c r="WUO32" s="51"/>
      <c r="WUQ32" s="51"/>
      <c r="WUT32" s="51"/>
      <c r="WUV32" s="51"/>
      <c r="WUW32" s="51"/>
      <c r="WUY32" s="51"/>
      <c r="WVB32" s="51"/>
      <c r="WVD32" s="51"/>
      <c r="WVE32" s="51"/>
      <c r="WVG32" s="51"/>
      <c r="WVJ32" s="51"/>
      <c r="WVL32" s="51"/>
      <c r="WVM32" s="51"/>
      <c r="WVO32" s="51"/>
      <c r="WVR32" s="51"/>
      <c r="WVT32" s="51"/>
      <c r="WVU32" s="51"/>
      <c r="WVW32" s="51"/>
      <c r="WVZ32" s="51"/>
      <c r="WWB32" s="51"/>
      <c r="WWC32" s="51"/>
      <c r="WWE32" s="51"/>
      <c r="WWH32" s="51"/>
      <c r="WWJ32" s="51"/>
      <c r="WWK32" s="51"/>
      <c r="WWM32" s="51"/>
      <c r="WWP32" s="51"/>
      <c r="WWR32" s="51"/>
      <c r="WWS32" s="51"/>
      <c r="WWU32" s="51"/>
      <c r="WWX32" s="51"/>
      <c r="WWZ32" s="51"/>
      <c r="WXA32" s="51"/>
      <c r="WXC32" s="51"/>
      <c r="WXF32" s="51"/>
      <c r="WXH32" s="51"/>
      <c r="WXI32" s="51"/>
      <c r="WXK32" s="51"/>
      <c r="WXN32" s="51"/>
      <c r="WXP32" s="51"/>
      <c r="WXQ32" s="51"/>
      <c r="WXS32" s="51"/>
      <c r="WXV32" s="51"/>
      <c r="WXX32" s="51"/>
      <c r="WXY32" s="51"/>
      <c r="WYA32" s="51"/>
      <c r="WYD32" s="51"/>
      <c r="WYF32" s="51"/>
      <c r="WYG32" s="51"/>
      <c r="WYI32" s="51"/>
      <c r="WYL32" s="51"/>
      <c r="WYN32" s="51"/>
      <c r="WYO32" s="51"/>
      <c r="WYQ32" s="51"/>
      <c r="WYT32" s="51"/>
      <c r="WYV32" s="51"/>
      <c r="WYW32" s="51"/>
      <c r="WYY32" s="51"/>
      <c r="WZB32" s="51"/>
      <c r="WZD32" s="51"/>
      <c r="WZE32" s="51"/>
      <c r="WZG32" s="51"/>
      <c r="WZJ32" s="51"/>
      <c r="WZL32" s="51"/>
      <c r="WZM32" s="51"/>
      <c r="WZO32" s="51"/>
      <c r="WZR32" s="51"/>
      <c r="WZT32" s="51"/>
      <c r="WZU32" s="51"/>
      <c r="WZW32" s="51"/>
      <c r="WZZ32" s="51"/>
      <c r="XAB32" s="51"/>
      <c r="XAC32" s="51"/>
      <c r="XAE32" s="51"/>
      <c r="XAH32" s="51"/>
      <c r="XAJ32" s="51"/>
      <c r="XAK32" s="51"/>
      <c r="XAM32" s="51"/>
      <c r="XAP32" s="51"/>
      <c r="XAR32" s="51"/>
      <c r="XAS32" s="51"/>
      <c r="XAU32" s="51"/>
      <c r="XAX32" s="51"/>
      <c r="XAZ32" s="51"/>
      <c r="XBA32" s="51"/>
      <c r="XBC32" s="51"/>
      <c r="XBF32" s="51"/>
      <c r="XBH32" s="51"/>
      <c r="XBI32" s="51"/>
      <c r="XBK32" s="51"/>
      <c r="XBN32" s="51"/>
      <c r="XBP32" s="51"/>
      <c r="XBQ32" s="51"/>
      <c r="XBS32" s="51"/>
      <c r="XBV32" s="51"/>
      <c r="XBX32" s="51"/>
      <c r="XBY32" s="51"/>
      <c r="XCA32" s="51"/>
      <c r="XCD32" s="51"/>
      <c r="XCF32" s="51"/>
      <c r="XCG32" s="51"/>
      <c r="XCI32" s="51"/>
      <c r="XCL32" s="51"/>
      <c r="XCN32" s="51"/>
      <c r="XCO32" s="51"/>
      <c r="XCQ32" s="51"/>
      <c r="XCT32" s="51"/>
      <c r="XCV32" s="51"/>
      <c r="XCW32" s="51"/>
      <c r="XCY32" s="51"/>
      <c r="XDB32" s="51"/>
      <c r="XDD32" s="51"/>
      <c r="XDE32" s="51"/>
      <c r="XDG32" s="51"/>
      <c r="XDJ32" s="51"/>
      <c r="XDL32" s="51"/>
      <c r="XDM32" s="51"/>
      <c r="XDO32" s="51"/>
      <c r="XDR32" s="51"/>
      <c r="XDT32" s="51"/>
      <c r="XDU32" s="51"/>
      <c r="XDW32" s="51"/>
      <c r="XDZ32" s="51"/>
      <c r="XEB32" s="51"/>
      <c r="XEC32" s="51"/>
      <c r="XEE32" s="51"/>
      <c r="XEH32" s="51"/>
      <c r="XEJ32" s="51"/>
      <c r="XEK32" s="51"/>
      <c r="XEM32" s="51"/>
      <c r="XEP32" s="51"/>
      <c r="XER32" s="51"/>
      <c r="XES32" s="51"/>
      <c r="XEU32" s="51"/>
      <c r="XEX32" s="51"/>
      <c r="XEZ32" s="51"/>
      <c r="XFA32" s="51"/>
      <c r="XFC32" s="51"/>
    </row>
    <row r="33" spans="1:1023 1026:2047 2050:3071 3074:4095 4098:5119 5122:6143 6146:7167 7170:8191 8194:9215 9218:10239 10242:11263 11266:12287 12290:13311 13314:14335 14338:15359 15362:16383" x14ac:dyDescent="0.25">
      <c r="M33" s="51"/>
      <c r="O33" s="51"/>
      <c r="R33" s="51"/>
      <c r="S33" s="450"/>
      <c r="T33" s="51"/>
      <c r="U33" s="51"/>
      <c r="W33" s="51"/>
      <c r="Z33" s="51"/>
      <c r="AB33" s="51"/>
      <c r="AC33" s="51"/>
      <c r="AE33" s="51"/>
      <c r="AH33" s="51"/>
      <c r="AJ33" s="51"/>
      <c r="AK33" s="51"/>
      <c r="AM33" s="51"/>
      <c r="AP33" s="51"/>
      <c r="AR33" s="51"/>
      <c r="AS33" s="51"/>
      <c r="AU33" s="51"/>
      <c r="AX33" s="51"/>
      <c r="AZ33" s="51"/>
      <c r="BA33" s="51"/>
      <c r="BC33" s="51"/>
      <c r="BF33" s="51"/>
      <c r="BH33" s="51"/>
      <c r="BI33" s="51"/>
      <c r="BK33" s="51"/>
      <c r="BN33" s="51"/>
      <c r="BP33" s="51"/>
      <c r="BQ33" s="51"/>
      <c r="BS33" s="51"/>
      <c r="BV33" s="51"/>
      <c r="BX33" s="51"/>
      <c r="BY33" s="51"/>
      <c r="CA33" s="51"/>
      <c r="CD33" s="51"/>
      <c r="CF33" s="51"/>
      <c r="CG33" s="51"/>
      <c r="CI33" s="51"/>
      <c r="CL33" s="51"/>
      <c r="CN33" s="51"/>
      <c r="CO33" s="51"/>
      <c r="CQ33" s="51"/>
      <c r="CT33" s="51"/>
      <c r="CV33" s="51"/>
      <c r="CW33" s="51"/>
      <c r="CY33" s="51"/>
      <c r="DB33" s="51"/>
      <c r="DD33" s="51"/>
      <c r="DE33" s="51"/>
      <c r="DG33" s="51"/>
      <c r="DJ33" s="51"/>
      <c r="DL33" s="51"/>
      <c r="DM33" s="51"/>
      <c r="DO33" s="51"/>
      <c r="DR33" s="51"/>
      <c r="DT33" s="51"/>
      <c r="DU33" s="51"/>
      <c r="DW33" s="51"/>
      <c r="DZ33" s="51"/>
      <c r="EB33" s="51"/>
      <c r="EC33" s="51"/>
      <c r="EE33" s="51"/>
      <c r="EH33" s="51"/>
      <c r="EJ33" s="51"/>
      <c r="EK33" s="51"/>
      <c r="EM33" s="51"/>
      <c r="EP33" s="51"/>
      <c r="ER33" s="51"/>
      <c r="ES33" s="51"/>
      <c r="EU33" s="51"/>
      <c r="EX33" s="51"/>
      <c r="EZ33" s="51"/>
      <c r="FA33" s="51"/>
      <c r="FC33" s="51"/>
      <c r="FF33" s="51"/>
      <c r="FH33" s="51"/>
      <c r="FI33" s="51"/>
      <c r="FK33" s="51"/>
      <c r="FN33" s="51"/>
      <c r="FP33" s="51"/>
      <c r="FQ33" s="51"/>
      <c r="FS33" s="51"/>
      <c r="FV33" s="51"/>
      <c r="FX33" s="51"/>
      <c r="FY33" s="51"/>
      <c r="GA33" s="51"/>
      <c r="GD33" s="51"/>
      <c r="GF33" s="51"/>
      <c r="GG33" s="51"/>
      <c r="GI33" s="51"/>
      <c r="GL33" s="51"/>
      <c r="GN33" s="51"/>
      <c r="GO33" s="51"/>
      <c r="GQ33" s="51"/>
      <c r="GT33" s="51"/>
      <c r="GV33" s="51"/>
      <c r="GW33" s="51"/>
      <c r="GY33" s="51"/>
      <c r="HB33" s="51"/>
      <c r="HD33" s="51"/>
      <c r="HE33" s="51"/>
      <c r="HG33" s="51"/>
      <c r="HJ33" s="51"/>
      <c r="HL33" s="51"/>
      <c r="HM33" s="51"/>
      <c r="HO33" s="51"/>
      <c r="HR33" s="51"/>
      <c r="HT33" s="51"/>
      <c r="HU33" s="51"/>
      <c r="HW33" s="51"/>
      <c r="HZ33" s="51"/>
      <c r="IB33" s="51"/>
      <c r="IC33" s="51"/>
      <c r="IE33" s="51"/>
      <c r="IH33" s="51"/>
      <c r="IJ33" s="51"/>
      <c r="IK33" s="51"/>
      <c r="IM33" s="51"/>
      <c r="IP33" s="51"/>
      <c r="IR33" s="51"/>
      <c r="IS33" s="51"/>
      <c r="IU33" s="51"/>
      <c r="IX33" s="51"/>
      <c r="IZ33" s="51"/>
      <c r="JA33" s="51"/>
      <c r="JC33" s="51"/>
      <c r="JF33" s="51"/>
      <c r="JH33" s="51"/>
      <c r="JI33" s="51"/>
      <c r="JK33" s="51"/>
      <c r="JN33" s="51"/>
      <c r="JP33" s="51"/>
      <c r="JQ33" s="51"/>
      <c r="JS33" s="51"/>
      <c r="JV33" s="51"/>
      <c r="JX33" s="51"/>
      <c r="JY33" s="51"/>
      <c r="KA33" s="51"/>
      <c r="KD33" s="51"/>
      <c r="KF33" s="51"/>
      <c r="KG33" s="51"/>
      <c r="KI33" s="51"/>
      <c r="KL33" s="51"/>
      <c r="KN33" s="51"/>
      <c r="KO33" s="51"/>
      <c r="KQ33" s="51"/>
      <c r="KT33" s="51"/>
      <c r="KV33" s="51"/>
      <c r="KW33" s="51"/>
      <c r="KY33" s="51"/>
      <c r="LB33" s="51"/>
      <c r="LD33" s="51"/>
      <c r="LU33" s="51"/>
      <c r="LW33" s="51"/>
      <c r="LZ33" s="51"/>
      <c r="MB33" s="51"/>
      <c r="MC33" s="51"/>
      <c r="ME33" s="51"/>
      <c r="MH33" s="51"/>
      <c r="MJ33" s="51"/>
      <c r="MK33" s="51"/>
      <c r="MM33" s="51"/>
      <c r="MP33" s="51"/>
      <c r="MR33" s="51"/>
      <c r="MS33" s="51"/>
      <c r="MU33" s="51"/>
      <c r="MX33" s="51"/>
      <c r="MZ33" s="51"/>
      <c r="NA33" s="51"/>
      <c r="NC33" s="51"/>
      <c r="NF33" s="51"/>
      <c r="NH33" s="51"/>
      <c r="NI33" s="51"/>
      <c r="NK33" s="51"/>
      <c r="NN33" s="51"/>
      <c r="NP33" s="51"/>
      <c r="NQ33" s="51"/>
      <c r="NS33" s="51"/>
      <c r="NV33" s="51"/>
      <c r="NX33" s="51"/>
      <c r="NY33" s="51"/>
      <c r="OA33" s="51"/>
      <c r="OD33" s="51"/>
      <c r="OF33" s="51"/>
      <c r="OG33" s="51"/>
      <c r="OI33" s="51"/>
      <c r="OL33" s="51"/>
      <c r="ON33" s="51"/>
      <c r="OO33" s="51"/>
      <c r="OQ33" s="51"/>
      <c r="OT33" s="51"/>
      <c r="OV33" s="51"/>
      <c r="OW33" s="51"/>
      <c r="OY33" s="51"/>
      <c r="PB33" s="51"/>
      <c r="PD33" s="51"/>
      <c r="PE33" s="51"/>
      <c r="PG33" s="51"/>
      <c r="PJ33" s="51"/>
      <c r="PL33" s="51"/>
      <c r="PM33" s="51"/>
      <c r="PO33" s="51"/>
      <c r="PR33" s="51"/>
      <c r="PT33" s="51"/>
      <c r="PU33" s="51"/>
      <c r="PW33" s="51"/>
      <c r="PZ33" s="51"/>
      <c r="QB33" s="51"/>
      <c r="QC33" s="51"/>
      <c r="QE33" s="51"/>
      <c r="QH33" s="51"/>
      <c r="QJ33" s="51"/>
      <c r="QK33" s="51"/>
      <c r="QM33" s="51"/>
      <c r="QP33" s="51"/>
      <c r="QR33" s="51"/>
      <c r="QS33" s="51"/>
      <c r="QU33" s="51"/>
      <c r="QX33" s="51"/>
      <c r="QZ33" s="51"/>
      <c r="RA33" s="51"/>
      <c r="RC33" s="51"/>
      <c r="RF33" s="51"/>
      <c r="RH33" s="51"/>
      <c r="RI33" s="51"/>
      <c r="RK33" s="51"/>
      <c r="RN33" s="51"/>
      <c r="RP33" s="51"/>
      <c r="RQ33" s="51"/>
      <c r="RS33" s="51"/>
      <c r="RV33" s="51"/>
      <c r="RX33" s="51"/>
      <c r="RY33" s="51"/>
      <c r="SA33" s="51"/>
      <c r="SD33" s="51"/>
      <c r="SF33" s="51"/>
      <c r="SG33" s="51"/>
      <c r="SI33" s="51"/>
      <c r="SL33" s="51"/>
      <c r="SN33" s="51"/>
      <c r="SO33" s="51"/>
      <c r="SQ33" s="51"/>
      <c r="ST33" s="51"/>
      <c r="SV33" s="51"/>
      <c r="SW33" s="51"/>
      <c r="SY33" s="51"/>
      <c r="TB33" s="51"/>
      <c r="TD33" s="51"/>
      <c r="TE33" s="51"/>
      <c r="TG33" s="51"/>
      <c r="TJ33" s="51"/>
      <c r="TL33" s="51"/>
      <c r="TM33" s="51"/>
      <c r="TO33" s="51"/>
      <c r="TR33" s="51"/>
      <c r="TT33" s="51"/>
      <c r="TU33" s="51"/>
      <c r="TW33" s="51"/>
      <c r="TZ33" s="51"/>
      <c r="UB33" s="51"/>
      <c r="UC33" s="51"/>
      <c r="UE33" s="51"/>
      <c r="UH33" s="51"/>
      <c r="UJ33" s="51"/>
      <c r="UK33" s="51"/>
      <c r="UM33" s="51"/>
      <c r="UP33" s="51"/>
      <c r="UR33" s="51"/>
      <c r="US33" s="51"/>
      <c r="UU33" s="51"/>
      <c r="UX33" s="51"/>
      <c r="UZ33" s="51"/>
      <c r="VA33" s="51"/>
      <c r="VC33" s="51"/>
      <c r="VF33" s="51"/>
      <c r="VH33" s="51"/>
      <c r="VI33" s="51"/>
      <c r="VK33" s="51"/>
      <c r="VN33" s="51"/>
      <c r="VP33" s="51"/>
      <c r="VQ33" s="51"/>
      <c r="VS33" s="51"/>
      <c r="VV33" s="51"/>
      <c r="VX33" s="51"/>
      <c r="VY33" s="51"/>
      <c r="WA33" s="51"/>
      <c r="WD33" s="51"/>
      <c r="WF33" s="51"/>
      <c r="WG33" s="51"/>
      <c r="WI33" s="51"/>
      <c r="WL33" s="51"/>
      <c r="WN33" s="51"/>
      <c r="WO33" s="51"/>
      <c r="WQ33" s="51"/>
      <c r="WT33" s="51"/>
      <c r="WV33" s="51"/>
      <c r="WW33" s="51"/>
      <c r="WY33" s="51"/>
      <c r="XB33" s="51"/>
      <c r="XD33" s="51"/>
      <c r="XE33" s="51"/>
      <c r="XG33" s="51"/>
      <c r="XJ33" s="51"/>
      <c r="XL33" s="51"/>
      <c r="XM33" s="51"/>
      <c r="XO33" s="51"/>
      <c r="XR33" s="51"/>
      <c r="XT33" s="51"/>
      <c r="XU33" s="51"/>
      <c r="XW33" s="51"/>
      <c r="XZ33" s="51"/>
      <c r="YB33" s="51"/>
      <c r="YC33" s="51"/>
      <c r="YE33" s="51"/>
      <c r="YH33" s="51"/>
      <c r="YJ33" s="51"/>
      <c r="YK33" s="51"/>
      <c r="YM33" s="51"/>
      <c r="YP33" s="51"/>
      <c r="YR33" s="51"/>
      <c r="YS33" s="51"/>
      <c r="YU33" s="51"/>
      <c r="YX33" s="51"/>
      <c r="YZ33" s="51"/>
      <c r="ZA33" s="51"/>
      <c r="ZC33" s="51"/>
      <c r="ZF33" s="51"/>
      <c r="ZH33" s="51"/>
      <c r="ZI33" s="51"/>
      <c r="ZK33" s="51"/>
      <c r="ZN33" s="51"/>
      <c r="ZP33" s="51"/>
      <c r="ZQ33" s="51"/>
      <c r="ZS33" s="51"/>
      <c r="ZV33" s="51"/>
      <c r="ZX33" s="51"/>
      <c r="ZY33" s="51"/>
      <c r="AAA33" s="51"/>
      <c r="AAD33" s="51"/>
      <c r="AAF33" s="51"/>
      <c r="AAG33" s="51"/>
      <c r="AAI33" s="51"/>
      <c r="AAL33" s="51"/>
      <c r="AAN33" s="51"/>
      <c r="AAO33" s="51"/>
      <c r="AAQ33" s="51"/>
      <c r="AAT33" s="51"/>
      <c r="AAV33" s="51"/>
      <c r="AAW33" s="51"/>
      <c r="AAY33" s="51"/>
      <c r="ABB33" s="51"/>
      <c r="ABD33" s="51"/>
      <c r="ABE33" s="51"/>
      <c r="ABG33" s="51"/>
      <c r="ABJ33" s="51"/>
      <c r="ABL33" s="51"/>
      <c r="ABM33" s="51"/>
      <c r="ABO33" s="51"/>
      <c r="ABR33" s="51"/>
      <c r="ABT33" s="51"/>
      <c r="ABU33" s="51"/>
      <c r="ABW33" s="51"/>
      <c r="ABZ33" s="51"/>
      <c r="ACB33" s="51"/>
      <c r="ACC33" s="51"/>
      <c r="ACE33" s="51"/>
      <c r="ACH33" s="51"/>
      <c r="ACJ33" s="51"/>
      <c r="ACK33" s="51"/>
      <c r="ACM33" s="51"/>
      <c r="ACP33" s="51"/>
      <c r="ACR33" s="51"/>
      <c r="ACS33" s="51"/>
      <c r="ACU33" s="51"/>
      <c r="ACX33" s="51"/>
      <c r="ACZ33" s="51"/>
      <c r="ADA33" s="51"/>
      <c r="ADC33" s="51"/>
      <c r="ADF33" s="51"/>
      <c r="ADH33" s="51"/>
      <c r="ADI33" s="51"/>
      <c r="ADK33" s="51"/>
      <c r="ADN33" s="51"/>
      <c r="ADP33" s="51"/>
      <c r="ADQ33" s="51"/>
      <c r="ADS33" s="51"/>
      <c r="ADV33" s="51"/>
      <c r="ADX33" s="51"/>
      <c r="ADY33" s="51"/>
      <c r="AEA33" s="51"/>
      <c r="AED33" s="51"/>
      <c r="AEF33" s="51"/>
      <c r="AEG33" s="51"/>
      <c r="AEI33" s="51"/>
      <c r="AEL33" s="51"/>
      <c r="AEN33" s="51"/>
      <c r="AEO33" s="51"/>
      <c r="AEQ33" s="51"/>
      <c r="AET33" s="51"/>
      <c r="AEV33" s="51"/>
      <c r="AEW33" s="51"/>
      <c r="AEY33" s="51"/>
      <c r="AFB33" s="51"/>
      <c r="AFD33" s="51"/>
      <c r="AFE33" s="51"/>
      <c r="AFG33" s="51"/>
      <c r="AFJ33" s="51"/>
      <c r="AFL33" s="51"/>
      <c r="AFM33" s="51"/>
      <c r="AFO33" s="51"/>
      <c r="AFR33" s="51"/>
      <c r="AFT33" s="51"/>
      <c r="AFU33" s="51"/>
      <c r="AFW33" s="51"/>
      <c r="AFZ33" s="51"/>
      <c r="AGB33" s="51"/>
      <c r="AGC33" s="51"/>
      <c r="AGE33" s="51"/>
      <c r="AGH33" s="51"/>
      <c r="AGJ33" s="51"/>
      <c r="AGK33" s="51"/>
      <c r="AGM33" s="51"/>
      <c r="AGP33" s="51"/>
      <c r="AGR33" s="51"/>
      <c r="AGS33" s="51"/>
      <c r="AGU33" s="51"/>
      <c r="AGX33" s="51"/>
      <c r="AGZ33" s="51"/>
      <c r="AHA33" s="51"/>
      <c r="AHC33" s="51"/>
      <c r="AHF33" s="51"/>
      <c r="AHH33" s="51"/>
      <c r="AHI33" s="51"/>
      <c r="AHK33" s="51"/>
      <c r="AHN33" s="51"/>
      <c r="AHP33" s="51"/>
      <c r="AHQ33" s="51"/>
      <c r="AHS33" s="51"/>
      <c r="AHV33" s="51"/>
      <c r="AHX33" s="51"/>
      <c r="AHY33" s="51"/>
      <c r="AIA33" s="51"/>
      <c r="AID33" s="51"/>
      <c r="AIF33" s="51"/>
      <c r="AIG33" s="51"/>
      <c r="AII33" s="51"/>
      <c r="AIL33" s="51"/>
      <c r="AIN33" s="51"/>
      <c r="AIO33" s="51"/>
      <c r="AIQ33" s="51"/>
      <c r="AIT33" s="51"/>
      <c r="AIV33" s="51"/>
      <c r="AIW33" s="51"/>
      <c r="AIY33" s="51"/>
      <c r="AJB33" s="51"/>
      <c r="AJD33" s="51"/>
      <c r="AJE33" s="51"/>
      <c r="AJG33" s="51"/>
      <c r="AJJ33" s="51"/>
      <c r="AJL33" s="51"/>
      <c r="AJM33" s="51"/>
      <c r="AJO33" s="51"/>
      <c r="AJR33" s="51"/>
      <c r="AJT33" s="51"/>
      <c r="AJU33" s="51"/>
      <c r="AJW33" s="51"/>
      <c r="AJZ33" s="51"/>
      <c r="AKB33" s="51"/>
      <c r="AKC33" s="51"/>
      <c r="AKE33" s="51"/>
      <c r="AKH33" s="51"/>
      <c r="AKJ33" s="51"/>
      <c r="AKK33" s="51"/>
      <c r="AKM33" s="51"/>
      <c r="AKP33" s="51"/>
      <c r="AKR33" s="51"/>
      <c r="AKS33" s="51"/>
      <c r="AKU33" s="51"/>
      <c r="AKX33" s="51"/>
      <c r="AKZ33" s="51"/>
      <c r="ALA33" s="51"/>
      <c r="ALC33" s="51"/>
      <c r="ALF33" s="51"/>
      <c r="ALH33" s="51"/>
      <c r="ALI33" s="51"/>
      <c r="ALK33" s="51"/>
      <c r="ALN33" s="51"/>
      <c r="ALP33" s="51"/>
      <c r="ALQ33" s="51"/>
      <c r="ALS33" s="51"/>
      <c r="ALV33" s="51"/>
      <c r="ALX33" s="51"/>
      <c r="ALY33" s="51"/>
      <c r="AMA33" s="51"/>
      <c r="AMD33" s="51"/>
      <c r="AMF33" s="51"/>
      <c r="AMG33" s="51"/>
      <c r="AMI33" s="51"/>
      <c r="AML33" s="51"/>
      <c r="AMN33" s="51"/>
      <c r="AMO33" s="51"/>
      <c r="AMQ33" s="51"/>
      <c r="AMT33" s="51"/>
      <c r="AMV33" s="51"/>
      <c r="AMW33" s="51"/>
      <c r="AMY33" s="51"/>
      <c r="ANB33" s="51"/>
      <c r="AND33" s="51"/>
      <c r="ANE33" s="51"/>
      <c r="ANG33" s="51"/>
      <c r="ANJ33" s="51"/>
      <c r="ANL33" s="51"/>
      <c r="ANM33" s="51"/>
      <c r="ANO33" s="51"/>
      <c r="ANR33" s="51"/>
      <c r="ANT33" s="51"/>
      <c r="ANU33" s="51"/>
      <c r="ANW33" s="51"/>
      <c r="ANZ33" s="51"/>
      <c r="AOB33" s="51"/>
      <c r="AOC33" s="51"/>
      <c r="AOE33" s="51"/>
      <c r="AOH33" s="51"/>
      <c r="AOJ33" s="51"/>
      <c r="AOK33" s="51"/>
      <c r="AOM33" s="51"/>
      <c r="AOP33" s="51"/>
      <c r="AOR33" s="51"/>
      <c r="AOS33" s="51"/>
      <c r="AOU33" s="51"/>
      <c r="AOX33" s="51"/>
      <c r="AOZ33" s="51"/>
      <c r="APA33" s="51"/>
      <c r="APC33" s="51"/>
      <c r="APF33" s="51"/>
      <c r="APH33" s="51"/>
      <c r="API33" s="51"/>
      <c r="APK33" s="51"/>
      <c r="APN33" s="51"/>
      <c r="APP33" s="51"/>
      <c r="APQ33" s="51"/>
      <c r="APS33" s="51"/>
      <c r="APV33" s="51"/>
      <c r="APX33" s="51"/>
      <c r="APY33" s="51"/>
      <c r="AQA33" s="51"/>
      <c r="AQD33" s="51"/>
      <c r="AQF33" s="51"/>
      <c r="AQG33" s="51"/>
      <c r="AQI33" s="51"/>
      <c r="AQL33" s="51"/>
      <c r="AQN33" s="51"/>
      <c r="AQO33" s="51"/>
      <c r="AQQ33" s="51"/>
      <c r="AQT33" s="51"/>
      <c r="AQV33" s="51"/>
      <c r="AQW33" s="51"/>
      <c r="AQY33" s="51"/>
      <c r="ARB33" s="51"/>
      <c r="ARD33" s="51"/>
      <c r="ARE33" s="51"/>
      <c r="ARG33" s="51"/>
      <c r="ARJ33" s="51"/>
      <c r="ARL33" s="51"/>
      <c r="ARM33" s="51"/>
      <c r="ARO33" s="51"/>
      <c r="ARR33" s="51"/>
      <c r="ART33" s="51"/>
      <c r="ARU33" s="51"/>
      <c r="ARW33" s="51"/>
      <c r="ARZ33" s="51"/>
      <c r="ASB33" s="51"/>
      <c r="ASC33" s="51"/>
      <c r="ASE33" s="51"/>
      <c r="ASH33" s="51"/>
      <c r="ASJ33" s="51"/>
      <c r="ASK33" s="51"/>
      <c r="ASM33" s="51"/>
      <c r="ASP33" s="51"/>
      <c r="ASR33" s="51"/>
      <c r="ASS33" s="51"/>
      <c r="ASU33" s="51"/>
      <c r="ASX33" s="51"/>
      <c r="ASZ33" s="51"/>
      <c r="ATA33" s="51"/>
      <c r="ATC33" s="51"/>
      <c r="ATF33" s="51"/>
      <c r="ATH33" s="51"/>
      <c r="ATI33" s="51"/>
      <c r="ATK33" s="51"/>
      <c r="ATN33" s="51"/>
      <c r="ATP33" s="51"/>
      <c r="ATQ33" s="51"/>
      <c r="ATS33" s="51"/>
      <c r="ATV33" s="51"/>
      <c r="ATX33" s="51"/>
      <c r="ATY33" s="51"/>
      <c r="AUA33" s="51"/>
      <c r="AUD33" s="51"/>
      <c r="AUF33" s="51"/>
      <c r="AUG33" s="51"/>
      <c r="AUI33" s="51"/>
      <c r="AUL33" s="51"/>
      <c r="AUN33" s="51"/>
      <c r="AUO33" s="51"/>
      <c r="AUQ33" s="51"/>
      <c r="AUT33" s="51"/>
      <c r="AUV33" s="51"/>
      <c r="AUW33" s="51"/>
      <c r="AUY33" s="51"/>
      <c r="AVB33" s="51"/>
      <c r="AVD33" s="51"/>
      <c r="AVE33" s="51"/>
      <c r="AVG33" s="51"/>
      <c r="AVJ33" s="51"/>
      <c r="AVL33" s="51"/>
      <c r="AVM33" s="51"/>
      <c r="AVO33" s="51"/>
      <c r="AVR33" s="51"/>
      <c r="AVT33" s="51"/>
      <c r="AVU33" s="51"/>
      <c r="AVW33" s="51"/>
      <c r="AVZ33" s="51"/>
      <c r="AWB33" s="51"/>
      <c r="AWC33" s="51"/>
      <c r="AWE33" s="51"/>
      <c r="AWH33" s="51"/>
      <c r="AWJ33" s="51"/>
      <c r="AWK33" s="51"/>
      <c r="AWM33" s="51"/>
      <c r="AWP33" s="51"/>
      <c r="AWR33" s="51"/>
      <c r="AWS33" s="51"/>
      <c r="AWU33" s="51"/>
      <c r="AWX33" s="51"/>
      <c r="AWZ33" s="51"/>
      <c r="AXA33" s="51"/>
      <c r="AXC33" s="51"/>
      <c r="AXF33" s="51"/>
      <c r="AXH33" s="51"/>
      <c r="AXI33" s="51"/>
      <c r="AXK33" s="51"/>
      <c r="AXN33" s="51"/>
      <c r="AXP33" s="51"/>
      <c r="AXQ33" s="51"/>
      <c r="AXS33" s="51"/>
      <c r="AXV33" s="51"/>
      <c r="AXX33" s="51"/>
      <c r="AXY33" s="51"/>
      <c r="AYA33" s="51"/>
      <c r="AYD33" s="51"/>
      <c r="AYF33" s="51"/>
      <c r="AYG33" s="51"/>
      <c r="AYI33" s="51"/>
      <c r="AYL33" s="51"/>
      <c r="AYN33" s="51"/>
      <c r="AYO33" s="51"/>
      <c r="AYQ33" s="51"/>
      <c r="AYT33" s="51"/>
      <c r="AYV33" s="51"/>
      <c r="AYW33" s="51"/>
      <c r="AYY33" s="51"/>
      <c r="AZB33" s="51"/>
      <c r="AZD33" s="51"/>
      <c r="AZE33" s="51"/>
      <c r="AZG33" s="51"/>
      <c r="AZJ33" s="51"/>
      <c r="AZL33" s="51"/>
      <c r="AZM33" s="51"/>
      <c r="AZO33" s="51"/>
      <c r="AZR33" s="51"/>
      <c r="AZT33" s="51"/>
      <c r="AZU33" s="51"/>
      <c r="AZW33" s="51"/>
      <c r="AZZ33" s="51"/>
      <c r="BAB33" s="51"/>
      <c r="BAC33" s="51"/>
      <c r="BAE33" s="51"/>
      <c r="BAH33" s="51"/>
      <c r="BAJ33" s="51"/>
      <c r="BAK33" s="51"/>
      <c r="BAM33" s="51"/>
      <c r="BAP33" s="51"/>
      <c r="BAR33" s="51"/>
      <c r="BAS33" s="51"/>
      <c r="BAU33" s="51"/>
      <c r="BAX33" s="51"/>
      <c r="BAZ33" s="51"/>
      <c r="BBA33" s="51"/>
      <c r="BBC33" s="51"/>
      <c r="BBF33" s="51"/>
      <c r="BBH33" s="51"/>
      <c r="BBI33" s="51"/>
      <c r="BBK33" s="51"/>
      <c r="BBN33" s="51"/>
      <c r="BBP33" s="51"/>
      <c r="BBQ33" s="51"/>
      <c r="BBS33" s="51"/>
      <c r="BBV33" s="51"/>
      <c r="BBX33" s="51"/>
      <c r="BBY33" s="51"/>
      <c r="BCA33" s="51"/>
      <c r="BCD33" s="51"/>
      <c r="BCF33" s="51"/>
      <c r="BCG33" s="51"/>
      <c r="BCI33" s="51"/>
      <c r="BCL33" s="51"/>
      <c r="BCN33" s="51"/>
      <c r="BCO33" s="51"/>
      <c r="BCQ33" s="51"/>
      <c r="BCT33" s="51"/>
      <c r="BCV33" s="51"/>
      <c r="BCW33" s="51"/>
      <c r="BCY33" s="51"/>
      <c r="BDB33" s="51"/>
      <c r="BDD33" s="51"/>
      <c r="BDE33" s="51"/>
      <c r="BDG33" s="51"/>
      <c r="BDJ33" s="51"/>
      <c r="BDL33" s="51"/>
      <c r="BDM33" s="51"/>
      <c r="BDO33" s="51"/>
      <c r="BDR33" s="51"/>
      <c r="BDT33" s="51"/>
      <c r="BDU33" s="51"/>
      <c r="BDW33" s="51"/>
      <c r="BDZ33" s="51"/>
      <c r="BEB33" s="51"/>
      <c r="BEC33" s="51"/>
      <c r="BEE33" s="51"/>
      <c r="BEH33" s="51"/>
      <c r="BEJ33" s="51"/>
      <c r="BEK33" s="51"/>
      <c r="BEM33" s="51"/>
      <c r="BEP33" s="51"/>
      <c r="BER33" s="51"/>
      <c r="BES33" s="51"/>
      <c r="BEU33" s="51"/>
      <c r="BEX33" s="51"/>
      <c r="BEZ33" s="51"/>
      <c r="BFA33" s="51"/>
      <c r="BFC33" s="51"/>
      <c r="BFF33" s="51"/>
      <c r="BFH33" s="51"/>
      <c r="BFI33" s="51"/>
      <c r="BFK33" s="51"/>
      <c r="BFN33" s="51"/>
      <c r="BFP33" s="51"/>
      <c r="BFQ33" s="51"/>
      <c r="BFS33" s="51"/>
      <c r="BFV33" s="51"/>
      <c r="BFX33" s="51"/>
      <c r="BFY33" s="51"/>
      <c r="BGA33" s="51"/>
      <c r="BGD33" s="51"/>
      <c r="BGF33" s="51"/>
      <c r="BGG33" s="51"/>
      <c r="BGI33" s="51"/>
      <c r="BGL33" s="51"/>
      <c r="BGN33" s="51"/>
      <c r="BGO33" s="51"/>
      <c r="BGQ33" s="51"/>
      <c r="BGT33" s="51"/>
      <c r="BGV33" s="51"/>
      <c r="BGW33" s="51"/>
      <c r="BGY33" s="51"/>
      <c r="BHB33" s="51"/>
      <c r="BHD33" s="51"/>
      <c r="BHE33" s="51"/>
      <c r="BHG33" s="51"/>
      <c r="BHJ33" s="51"/>
      <c r="BHL33" s="51"/>
      <c r="BHM33" s="51"/>
      <c r="BHO33" s="51"/>
      <c r="BHR33" s="51"/>
      <c r="BHT33" s="51"/>
      <c r="BHU33" s="51"/>
      <c r="BHW33" s="51"/>
      <c r="BHZ33" s="51"/>
      <c r="BIB33" s="51"/>
      <c r="BIC33" s="51"/>
      <c r="BIE33" s="51"/>
      <c r="BIH33" s="51"/>
      <c r="BIJ33" s="51"/>
      <c r="BIK33" s="51"/>
      <c r="BIM33" s="51"/>
      <c r="BIP33" s="51"/>
      <c r="BIR33" s="51"/>
      <c r="BIS33" s="51"/>
      <c r="BIU33" s="51"/>
      <c r="BIX33" s="51"/>
      <c r="BIZ33" s="51"/>
      <c r="BJA33" s="51"/>
      <c r="BJC33" s="51"/>
      <c r="BJF33" s="51"/>
      <c r="BJH33" s="51"/>
      <c r="BJI33" s="51"/>
      <c r="BJK33" s="51"/>
      <c r="BJN33" s="51"/>
      <c r="BJP33" s="51"/>
      <c r="BJQ33" s="51"/>
      <c r="BJS33" s="51"/>
      <c r="BJV33" s="51"/>
      <c r="BJX33" s="51"/>
      <c r="BJY33" s="51"/>
      <c r="BKA33" s="51"/>
      <c r="BKD33" s="51"/>
      <c r="BKF33" s="51"/>
      <c r="BKG33" s="51"/>
      <c r="BKI33" s="51"/>
      <c r="BKL33" s="51"/>
      <c r="BKN33" s="51"/>
      <c r="BKO33" s="51"/>
      <c r="BKQ33" s="51"/>
      <c r="BKT33" s="51"/>
      <c r="BKV33" s="51"/>
      <c r="BKW33" s="51"/>
      <c r="BKY33" s="51"/>
      <c r="BLB33" s="51"/>
      <c r="BLD33" s="51"/>
      <c r="BLE33" s="51"/>
      <c r="BLG33" s="51"/>
      <c r="BLJ33" s="51"/>
      <c r="BLL33" s="51"/>
      <c r="BLM33" s="51"/>
      <c r="BLO33" s="51"/>
      <c r="BLR33" s="51"/>
      <c r="BLT33" s="51"/>
      <c r="BLU33" s="51"/>
      <c r="BLW33" s="51"/>
      <c r="BLZ33" s="51"/>
      <c r="BMB33" s="51"/>
      <c r="BMC33" s="51"/>
      <c r="BME33" s="51"/>
      <c r="BMH33" s="51"/>
      <c r="BMJ33" s="51"/>
      <c r="BMK33" s="51"/>
      <c r="BMM33" s="51"/>
      <c r="BMP33" s="51"/>
      <c r="BMR33" s="51"/>
      <c r="BMS33" s="51"/>
      <c r="BMU33" s="51"/>
      <c r="BMX33" s="51"/>
      <c r="BMZ33" s="51"/>
      <c r="BNA33" s="51"/>
      <c r="BNC33" s="51"/>
      <c r="BNF33" s="51"/>
      <c r="BNH33" s="51"/>
      <c r="BNI33" s="51"/>
      <c r="BNK33" s="51"/>
      <c r="BNN33" s="51"/>
      <c r="BNP33" s="51"/>
      <c r="BNQ33" s="51"/>
      <c r="BNS33" s="51"/>
      <c r="BNV33" s="51"/>
      <c r="BNX33" s="51"/>
      <c r="BNY33" s="51"/>
      <c r="BOA33" s="51"/>
      <c r="BOD33" s="51"/>
      <c r="BOF33" s="51"/>
      <c r="BOG33" s="51"/>
      <c r="BOI33" s="51"/>
      <c r="BOL33" s="51"/>
      <c r="BON33" s="51"/>
      <c r="BOO33" s="51"/>
      <c r="BOQ33" s="51"/>
      <c r="BOT33" s="51"/>
      <c r="BOV33" s="51"/>
      <c r="BOW33" s="51"/>
      <c r="BOY33" s="51"/>
      <c r="BPB33" s="51"/>
      <c r="BPD33" s="51"/>
      <c r="BPE33" s="51"/>
      <c r="BPG33" s="51"/>
      <c r="BPJ33" s="51"/>
      <c r="BPL33" s="51"/>
      <c r="BPM33" s="51"/>
      <c r="BPO33" s="51"/>
      <c r="BPR33" s="51"/>
      <c r="BPT33" s="51"/>
      <c r="BPU33" s="51"/>
      <c r="BPW33" s="51"/>
      <c r="BPZ33" s="51"/>
      <c r="BQB33" s="51"/>
      <c r="BQC33" s="51"/>
      <c r="BQE33" s="51"/>
      <c r="BQH33" s="51"/>
      <c r="BQJ33" s="51"/>
      <c r="BQK33" s="51"/>
      <c r="BQM33" s="51"/>
      <c r="BQP33" s="51"/>
      <c r="BQR33" s="51"/>
      <c r="BQS33" s="51"/>
      <c r="BQU33" s="51"/>
      <c r="BQX33" s="51"/>
      <c r="BQZ33" s="51"/>
      <c r="BRA33" s="51"/>
      <c r="BRC33" s="51"/>
      <c r="BRF33" s="51"/>
      <c r="BRH33" s="51"/>
      <c r="BRI33" s="51"/>
      <c r="BRK33" s="51"/>
      <c r="BRN33" s="51"/>
      <c r="BRP33" s="51"/>
      <c r="BRQ33" s="51"/>
      <c r="BRS33" s="51"/>
      <c r="BRV33" s="51"/>
      <c r="BRX33" s="51"/>
      <c r="BRY33" s="51"/>
      <c r="BSA33" s="51"/>
      <c r="BSD33" s="51"/>
      <c r="BSF33" s="51"/>
      <c r="BSG33" s="51"/>
      <c r="BSI33" s="51"/>
      <c r="BSL33" s="51"/>
      <c r="BSN33" s="51"/>
      <c r="BSO33" s="51"/>
      <c r="BSQ33" s="51"/>
      <c r="BST33" s="51"/>
      <c r="BSV33" s="51"/>
      <c r="BSW33" s="51"/>
      <c r="BSY33" s="51"/>
      <c r="BTB33" s="51"/>
      <c r="BTD33" s="51"/>
      <c r="BTE33" s="51"/>
      <c r="BTG33" s="51"/>
      <c r="BTJ33" s="51"/>
      <c r="BTL33" s="51"/>
      <c r="BTM33" s="51"/>
      <c r="BTO33" s="51"/>
      <c r="BTR33" s="51"/>
      <c r="BTT33" s="51"/>
      <c r="BTU33" s="51"/>
      <c r="BTW33" s="51"/>
      <c r="BTZ33" s="51"/>
      <c r="BUB33" s="51"/>
      <c r="BUC33" s="51"/>
      <c r="BUE33" s="51"/>
      <c r="BUH33" s="51"/>
      <c r="BUJ33" s="51"/>
      <c r="BUK33" s="51"/>
      <c r="BUM33" s="51"/>
      <c r="BUP33" s="51"/>
      <c r="BUR33" s="51"/>
      <c r="BUS33" s="51"/>
      <c r="BUU33" s="51"/>
      <c r="BUX33" s="51"/>
      <c r="BUZ33" s="51"/>
      <c r="BVA33" s="51"/>
      <c r="BVC33" s="51"/>
      <c r="BVF33" s="51"/>
      <c r="BVH33" s="51"/>
      <c r="BVI33" s="51"/>
      <c r="BVK33" s="51"/>
      <c r="BVN33" s="51"/>
      <c r="BVP33" s="51"/>
      <c r="BVQ33" s="51"/>
      <c r="BVS33" s="51"/>
      <c r="BVV33" s="51"/>
      <c r="BVX33" s="51"/>
      <c r="BVY33" s="51"/>
      <c r="BWA33" s="51"/>
      <c r="BWD33" s="51"/>
      <c r="BWF33" s="51"/>
      <c r="BWG33" s="51"/>
      <c r="BWI33" s="51"/>
      <c r="BWL33" s="51"/>
      <c r="BWN33" s="51"/>
      <c r="BWO33" s="51"/>
      <c r="BWQ33" s="51"/>
      <c r="BWT33" s="51"/>
      <c r="BWV33" s="51"/>
      <c r="BWW33" s="51"/>
      <c r="BWY33" s="51"/>
      <c r="BXB33" s="51"/>
      <c r="BXD33" s="51"/>
      <c r="BXE33" s="51"/>
      <c r="BXG33" s="51"/>
      <c r="BXJ33" s="51"/>
      <c r="BXL33" s="51"/>
      <c r="BXM33" s="51"/>
      <c r="BXO33" s="51"/>
      <c r="BXR33" s="51"/>
      <c r="BXT33" s="51"/>
      <c r="BXU33" s="51"/>
      <c r="BXW33" s="51"/>
      <c r="BXZ33" s="51"/>
      <c r="BYB33" s="51"/>
      <c r="BYC33" s="51"/>
      <c r="BYE33" s="51"/>
      <c r="BYH33" s="51"/>
      <c r="BYJ33" s="51"/>
      <c r="BYK33" s="51"/>
      <c r="BYM33" s="51"/>
      <c r="BYP33" s="51"/>
      <c r="BYR33" s="51"/>
      <c r="BYS33" s="51"/>
      <c r="BYU33" s="51"/>
      <c r="BYX33" s="51"/>
      <c r="BYZ33" s="51"/>
      <c r="BZA33" s="51"/>
      <c r="BZC33" s="51"/>
      <c r="BZF33" s="51"/>
      <c r="BZH33" s="51"/>
      <c r="BZI33" s="51"/>
      <c r="BZK33" s="51"/>
      <c r="BZN33" s="51"/>
      <c r="BZP33" s="51"/>
      <c r="BZQ33" s="51"/>
      <c r="BZS33" s="51"/>
      <c r="BZV33" s="51"/>
      <c r="BZX33" s="51"/>
      <c r="BZY33" s="51"/>
      <c r="CAA33" s="51"/>
      <c r="CAD33" s="51"/>
      <c r="CAF33" s="51"/>
      <c r="CAG33" s="51"/>
      <c r="CAI33" s="51"/>
      <c r="CAL33" s="51"/>
      <c r="CAN33" s="51"/>
      <c r="CAO33" s="51"/>
      <c r="CAQ33" s="51"/>
      <c r="CAT33" s="51"/>
      <c r="CAV33" s="51"/>
      <c r="CAW33" s="51"/>
      <c r="CAY33" s="51"/>
      <c r="CBB33" s="51"/>
      <c r="CBD33" s="51"/>
      <c r="CBE33" s="51"/>
      <c r="CBG33" s="51"/>
      <c r="CBJ33" s="51"/>
      <c r="CBL33" s="51"/>
      <c r="CBM33" s="51"/>
      <c r="CBO33" s="51"/>
      <c r="CBR33" s="51"/>
      <c r="CBT33" s="51"/>
      <c r="CBU33" s="51"/>
      <c r="CBW33" s="51"/>
      <c r="CBZ33" s="51"/>
      <c r="CCB33" s="51"/>
      <c r="CCC33" s="51"/>
      <c r="CCE33" s="51"/>
      <c r="CCH33" s="51"/>
      <c r="CCJ33" s="51"/>
      <c r="CCK33" s="51"/>
      <c r="CCM33" s="51"/>
      <c r="CCP33" s="51"/>
      <c r="CCR33" s="51"/>
      <c r="CCS33" s="51"/>
      <c r="CCU33" s="51"/>
      <c r="CCX33" s="51"/>
      <c r="CCZ33" s="51"/>
      <c r="CDA33" s="51"/>
      <c r="CDC33" s="51"/>
      <c r="CDF33" s="51"/>
      <c r="CDH33" s="51"/>
      <c r="CDI33" s="51"/>
      <c r="CDK33" s="51"/>
      <c r="CDN33" s="51"/>
      <c r="CDP33" s="51"/>
      <c r="CDQ33" s="51"/>
      <c r="CDS33" s="51"/>
      <c r="CDV33" s="51"/>
      <c r="CDX33" s="51"/>
      <c r="CDY33" s="51"/>
      <c r="CEA33" s="51"/>
      <c r="CED33" s="51"/>
      <c r="CEF33" s="51"/>
      <c r="CEG33" s="51"/>
      <c r="CEI33" s="51"/>
      <c r="CEL33" s="51"/>
      <c r="CEN33" s="51"/>
      <c r="CEO33" s="51"/>
      <c r="CEQ33" s="51"/>
      <c r="CET33" s="51"/>
      <c r="CEV33" s="51"/>
      <c r="CEW33" s="51"/>
      <c r="CEY33" s="51"/>
      <c r="CFB33" s="51"/>
      <c r="CFD33" s="51"/>
      <c r="CFE33" s="51"/>
      <c r="CFG33" s="51"/>
      <c r="CFJ33" s="51"/>
      <c r="CFL33" s="51"/>
      <c r="CFM33" s="51"/>
      <c r="CFO33" s="51"/>
      <c r="CFR33" s="51"/>
      <c r="CFT33" s="51"/>
      <c r="CFU33" s="51"/>
      <c r="CFW33" s="51"/>
      <c r="CFZ33" s="51"/>
      <c r="CGB33" s="51"/>
      <c r="CGC33" s="51"/>
      <c r="CGE33" s="51"/>
      <c r="CGH33" s="51"/>
      <c r="CGJ33" s="51"/>
      <c r="CGK33" s="51"/>
      <c r="CGM33" s="51"/>
      <c r="CGP33" s="51"/>
      <c r="CGR33" s="51"/>
      <c r="CGS33" s="51"/>
      <c r="CGU33" s="51"/>
      <c r="CGX33" s="51"/>
      <c r="CGZ33" s="51"/>
      <c r="CHA33" s="51"/>
      <c r="CHC33" s="51"/>
      <c r="CHF33" s="51"/>
      <c r="CHH33" s="51"/>
      <c r="CHI33" s="51"/>
      <c r="CHK33" s="51"/>
      <c r="CHN33" s="51"/>
      <c r="CHP33" s="51"/>
      <c r="CHQ33" s="51"/>
      <c r="CHS33" s="51"/>
      <c r="CHV33" s="51"/>
      <c r="CHX33" s="51"/>
      <c r="CHY33" s="51"/>
      <c r="CIA33" s="51"/>
      <c r="CID33" s="51"/>
      <c r="CIF33" s="51"/>
      <c r="CIG33" s="51"/>
      <c r="CII33" s="51"/>
      <c r="CIL33" s="51"/>
      <c r="CIN33" s="51"/>
      <c r="CIO33" s="51"/>
      <c r="CIQ33" s="51"/>
      <c r="CIT33" s="51"/>
      <c r="CIV33" s="51"/>
      <c r="CIW33" s="51"/>
      <c r="CIY33" s="51"/>
      <c r="CJB33" s="51"/>
      <c r="CJD33" s="51"/>
      <c r="CJE33" s="51"/>
      <c r="CJG33" s="51"/>
      <c r="CJJ33" s="51"/>
      <c r="CJL33" s="51"/>
      <c r="CJM33" s="51"/>
      <c r="CJO33" s="51"/>
      <c r="CJR33" s="51"/>
      <c r="CJT33" s="51"/>
      <c r="CJU33" s="51"/>
      <c r="CJW33" s="51"/>
      <c r="CJZ33" s="51"/>
      <c r="CKB33" s="51"/>
      <c r="CKC33" s="51"/>
      <c r="CKE33" s="51"/>
      <c r="CKH33" s="51"/>
      <c r="CKJ33" s="51"/>
      <c r="CKK33" s="51"/>
      <c r="CKM33" s="51"/>
      <c r="CKP33" s="51"/>
      <c r="CKR33" s="51"/>
      <c r="CKS33" s="51"/>
      <c r="CKU33" s="51"/>
      <c r="CKX33" s="51"/>
      <c r="CKZ33" s="51"/>
      <c r="CLA33" s="51"/>
      <c r="CLC33" s="51"/>
      <c r="CLF33" s="51"/>
      <c r="CLH33" s="51"/>
      <c r="CLI33" s="51"/>
      <c r="CLK33" s="51"/>
      <c r="CLN33" s="51"/>
      <c r="CLP33" s="51"/>
      <c r="CLQ33" s="51"/>
      <c r="CLS33" s="51"/>
      <c r="CLV33" s="51"/>
      <c r="CLX33" s="51"/>
      <c r="CLY33" s="51"/>
      <c r="CMA33" s="51"/>
      <c r="CMD33" s="51"/>
      <c r="CMF33" s="51"/>
      <c r="CMG33" s="51"/>
      <c r="CMI33" s="51"/>
      <c r="CML33" s="51"/>
      <c r="CMN33" s="51"/>
      <c r="CMO33" s="51"/>
      <c r="CMQ33" s="51"/>
      <c r="CMT33" s="51"/>
      <c r="CMV33" s="51"/>
      <c r="CMW33" s="51"/>
      <c r="CMY33" s="51"/>
      <c r="CNB33" s="51"/>
      <c r="CND33" s="51"/>
      <c r="CNE33" s="51"/>
      <c r="CNG33" s="51"/>
      <c r="CNJ33" s="51"/>
      <c r="CNL33" s="51"/>
      <c r="CNM33" s="51"/>
      <c r="CNO33" s="51"/>
      <c r="CNR33" s="51"/>
      <c r="CNT33" s="51"/>
      <c r="CNU33" s="51"/>
      <c r="CNW33" s="51"/>
      <c r="CNZ33" s="51"/>
      <c r="COB33" s="51"/>
      <c r="COC33" s="51"/>
      <c r="COE33" s="51"/>
      <c r="COH33" s="51"/>
      <c r="COJ33" s="51"/>
      <c r="COK33" s="51"/>
      <c r="COM33" s="51"/>
      <c r="COP33" s="51"/>
      <c r="COR33" s="51"/>
      <c r="COS33" s="51"/>
      <c r="COU33" s="51"/>
      <c r="COX33" s="51"/>
      <c r="COZ33" s="51"/>
      <c r="CPA33" s="51"/>
      <c r="CPC33" s="51"/>
      <c r="CPF33" s="51"/>
      <c r="CPH33" s="51"/>
      <c r="CPI33" s="51"/>
      <c r="CPK33" s="51"/>
      <c r="CPN33" s="51"/>
      <c r="CPP33" s="51"/>
      <c r="CPQ33" s="51"/>
      <c r="CPS33" s="51"/>
      <c r="CPV33" s="51"/>
      <c r="CPX33" s="51"/>
      <c r="CPY33" s="51"/>
      <c r="CQA33" s="51"/>
      <c r="CQD33" s="51"/>
      <c r="CQF33" s="51"/>
      <c r="CQG33" s="51"/>
      <c r="CQI33" s="51"/>
      <c r="CQL33" s="51"/>
      <c r="CQN33" s="51"/>
      <c r="CQO33" s="51"/>
      <c r="CQQ33" s="51"/>
      <c r="CQT33" s="51"/>
      <c r="CQV33" s="51"/>
      <c r="CQW33" s="51"/>
      <c r="CQY33" s="51"/>
      <c r="CRB33" s="51"/>
      <c r="CRD33" s="51"/>
      <c r="CRE33" s="51"/>
      <c r="CRG33" s="51"/>
      <c r="CRJ33" s="51"/>
      <c r="CRL33" s="51"/>
      <c r="CRM33" s="51"/>
      <c r="CRO33" s="51"/>
      <c r="CRR33" s="51"/>
      <c r="CRT33" s="51"/>
      <c r="CRU33" s="51"/>
      <c r="CRW33" s="51"/>
      <c r="CRZ33" s="51"/>
      <c r="CSB33" s="51"/>
      <c r="CSC33" s="51"/>
      <c r="CSE33" s="51"/>
      <c r="CSH33" s="51"/>
      <c r="CSJ33" s="51"/>
      <c r="CSK33" s="51"/>
      <c r="CSM33" s="51"/>
      <c r="CSP33" s="51"/>
      <c r="CSR33" s="51"/>
      <c r="CSS33" s="51"/>
      <c r="CSU33" s="51"/>
      <c r="CSX33" s="51"/>
      <c r="CSZ33" s="51"/>
      <c r="CTA33" s="51"/>
      <c r="CTC33" s="51"/>
      <c r="CTF33" s="51"/>
      <c r="CTH33" s="51"/>
      <c r="CTI33" s="51"/>
      <c r="CTK33" s="51"/>
      <c r="CTN33" s="51"/>
      <c r="CTP33" s="51"/>
      <c r="CTQ33" s="51"/>
      <c r="CTS33" s="51"/>
      <c r="CTV33" s="51"/>
      <c r="CTX33" s="51"/>
      <c r="CTY33" s="51"/>
      <c r="CUA33" s="51"/>
      <c r="CUD33" s="51"/>
      <c r="CUF33" s="51"/>
      <c r="CUG33" s="51"/>
      <c r="CUI33" s="51"/>
      <c r="CUL33" s="51"/>
      <c r="CUN33" s="51"/>
      <c r="CUO33" s="51"/>
      <c r="CUQ33" s="51"/>
      <c r="CUT33" s="51"/>
      <c r="CUV33" s="51"/>
      <c r="CUW33" s="51"/>
      <c r="CUY33" s="51"/>
      <c r="CVB33" s="51"/>
      <c r="CVD33" s="51"/>
      <c r="CVE33" s="51"/>
      <c r="CVG33" s="51"/>
      <c r="CVJ33" s="51"/>
      <c r="CVL33" s="51"/>
      <c r="CVM33" s="51"/>
      <c r="CVO33" s="51"/>
      <c r="CVR33" s="51"/>
      <c r="CVT33" s="51"/>
      <c r="CVU33" s="51"/>
      <c r="CVW33" s="51"/>
      <c r="CVZ33" s="51"/>
      <c r="CWB33" s="51"/>
      <c r="CWC33" s="51"/>
      <c r="CWE33" s="51"/>
      <c r="CWH33" s="51"/>
      <c r="CWJ33" s="51"/>
      <c r="CWK33" s="51"/>
      <c r="CWM33" s="51"/>
      <c r="CWP33" s="51"/>
      <c r="CWR33" s="51"/>
      <c r="CWS33" s="51"/>
      <c r="CWU33" s="51"/>
      <c r="CWX33" s="51"/>
      <c r="CWZ33" s="51"/>
      <c r="CXA33" s="51"/>
      <c r="CXC33" s="51"/>
      <c r="CXF33" s="51"/>
      <c r="CXH33" s="51"/>
      <c r="CXI33" s="51"/>
      <c r="CXK33" s="51"/>
      <c r="CXN33" s="51"/>
      <c r="CXP33" s="51"/>
      <c r="CXQ33" s="51"/>
      <c r="CXS33" s="51"/>
      <c r="CXV33" s="51"/>
      <c r="CXX33" s="51"/>
      <c r="CXY33" s="51"/>
      <c r="CYA33" s="51"/>
      <c r="CYD33" s="51"/>
      <c r="CYF33" s="51"/>
      <c r="CYG33" s="51"/>
      <c r="CYI33" s="51"/>
      <c r="CYL33" s="51"/>
      <c r="CYN33" s="51"/>
      <c r="CYO33" s="51"/>
      <c r="CYQ33" s="51"/>
      <c r="CYT33" s="51"/>
      <c r="CYV33" s="51"/>
      <c r="CYW33" s="51"/>
      <c r="CYY33" s="51"/>
      <c r="CZB33" s="51"/>
      <c r="CZD33" s="51"/>
      <c r="CZE33" s="51"/>
      <c r="CZG33" s="51"/>
      <c r="CZJ33" s="51"/>
      <c r="CZL33" s="51"/>
      <c r="CZM33" s="51"/>
      <c r="CZO33" s="51"/>
      <c r="CZR33" s="51"/>
      <c r="CZT33" s="51"/>
      <c r="CZU33" s="51"/>
      <c r="CZW33" s="51"/>
      <c r="CZZ33" s="51"/>
      <c r="DAB33" s="51"/>
      <c r="DAC33" s="51"/>
      <c r="DAE33" s="51"/>
      <c r="DAH33" s="51"/>
      <c r="DAJ33" s="51"/>
      <c r="DAK33" s="51"/>
      <c r="DAM33" s="51"/>
      <c r="DAP33" s="51"/>
      <c r="DAR33" s="51"/>
      <c r="DAS33" s="51"/>
      <c r="DAU33" s="51"/>
      <c r="DAX33" s="51"/>
      <c r="DAZ33" s="51"/>
      <c r="DBA33" s="51"/>
      <c r="DBC33" s="51"/>
      <c r="DBF33" s="51"/>
      <c r="DBH33" s="51"/>
      <c r="DBI33" s="51"/>
      <c r="DBK33" s="51"/>
      <c r="DBN33" s="51"/>
      <c r="DBP33" s="51"/>
      <c r="DBQ33" s="51"/>
      <c r="DBS33" s="51"/>
      <c r="DBV33" s="51"/>
      <c r="DBX33" s="51"/>
      <c r="DBY33" s="51"/>
      <c r="DCA33" s="51"/>
      <c r="DCD33" s="51"/>
      <c r="DCF33" s="51"/>
      <c r="DCG33" s="51"/>
      <c r="DCI33" s="51"/>
      <c r="DCL33" s="51"/>
      <c r="DCN33" s="51"/>
      <c r="DCO33" s="51"/>
      <c r="DCQ33" s="51"/>
      <c r="DCT33" s="51"/>
      <c r="DCV33" s="51"/>
      <c r="DCW33" s="51"/>
      <c r="DCY33" s="51"/>
      <c r="DDB33" s="51"/>
      <c r="DDD33" s="51"/>
      <c r="DDE33" s="51"/>
      <c r="DDG33" s="51"/>
      <c r="DDJ33" s="51"/>
      <c r="DDL33" s="51"/>
      <c r="DDM33" s="51"/>
      <c r="DDO33" s="51"/>
      <c r="DDR33" s="51"/>
      <c r="DDT33" s="51"/>
      <c r="DDU33" s="51"/>
      <c r="DDW33" s="51"/>
      <c r="DDZ33" s="51"/>
      <c r="DEB33" s="51"/>
      <c r="DEC33" s="51"/>
      <c r="DEE33" s="51"/>
      <c r="DEH33" s="51"/>
      <c r="DEJ33" s="51"/>
      <c r="DEK33" s="51"/>
      <c r="DEM33" s="51"/>
      <c r="DEP33" s="51"/>
      <c r="DER33" s="51"/>
      <c r="DES33" s="51"/>
      <c r="DEU33" s="51"/>
      <c r="DEX33" s="51"/>
      <c r="DEZ33" s="51"/>
      <c r="DFA33" s="51"/>
      <c r="DFC33" s="51"/>
      <c r="DFF33" s="51"/>
      <c r="DFH33" s="51"/>
      <c r="DFI33" s="51"/>
      <c r="DFK33" s="51"/>
      <c r="DFN33" s="51"/>
      <c r="DFP33" s="51"/>
      <c r="DFQ33" s="51"/>
      <c r="DFS33" s="51"/>
      <c r="DFV33" s="51"/>
      <c r="DFX33" s="51"/>
      <c r="DFY33" s="51"/>
      <c r="DGA33" s="51"/>
      <c r="DGD33" s="51"/>
      <c r="DGF33" s="51"/>
      <c r="DGG33" s="51"/>
      <c r="DGI33" s="51"/>
      <c r="DGL33" s="51"/>
      <c r="DGN33" s="51"/>
      <c r="DGO33" s="51"/>
      <c r="DGQ33" s="51"/>
      <c r="DGT33" s="51"/>
      <c r="DGV33" s="51"/>
      <c r="DGW33" s="51"/>
      <c r="DGY33" s="51"/>
      <c r="DHB33" s="51"/>
      <c r="DHD33" s="51"/>
      <c r="DHE33" s="51"/>
      <c r="DHG33" s="51"/>
      <c r="DHJ33" s="51"/>
      <c r="DHL33" s="51"/>
      <c r="DHM33" s="51"/>
      <c r="DHO33" s="51"/>
      <c r="DHR33" s="51"/>
      <c r="DHT33" s="51"/>
      <c r="DHU33" s="51"/>
      <c r="DHW33" s="51"/>
      <c r="DHZ33" s="51"/>
      <c r="DIB33" s="51"/>
      <c r="DIC33" s="51"/>
      <c r="DIE33" s="51"/>
      <c r="DIH33" s="51"/>
      <c r="DIJ33" s="51"/>
      <c r="DIK33" s="51"/>
      <c r="DIM33" s="51"/>
      <c r="DIP33" s="51"/>
      <c r="DIR33" s="51"/>
      <c r="DIS33" s="51"/>
      <c r="DIU33" s="51"/>
      <c r="DIX33" s="51"/>
      <c r="DIZ33" s="51"/>
      <c r="DJA33" s="51"/>
      <c r="DJC33" s="51"/>
      <c r="DJF33" s="51"/>
      <c r="DJH33" s="51"/>
      <c r="DJI33" s="51"/>
      <c r="DJK33" s="51"/>
      <c r="DJN33" s="51"/>
      <c r="DJP33" s="51"/>
      <c r="DJQ33" s="51"/>
      <c r="DJS33" s="51"/>
      <c r="DJV33" s="51"/>
      <c r="DJX33" s="51"/>
      <c r="DJY33" s="51"/>
      <c r="DKA33" s="51"/>
      <c r="DKD33" s="51"/>
      <c r="DKF33" s="51"/>
      <c r="DKG33" s="51"/>
      <c r="DKI33" s="51"/>
      <c r="DKL33" s="51"/>
      <c r="DKN33" s="51"/>
      <c r="DKO33" s="51"/>
      <c r="DKQ33" s="51"/>
      <c r="DKT33" s="51"/>
      <c r="DKV33" s="51"/>
      <c r="DKW33" s="51"/>
      <c r="DKY33" s="51"/>
      <c r="DLB33" s="51"/>
      <c r="DLD33" s="51"/>
      <c r="DLE33" s="51"/>
      <c r="DLG33" s="51"/>
      <c r="DLJ33" s="51"/>
      <c r="DLL33" s="51"/>
      <c r="DLM33" s="51"/>
      <c r="DLO33" s="51"/>
      <c r="DLR33" s="51"/>
      <c r="DLT33" s="51"/>
      <c r="DLU33" s="51"/>
      <c r="DLW33" s="51"/>
      <c r="DLZ33" s="51"/>
      <c r="DMB33" s="51"/>
      <c r="DMC33" s="51"/>
      <c r="DME33" s="51"/>
      <c r="DMH33" s="51"/>
      <c r="DMJ33" s="51"/>
      <c r="DMK33" s="51"/>
      <c r="DMM33" s="51"/>
      <c r="DMP33" s="51"/>
      <c r="DMR33" s="51"/>
      <c r="DMS33" s="51"/>
      <c r="DMU33" s="51"/>
      <c r="DMX33" s="51"/>
      <c r="DMZ33" s="51"/>
      <c r="DNA33" s="51"/>
      <c r="DNC33" s="51"/>
      <c r="DNF33" s="51"/>
      <c r="DNH33" s="51"/>
      <c r="DNI33" s="51"/>
      <c r="DNK33" s="51"/>
      <c r="DNN33" s="51"/>
      <c r="DNP33" s="51"/>
      <c r="DNQ33" s="51"/>
      <c r="DNS33" s="51"/>
      <c r="DNV33" s="51"/>
      <c r="DNX33" s="51"/>
      <c r="DNY33" s="51"/>
      <c r="DOA33" s="51"/>
      <c r="DOD33" s="51"/>
      <c r="DOF33" s="51"/>
      <c r="DOG33" s="51"/>
      <c r="DOI33" s="51"/>
      <c r="DOL33" s="51"/>
      <c r="DON33" s="51"/>
      <c r="DOO33" s="51"/>
      <c r="DOQ33" s="51"/>
      <c r="DOT33" s="51"/>
      <c r="DOV33" s="51"/>
      <c r="DOW33" s="51"/>
      <c r="DOY33" s="51"/>
      <c r="DPB33" s="51"/>
      <c r="DPD33" s="51"/>
      <c r="DPE33" s="51"/>
      <c r="DPG33" s="51"/>
      <c r="DPJ33" s="51"/>
      <c r="DPL33" s="51"/>
      <c r="DPM33" s="51"/>
      <c r="DPO33" s="51"/>
      <c r="DPR33" s="51"/>
      <c r="DPT33" s="51"/>
      <c r="DPU33" s="51"/>
      <c r="DPW33" s="51"/>
      <c r="DPZ33" s="51"/>
      <c r="DQB33" s="51"/>
      <c r="DQC33" s="51"/>
      <c r="DQE33" s="51"/>
      <c r="DQH33" s="51"/>
      <c r="DQJ33" s="51"/>
      <c r="DQK33" s="51"/>
      <c r="DQM33" s="51"/>
      <c r="DQP33" s="51"/>
      <c r="DQR33" s="51"/>
      <c r="DQS33" s="51"/>
      <c r="DQU33" s="51"/>
      <c r="DQX33" s="51"/>
      <c r="DQZ33" s="51"/>
      <c r="DRA33" s="51"/>
      <c r="DRC33" s="51"/>
      <c r="DRF33" s="51"/>
      <c r="DRH33" s="51"/>
      <c r="DRI33" s="51"/>
      <c r="DRK33" s="51"/>
      <c r="DRN33" s="51"/>
      <c r="DRP33" s="51"/>
      <c r="DRQ33" s="51"/>
      <c r="DRS33" s="51"/>
      <c r="DRV33" s="51"/>
      <c r="DRX33" s="51"/>
      <c r="DRY33" s="51"/>
      <c r="DSA33" s="51"/>
      <c r="DSD33" s="51"/>
      <c r="DSF33" s="51"/>
      <c r="DSG33" s="51"/>
      <c r="DSI33" s="51"/>
      <c r="DSL33" s="51"/>
      <c r="DSN33" s="51"/>
      <c r="DSO33" s="51"/>
      <c r="DSQ33" s="51"/>
      <c r="DST33" s="51"/>
      <c r="DSV33" s="51"/>
      <c r="DSW33" s="51"/>
      <c r="DSY33" s="51"/>
      <c r="DTB33" s="51"/>
      <c r="DTD33" s="51"/>
      <c r="DTE33" s="51"/>
      <c r="DTG33" s="51"/>
      <c r="DTJ33" s="51"/>
      <c r="DTL33" s="51"/>
      <c r="DTM33" s="51"/>
      <c r="DTO33" s="51"/>
      <c r="DTR33" s="51"/>
      <c r="DTT33" s="51"/>
      <c r="DTU33" s="51"/>
      <c r="DTW33" s="51"/>
      <c r="DTZ33" s="51"/>
      <c r="DUB33" s="51"/>
      <c r="DUC33" s="51"/>
      <c r="DUE33" s="51"/>
      <c r="DUH33" s="51"/>
      <c r="DUJ33" s="51"/>
      <c r="DUK33" s="51"/>
      <c r="DUM33" s="51"/>
      <c r="DUP33" s="51"/>
      <c r="DUR33" s="51"/>
      <c r="DUS33" s="51"/>
      <c r="DUU33" s="51"/>
      <c r="DUX33" s="51"/>
      <c r="DUZ33" s="51"/>
      <c r="DVA33" s="51"/>
      <c r="DVC33" s="51"/>
      <c r="DVF33" s="51"/>
      <c r="DVH33" s="51"/>
      <c r="DVI33" s="51"/>
      <c r="DVK33" s="51"/>
      <c r="DVN33" s="51"/>
      <c r="DVP33" s="51"/>
      <c r="DVQ33" s="51"/>
      <c r="DVS33" s="51"/>
      <c r="DVV33" s="51"/>
      <c r="DVX33" s="51"/>
      <c r="DVY33" s="51"/>
      <c r="DWA33" s="51"/>
      <c r="DWD33" s="51"/>
      <c r="DWF33" s="51"/>
      <c r="DWG33" s="51"/>
      <c r="DWI33" s="51"/>
      <c r="DWL33" s="51"/>
      <c r="DWN33" s="51"/>
      <c r="DWO33" s="51"/>
      <c r="DWQ33" s="51"/>
      <c r="DWT33" s="51"/>
      <c r="DWV33" s="51"/>
      <c r="DWW33" s="51"/>
      <c r="DWY33" s="51"/>
      <c r="DXB33" s="51"/>
      <c r="DXD33" s="51"/>
      <c r="DXE33" s="51"/>
      <c r="DXG33" s="51"/>
      <c r="DXJ33" s="51"/>
      <c r="DXL33" s="51"/>
      <c r="DXM33" s="51"/>
      <c r="DXO33" s="51"/>
      <c r="DXR33" s="51"/>
      <c r="DXT33" s="51"/>
      <c r="DXU33" s="51"/>
      <c r="DXW33" s="51"/>
      <c r="DXZ33" s="51"/>
      <c r="DYB33" s="51"/>
      <c r="DYC33" s="51"/>
      <c r="DYE33" s="51"/>
      <c r="DYH33" s="51"/>
      <c r="DYJ33" s="51"/>
      <c r="DYK33" s="51"/>
      <c r="DYM33" s="51"/>
      <c r="DYP33" s="51"/>
      <c r="DYR33" s="51"/>
      <c r="DYS33" s="51"/>
      <c r="DYU33" s="51"/>
      <c r="DYX33" s="51"/>
      <c r="DYZ33" s="51"/>
      <c r="DZA33" s="51"/>
      <c r="DZC33" s="51"/>
      <c r="DZF33" s="51"/>
      <c r="DZH33" s="51"/>
      <c r="DZI33" s="51"/>
      <c r="DZK33" s="51"/>
      <c r="DZN33" s="51"/>
      <c r="DZP33" s="51"/>
      <c r="DZQ33" s="51"/>
      <c r="DZS33" s="51"/>
      <c r="DZV33" s="51"/>
      <c r="DZX33" s="51"/>
      <c r="DZY33" s="51"/>
      <c r="EAA33" s="51"/>
      <c r="EAD33" s="51"/>
      <c r="EAF33" s="51"/>
      <c r="EAG33" s="51"/>
      <c r="EAI33" s="51"/>
      <c r="EAL33" s="51"/>
      <c r="EAN33" s="51"/>
      <c r="EAO33" s="51"/>
      <c r="EAQ33" s="51"/>
      <c r="EAT33" s="51"/>
      <c r="EAV33" s="51"/>
      <c r="EAW33" s="51"/>
      <c r="EAY33" s="51"/>
      <c r="EBB33" s="51"/>
      <c r="EBD33" s="51"/>
      <c r="EBE33" s="51"/>
      <c r="EBG33" s="51"/>
      <c r="EBJ33" s="51"/>
      <c r="EBL33" s="51"/>
      <c r="EBM33" s="51"/>
      <c r="EBO33" s="51"/>
      <c r="EBR33" s="51"/>
      <c r="EBT33" s="51"/>
      <c r="EBU33" s="51"/>
      <c r="EBW33" s="51"/>
      <c r="EBZ33" s="51"/>
      <c r="ECB33" s="51"/>
      <c r="ECC33" s="51"/>
      <c r="ECE33" s="51"/>
      <c r="ECH33" s="51"/>
      <c r="ECJ33" s="51"/>
      <c r="ECK33" s="51"/>
      <c r="ECM33" s="51"/>
      <c r="ECP33" s="51"/>
      <c r="ECR33" s="51"/>
      <c r="ECS33" s="51"/>
      <c r="ECU33" s="51"/>
      <c r="ECX33" s="51"/>
      <c r="ECZ33" s="51"/>
      <c r="EDA33" s="51"/>
      <c r="EDC33" s="51"/>
      <c r="EDF33" s="51"/>
      <c r="EDH33" s="51"/>
      <c r="EDI33" s="51"/>
      <c r="EDK33" s="51"/>
      <c r="EDN33" s="51"/>
      <c r="EDP33" s="51"/>
      <c r="EDQ33" s="51"/>
      <c r="EDS33" s="51"/>
      <c r="EDV33" s="51"/>
      <c r="EDX33" s="51"/>
      <c r="EDY33" s="51"/>
      <c r="EEA33" s="51"/>
      <c r="EED33" s="51"/>
      <c r="EEF33" s="51"/>
      <c r="EEG33" s="51"/>
      <c r="EEI33" s="51"/>
      <c r="EEL33" s="51"/>
      <c r="EEN33" s="51"/>
      <c r="EEO33" s="51"/>
      <c r="EEQ33" s="51"/>
      <c r="EET33" s="51"/>
      <c r="EEV33" s="51"/>
      <c r="EEW33" s="51"/>
      <c r="EEY33" s="51"/>
      <c r="EFB33" s="51"/>
      <c r="EFD33" s="51"/>
      <c r="EFE33" s="51"/>
      <c r="EFG33" s="51"/>
      <c r="EFJ33" s="51"/>
      <c r="EFL33" s="51"/>
      <c r="EFM33" s="51"/>
      <c r="EFO33" s="51"/>
      <c r="EFR33" s="51"/>
      <c r="EFT33" s="51"/>
      <c r="EFU33" s="51"/>
      <c r="EFW33" s="51"/>
      <c r="EFZ33" s="51"/>
      <c r="EGB33" s="51"/>
      <c r="EGC33" s="51"/>
      <c r="EGE33" s="51"/>
      <c r="EGH33" s="51"/>
      <c r="EGJ33" s="51"/>
      <c r="EGK33" s="51"/>
      <c r="EGM33" s="51"/>
      <c r="EGP33" s="51"/>
      <c r="EGR33" s="51"/>
      <c r="EGS33" s="51"/>
      <c r="EGU33" s="51"/>
      <c r="EGX33" s="51"/>
      <c r="EGZ33" s="51"/>
      <c r="EHA33" s="51"/>
      <c r="EHC33" s="51"/>
      <c r="EHF33" s="51"/>
      <c r="EHH33" s="51"/>
      <c r="EHI33" s="51"/>
      <c r="EHK33" s="51"/>
      <c r="EHN33" s="51"/>
      <c r="EHP33" s="51"/>
      <c r="EHQ33" s="51"/>
      <c r="EHS33" s="51"/>
      <c r="EHV33" s="51"/>
      <c r="EHX33" s="51"/>
      <c r="EHY33" s="51"/>
      <c r="EIA33" s="51"/>
      <c r="EID33" s="51"/>
      <c r="EIF33" s="51"/>
      <c r="EIG33" s="51"/>
      <c r="EII33" s="51"/>
      <c r="EIL33" s="51"/>
      <c r="EIN33" s="51"/>
      <c r="EIO33" s="51"/>
      <c r="EIQ33" s="51"/>
      <c r="EIT33" s="51"/>
      <c r="EIV33" s="51"/>
      <c r="EIW33" s="51"/>
      <c r="EIY33" s="51"/>
      <c r="EJB33" s="51"/>
      <c r="EJD33" s="51"/>
      <c r="EJE33" s="51"/>
      <c r="EJG33" s="51"/>
      <c r="EJJ33" s="51"/>
      <c r="EJL33" s="51"/>
      <c r="EJM33" s="51"/>
      <c r="EJO33" s="51"/>
      <c r="EJR33" s="51"/>
      <c r="EJT33" s="51"/>
      <c r="EJU33" s="51"/>
      <c r="EJW33" s="51"/>
      <c r="EJZ33" s="51"/>
      <c r="EKB33" s="51"/>
      <c r="EKC33" s="51"/>
      <c r="EKE33" s="51"/>
      <c r="EKH33" s="51"/>
      <c r="EKJ33" s="51"/>
      <c r="EKK33" s="51"/>
      <c r="EKM33" s="51"/>
      <c r="EKP33" s="51"/>
      <c r="EKR33" s="51"/>
      <c r="EKS33" s="51"/>
      <c r="EKU33" s="51"/>
      <c r="EKX33" s="51"/>
      <c r="EKZ33" s="51"/>
      <c r="ELA33" s="51"/>
      <c r="ELC33" s="51"/>
      <c r="ELF33" s="51"/>
      <c r="ELH33" s="51"/>
      <c r="ELI33" s="51"/>
      <c r="ELK33" s="51"/>
      <c r="ELN33" s="51"/>
      <c r="ELP33" s="51"/>
      <c r="ELQ33" s="51"/>
      <c r="ELS33" s="51"/>
      <c r="ELV33" s="51"/>
      <c r="ELX33" s="51"/>
      <c r="ELY33" s="51"/>
      <c r="EMA33" s="51"/>
      <c r="EMD33" s="51"/>
      <c r="EMF33" s="51"/>
      <c r="EMG33" s="51"/>
      <c r="EMI33" s="51"/>
      <c r="EML33" s="51"/>
      <c r="EMN33" s="51"/>
      <c r="EMO33" s="51"/>
      <c r="EMQ33" s="51"/>
      <c r="EMT33" s="51"/>
      <c r="EMV33" s="51"/>
      <c r="EMW33" s="51"/>
      <c r="EMY33" s="51"/>
      <c r="ENB33" s="51"/>
      <c r="END33" s="51"/>
      <c r="ENE33" s="51"/>
      <c r="ENG33" s="51"/>
      <c r="ENJ33" s="51"/>
      <c r="ENL33" s="51"/>
      <c r="ENM33" s="51"/>
      <c r="ENO33" s="51"/>
      <c r="ENR33" s="51"/>
      <c r="ENT33" s="51"/>
      <c r="ENU33" s="51"/>
      <c r="ENW33" s="51"/>
      <c r="ENZ33" s="51"/>
      <c r="EOB33" s="51"/>
      <c r="EOC33" s="51"/>
      <c r="EOE33" s="51"/>
      <c r="EOH33" s="51"/>
      <c r="EOJ33" s="51"/>
      <c r="EOK33" s="51"/>
      <c r="EOM33" s="51"/>
      <c r="EOP33" s="51"/>
      <c r="EOR33" s="51"/>
      <c r="EOS33" s="51"/>
      <c r="EOU33" s="51"/>
      <c r="EOX33" s="51"/>
      <c r="EOZ33" s="51"/>
      <c r="EPA33" s="51"/>
      <c r="EPC33" s="51"/>
      <c r="EPF33" s="51"/>
      <c r="EPH33" s="51"/>
      <c r="EPI33" s="51"/>
      <c r="EPK33" s="51"/>
      <c r="EPN33" s="51"/>
      <c r="EPP33" s="51"/>
      <c r="EPQ33" s="51"/>
      <c r="EPS33" s="51"/>
      <c r="EPV33" s="51"/>
      <c r="EPX33" s="51"/>
      <c r="EPY33" s="51"/>
      <c r="EQA33" s="51"/>
      <c r="EQD33" s="51"/>
      <c r="EQF33" s="51"/>
      <c r="EQG33" s="51"/>
      <c r="EQI33" s="51"/>
      <c r="EQL33" s="51"/>
      <c r="EQN33" s="51"/>
      <c r="EQO33" s="51"/>
      <c r="EQQ33" s="51"/>
      <c r="EQT33" s="51"/>
      <c r="EQV33" s="51"/>
      <c r="EQW33" s="51"/>
      <c r="EQY33" s="51"/>
      <c r="ERB33" s="51"/>
      <c r="ERD33" s="51"/>
      <c r="ERE33" s="51"/>
      <c r="ERG33" s="51"/>
      <c r="ERJ33" s="51"/>
      <c r="ERL33" s="51"/>
      <c r="ERM33" s="51"/>
      <c r="ERO33" s="51"/>
      <c r="ERR33" s="51"/>
      <c r="ERT33" s="51"/>
      <c r="ERU33" s="51"/>
      <c r="ERW33" s="51"/>
      <c r="ERZ33" s="51"/>
      <c r="ESB33" s="51"/>
      <c r="ESC33" s="51"/>
      <c r="ESE33" s="51"/>
      <c r="ESH33" s="51"/>
      <c r="ESJ33" s="51"/>
      <c r="ESK33" s="51"/>
      <c r="ESM33" s="51"/>
      <c r="ESP33" s="51"/>
      <c r="ESR33" s="51"/>
      <c r="ESS33" s="51"/>
      <c r="ESU33" s="51"/>
      <c r="ESX33" s="51"/>
      <c r="ESZ33" s="51"/>
      <c r="ETA33" s="51"/>
      <c r="ETC33" s="51"/>
      <c r="ETF33" s="51"/>
      <c r="ETH33" s="51"/>
      <c r="ETI33" s="51"/>
      <c r="ETK33" s="51"/>
      <c r="ETN33" s="51"/>
      <c r="ETP33" s="51"/>
      <c r="ETQ33" s="51"/>
      <c r="ETS33" s="51"/>
      <c r="ETV33" s="51"/>
      <c r="ETX33" s="51"/>
      <c r="ETY33" s="51"/>
      <c r="EUA33" s="51"/>
      <c r="EUD33" s="51"/>
      <c r="EUF33" s="51"/>
      <c r="EUG33" s="51"/>
      <c r="EUI33" s="51"/>
      <c r="EUL33" s="51"/>
      <c r="EUN33" s="51"/>
      <c r="EUO33" s="51"/>
      <c r="EUQ33" s="51"/>
      <c r="EUT33" s="51"/>
      <c r="EUV33" s="51"/>
      <c r="EUW33" s="51"/>
      <c r="EUY33" s="51"/>
      <c r="EVB33" s="51"/>
      <c r="EVD33" s="51"/>
      <c r="EVE33" s="51"/>
      <c r="EVG33" s="51"/>
      <c r="EVJ33" s="51"/>
      <c r="EVL33" s="51"/>
      <c r="EVM33" s="51"/>
      <c r="EVO33" s="51"/>
      <c r="EVR33" s="51"/>
      <c r="EVT33" s="51"/>
      <c r="EVU33" s="51"/>
      <c r="EVW33" s="51"/>
      <c r="EVZ33" s="51"/>
      <c r="EWB33" s="51"/>
      <c r="EWC33" s="51"/>
      <c r="EWE33" s="51"/>
      <c r="EWH33" s="51"/>
      <c r="EWJ33" s="51"/>
      <c r="EWK33" s="51"/>
      <c r="EWM33" s="51"/>
      <c r="EWP33" s="51"/>
      <c r="EWR33" s="51"/>
      <c r="EWS33" s="51"/>
      <c r="EWU33" s="51"/>
      <c r="EWX33" s="51"/>
      <c r="EWZ33" s="51"/>
      <c r="EXA33" s="51"/>
      <c r="EXC33" s="51"/>
      <c r="EXF33" s="51"/>
      <c r="EXH33" s="51"/>
      <c r="EXI33" s="51"/>
      <c r="EXK33" s="51"/>
      <c r="EXN33" s="51"/>
      <c r="EXP33" s="51"/>
      <c r="EXQ33" s="51"/>
      <c r="EXS33" s="51"/>
      <c r="EXV33" s="51"/>
      <c r="EXX33" s="51"/>
      <c r="EXY33" s="51"/>
      <c r="EYA33" s="51"/>
      <c r="EYD33" s="51"/>
      <c r="EYF33" s="51"/>
      <c r="EYG33" s="51"/>
      <c r="EYI33" s="51"/>
      <c r="EYL33" s="51"/>
      <c r="EYN33" s="51"/>
      <c r="EYO33" s="51"/>
      <c r="EYQ33" s="51"/>
      <c r="EYT33" s="51"/>
      <c r="EYV33" s="51"/>
      <c r="EYW33" s="51"/>
      <c r="EYY33" s="51"/>
      <c r="EZB33" s="51"/>
      <c r="EZD33" s="51"/>
      <c r="EZE33" s="51"/>
      <c r="EZG33" s="51"/>
      <c r="EZJ33" s="51"/>
      <c r="EZL33" s="51"/>
      <c r="EZM33" s="51"/>
      <c r="EZO33" s="51"/>
      <c r="EZR33" s="51"/>
      <c r="EZT33" s="51"/>
      <c r="EZU33" s="51"/>
      <c r="EZW33" s="51"/>
      <c r="EZZ33" s="51"/>
      <c r="FAB33" s="51"/>
      <c r="FAC33" s="51"/>
      <c r="FAE33" s="51"/>
      <c r="FAH33" s="51"/>
      <c r="FAJ33" s="51"/>
      <c r="FAK33" s="51"/>
      <c r="FAM33" s="51"/>
      <c r="FAP33" s="51"/>
      <c r="FAR33" s="51"/>
      <c r="FAS33" s="51"/>
      <c r="FAU33" s="51"/>
      <c r="FAX33" s="51"/>
      <c r="FAZ33" s="51"/>
      <c r="FBA33" s="51"/>
      <c r="FBC33" s="51"/>
      <c r="FBF33" s="51"/>
      <c r="FBH33" s="51"/>
      <c r="FBI33" s="51"/>
      <c r="FBK33" s="51"/>
      <c r="FBN33" s="51"/>
      <c r="FBP33" s="51"/>
      <c r="FBQ33" s="51"/>
      <c r="FBS33" s="51"/>
      <c r="FBV33" s="51"/>
      <c r="FBX33" s="51"/>
      <c r="FBY33" s="51"/>
      <c r="FCA33" s="51"/>
      <c r="FCD33" s="51"/>
      <c r="FCF33" s="51"/>
      <c r="FCG33" s="51"/>
      <c r="FCI33" s="51"/>
      <c r="FCL33" s="51"/>
      <c r="FCN33" s="51"/>
      <c r="FCO33" s="51"/>
      <c r="FCQ33" s="51"/>
      <c r="FCT33" s="51"/>
      <c r="FCV33" s="51"/>
      <c r="FCW33" s="51"/>
      <c r="FCY33" s="51"/>
      <c r="FDB33" s="51"/>
      <c r="FDD33" s="51"/>
      <c r="FDE33" s="51"/>
      <c r="FDG33" s="51"/>
      <c r="FDJ33" s="51"/>
      <c r="FDL33" s="51"/>
      <c r="FDM33" s="51"/>
      <c r="FDO33" s="51"/>
      <c r="FDR33" s="51"/>
      <c r="FDT33" s="51"/>
      <c r="FDU33" s="51"/>
      <c r="FDW33" s="51"/>
      <c r="FDZ33" s="51"/>
      <c r="FEB33" s="51"/>
      <c r="FEC33" s="51"/>
      <c r="FEE33" s="51"/>
      <c r="FEH33" s="51"/>
      <c r="FEJ33" s="51"/>
      <c r="FEK33" s="51"/>
      <c r="FEM33" s="51"/>
      <c r="FEP33" s="51"/>
      <c r="FER33" s="51"/>
      <c r="FES33" s="51"/>
      <c r="FEU33" s="51"/>
      <c r="FEX33" s="51"/>
      <c r="FEZ33" s="51"/>
      <c r="FFA33" s="51"/>
      <c r="FFC33" s="51"/>
      <c r="FFF33" s="51"/>
      <c r="FFH33" s="51"/>
      <c r="FFI33" s="51"/>
      <c r="FFK33" s="51"/>
      <c r="FFN33" s="51"/>
      <c r="FFP33" s="51"/>
      <c r="FFQ33" s="51"/>
      <c r="FFS33" s="51"/>
      <c r="FFV33" s="51"/>
      <c r="FFX33" s="51"/>
      <c r="FFY33" s="51"/>
      <c r="FGA33" s="51"/>
      <c r="FGD33" s="51"/>
      <c r="FGF33" s="51"/>
      <c r="FGG33" s="51"/>
      <c r="FGI33" s="51"/>
      <c r="FGL33" s="51"/>
      <c r="FGN33" s="51"/>
      <c r="FGO33" s="51"/>
      <c r="FGQ33" s="51"/>
      <c r="FGT33" s="51"/>
      <c r="FGV33" s="51"/>
      <c r="FGW33" s="51"/>
      <c r="FGY33" s="51"/>
      <c r="FHB33" s="51"/>
      <c r="FHD33" s="51"/>
      <c r="FHE33" s="51"/>
      <c r="FHG33" s="51"/>
      <c r="FHJ33" s="51"/>
      <c r="FHL33" s="51"/>
      <c r="FHM33" s="51"/>
      <c r="FHO33" s="51"/>
      <c r="FHR33" s="51"/>
      <c r="FHT33" s="51"/>
      <c r="FHU33" s="51"/>
      <c r="FHW33" s="51"/>
      <c r="FHZ33" s="51"/>
      <c r="FIB33" s="51"/>
      <c r="FIC33" s="51"/>
      <c r="FIE33" s="51"/>
      <c r="FIH33" s="51"/>
      <c r="FIJ33" s="51"/>
      <c r="FIK33" s="51"/>
      <c r="FIM33" s="51"/>
      <c r="FIP33" s="51"/>
      <c r="FIR33" s="51"/>
      <c r="FIS33" s="51"/>
      <c r="FIU33" s="51"/>
      <c r="FIX33" s="51"/>
      <c r="FIZ33" s="51"/>
      <c r="FJA33" s="51"/>
      <c r="FJC33" s="51"/>
      <c r="FJF33" s="51"/>
      <c r="FJH33" s="51"/>
      <c r="FJI33" s="51"/>
      <c r="FJK33" s="51"/>
      <c r="FJN33" s="51"/>
      <c r="FJP33" s="51"/>
      <c r="FJQ33" s="51"/>
      <c r="FJS33" s="51"/>
      <c r="FJV33" s="51"/>
      <c r="FJX33" s="51"/>
      <c r="FJY33" s="51"/>
      <c r="FKA33" s="51"/>
      <c r="FKD33" s="51"/>
      <c r="FKF33" s="51"/>
      <c r="FKG33" s="51"/>
      <c r="FKI33" s="51"/>
      <c r="FKL33" s="51"/>
      <c r="FKN33" s="51"/>
      <c r="FKO33" s="51"/>
      <c r="FKQ33" s="51"/>
      <c r="FKT33" s="51"/>
      <c r="FKV33" s="51"/>
      <c r="FKW33" s="51"/>
      <c r="FKY33" s="51"/>
      <c r="FLB33" s="51"/>
      <c r="FLD33" s="51"/>
      <c r="FLE33" s="51"/>
      <c r="FLG33" s="51"/>
      <c r="FLJ33" s="51"/>
      <c r="FLL33" s="51"/>
      <c r="FLM33" s="51"/>
      <c r="FLO33" s="51"/>
      <c r="FLR33" s="51"/>
      <c r="FLT33" s="51"/>
      <c r="FLU33" s="51"/>
      <c r="FLW33" s="51"/>
      <c r="FLZ33" s="51"/>
      <c r="FMB33" s="51"/>
      <c r="FMC33" s="51"/>
      <c r="FME33" s="51"/>
      <c r="FMH33" s="51"/>
      <c r="FMJ33" s="51"/>
      <c r="FMK33" s="51"/>
      <c r="FMM33" s="51"/>
      <c r="FMP33" s="51"/>
      <c r="FMR33" s="51"/>
      <c r="FMS33" s="51"/>
      <c r="FMU33" s="51"/>
      <c r="FMX33" s="51"/>
      <c r="FMZ33" s="51"/>
      <c r="FNA33" s="51"/>
      <c r="FNC33" s="51"/>
      <c r="FNF33" s="51"/>
      <c r="FNH33" s="51"/>
      <c r="FNI33" s="51"/>
      <c r="FNK33" s="51"/>
      <c r="FNN33" s="51"/>
      <c r="FNP33" s="51"/>
      <c r="FNQ33" s="51"/>
      <c r="FNS33" s="51"/>
      <c r="FNV33" s="51"/>
      <c r="FNX33" s="51"/>
      <c r="FNY33" s="51"/>
      <c r="FOA33" s="51"/>
      <c r="FOD33" s="51"/>
      <c r="FOF33" s="51"/>
      <c r="FOG33" s="51"/>
      <c r="FOI33" s="51"/>
      <c r="FOL33" s="51"/>
      <c r="FON33" s="51"/>
      <c r="FOO33" s="51"/>
      <c r="FOQ33" s="51"/>
      <c r="FOT33" s="51"/>
      <c r="FOV33" s="51"/>
      <c r="FOW33" s="51"/>
      <c r="FOY33" s="51"/>
      <c r="FPB33" s="51"/>
      <c r="FPD33" s="51"/>
      <c r="FPE33" s="51"/>
      <c r="FPG33" s="51"/>
      <c r="FPJ33" s="51"/>
      <c r="FPL33" s="51"/>
      <c r="FPM33" s="51"/>
      <c r="FPO33" s="51"/>
      <c r="FPR33" s="51"/>
      <c r="FPT33" s="51"/>
      <c r="FPU33" s="51"/>
      <c r="FPW33" s="51"/>
      <c r="FPZ33" s="51"/>
      <c r="FQB33" s="51"/>
      <c r="FQC33" s="51"/>
      <c r="FQE33" s="51"/>
      <c r="FQH33" s="51"/>
      <c r="FQJ33" s="51"/>
      <c r="FQK33" s="51"/>
      <c r="FQM33" s="51"/>
      <c r="FQP33" s="51"/>
      <c r="FQR33" s="51"/>
      <c r="FQS33" s="51"/>
      <c r="FQU33" s="51"/>
      <c r="FQX33" s="51"/>
      <c r="FQZ33" s="51"/>
      <c r="FRA33" s="51"/>
      <c r="FRC33" s="51"/>
      <c r="FRF33" s="51"/>
      <c r="FRH33" s="51"/>
      <c r="FRI33" s="51"/>
      <c r="FRK33" s="51"/>
      <c r="FRN33" s="51"/>
      <c r="FRP33" s="51"/>
      <c r="FRQ33" s="51"/>
      <c r="FRS33" s="51"/>
      <c r="FRV33" s="51"/>
      <c r="FRX33" s="51"/>
      <c r="FRY33" s="51"/>
      <c r="FSA33" s="51"/>
      <c r="FSD33" s="51"/>
      <c r="FSF33" s="51"/>
      <c r="FSG33" s="51"/>
      <c r="FSI33" s="51"/>
      <c r="FSL33" s="51"/>
      <c r="FSN33" s="51"/>
      <c r="FSO33" s="51"/>
      <c r="FSQ33" s="51"/>
      <c r="FST33" s="51"/>
      <c r="FSV33" s="51"/>
      <c r="FSW33" s="51"/>
      <c r="FSY33" s="51"/>
      <c r="FTB33" s="51"/>
      <c r="FTD33" s="51"/>
      <c r="FTE33" s="51"/>
      <c r="FTG33" s="51"/>
      <c r="FTJ33" s="51"/>
      <c r="FTL33" s="51"/>
      <c r="FTM33" s="51"/>
      <c r="FTO33" s="51"/>
      <c r="FTR33" s="51"/>
      <c r="FTT33" s="51"/>
      <c r="FTU33" s="51"/>
      <c r="FTW33" s="51"/>
      <c r="FTZ33" s="51"/>
      <c r="FUB33" s="51"/>
      <c r="FUC33" s="51"/>
      <c r="FUE33" s="51"/>
      <c r="FUH33" s="51"/>
      <c r="FUJ33" s="51"/>
      <c r="FUK33" s="51"/>
      <c r="FUM33" s="51"/>
      <c r="FUP33" s="51"/>
      <c r="FUR33" s="51"/>
      <c r="FUS33" s="51"/>
      <c r="FUU33" s="51"/>
      <c r="FUX33" s="51"/>
      <c r="FUZ33" s="51"/>
      <c r="FVA33" s="51"/>
      <c r="FVC33" s="51"/>
      <c r="FVF33" s="51"/>
      <c r="FVH33" s="51"/>
      <c r="FVI33" s="51"/>
      <c r="FVK33" s="51"/>
      <c r="FVN33" s="51"/>
      <c r="FVP33" s="51"/>
      <c r="FVQ33" s="51"/>
      <c r="FVS33" s="51"/>
      <c r="FVV33" s="51"/>
      <c r="FVX33" s="51"/>
      <c r="FVY33" s="51"/>
      <c r="FWA33" s="51"/>
      <c r="FWD33" s="51"/>
      <c r="FWF33" s="51"/>
      <c r="FWG33" s="51"/>
      <c r="FWI33" s="51"/>
      <c r="FWL33" s="51"/>
      <c r="FWN33" s="51"/>
      <c r="FWO33" s="51"/>
      <c r="FWQ33" s="51"/>
      <c r="FWT33" s="51"/>
      <c r="FWV33" s="51"/>
      <c r="FWW33" s="51"/>
      <c r="FWY33" s="51"/>
      <c r="FXB33" s="51"/>
      <c r="FXD33" s="51"/>
      <c r="FXE33" s="51"/>
      <c r="FXG33" s="51"/>
      <c r="FXJ33" s="51"/>
      <c r="FXL33" s="51"/>
      <c r="FXM33" s="51"/>
      <c r="FXO33" s="51"/>
      <c r="FXR33" s="51"/>
      <c r="FXT33" s="51"/>
      <c r="FXU33" s="51"/>
      <c r="FXW33" s="51"/>
      <c r="FXZ33" s="51"/>
      <c r="FYB33" s="51"/>
      <c r="FYC33" s="51"/>
      <c r="FYE33" s="51"/>
      <c r="FYH33" s="51"/>
      <c r="FYJ33" s="51"/>
      <c r="FYK33" s="51"/>
      <c r="FYM33" s="51"/>
      <c r="FYP33" s="51"/>
      <c r="FYR33" s="51"/>
      <c r="FYS33" s="51"/>
      <c r="FYU33" s="51"/>
      <c r="FYX33" s="51"/>
      <c r="FYZ33" s="51"/>
      <c r="FZA33" s="51"/>
      <c r="FZC33" s="51"/>
      <c r="FZF33" s="51"/>
      <c r="FZH33" s="51"/>
      <c r="FZI33" s="51"/>
      <c r="FZK33" s="51"/>
      <c r="FZN33" s="51"/>
      <c r="FZP33" s="51"/>
      <c r="FZQ33" s="51"/>
      <c r="FZS33" s="51"/>
      <c r="FZV33" s="51"/>
      <c r="FZX33" s="51"/>
      <c r="FZY33" s="51"/>
      <c r="GAA33" s="51"/>
      <c r="GAD33" s="51"/>
      <c r="GAF33" s="51"/>
      <c r="GAG33" s="51"/>
      <c r="GAI33" s="51"/>
      <c r="GAL33" s="51"/>
      <c r="GAN33" s="51"/>
      <c r="GAO33" s="51"/>
      <c r="GAQ33" s="51"/>
      <c r="GAT33" s="51"/>
      <c r="GAV33" s="51"/>
      <c r="GAW33" s="51"/>
      <c r="GAY33" s="51"/>
      <c r="GBB33" s="51"/>
      <c r="GBD33" s="51"/>
      <c r="GBE33" s="51"/>
      <c r="GBG33" s="51"/>
      <c r="GBJ33" s="51"/>
      <c r="GBL33" s="51"/>
      <c r="GBM33" s="51"/>
      <c r="GBO33" s="51"/>
      <c r="GBR33" s="51"/>
      <c r="GBT33" s="51"/>
      <c r="GBU33" s="51"/>
      <c r="GBW33" s="51"/>
      <c r="GBZ33" s="51"/>
      <c r="GCB33" s="51"/>
      <c r="GCC33" s="51"/>
      <c r="GCE33" s="51"/>
      <c r="GCH33" s="51"/>
      <c r="GCJ33" s="51"/>
      <c r="GCK33" s="51"/>
      <c r="GCM33" s="51"/>
      <c r="GCP33" s="51"/>
      <c r="GCR33" s="51"/>
      <c r="GCS33" s="51"/>
      <c r="GCU33" s="51"/>
      <c r="GCX33" s="51"/>
      <c r="GCZ33" s="51"/>
      <c r="GDA33" s="51"/>
      <c r="GDC33" s="51"/>
      <c r="GDF33" s="51"/>
      <c r="GDH33" s="51"/>
      <c r="GDI33" s="51"/>
      <c r="GDK33" s="51"/>
      <c r="GDN33" s="51"/>
      <c r="GDP33" s="51"/>
      <c r="GDQ33" s="51"/>
      <c r="GDS33" s="51"/>
      <c r="GDV33" s="51"/>
      <c r="GDX33" s="51"/>
      <c r="GDY33" s="51"/>
      <c r="GEA33" s="51"/>
      <c r="GED33" s="51"/>
      <c r="GEF33" s="51"/>
      <c r="GEG33" s="51"/>
      <c r="GEI33" s="51"/>
      <c r="GEL33" s="51"/>
      <c r="GEN33" s="51"/>
      <c r="GEO33" s="51"/>
      <c r="GEQ33" s="51"/>
      <c r="GET33" s="51"/>
      <c r="GEV33" s="51"/>
      <c r="GEW33" s="51"/>
      <c r="GEY33" s="51"/>
      <c r="GFB33" s="51"/>
      <c r="GFD33" s="51"/>
      <c r="GFE33" s="51"/>
      <c r="GFG33" s="51"/>
      <c r="GFJ33" s="51"/>
      <c r="GFL33" s="51"/>
      <c r="GFM33" s="51"/>
      <c r="GFO33" s="51"/>
      <c r="GFR33" s="51"/>
      <c r="GFT33" s="51"/>
      <c r="GFU33" s="51"/>
      <c r="GFW33" s="51"/>
      <c r="GFZ33" s="51"/>
      <c r="GGB33" s="51"/>
      <c r="GGC33" s="51"/>
      <c r="GGE33" s="51"/>
      <c r="GGH33" s="51"/>
      <c r="GGJ33" s="51"/>
      <c r="GGK33" s="51"/>
      <c r="GGM33" s="51"/>
      <c r="GGP33" s="51"/>
      <c r="GGR33" s="51"/>
      <c r="GGS33" s="51"/>
      <c r="GGU33" s="51"/>
      <c r="GGX33" s="51"/>
      <c r="GGZ33" s="51"/>
      <c r="GHA33" s="51"/>
      <c r="GHC33" s="51"/>
      <c r="GHF33" s="51"/>
      <c r="GHH33" s="51"/>
      <c r="GHI33" s="51"/>
      <c r="GHK33" s="51"/>
      <c r="GHN33" s="51"/>
      <c r="GHP33" s="51"/>
      <c r="GHQ33" s="51"/>
      <c r="GHS33" s="51"/>
      <c r="GHV33" s="51"/>
      <c r="GHX33" s="51"/>
      <c r="GHY33" s="51"/>
      <c r="GIA33" s="51"/>
      <c r="GID33" s="51"/>
      <c r="GIF33" s="51"/>
      <c r="GIG33" s="51"/>
      <c r="GII33" s="51"/>
      <c r="GIL33" s="51"/>
      <c r="GIN33" s="51"/>
      <c r="GIO33" s="51"/>
      <c r="GIQ33" s="51"/>
      <c r="GIT33" s="51"/>
      <c r="GIV33" s="51"/>
      <c r="GIW33" s="51"/>
      <c r="GIY33" s="51"/>
      <c r="GJB33" s="51"/>
      <c r="GJD33" s="51"/>
      <c r="GJE33" s="51"/>
      <c r="GJG33" s="51"/>
      <c r="GJJ33" s="51"/>
      <c r="GJL33" s="51"/>
      <c r="GJM33" s="51"/>
      <c r="GJO33" s="51"/>
      <c r="GJR33" s="51"/>
      <c r="GJT33" s="51"/>
      <c r="GJU33" s="51"/>
      <c r="GJW33" s="51"/>
      <c r="GJZ33" s="51"/>
      <c r="GKB33" s="51"/>
      <c r="GKC33" s="51"/>
      <c r="GKE33" s="51"/>
      <c r="GKH33" s="51"/>
      <c r="GKJ33" s="51"/>
      <c r="GKK33" s="51"/>
      <c r="GKM33" s="51"/>
      <c r="GKP33" s="51"/>
      <c r="GKR33" s="51"/>
      <c r="GKS33" s="51"/>
      <c r="GKU33" s="51"/>
      <c r="GKX33" s="51"/>
      <c r="GKZ33" s="51"/>
      <c r="GLA33" s="51"/>
      <c r="GLC33" s="51"/>
      <c r="GLF33" s="51"/>
      <c r="GLH33" s="51"/>
      <c r="GLI33" s="51"/>
      <c r="GLK33" s="51"/>
      <c r="GLN33" s="51"/>
      <c r="GLP33" s="51"/>
      <c r="GLQ33" s="51"/>
      <c r="GLS33" s="51"/>
      <c r="GLV33" s="51"/>
      <c r="GLX33" s="51"/>
      <c r="GLY33" s="51"/>
      <c r="GMA33" s="51"/>
      <c r="GMD33" s="51"/>
      <c r="GMF33" s="51"/>
      <c r="GMG33" s="51"/>
      <c r="GMI33" s="51"/>
      <c r="GML33" s="51"/>
      <c r="GMN33" s="51"/>
      <c r="GMO33" s="51"/>
      <c r="GMQ33" s="51"/>
      <c r="GMT33" s="51"/>
      <c r="GMV33" s="51"/>
      <c r="GMW33" s="51"/>
      <c r="GMY33" s="51"/>
      <c r="GNB33" s="51"/>
      <c r="GND33" s="51"/>
      <c r="GNE33" s="51"/>
      <c r="GNG33" s="51"/>
      <c r="GNJ33" s="51"/>
      <c r="GNL33" s="51"/>
      <c r="GNM33" s="51"/>
      <c r="GNO33" s="51"/>
      <c r="GNR33" s="51"/>
      <c r="GNT33" s="51"/>
      <c r="GNU33" s="51"/>
      <c r="GNW33" s="51"/>
      <c r="GNZ33" s="51"/>
      <c r="GOB33" s="51"/>
      <c r="GOC33" s="51"/>
      <c r="GOE33" s="51"/>
      <c r="GOH33" s="51"/>
      <c r="GOJ33" s="51"/>
      <c r="GOK33" s="51"/>
      <c r="GOM33" s="51"/>
      <c r="GOP33" s="51"/>
      <c r="GOR33" s="51"/>
      <c r="GOS33" s="51"/>
      <c r="GOU33" s="51"/>
      <c r="GOX33" s="51"/>
      <c r="GOZ33" s="51"/>
      <c r="GPA33" s="51"/>
      <c r="GPC33" s="51"/>
      <c r="GPF33" s="51"/>
      <c r="GPH33" s="51"/>
      <c r="GPI33" s="51"/>
      <c r="GPK33" s="51"/>
      <c r="GPN33" s="51"/>
      <c r="GPP33" s="51"/>
      <c r="GPQ33" s="51"/>
      <c r="GPS33" s="51"/>
      <c r="GPV33" s="51"/>
      <c r="GPX33" s="51"/>
      <c r="GPY33" s="51"/>
      <c r="GQA33" s="51"/>
      <c r="GQD33" s="51"/>
      <c r="GQF33" s="51"/>
      <c r="GQG33" s="51"/>
      <c r="GQI33" s="51"/>
      <c r="GQL33" s="51"/>
      <c r="GQN33" s="51"/>
      <c r="GQO33" s="51"/>
      <c r="GQQ33" s="51"/>
      <c r="GQT33" s="51"/>
      <c r="GQV33" s="51"/>
      <c r="GQW33" s="51"/>
      <c r="GQY33" s="51"/>
      <c r="GRB33" s="51"/>
      <c r="GRD33" s="51"/>
      <c r="GRE33" s="51"/>
      <c r="GRG33" s="51"/>
      <c r="GRJ33" s="51"/>
      <c r="GRL33" s="51"/>
      <c r="GRM33" s="51"/>
      <c r="GRO33" s="51"/>
      <c r="GRR33" s="51"/>
      <c r="GRT33" s="51"/>
      <c r="GRU33" s="51"/>
      <c r="GRW33" s="51"/>
      <c r="GRZ33" s="51"/>
      <c r="GSB33" s="51"/>
      <c r="GSC33" s="51"/>
      <c r="GSE33" s="51"/>
      <c r="GSH33" s="51"/>
      <c r="GSJ33" s="51"/>
      <c r="GSK33" s="51"/>
      <c r="GSM33" s="51"/>
      <c r="GSP33" s="51"/>
      <c r="GSR33" s="51"/>
      <c r="GSS33" s="51"/>
      <c r="GSU33" s="51"/>
      <c r="GSX33" s="51"/>
      <c r="GSZ33" s="51"/>
      <c r="GTA33" s="51"/>
      <c r="GTC33" s="51"/>
      <c r="GTF33" s="51"/>
      <c r="GTH33" s="51"/>
      <c r="GTI33" s="51"/>
      <c r="GTK33" s="51"/>
      <c r="GTN33" s="51"/>
      <c r="GTP33" s="51"/>
      <c r="GTQ33" s="51"/>
      <c r="GTS33" s="51"/>
      <c r="GTV33" s="51"/>
      <c r="GTX33" s="51"/>
      <c r="GTY33" s="51"/>
      <c r="GUA33" s="51"/>
      <c r="GUD33" s="51"/>
      <c r="GUF33" s="51"/>
      <c r="GUG33" s="51"/>
      <c r="GUI33" s="51"/>
      <c r="GUL33" s="51"/>
      <c r="GUN33" s="51"/>
      <c r="GUO33" s="51"/>
      <c r="GUQ33" s="51"/>
      <c r="GUT33" s="51"/>
      <c r="GUV33" s="51"/>
      <c r="GUW33" s="51"/>
      <c r="GUY33" s="51"/>
      <c r="GVB33" s="51"/>
      <c r="GVD33" s="51"/>
      <c r="GVE33" s="51"/>
      <c r="GVG33" s="51"/>
      <c r="GVJ33" s="51"/>
      <c r="GVL33" s="51"/>
      <c r="GVM33" s="51"/>
      <c r="GVO33" s="51"/>
      <c r="GVR33" s="51"/>
      <c r="GVT33" s="51"/>
      <c r="GVU33" s="51"/>
      <c r="GVW33" s="51"/>
      <c r="GVZ33" s="51"/>
      <c r="GWB33" s="51"/>
      <c r="GWC33" s="51"/>
      <c r="GWE33" s="51"/>
      <c r="GWH33" s="51"/>
      <c r="GWJ33" s="51"/>
      <c r="GWK33" s="51"/>
      <c r="GWM33" s="51"/>
      <c r="GWP33" s="51"/>
      <c r="GWR33" s="51"/>
      <c r="GWS33" s="51"/>
      <c r="GWU33" s="51"/>
      <c r="GWX33" s="51"/>
      <c r="GWZ33" s="51"/>
      <c r="GXA33" s="51"/>
      <c r="GXC33" s="51"/>
      <c r="GXF33" s="51"/>
      <c r="GXH33" s="51"/>
      <c r="GXI33" s="51"/>
      <c r="GXK33" s="51"/>
      <c r="GXN33" s="51"/>
      <c r="GXP33" s="51"/>
      <c r="GXQ33" s="51"/>
      <c r="GXS33" s="51"/>
      <c r="GXV33" s="51"/>
      <c r="GXX33" s="51"/>
      <c r="GXY33" s="51"/>
      <c r="GYA33" s="51"/>
      <c r="GYD33" s="51"/>
      <c r="GYF33" s="51"/>
      <c r="GYG33" s="51"/>
      <c r="GYI33" s="51"/>
      <c r="GYL33" s="51"/>
      <c r="GYN33" s="51"/>
      <c r="GYO33" s="51"/>
      <c r="GYQ33" s="51"/>
      <c r="GYT33" s="51"/>
      <c r="GYV33" s="51"/>
      <c r="GYW33" s="51"/>
      <c r="GYY33" s="51"/>
      <c r="GZB33" s="51"/>
      <c r="GZD33" s="51"/>
      <c r="GZE33" s="51"/>
      <c r="GZG33" s="51"/>
      <c r="GZJ33" s="51"/>
      <c r="GZL33" s="51"/>
      <c r="GZM33" s="51"/>
      <c r="GZO33" s="51"/>
      <c r="GZR33" s="51"/>
      <c r="GZT33" s="51"/>
      <c r="GZU33" s="51"/>
      <c r="GZW33" s="51"/>
      <c r="GZZ33" s="51"/>
      <c r="HAB33" s="51"/>
      <c r="HAC33" s="51"/>
      <c r="HAE33" s="51"/>
      <c r="HAH33" s="51"/>
      <c r="HAJ33" s="51"/>
      <c r="HAK33" s="51"/>
      <c r="HAM33" s="51"/>
      <c r="HAP33" s="51"/>
      <c r="HAR33" s="51"/>
      <c r="HAS33" s="51"/>
      <c r="HAU33" s="51"/>
      <c r="HAX33" s="51"/>
      <c r="HAZ33" s="51"/>
      <c r="HBA33" s="51"/>
      <c r="HBC33" s="51"/>
      <c r="HBF33" s="51"/>
      <c r="HBH33" s="51"/>
      <c r="HBI33" s="51"/>
      <c r="HBK33" s="51"/>
      <c r="HBN33" s="51"/>
      <c r="HBP33" s="51"/>
      <c r="HBQ33" s="51"/>
      <c r="HBS33" s="51"/>
      <c r="HBV33" s="51"/>
      <c r="HBX33" s="51"/>
      <c r="HBY33" s="51"/>
      <c r="HCA33" s="51"/>
      <c r="HCD33" s="51"/>
      <c r="HCF33" s="51"/>
      <c r="HCG33" s="51"/>
      <c r="HCI33" s="51"/>
      <c r="HCL33" s="51"/>
      <c r="HCN33" s="51"/>
      <c r="HCO33" s="51"/>
      <c r="HCQ33" s="51"/>
      <c r="HCT33" s="51"/>
      <c r="HCV33" s="51"/>
      <c r="HCW33" s="51"/>
      <c r="HCY33" s="51"/>
      <c r="HDB33" s="51"/>
      <c r="HDD33" s="51"/>
      <c r="HDE33" s="51"/>
      <c r="HDG33" s="51"/>
      <c r="HDJ33" s="51"/>
      <c r="HDL33" s="51"/>
      <c r="HDM33" s="51"/>
      <c r="HDO33" s="51"/>
      <c r="HDR33" s="51"/>
      <c r="HDT33" s="51"/>
      <c r="HDU33" s="51"/>
      <c r="HDW33" s="51"/>
      <c r="HDZ33" s="51"/>
      <c r="HEB33" s="51"/>
      <c r="HEC33" s="51"/>
      <c r="HEE33" s="51"/>
      <c r="HEH33" s="51"/>
      <c r="HEJ33" s="51"/>
      <c r="HEK33" s="51"/>
      <c r="HEM33" s="51"/>
      <c r="HEP33" s="51"/>
      <c r="HER33" s="51"/>
      <c r="HES33" s="51"/>
      <c r="HEU33" s="51"/>
      <c r="HEX33" s="51"/>
      <c r="HEZ33" s="51"/>
      <c r="HFA33" s="51"/>
      <c r="HFC33" s="51"/>
      <c r="HFF33" s="51"/>
      <c r="HFH33" s="51"/>
      <c r="HFI33" s="51"/>
      <c r="HFK33" s="51"/>
      <c r="HFN33" s="51"/>
      <c r="HFP33" s="51"/>
      <c r="HFQ33" s="51"/>
      <c r="HFS33" s="51"/>
      <c r="HFV33" s="51"/>
      <c r="HFX33" s="51"/>
      <c r="HFY33" s="51"/>
      <c r="HGA33" s="51"/>
      <c r="HGD33" s="51"/>
      <c r="HGF33" s="51"/>
      <c r="HGG33" s="51"/>
      <c r="HGI33" s="51"/>
      <c r="HGL33" s="51"/>
      <c r="HGN33" s="51"/>
      <c r="HGO33" s="51"/>
      <c r="HGQ33" s="51"/>
      <c r="HGT33" s="51"/>
      <c r="HGV33" s="51"/>
      <c r="HGW33" s="51"/>
      <c r="HGY33" s="51"/>
      <c r="HHB33" s="51"/>
      <c r="HHD33" s="51"/>
      <c r="HHE33" s="51"/>
      <c r="HHG33" s="51"/>
      <c r="HHJ33" s="51"/>
      <c r="HHL33" s="51"/>
      <c r="HHM33" s="51"/>
      <c r="HHO33" s="51"/>
      <c r="HHR33" s="51"/>
      <c r="HHT33" s="51"/>
      <c r="HHU33" s="51"/>
      <c r="HHW33" s="51"/>
      <c r="HHZ33" s="51"/>
      <c r="HIB33" s="51"/>
      <c r="HIC33" s="51"/>
      <c r="HIE33" s="51"/>
      <c r="HIH33" s="51"/>
      <c r="HIJ33" s="51"/>
      <c r="HIK33" s="51"/>
      <c r="HIM33" s="51"/>
      <c r="HIP33" s="51"/>
      <c r="HIR33" s="51"/>
      <c r="HIS33" s="51"/>
      <c r="HIU33" s="51"/>
      <c r="HIX33" s="51"/>
      <c r="HIZ33" s="51"/>
      <c r="HJA33" s="51"/>
      <c r="HJC33" s="51"/>
      <c r="HJF33" s="51"/>
      <c r="HJH33" s="51"/>
      <c r="HJI33" s="51"/>
      <c r="HJK33" s="51"/>
      <c r="HJN33" s="51"/>
      <c r="HJP33" s="51"/>
      <c r="HJQ33" s="51"/>
      <c r="HJS33" s="51"/>
      <c r="HJV33" s="51"/>
      <c r="HJX33" s="51"/>
      <c r="HJY33" s="51"/>
      <c r="HKA33" s="51"/>
      <c r="HKD33" s="51"/>
      <c r="HKF33" s="51"/>
      <c r="HKG33" s="51"/>
      <c r="HKI33" s="51"/>
      <c r="HKL33" s="51"/>
      <c r="HKN33" s="51"/>
      <c r="HKO33" s="51"/>
      <c r="HKQ33" s="51"/>
      <c r="HKT33" s="51"/>
      <c r="HKV33" s="51"/>
      <c r="HKW33" s="51"/>
      <c r="HKY33" s="51"/>
      <c r="HLB33" s="51"/>
      <c r="HLD33" s="51"/>
      <c r="HLE33" s="51"/>
      <c r="HLG33" s="51"/>
      <c r="HLJ33" s="51"/>
      <c r="HLL33" s="51"/>
      <c r="HLM33" s="51"/>
      <c r="HLO33" s="51"/>
      <c r="HLR33" s="51"/>
      <c r="HLT33" s="51"/>
      <c r="HLU33" s="51"/>
      <c r="HLW33" s="51"/>
      <c r="HLZ33" s="51"/>
      <c r="HMB33" s="51"/>
      <c r="HMC33" s="51"/>
      <c r="HME33" s="51"/>
      <c r="HMH33" s="51"/>
      <c r="HMJ33" s="51"/>
      <c r="HMK33" s="51"/>
      <c r="HMM33" s="51"/>
      <c r="HMP33" s="51"/>
      <c r="HMR33" s="51"/>
      <c r="HMS33" s="51"/>
      <c r="HMU33" s="51"/>
      <c r="HMX33" s="51"/>
      <c r="HMZ33" s="51"/>
      <c r="HNA33" s="51"/>
      <c r="HNC33" s="51"/>
      <c r="HNF33" s="51"/>
      <c r="HNH33" s="51"/>
      <c r="HNI33" s="51"/>
      <c r="HNK33" s="51"/>
      <c r="HNN33" s="51"/>
      <c r="HNP33" s="51"/>
      <c r="HNQ33" s="51"/>
      <c r="HNS33" s="51"/>
      <c r="HNV33" s="51"/>
      <c r="HNX33" s="51"/>
      <c r="HNY33" s="51"/>
      <c r="HOA33" s="51"/>
      <c r="HOD33" s="51"/>
      <c r="HOF33" s="51"/>
      <c r="HOG33" s="51"/>
      <c r="HOI33" s="51"/>
      <c r="HOL33" s="51"/>
      <c r="HON33" s="51"/>
      <c r="HOO33" s="51"/>
      <c r="HOQ33" s="51"/>
      <c r="HOT33" s="51"/>
      <c r="HOV33" s="51"/>
      <c r="HOW33" s="51"/>
      <c r="HOY33" s="51"/>
      <c r="HPB33" s="51"/>
      <c r="HPD33" s="51"/>
      <c r="HPE33" s="51"/>
      <c r="HPG33" s="51"/>
      <c r="HPJ33" s="51"/>
      <c r="HPL33" s="51"/>
      <c r="HPM33" s="51"/>
      <c r="HPO33" s="51"/>
      <c r="HPR33" s="51"/>
      <c r="HPT33" s="51"/>
      <c r="HPU33" s="51"/>
      <c r="HPW33" s="51"/>
      <c r="HPZ33" s="51"/>
      <c r="HQB33" s="51"/>
      <c r="HQC33" s="51"/>
      <c r="HQE33" s="51"/>
      <c r="HQH33" s="51"/>
      <c r="HQJ33" s="51"/>
      <c r="HQK33" s="51"/>
      <c r="HQM33" s="51"/>
      <c r="HQP33" s="51"/>
      <c r="HQR33" s="51"/>
      <c r="HQS33" s="51"/>
      <c r="HQU33" s="51"/>
      <c r="HQX33" s="51"/>
      <c r="HQZ33" s="51"/>
      <c r="HRA33" s="51"/>
      <c r="HRC33" s="51"/>
      <c r="HRF33" s="51"/>
      <c r="HRH33" s="51"/>
      <c r="HRI33" s="51"/>
      <c r="HRK33" s="51"/>
      <c r="HRN33" s="51"/>
      <c r="HRP33" s="51"/>
      <c r="HRQ33" s="51"/>
      <c r="HRS33" s="51"/>
      <c r="HRV33" s="51"/>
      <c r="HRX33" s="51"/>
      <c r="HRY33" s="51"/>
      <c r="HSA33" s="51"/>
      <c r="HSD33" s="51"/>
      <c r="HSF33" s="51"/>
      <c r="HSG33" s="51"/>
      <c r="HSI33" s="51"/>
      <c r="HSL33" s="51"/>
      <c r="HSN33" s="51"/>
      <c r="HSO33" s="51"/>
      <c r="HSQ33" s="51"/>
      <c r="HST33" s="51"/>
      <c r="HSV33" s="51"/>
      <c r="HSW33" s="51"/>
      <c r="HSY33" s="51"/>
      <c r="HTB33" s="51"/>
      <c r="HTD33" s="51"/>
      <c r="HTE33" s="51"/>
      <c r="HTG33" s="51"/>
      <c r="HTJ33" s="51"/>
      <c r="HTL33" s="51"/>
      <c r="HTM33" s="51"/>
      <c r="HTO33" s="51"/>
      <c r="HTR33" s="51"/>
      <c r="HTT33" s="51"/>
      <c r="HTU33" s="51"/>
      <c r="HTW33" s="51"/>
      <c r="HTZ33" s="51"/>
      <c r="HUB33" s="51"/>
      <c r="HUC33" s="51"/>
      <c r="HUE33" s="51"/>
      <c r="HUH33" s="51"/>
      <c r="HUJ33" s="51"/>
      <c r="HUK33" s="51"/>
      <c r="HUM33" s="51"/>
      <c r="HUP33" s="51"/>
      <c r="HUR33" s="51"/>
      <c r="HUS33" s="51"/>
      <c r="HUU33" s="51"/>
      <c r="HUX33" s="51"/>
      <c r="HUZ33" s="51"/>
      <c r="HVA33" s="51"/>
      <c r="HVC33" s="51"/>
      <c r="HVF33" s="51"/>
      <c r="HVH33" s="51"/>
      <c r="HVI33" s="51"/>
      <c r="HVK33" s="51"/>
      <c r="HVN33" s="51"/>
      <c r="HVP33" s="51"/>
      <c r="HVQ33" s="51"/>
      <c r="HVS33" s="51"/>
      <c r="HVV33" s="51"/>
      <c r="HVX33" s="51"/>
      <c r="HVY33" s="51"/>
      <c r="HWA33" s="51"/>
      <c r="HWD33" s="51"/>
      <c r="HWF33" s="51"/>
      <c r="HWG33" s="51"/>
      <c r="HWI33" s="51"/>
      <c r="HWL33" s="51"/>
      <c r="HWN33" s="51"/>
      <c r="HWO33" s="51"/>
      <c r="HWQ33" s="51"/>
      <c r="HWT33" s="51"/>
      <c r="HWV33" s="51"/>
      <c r="HWW33" s="51"/>
      <c r="HWY33" s="51"/>
      <c r="HXB33" s="51"/>
      <c r="HXD33" s="51"/>
      <c r="HXE33" s="51"/>
      <c r="HXG33" s="51"/>
      <c r="HXJ33" s="51"/>
      <c r="HXL33" s="51"/>
      <c r="HXM33" s="51"/>
      <c r="HXO33" s="51"/>
      <c r="HXR33" s="51"/>
      <c r="HXT33" s="51"/>
      <c r="HXU33" s="51"/>
      <c r="HXW33" s="51"/>
      <c r="HXZ33" s="51"/>
      <c r="HYB33" s="51"/>
      <c r="HYC33" s="51"/>
      <c r="HYE33" s="51"/>
      <c r="HYH33" s="51"/>
      <c r="HYJ33" s="51"/>
      <c r="HYK33" s="51"/>
      <c r="HYM33" s="51"/>
      <c r="HYP33" s="51"/>
      <c r="HYR33" s="51"/>
      <c r="HYS33" s="51"/>
      <c r="HYU33" s="51"/>
      <c r="HYX33" s="51"/>
      <c r="HYZ33" s="51"/>
      <c r="HZA33" s="51"/>
      <c r="HZC33" s="51"/>
      <c r="HZF33" s="51"/>
      <c r="HZH33" s="51"/>
      <c r="HZI33" s="51"/>
      <c r="HZK33" s="51"/>
      <c r="HZN33" s="51"/>
      <c r="HZP33" s="51"/>
      <c r="HZQ33" s="51"/>
      <c r="HZS33" s="51"/>
      <c r="HZV33" s="51"/>
      <c r="HZX33" s="51"/>
      <c r="HZY33" s="51"/>
      <c r="IAA33" s="51"/>
      <c r="IAD33" s="51"/>
      <c r="IAF33" s="51"/>
      <c r="IAG33" s="51"/>
      <c r="IAI33" s="51"/>
      <c r="IAL33" s="51"/>
      <c r="IAN33" s="51"/>
      <c r="IAO33" s="51"/>
      <c r="IAQ33" s="51"/>
      <c r="IAT33" s="51"/>
      <c r="IAV33" s="51"/>
      <c r="IAW33" s="51"/>
      <c r="IAY33" s="51"/>
      <c r="IBB33" s="51"/>
      <c r="IBD33" s="51"/>
      <c r="IBE33" s="51"/>
      <c r="IBG33" s="51"/>
      <c r="IBJ33" s="51"/>
      <c r="IBL33" s="51"/>
      <c r="IBM33" s="51"/>
      <c r="IBO33" s="51"/>
      <c r="IBR33" s="51"/>
      <c r="IBT33" s="51"/>
      <c r="IBU33" s="51"/>
      <c r="IBW33" s="51"/>
      <c r="IBZ33" s="51"/>
      <c r="ICB33" s="51"/>
      <c r="ICC33" s="51"/>
      <c r="ICE33" s="51"/>
      <c r="ICH33" s="51"/>
      <c r="ICJ33" s="51"/>
      <c r="ICK33" s="51"/>
      <c r="ICM33" s="51"/>
      <c r="ICP33" s="51"/>
      <c r="ICR33" s="51"/>
      <c r="ICS33" s="51"/>
      <c r="ICU33" s="51"/>
      <c r="ICX33" s="51"/>
      <c r="ICZ33" s="51"/>
      <c r="IDA33" s="51"/>
      <c r="IDC33" s="51"/>
      <c r="IDF33" s="51"/>
      <c r="IDH33" s="51"/>
      <c r="IDI33" s="51"/>
      <c r="IDK33" s="51"/>
      <c r="IDN33" s="51"/>
      <c r="IDP33" s="51"/>
      <c r="IDQ33" s="51"/>
      <c r="IDS33" s="51"/>
      <c r="IDV33" s="51"/>
      <c r="IDX33" s="51"/>
      <c r="IDY33" s="51"/>
      <c r="IEA33" s="51"/>
      <c r="IED33" s="51"/>
      <c r="IEF33" s="51"/>
      <c r="IEG33" s="51"/>
      <c r="IEI33" s="51"/>
      <c r="IEL33" s="51"/>
      <c r="IEN33" s="51"/>
      <c r="IEO33" s="51"/>
      <c r="IEQ33" s="51"/>
      <c r="IET33" s="51"/>
      <c r="IEV33" s="51"/>
      <c r="IEW33" s="51"/>
      <c r="IEY33" s="51"/>
      <c r="IFB33" s="51"/>
      <c r="IFD33" s="51"/>
      <c r="IFE33" s="51"/>
      <c r="IFG33" s="51"/>
      <c r="IFJ33" s="51"/>
      <c r="IFL33" s="51"/>
      <c r="IFM33" s="51"/>
      <c r="IFO33" s="51"/>
      <c r="IFR33" s="51"/>
      <c r="IFT33" s="51"/>
      <c r="IFU33" s="51"/>
      <c r="IFW33" s="51"/>
      <c r="IFZ33" s="51"/>
      <c r="IGB33" s="51"/>
      <c r="IGC33" s="51"/>
      <c r="IGE33" s="51"/>
      <c r="IGH33" s="51"/>
      <c r="IGJ33" s="51"/>
      <c r="IGK33" s="51"/>
      <c r="IGM33" s="51"/>
      <c r="IGP33" s="51"/>
      <c r="IGR33" s="51"/>
      <c r="IGS33" s="51"/>
      <c r="IGU33" s="51"/>
      <c r="IGX33" s="51"/>
      <c r="IGZ33" s="51"/>
      <c r="IHA33" s="51"/>
      <c r="IHC33" s="51"/>
      <c r="IHF33" s="51"/>
      <c r="IHH33" s="51"/>
      <c r="IHI33" s="51"/>
      <c r="IHK33" s="51"/>
      <c r="IHN33" s="51"/>
      <c r="IHP33" s="51"/>
      <c r="IHQ33" s="51"/>
      <c r="IHS33" s="51"/>
      <c r="IHV33" s="51"/>
      <c r="IHX33" s="51"/>
      <c r="IHY33" s="51"/>
      <c r="IIA33" s="51"/>
      <c r="IID33" s="51"/>
      <c r="IIF33" s="51"/>
      <c r="IIG33" s="51"/>
      <c r="III33" s="51"/>
      <c r="IIL33" s="51"/>
      <c r="IIN33" s="51"/>
      <c r="IIO33" s="51"/>
      <c r="IIQ33" s="51"/>
      <c r="IIT33" s="51"/>
      <c r="IIV33" s="51"/>
      <c r="IIW33" s="51"/>
      <c r="IIY33" s="51"/>
      <c r="IJB33" s="51"/>
      <c r="IJD33" s="51"/>
      <c r="IJE33" s="51"/>
      <c r="IJG33" s="51"/>
      <c r="IJJ33" s="51"/>
      <c r="IJL33" s="51"/>
      <c r="IJM33" s="51"/>
      <c r="IJO33" s="51"/>
      <c r="IJR33" s="51"/>
      <c r="IJT33" s="51"/>
      <c r="IJU33" s="51"/>
      <c r="IJW33" s="51"/>
      <c r="IJZ33" s="51"/>
      <c r="IKB33" s="51"/>
      <c r="IKC33" s="51"/>
      <c r="IKE33" s="51"/>
      <c r="IKH33" s="51"/>
      <c r="IKJ33" s="51"/>
      <c r="IKK33" s="51"/>
      <c r="IKM33" s="51"/>
      <c r="IKP33" s="51"/>
      <c r="IKR33" s="51"/>
      <c r="IKS33" s="51"/>
      <c r="IKU33" s="51"/>
      <c r="IKX33" s="51"/>
      <c r="IKZ33" s="51"/>
      <c r="ILA33" s="51"/>
      <c r="ILC33" s="51"/>
      <c r="ILF33" s="51"/>
      <c r="ILH33" s="51"/>
      <c r="ILI33" s="51"/>
      <c r="ILK33" s="51"/>
      <c r="ILN33" s="51"/>
      <c r="ILP33" s="51"/>
      <c r="ILQ33" s="51"/>
      <c r="ILS33" s="51"/>
      <c r="ILV33" s="51"/>
      <c r="ILX33" s="51"/>
      <c r="ILY33" s="51"/>
      <c r="IMA33" s="51"/>
      <c r="IMD33" s="51"/>
      <c r="IMF33" s="51"/>
      <c r="IMG33" s="51"/>
      <c r="IMI33" s="51"/>
      <c r="IML33" s="51"/>
      <c r="IMN33" s="51"/>
      <c r="IMO33" s="51"/>
      <c r="IMQ33" s="51"/>
      <c r="IMT33" s="51"/>
      <c r="IMV33" s="51"/>
      <c r="IMW33" s="51"/>
      <c r="IMY33" s="51"/>
      <c r="INB33" s="51"/>
      <c r="IND33" s="51"/>
      <c r="INE33" s="51"/>
      <c r="ING33" s="51"/>
      <c r="INJ33" s="51"/>
      <c r="INL33" s="51"/>
      <c r="INM33" s="51"/>
      <c r="INO33" s="51"/>
      <c r="INR33" s="51"/>
      <c r="INT33" s="51"/>
      <c r="INU33" s="51"/>
      <c r="INW33" s="51"/>
      <c r="INZ33" s="51"/>
      <c r="IOB33" s="51"/>
      <c r="IOC33" s="51"/>
      <c r="IOE33" s="51"/>
      <c r="IOH33" s="51"/>
      <c r="IOJ33" s="51"/>
      <c r="IOK33" s="51"/>
      <c r="IOM33" s="51"/>
      <c r="IOP33" s="51"/>
      <c r="IOR33" s="51"/>
      <c r="IOS33" s="51"/>
      <c r="IOU33" s="51"/>
      <c r="IOX33" s="51"/>
      <c r="IOZ33" s="51"/>
      <c r="IPA33" s="51"/>
      <c r="IPC33" s="51"/>
      <c r="IPF33" s="51"/>
      <c r="IPH33" s="51"/>
      <c r="IPI33" s="51"/>
      <c r="IPK33" s="51"/>
      <c r="IPN33" s="51"/>
      <c r="IPP33" s="51"/>
      <c r="IPQ33" s="51"/>
      <c r="IPS33" s="51"/>
      <c r="IPV33" s="51"/>
      <c r="IPX33" s="51"/>
      <c r="IPY33" s="51"/>
      <c r="IQA33" s="51"/>
      <c r="IQD33" s="51"/>
      <c r="IQF33" s="51"/>
      <c r="IQG33" s="51"/>
      <c r="IQI33" s="51"/>
      <c r="IQL33" s="51"/>
      <c r="IQN33" s="51"/>
      <c r="IQO33" s="51"/>
      <c r="IQQ33" s="51"/>
      <c r="IQT33" s="51"/>
      <c r="IQV33" s="51"/>
      <c r="IQW33" s="51"/>
      <c r="IQY33" s="51"/>
      <c r="IRB33" s="51"/>
      <c r="IRD33" s="51"/>
      <c r="IRE33" s="51"/>
      <c r="IRG33" s="51"/>
      <c r="IRJ33" s="51"/>
      <c r="IRL33" s="51"/>
      <c r="IRM33" s="51"/>
      <c r="IRO33" s="51"/>
      <c r="IRR33" s="51"/>
      <c r="IRT33" s="51"/>
      <c r="IRU33" s="51"/>
      <c r="IRW33" s="51"/>
      <c r="IRZ33" s="51"/>
      <c r="ISB33" s="51"/>
      <c r="ISC33" s="51"/>
      <c r="ISE33" s="51"/>
      <c r="ISH33" s="51"/>
      <c r="ISJ33" s="51"/>
      <c r="ISK33" s="51"/>
      <c r="ISM33" s="51"/>
      <c r="ISP33" s="51"/>
      <c r="ISR33" s="51"/>
      <c r="ISS33" s="51"/>
      <c r="ISU33" s="51"/>
      <c r="ISX33" s="51"/>
      <c r="ISZ33" s="51"/>
      <c r="ITA33" s="51"/>
      <c r="ITC33" s="51"/>
      <c r="ITF33" s="51"/>
      <c r="ITH33" s="51"/>
      <c r="ITI33" s="51"/>
      <c r="ITK33" s="51"/>
      <c r="ITN33" s="51"/>
      <c r="ITP33" s="51"/>
      <c r="ITQ33" s="51"/>
      <c r="ITS33" s="51"/>
      <c r="ITV33" s="51"/>
      <c r="ITX33" s="51"/>
      <c r="ITY33" s="51"/>
      <c r="IUA33" s="51"/>
      <c r="IUD33" s="51"/>
      <c r="IUF33" s="51"/>
      <c r="IUG33" s="51"/>
      <c r="IUI33" s="51"/>
      <c r="IUL33" s="51"/>
      <c r="IUN33" s="51"/>
      <c r="IUO33" s="51"/>
      <c r="IUQ33" s="51"/>
      <c r="IUT33" s="51"/>
      <c r="IUV33" s="51"/>
      <c r="IUW33" s="51"/>
      <c r="IUY33" s="51"/>
      <c r="IVB33" s="51"/>
      <c r="IVD33" s="51"/>
      <c r="IVE33" s="51"/>
      <c r="IVG33" s="51"/>
      <c r="IVJ33" s="51"/>
      <c r="IVL33" s="51"/>
      <c r="IVM33" s="51"/>
      <c r="IVO33" s="51"/>
      <c r="IVR33" s="51"/>
      <c r="IVT33" s="51"/>
      <c r="IVU33" s="51"/>
      <c r="IVW33" s="51"/>
      <c r="IVZ33" s="51"/>
      <c r="IWB33" s="51"/>
      <c r="IWC33" s="51"/>
      <c r="IWE33" s="51"/>
      <c r="IWH33" s="51"/>
      <c r="IWJ33" s="51"/>
      <c r="IWK33" s="51"/>
      <c r="IWM33" s="51"/>
      <c r="IWP33" s="51"/>
      <c r="IWR33" s="51"/>
      <c r="IWS33" s="51"/>
      <c r="IWU33" s="51"/>
      <c r="IWX33" s="51"/>
      <c r="IWZ33" s="51"/>
      <c r="IXA33" s="51"/>
      <c r="IXC33" s="51"/>
      <c r="IXF33" s="51"/>
      <c r="IXH33" s="51"/>
      <c r="IXI33" s="51"/>
      <c r="IXK33" s="51"/>
      <c r="IXN33" s="51"/>
      <c r="IXP33" s="51"/>
      <c r="IXQ33" s="51"/>
      <c r="IXS33" s="51"/>
      <c r="IXV33" s="51"/>
      <c r="IXX33" s="51"/>
      <c r="IXY33" s="51"/>
      <c r="IYA33" s="51"/>
      <c r="IYD33" s="51"/>
      <c r="IYF33" s="51"/>
      <c r="IYG33" s="51"/>
      <c r="IYI33" s="51"/>
      <c r="IYL33" s="51"/>
      <c r="IYN33" s="51"/>
      <c r="IYO33" s="51"/>
      <c r="IYQ33" s="51"/>
      <c r="IYT33" s="51"/>
      <c r="IYV33" s="51"/>
      <c r="IYW33" s="51"/>
      <c r="IYY33" s="51"/>
      <c r="IZB33" s="51"/>
      <c r="IZD33" s="51"/>
      <c r="IZE33" s="51"/>
      <c r="IZG33" s="51"/>
      <c r="IZJ33" s="51"/>
      <c r="IZL33" s="51"/>
      <c r="IZM33" s="51"/>
      <c r="IZO33" s="51"/>
      <c r="IZR33" s="51"/>
      <c r="IZT33" s="51"/>
      <c r="IZU33" s="51"/>
      <c r="IZW33" s="51"/>
      <c r="IZZ33" s="51"/>
      <c r="JAB33" s="51"/>
      <c r="JAC33" s="51"/>
      <c r="JAE33" s="51"/>
      <c r="JAH33" s="51"/>
      <c r="JAJ33" s="51"/>
      <c r="JAK33" s="51"/>
      <c r="JAM33" s="51"/>
      <c r="JAP33" s="51"/>
      <c r="JAR33" s="51"/>
      <c r="JAS33" s="51"/>
      <c r="JAU33" s="51"/>
      <c r="JAX33" s="51"/>
      <c r="JAZ33" s="51"/>
      <c r="JBA33" s="51"/>
      <c r="JBC33" s="51"/>
      <c r="JBF33" s="51"/>
      <c r="JBH33" s="51"/>
      <c r="JBI33" s="51"/>
      <c r="JBK33" s="51"/>
      <c r="JBN33" s="51"/>
      <c r="JBP33" s="51"/>
      <c r="JBQ33" s="51"/>
      <c r="JBS33" s="51"/>
      <c r="JBV33" s="51"/>
      <c r="JBX33" s="51"/>
      <c r="JBY33" s="51"/>
      <c r="JCA33" s="51"/>
      <c r="JCD33" s="51"/>
      <c r="JCF33" s="51"/>
      <c r="JCG33" s="51"/>
      <c r="JCI33" s="51"/>
      <c r="JCL33" s="51"/>
      <c r="JCN33" s="51"/>
      <c r="JCO33" s="51"/>
      <c r="JCQ33" s="51"/>
      <c r="JCT33" s="51"/>
      <c r="JCV33" s="51"/>
      <c r="JCW33" s="51"/>
      <c r="JCY33" s="51"/>
      <c r="JDB33" s="51"/>
      <c r="JDD33" s="51"/>
      <c r="JDE33" s="51"/>
      <c r="JDG33" s="51"/>
      <c r="JDJ33" s="51"/>
      <c r="JDL33" s="51"/>
      <c r="JDM33" s="51"/>
      <c r="JDO33" s="51"/>
      <c r="JDR33" s="51"/>
      <c r="JDT33" s="51"/>
      <c r="JDU33" s="51"/>
      <c r="JDW33" s="51"/>
      <c r="JDZ33" s="51"/>
      <c r="JEB33" s="51"/>
      <c r="JEC33" s="51"/>
      <c r="JEE33" s="51"/>
      <c r="JEH33" s="51"/>
      <c r="JEJ33" s="51"/>
      <c r="JEK33" s="51"/>
      <c r="JEM33" s="51"/>
      <c r="JEP33" s="51"/>
      <c r="JER33" s="51"/>
      <c r="JES33" s="51"/>
      <c r="JEU33" s="51"/>
      <c r="JEX33" s="51"/>
      <c r="JEZ33" s="51"/>
      <c r="JFA33" s="51"/>
      <c r="JFC33" s="51"/>
      <c r="JFF33" s="51"/>
      <c r="JFH33" s="51"/>
      <c r="JFI33" s="51"/>
      <c r="JFK33" s="51"/>
      <c r="JFN33" s="51"/>
      <c r="JFP33" s="51"/>
      <c r="JFQ33" s="51"/>
      <c r="JFS33" s="51"/>
      <c r="JFV33" s="51"/>
      <c r="JFX33" s="51"/>
      <c r="JFY33" s="51"/>
      <c r="JGA33" s="51"/>
      <c r="JGD33" s="51"/>
      <c r="JGF33" s="51"/>
      <c r="JGG33" s="51"/>
      <c r="JGI33" s="51"/>
      <c r="JGL33" s="51"/>
      <c r="JGN33" s="51"/>
      <c r="JGO33" s="51"/>
      <c r="JGQ33" s="51"/>
      <c r="JGT33" s="51"/>
      <c r="JGV33" s="51"/>
      <c r="JGW33" s="51"/>
      <c r="JGY33" s="51"/>
      <c r="JHB33" s="51"/>
      <c r="JHD33" s="51"/>
      <c r="JHE33" s="51"/>
      <c r="JHG33" s="51"/>
      <c r="JHJ33" s="51"/>
      <c r="JHL33" s="51"/>
      <c r="JHM33" s="51"/>
      <c r="JHO33" s="51"/>
      <c r="JHR33" s="51"/>
      <c r="JHT33" s="51"/>
      <c r="JHU33" s="51"/>
      <c r="JHW33" s="51"/>
      <c r="JHZ33" s="51"/>
      <c r="JIB33" s="51"/>
      <c r="JIC33" s="51"/>
      <c r="JIE33" s="51"/>
      <c r="JIH33" s="51"/>
      <c r="JIJ33" s="51"/>
      <c r="JIK33" s="51"/>
      <c r="JIM33" s="51"/>
      <c r="JIP33" s="51"/>
      <c r="JIR33" s="51"/>
      <c r="JIS33" s="51"/>
      <c r="JIU33" s="51"/>
      <c r="JIX33" s="51"/>
      <c r="JIZ33" s="51"/>
      <c r="JJA33" s="51"/>
      <c r="JJC33" s="51"/>
      <c r="JJF33" s="51"/>
      <c r="JJH33" s="51"/>
      <c r="JJI33" s="51"/>
      <c r="JJK33" s="51"/>
      <c r="JJN33" s="51"/>
      <c r="JJP33" s="51"/>
      <c r="JJQ33" s="51"/>
      <c r="JJS33" s="51"/>
      <c r="JJV33" s="51"/>
      <c r="JJX33" s="51"/>
      <c r="JJY33" s="51"/>
      <c r="JKA33" s="51"/>
      <c r="JKD33" s="51"/>
      <c r="JKF33" s="51"/>
      <c r="JKG33" s="51"/>
      <c r="JKI33" s="51"/>
      <c r="JKL33" s="51"/>
      <c r="JKN33" s="51"/>
      <c r="JKO33" s="51"/>
      <c r="JKQ33" s="51"/>
      <c r="JKT33" s="51"/>
      <c r="JKV33" s="51"/>
      <c r="JKW33" s="51"/>
      <c r="JKY33" s="51"/>
      <c r="JLB33" s="51"/>
      <c r="JLD33" s="51"/>
      <c r="JLE33" s="51"/>
      <c r="JLG33" s="51"/>
      <c r="JLJ33" s="51"/>
      <c r="JLL33" s="51"/>
      <c r="JLM33" s="51"/>
      <c r="JLO33" s="51"/>
      <c r="JLR33" s="51"/>
      <c r="JLT33" s="51"/>
      <c r="JLU33" s="51"/>
      <c r="JLW33" s="51"/>
      <c r="JLZ33" s="51"/>
      <c r="JMB33" s="51"/>
      <c r="JMC33" s="51"/>
      <c r="JME33" s="51"/>
      <c r="JMH33" s="51"/>
      <c r="JMJ33" s="51"/>
      <c r="JMK33" s="51"/>
      <c r="JMM33" s="51"/>
      <c r="JMP33" s="51"/>
      <c r="JMR33" s="51"/>
      <c r="JMS33" s="51"/>
      <c r="JMU33" s="51"/>
      <c r="JMX33" s="51"/>
      <c r="JMZ33" s="51"/>
      <c r="JNA33" s="51"/>
      <c r="JNC33" s="51"/>
      <c r="JNF33" s="51"/>
      <c r="JNH33" s="51"/>
      <c r="JNI33" s="51"/>
      <c r="JNK33" s="51"/>
      <c r="JNN33" s="51"/>
      <c r="JNP33" s="51"/>
      <c r="JNQ33" s="51"/>
      <c r="JNS33" s="51"/>
      <c r="JNV33" s="51"/>
      <c r="JNX33" s="51"/>
      <c r="JNY33" s="51"/>
      <c r="JOA33" s="51"/>
      <c r="JOD33" s="51"/>
      <c r="JOF33" s="51"/>
      <c r="JOG33" s="51"/>
      <c r="JOI33" s="51"/>
      <c r="JOL33" s="51"/>
      <c r="JON33" s="51"/>
      <c r="JOO33" s="51"/>
      <c r="JOQ33" s="51"/>
      <c r="JOT33" s="51"/>
      <c r="JOV33" s="51"/>
      <c r="JOW33" s="51"/>
      <c r="JOY33" s="51"/>
      <c r="JPB33" s="51"/>
      <c r="JPD33" s="51"/>
      <c r="JPE33" s="51"/>
      <c r="JPG33" s="51"/>
      <c r="JPJ33" s="51"/>
      <c r="JPL33" s="51"/>
      <c r="JPM33" s="51"/>
      <c r="JPO33" s="51"/>
      <c r="JPR33" s="51"/>
      <c r="JPT33" s="51"/>
      <c r="JPU33" s="51"/>
      <c r="JPW33" s="51"/>
      <c r="JPZ33" s="51"/>
      <c r="JQB33" s="51"/>
      <c r="JQC33" s="51"/>
      <c r="JQE33" s="51"/>
      <c r="JQH33" s="51"/>
      <c r="JQJ33" s="51"/>
      <c r="JQK33" s="51"/>
      <c r="JQM33" s="51"/>
      <c r="JQP33" s="51"/>
      <c r="JQR33" s="51"/>
      <c r="JQS33" s="51"/>
      <c r="JQU33" s="51"/>
      <c r="JQX33" s="51"/>
      <c r="JQZ33" s="51"/>
      <c r="JRA33" s="51"/>
      <c r="JRC33" s="51"/>
      <c r="JRF33" s="51"/>
      <c r="JRH33" s="51"/>
      <c r="JRI33" s="51"/>
      <c r="JRK33" s="51"/>
      <c r="JRN33" s="51"/>
      <c r="JRP33" s="51"/>
      <c r="JRQ33" s="51"/>
      <c r="JRS33" s="51"/>
      <c r="JRV33" s="51"/>
      <c r="JRX33" s="51"/>
      <c r="JRY33" s="51"/>
      <c r="JSA33" s="51"/>
      <c r="JSD33" s="51"/>
      <c r="JSF33" s="51"/>
      <c r="JSG33" s="51"/>
      <c r="JSI33" s="51"/>
      <c r="JSL33" s="51"/>
      <c r="JSN33" s="51"/>
      <c r="JSO33" s="51"/>
      <c r="JSQ33" s="51"/>
      <c r="JST33" s="51"/>
      <c r="JSV33" s="51"/>
      <c r="JSW33" s="51"/>
      <c r="JSY33" s="51"/>
      <c r="JTB33" s="51"/>
      <c r="JTD33" s="51"/>
      <c r="JTE33" s="51"/>
      <c r="JTG33" s="51"/>
      <c r="JTJ33" s="51"/>
      <c r="JTL33" s="51"/>
      <c r="JTM33" s="51"/>
      <c r="JTO33" s="51"/>
      <c r="JTR33" s="51"/>
      <c r="JTT33" s="51"/>
      <c r="JTU33" s="51"/>
      <c r="JTW33" s="51"/>
      <c r="JTZ33" s="51"/>
      <c r="JUB33" s="51"/>
      <c r="JUC33" s="51"/>
      <c r="JUE33" s="51"/>
      <c r="JUH33" s="51"/>
      <c r="JUJ33" s="51"/>
      <c r="JUK33" s="51"/>
      <c r="JUM33" s="51"/>
      <c r="JUP33" s="51"/>
      <c r="JUR33" s="51"/>
      <c r="JUS33" s="51"/>
      <c r="JUU33" s="51"/>
      <c r="JUX33" s="51"/>
      <c r="JUZ33" s="51"/>
      <c r="JVA33" s="51"/>
      <c r="JVC33" s="51"/>
      <c r="JVF33" s="51"/>
      <c r="JVH33" s="51"/>
      <c r="JVI33" s="51"/>
      <c r="JVK33" s="51"/>
      <c r="JVN33" s="51"/>
      <c r="JVP33" s="51"/>
      <c r="JVQ33" s="51"/>
      <c r="JVS33" s="51"/>
      <c r="JVV33" s="51"/>
      <c r="JVX33" s="51"/>
      <c r="JVY33" s="51"/>
      <c r="JWA33" s="51"/>
      <c r="JWD33" s="51"/>
      <c r="JWF33" s="51"/>
      <c r="JWG33" s="51"/>
      <c r="JWI33" s="51"/>
      <c r="JWL33" s="51"/>
      <c r="JWN33" s="51"/>
      <c r="JWO33" s="51"/>
      <c r="JWQ33" s="51"/>
      <c r="JWT33" s="51"/>
      <c r="JWV33" s="51"/>
      <c r="JWW33" s="51"/>
      <c r="JWY33" s="51"/>
      <c r="JXB33" s="51"/>
      <c r="JXD33" s="51"/>
      <c r="JXE33" s="51"/>
      <c r="JXG33" s="51"/>
      <c r="JXJ33" s="51"/>
      <c r="JXL33" s="51"/>
      <c r="JXM33" s="51"/>
      <c r="JXO33" s="51"/>
      <c r="JXR33" s="51"/>
      <c r="JXT33" s="51"/>
      <c r="JXU33" s="51"/>
      <c r="JXW33" s="51"/>
      <c r="JXZ33" s="51"/>
      <c r="JYB33" s="51"/>
      <c r="JYC33" s="51"/>
      <c r="JYE33" s="51"/>
      <c r="JYH33" s="51"/>
      <c r="JYJ33" s="51"/>
      <c r="JYK33" s="51"/>
      <c r="JYM33" s="51"/>
      <c r="JYP33" s="51"/>
      <c r="JYR33" s="51"/>
      <c r="JYS33" s="51"/>
      <c r="JYU33" s="51"/>
      <c r="JYX33" s="51"/>
      <c r="JYZ33" s="51"/>
      <c r="JZA33" s="51"/>
      <c r="JZC33" s="51"/>
      <c r="JZF33" s="51"/>
      <c r="JZH33" s="51"/>
      <c r="JZI33" s="51"/>
      <c r="JZK33" s="51"/>
      <c r="JZN33" s="51"/>
      <c r="JZP33" s="51"/>
      <c r="JZQ33" s="51"/>
      <c r="JZS33" s="51"/>
      <c r="JZV33" s="51"/>
      <c r="JZX33" s="51"/>
      <c r="JZY33" s="51"/>
      <c r="KAA33" s="51"/>
      <c r="KAD33" s="51"/>
      <c r="KAF33" s="51"/>
      <c r="KAG33" s="51"/>
      <c r="KAI33" s="51"/>
      <c r="KAL33" s="51"/>
      <c r="KAN33" s="51"/>
      <c r="KAO33" s="51"/>
      <c r="KAQ33" s="51"/>
      <c r="KAT33" s="51"/>
      <c r="KAV33" s="51"/>
      <c r="KAW33" s="51"/>
      <c r="KAY33" s="51"/>
      <c r="KBB33" s="51"/>
      <c r="KBD33" s="51"/>
      <c r="KBE33" s="51"/>
      <c r="KBG33" s="51"/>
      <c r="KBJ33" s="51"/>
      <c r="KBL33" s="51"/>
      <c r="KBM33" s="51"/>
      <c r="KBO33" s="51"/>
      <c r="KBR33" s="51"/>
      <c r="KBT33" s="51"/>
      <c r="KBU33" s="51"/>
      <c r="KBW33" s="51"/>
      <c r="KBZ33" s="51"/>
      <c r="KCB33" s="51"/>
      <c r="KCC33" s="51"/>
      <c r="KCE33" s="51"/>
      <c r="KCH33" s="51"/>
      <c r="KCJ33" s="51"/>
      <c r="KCK33" s="51"/>
      <c r="KCM33" s="51"/>
      <c r="KCP33" s="51"/>
      <c r="KCR33" s="51"/>
      <c r="KCS33" s="51"/>
      <c r="KCU33" s="51"/>
      <c r="KCX33" s="51"/>
      <c r="KCZ33" s="51"/>
      <c r="KDA33" s="51"/>
      <c r="KDC33" s="51"/>
      <c r="KDF33" s="51"/>
      <c r="KDH33" s="51"/>
      <c r="KDI33" s="51"/>
      <c r="KDK33" s="51"/>
      <c r="KDN33" s="51"/>
      <c r="KDP33" s="51"/>
      <c r="KDQ33" s="51"/>
      <c r="KDS33" s="51"/>
      <c r="KDV33" s="51"/>
      <c r="KDX33" s="51"/>
      <c r="KDY33" s="51"/>
      <c r="KEA33" s="51"/>
      <c r="KED33" s="51"/>
      <c r="KEF33" s="51"/>
      <c r="KEG33" s="51"/>
      <c r="KEI33" s="51"/>
      <c r="KEL33" s="51"/>
      <c r="KEN33" s="51"/>
      <c r="KEO33" s="51"/>
      <c r="KEQ33" s="51"/>
      <c r="KET33" s="51"/>
      <c r="KEV33" s="51"/>
      <c r="KEW33" s="51"/>
      <c r="KEY33" s="51"/>
      <c r="KFB33" s="51"/>
      <c r="KFD33" s="51"/>
      <c r="KFE33" s="51"/>
      <c r="KFG33" s="51"/>
      <c r="KFJ33" s="51"/>
      <c r="KFL33" s="51"/>
      <c r="KFM33" s="51"/>
      <c r="KFO33" s="51"/>
      <c r="KFR33" s="51"/>
      <c r="KFT33" s="51"/>
      <c r="KFU33" s="51"/>
      <c r="KFW33" s="51"/>
      <c r="KFZ33" s="51"/>
      <c r="KGB33" s="51"/>
      <c r="KGC33" s="51"/>
      <c r="KGE33" s="51"/>
      <c r="KGH33" s="51"/>
      <c r="KGJ33" s="51"/>
      <c r="KGK33" s="51"/>
      <c r="KGM33" s="51"/>
      <c r="KGP33" s="51"/>
      <c r="KGR33" s="51"/>
      <c r="KGS33" s="51"/>
      <c r="KGU33" s="51"/>
      <c r="KGX33" s="51"/>
      <c r="KGZ33" s="51"/>
      <c r="KHA33" s="51"/>
      <c r="KHC33" s="51"/>
      <c r="KHF33" s="51"/>
      <c r="KHH33" s="51"/>
      <c r="KHI33" s="51"/>
      <c r="KHK33" s="51"/>
      <c r="KHN33" s="51"/>
      <c r="KHP33" s="51"/>
      <c r="KHQ33" s="51"/>
      <c r="KHS33" s="51"/>
      <c r="KHV33" s="51"/>
      <c r="KHX33" s="51"/>
      <c r="KHY33" s="51"/>
      <c r="KIA33" s="51"/>
      <c r="KID33" s="51"/>
      <c r="KIF33" s="51"/>
      <c r="KIG33" s="51"/>
      <c r="KII33" s="51"/>
      <c r="KIL33" s="51"/>
      <c r="KIN33" s="51"/>
      <c r="KIO33" s="51"/>
      <c r="KIQ33" s="51"/>
      <c r="KIT33" s="51"/>
      <c r="KIV33" s="51"/>
      <c r="KIW33" s="51"/>
      <c r="KIY33" s="51"/>
      <c r="KJB33" s="51"/>
      <c r="KJD33" s="51"/>
      <c r="KJE33" s="51"/>
      <c r="KJG33" s="51"/>
      <c r="KJJ33" s="51"/>
      <c r="KJL33" s="51"/>
      <c r="KJM33" s="51"/>
      <c r="KJO33" s="51"/>
      <c r="KJR33" s="51"/>
      <c r="KJT33" s="51"/>
      <c r="KJU33" s="51"/>
      <c r="KJW33" s="51"/>
      <c r="KJZ33" s="51"/>
      <c r="KKB33" s="51"/>
      <c r="KKC33" s="51"/>
      <c r="KKE33" s="51"/>
      <c r="KKH33" s="51"/>
      <c r="KKJ33" s="51"/>
      <c r="KKK33" s="51"/>
      <c r="KKM33" s="51"/>
      <c r="KKP33" s="51"/>
      <c r="KKR33" s="51"/>
      <c r="KKS33" s="51"/>
      <c r="KKU33" s="51"/>
      <c r="KKX33" s="51"/>
      <c r="KKZ33" s="51"/>
      <c r="KLA33" s="51"/>
      <c r="KLC33" s="51"/>
      <c r="KLF33" s="51"/>
      <c r="KLH33" s="51"/>
      <c r="KLI33" s="51"/>
      <c r="KLK33" s="51"/>
      <c r="KLN33" s="51"/>
      <c r="KLP33" s="51"/>
      <c r="KLQ33" s="51"/>
      <c r="KLS33" s="51"/>
      <c r="KLV33" s="51"/>
      <c r="KLX33" s="51"/>
      <c r="KLY33" s="51"/>
      <c r="KMA33" s="51"/>
      <c r="KMD33" s="51"/>
      <c r="KMF33" s="51"/>
      <c r="KMG33" s="51"/>
      <c r="KMI33" s="51"/>
      <c r="KML33" s="51"/>
      <c r="KMN33" s="51"/>
      <c r="KMO33" s="51"/>
      <c r="KMQ33" s="51"/>
      <c r="KMT33" s="51"/>
      <c r="KMV33" s="51"/>
      <c r="KMW33" s="51"/>
      <c r="KMY33" s="51"/>
      <c r="KNB33" s="51"/>
      <c r="KND33" s="51"/>
      <c r="KNE33" s="51"/>
      <c r="KNG33" s="51"/>
      <c r="KNJ33" s="51"/>
      <c r="KNL33" s="51"/>
      <c r="KNM33" s="51"/>
      <c r="KNO33" s="51"/>
      <c r="KNR33" s="51"/>
      <c r="KNT33" s="51"/>
      <c r="KNU33" s="51"/>
      <c r="KNW33" s="51"/>
      <c r="KNZ33" s="51"/>
      <c r="KOB33" s="51"/>
      <c r="KOC33" s="51"/>
      <c r="KOE33" s="51"/>
      <c r="KOH33" s="51"/>
      <c r="KOJ33" s="51"/>
      <c r="KOK33" s="51"/>
      <c r="KOM33" s="51"/>
      <c r="KOP33" s="51"/>
      <c r="KOR33" s="51"/>
      <c r="KOS33" s="51"/>
      <c r="KOU33" s="51"/>
      <c r="KOX33" s="51"/>
      <c r="KOZ33" s="51"/>
      <c r="KPA33" s="51"/>
      <c r="KPC33" s="51"/>
      <c r="KPF33" s="51"/>
      <c r="KPH33" s="51"/>
      <c r="KPI33" s="51"/>
      <c r="KPK33" s="51"/>
      <c r="KPN33" s="51"/>
      <c r="KPP33" s="51"/>
      <c r="KPQ33" s="51"/>
      <c r="KPS33" s="51"/>
      <c r="KPV33" s="51"/>
      <c r="KPX33" s="51"/>
      <c r="KPY33" s="51"/>
      <c r="KQA33" s="51"/>
      <c r="KQD33" s="51"/>
      <c r="KQF33" s="51"/>
      <c r="KQG33" s="51"/>
      <c r="KQI33" s="51"/>
      <c r="KQL33" s="51"/>
      <c r="KQN33" s="51"/>
      <c r="KQO33" s="51"/>
      <c r="KQQ33" s="51"/>
      <c r="KQT33" s="51"/>
      <c r="KQV33" s="51"/>
      <c r="KQW33" s="51"/>
      <c r="KQY33" s="51"/>
      <c r="KRB33" s="51"/>
      <c r="KRD33" s="51"/>
      <c r="KRE33" s="51"/>
      <c r="KRG33" s="51"/>
      <c r="KRJ33" s="51"/>
      <c r="KRL33" s="51"/>
      <c r="KRM33" s="51"/>
      <c r="KRO33" s="51"/>
      <c r="KRR33" s="51"/>
      <c r="KRT33" s="51"/>
      <c r="KRU33" s="51"/>
      <c r="KRW33" s="51"/>
      <c r="KRZ33" s="51"/>
      <c r="KSB33" s="51"/>
      <c r="KSC33" s="51"/>
      <c r="KSE33" s="51"/>
      <c r="KSH33" s="51"/>
      <c r="KSJ33" s="51"/>
      <c r="KSK33" s="51"/>
      <c r="KSM33" s="51"/>
      <c r="KSP33" s="51"/>
      <c r="KSR33" s="51"/>
      <c r="KSS33" s="51"/>
      <c r="KSU33" s="51"/>
      <c r="KSX33" s="51"/>
      <c r="KSZ33" s="51"/>
      <c r="KTA33" s="51"/>
      <c r="KTC33" s="51"/>
      <c r="KTF33" s="51"/>
      <c r="KTH33" s="51"/>
      <c r="KTI33" s="51"/>
      <c r="KTK33" s="51"/>
      <c r="KTN33" s="51"/>
      <c r="KTP33" s="51"/>
      <c r="KTQ33" s="51"/>
      <c r="KTS33" s="51"/>
      <c r="KTV33" s="51"/>
      <c r="KTX33" s="51"/>
      <c r="KTY33" s="51"/>
      <c r="KUA33" s="51"/>
      <c r="KUD33" s="51"/>
      <c r="KUF33" s="51"/>
      <c r="KUG33" s="51"/>
      <c r="KUI33" s="51"/>
      <c r="KUL33" s="51"/>
      <c r="KUN33" s="51"/>
      <c r="KUO33" s="51"/>
      <c r="KUQ33" s="51"/>
      <c r="KUT33" s="51"/>
      <c r="KUV33" s="51"/>
      <c r="KUW33" s="51"/>
      <c r="KUY33" s="51"/>
      <c r="KVB33" s="51"/>
      <c r="KVD33" s="51"/>
      <c r="KVE33" s="51"/>
      <c r="KVG33" s="51"/>
      <c r="KVJ33" s="51"/>
      <c r="KVL33" s="51"/>
      <c r="KVM33" s="51"/>
      <c r="KVO33" s="51"/>
      <c r="KVR33" s="51"/>
      <c r="KVT33" s="51"/>
      <c r="KVU33" s="51"/>
      <c r="KVW33" s="51"/>
      <c r="KVZ33" s="51"/>
      <c r="KWB33" s="51"/>
      <c r="KWC33" s="51"/>
      <c r="KWE33" s="51"/>
      <c r="KWH33" s="51"/>
      <c r="KWJ33" s="51"/>
      <c r="KWK33" s="51"/>
      <c r="KWM33" s="51"/>
      <c r="KWP33" s="51"/>
      <c r="KWR33" s="51"/>
      <c r="KWS33" s="51"/>
      <c r="KWU33" s="51"/>
      <c r="KWX33" s="51"/>
      <c r="KWZ33" s="51"/>
      <c r="KXA33" s="51"/>
      <c r="KXC33" s="51"/>
      <c r="KXF33" s="51"/>
      <c r="KXH33" s="51"/>
      <c r="KXI33" s="51"/>
      <c r="KXK33" s="51"/>
      <c r="KXN33" s="51"/>
      <c r="KXP33" s="51"/>
      <c r="KXQ33" s="51"/>
      <c r="KXS33" s="51"/>
      <c r="KXV33" s="51"/>
      <c r="KXX33" s="51"/>
      <c r="KXY33" s="51"/>
      <c r="KYA33" s="51"/>
      <c r="KYD33" s="51"/>
      <c r="KYF33" s="51"/>
      <c r="KYG33" s="51"/>
      <c r="KYI33" s="51"/>
      <c r="KYL33" s="51"/>
      <c r="KYN33" s="51"/>
      <c r="KYO33" s="51"/>
      <c r="KYQ33" s="51"/>
      <c r="KYT33" s="51"/>
      <c r="KYV33" s="51"/>
      <c r="KYW33" s="51"/>
      <c r="KYY33" s="51"/>
      <c r="KZB33" s="51"/>
      <c r="KZD33" s="51"/>
      <c r="KZE33" s="51"/>
      <c r="KZG33" s="51"/>
      <c r="KZJ33" s="51"/>
      <c r="KZL33" s="51"/>
      <c r="KZM33" s="51"/>
      <c r="KZO33" s="51"/>
      <c r="KZR33" s="51"/>
      <c r="KZT33" s="51"/>
      <c r="KZU33" s="51"/>
      <c r="KZW33" s="51"/>
      <c r="KZZ33" s="51"/>
      <c r="LAB33" s="51"/>
      <c r="LAC33" s="51"/>
      <c r="LAE33" s="51"/>
      <c r="LAH33" s="51"/>
      <c r="LAJ33" s="51"/>
      <c r="LAK33" s="51"/>
      <c r="LAM33" s="51"/>
      <c r="LAP33" s="51"/>
      <c r="LAR33" s="51"/>
      <c r="LAS33" s="51"/>
      <c r="LAU33" s="51"/>
      <c r="LAX33" s="51"/>
      <c r="LAZ33" s="51"/>
      <c r="LBA33" s="51"/>
      <c r="LBC33" s="51"/>
      <c r="LBF33" s="51"/>
      <c r="LBH33" s="51"/>
      <c r="LBI33" s="51"/>
      <c r="LBK33" s="51"/>
      <c r="LBN33" s="51"/>
      <c r="LBP33" s="51"/>
      <c r="LBQ33" s="51"/>
      <c r="LBS33" s="51"/>
      <c r="LBV33" s="51"/>
      <c r="LBX33" s="51"/>
      <c r="LBY33" s="51"/>
      <c r="LCA33" s="51"/>
      <c r="LCD33" s="51"/>
      <c r="LCF33" s="51"/>
      <c r="LCG33" s="51"/>
      <c r="LCI33" s="51"/>
      <c r="LCL33" s="51"/>
      <c r="LCN33" s="51"/>
      <c r="LCO33" s="51"/>
      <c r="LCQ33" s="51"/>
      <c r="LCT33" s="51"/>
      <c r="LCV33" s="51"/>
      <c r="LCW33" s="51"/>
      <c r="LCY33" s="51"/>
      <c r="LDB33" s="51"/>
      <c r="LDD33" s="51"/>
      <c r="LDE33" s="51"/>
      <c r="LDG33" s="51"/>
      <c r="LDJ33" s="51"/>
      <c r="LDL33" s="51"/>
      <c r="LDM33" s="51"/>
      <c r="LDO33" s="51"/>
      <c r="LDR33" s="51"/>
      <c r="LDT33" s="51"/>
      <c r="LDU33" s="51"/>
      <c r="LDW33" s="51"/>
      <c r="LDZ33" s="51"/>
      <c r="LEB33" s="51"/>
      <c r="LEC33" s="51"/>
      <c r="LEE33" s="51"/>
      <c r="LEH33" s="51"/>
      <c r="LEJ33" s="51"/>
      <c r="LEK33" s="51"/>
      <c r="LEM33" s="51"/>
      <c r="LEP33" s="51"/>
      <c r="LER33" s="51"/>
      <c r="LES33" s="51"/>
      <c r="LEU33" s="51"/>
      <c r="LEX33" s="51"/>
      <c r="LEZ33" s="51"/>
      <c r="LFA33" s="51"/>
      <c r="LFC33" s="51"/>
      <c r="LFF33" s="51"/>
      <c r="LFH33" s="51"/>
      <c r="LFI33" s="51"/>
      <c r="LFK33" s="51"/>
      <c r="LFN33" s="51"/>
      <c r="LFP33" s="51"/>
      <c r="LFQ33" s="51"/>
      <c r="LFS33" s="51"/>
      <c r="LFV33" s="51"/>
      <c r="LFX33" s="51"/>
      <c r="LFY33" s="51"/>
      <c r="LGA33" s="51"/>
      <c r="LGD33" s="51"/>
      <c r="LGF33" s="51"/>
      <c r="LGG33" s="51"/>
      <c r="LGI33" s="51"/>
      <c r="LGL33" s="51"/>
      <c r="LGN33" s="51"/>
      <c r="LGO33" s="51"/>
      <c r="LGQ33" s="51"/>
      <c r="LGT33" s="51"/>
      <c r="LGV33" s="51"/>
      <c r="LGW33" s="51"/>
      <c r="LGY33" s="51"/>
      <c r="LHB33" s="51"/>
      <c r="LHD33" s="51"/>
      <c r="LHE33" s="51"/>
      <c r="LHG33" s="51"/>
      <c r="LHJ33" s="51"/>
      <c r="LHL33" s="51"/>
      <c r="LHM33" s="51"/>
      <c r="LHO33" s="51"/>
      <c r="LHR33" s="51"/>
      <c r="LHT33" s="51"/>
      <c r="LHU33" s="51"/>
      <c r="LHW33" s="51"/>
      <c r="LHZ33" s="51"/>
      <c r="LIB33" s="51"/>
      <c r="LIC33" s="51"/>
      <c r="LIE33" s="51"/>
      <c r="LIH33" s="51"/>
      <c r="LIJ33" s="51"/>
      <c r="LIK33" s="51"/>
      <c r="LIM33" s="51"/>
      <c r="LIP33" s="51"/>
      <c r="LIR33" s="51"/>
      <c r="LIS33" s="51"/>
      <c r="LIU33" s="51"/>
      <c r="LIX33" s="51"/>
      <c r="LIZ33" s="51"/>
      <c r="LJA33" s="51"/>
      <c r="LJC33" s="51"/>
      <c r="LJF33" s="51"/>
      <c r="LJH33" s="51"/>
      <c r="LJI33" s="51"/>
      <c r="LJK33" s="51"/>
      <c r="LJN33" s="51"/>
      <c r="LJP33" s="51"/>
      <c r="LJQ33" s="51"/>
      <c r="LJS33" s="51"/>
      <c r="LJV33" s="51"/>
      <c r="LJX33" s="51"/>
      <c r="LJY33" s="51"/>
      <c r="LKA33" s="51"/>
      <c r="LKD33" s="51"/>
      <c r="LKF33" s="51"/>
      <c r="LKG33" s="51"/>
      <c r="LKI33" s="51"/>
      <c r="LKL33" s="51"/>
      <c r="LKN33" s="51"/>
      <c r="LKO33" s="51"/>
      <c r="LKQ33" s="51"/>
      <c r="LKT33" s="51"/>
      <c r="LKV33" s="51"/>
      <c r="LKW33" s="51"/>
      <c r="LKY33" s="51"/>
      <c r="LLB33" s="51"/>
      <c r="LLD33" s="51"/>
      <c r="LLE33" s="51"/>
      <c r="LLG33" s="51"/>
      <c r="LLJ33" s="51"/>
      <c r="LLL33" s="51"/>
      <c r="LLM33" s="51"/>
      <c r="LLO33" s="51"/>
      <c r="LLR33" s="51"/>
      <c r="LLT33" s="51"/>
      <c r="LLU33" s="51"/>
      <c r="LLW33" s="51"/>
      <c r="LLZ33" s="51"/>
      <c r="LMB33" s="51"/>
      <c r="LMC33" s="51"/>
      <c r="LME33" s="51"/>
      <c r="LMH33" s="51"/>
      <c r="LMJ33" s="51"/>
      <c r="LMK33" s="51"/>
      <c r="LMM33" s="51"/>
      <c r="LMP33" s="51"/>
      <c r="LMR33" s="51"/>
      <c r="LMS33" s="51"/>
      <c r="LMU33" s="51"/>
      <c r="LMX33" s="51"/>
      <c r="LMZ33" s="51"/>
      <c r="LNA33" s="51"/>
      <c r="LNC33" s="51"/>
      <c r="LNF33" s="51"/>
      <c r="LNH33" s="51"/>
      <c r="LNI33" s="51"/>
      <c r="LNK33" s="51"/>
      <c r="LNN33" s="51"/>
      <c r="LNP33" s="51"/>
      <c r="LNQ33" s="51"/>
      <c r="LNS33" s="51"/>
      <c r="LNV33" s="51"/>
      <c r="LNX33" s="51"/>
      <c r="LNY33" s="51"/>
      <c r="LOA33" s="51"/>
      <c r="LOD33" s="51"/>
      <c r="LOF33" s="51"/>
      <c r="LOG33" s="51"/>
      <c r="LOI33" s="51"/>
      <c r="LOL33" s="51"/>
      <c r="LON33" s="51"/>
      <c r="LOO33" s="51"/>
      <c r="LOQ33" s="51"/>
      <c r="LOT33" s="51"/>
      <c r="LOV33" s="51"/>
      <c r="LOW33" s="51"/>
      <c r="LOY33" s="51"/>
      <c r="LPB33" s="51"/>
      <c r="LPD33" s="51"/>
      <c r="LPE33" s="51"/>
      <c r="LPG33" s="51"/>
      <c r="LPJ33" s="51"/>
      <c r="LPL33" s="51"/>
      <c r="LPM33" s="51"/>
      <c r="LPO33" s="51"/>
      <c r="LPR33" s="51"/>
      <c r="LPT33" s="51"/>
      <c r="LPU33" s="51"/>
      <c r="LPW33" s="51"/>
      <c r="LPZ33" s="51"/>
      <c r="LQB33" s="51"/>
      <c r="LQC33" s="51"/>
      <c r="LQE33" s="51"/>
      <c r="LQH33" s="51"/>
      <c r="LQJ33" s="51"/>
      <c r="LQK33" s="51"/>
      <c r="LQM33" s="51"/>
      <c r="LQP33" s="51"/>
      <c r="LQR33" s="51"/>
      <c r="LQS33" s="51"/>
      <c r="LQU33" s="51"/>
      <c r="LQX33" s="51"/>
      <c r="LQZ33" s="51"/>
      <c r="LRA33" s="51"/>
      <c r="LRC33" s="51"/>
      <c r="LRF33" s="51"/>
      <c r="LRH33" s="51"/>
      <c r="LRI33" s="51"/>
      <c r="LRK33" s="51"/>
      <c r="LRN33" s="51"/>
      <c r="LRP33" s="51"/>
      <c r="LRQ33" s="51"/>
      <c r="LRS33" s="51"/>
      <c r="LRV33" s="51"/>
      <c r="LRX33" s="51"/>
      <c r="LRY33" s="51"/>
      <c r="LSA33" s="51"/>
      <c r="LSD33" s="51"/>
      <c r="LSF33" s="51"/>
      <c r="LSG33" s="51"/>
      <c r="LSI33" s="51"/>
      <c r="LSL33" s="51"/>
      <c r="LSN33" s="51"/>
      <c r="LSO33" s="51"/>
      <c r="LSQ33" s="51"/>
      <c r="LST33" s="51"/>
      <c r="LSV33" s="51"/>
      <c r="LSW33" s="51"/>
      <c r="LSY33" s="51"/>
      <c r="LTB33" s="51"/>
      <c r="LTD33" s="51"/>
      <c r="LTE33" s="51"/>
      <c r="LTG33" s="51"/>
      <c r="LTJ33" s="51"/>
      <c r="LTL33" s="51"/>
      <c r="LTM33" s="51"/>
      <c r="LTO33" s="51"/>
      <c r="LTR33" s="51"/>
      <c r="LTT33" s="51"/>
      <c r="LTU33" s="51"/>
      <c r="LTW33" s="51"/>
      <c r="LTZ33" s="51"/>
      <c r="LUB33" s="51"/>
      <c r="LUC33" s="51"/>
      <c r="LUE33" s="51"/>
      <c r="LUH33" s="51"/>
      <c r="LUJ33" s="51"/>
      <c r="LUK33" s="51"/>
      <c r="LUM33" s="51"/>
      <c r="LUP33" s="51"/>
      <c r="LUR33" s="51"/>
      <c r="LUS33" s="51"/>
      <c r="LUU33" s="51"/>
      <c r="LUX33" s="51"/>
      <c r="LUZ33" s="51"/>
      <c r="LVA33" s="51"/>
      <c r="LVC33" s="51"/>
      <c r="LVF33" s="51"/>
      <c r="LVH33" s="51"/>
      <c r="LVI33" s="51"/>
      <c r="LVK33" s="51"/>
      <c r="LVN33" s="51"/>
      <c r="LVP33" s="51"/>
      <c r="LVQ33" s="51"/>
      <c r="LVS33" s="51"/>
      <c r="LVV33" s="51"/>
      <c r="LVX33" s="51"/>
      <c r="LVY33" s="51"/>
      <c r="LWA33" s="51"/>
      <c r="LWD33" s="51"/>
      <c r="LWF33" s="51"/>
      <c r="LWG33" s="51"/>
      <c r="LWI33" s="51"/>
      <c r="LWL33" s="51"/>
      <c r="LWN33" s="51"/>
      <c r="LWO33" s="51"/>
      <c r="LWQ33" s="51"/>
      <c r="LWT33" s="51"/>
      <c r="LWV33" s="51"/>
      <c r="LWW33" s="51"/>
      <c r="LWY33" s="51"/>
      <c r="LXB33" s="51"/>
      <c r="LXD33" s="51"/>
      <c r="LXE33" s="51"/>
      <c r="LXG33" s="51"/>
      <c r="LXJ33" s="51"/>
      <c r="LXL33" s="51"/>
      <c r="LXM33" s="51"/>
      <c r="LXO33" s="51"/>
      <c r="LXR33" s="51"/>
      <c r="LXT33" s="51"/>
      <c r="LXU33" s="51"/>
      <c r="LXW33" s="51"/>
      <c r="LXZ33" s="51"/>
      <c r="LYB33" s="51"/>
      <c r="LYC33" s="51"/>
      <c r="LYE33" s="51"/>
      <c r="LYH33" s="51"/>
      <c r="LYJ33" s="51"/>
      <c r="LYK33" s="51"/>
      <c r="LYM33" s="51"/>
      <c r="LYP33" s="51"/>
      <c r="LYR33" s="51"/>
      <c r="LYS33" s="51"/>
      <c r="LYU33" s="51"/>
      <c r="LYX33" s="51"/>
      <c r="LYZ33" s="51"/>
      <c r="LZA33" s="51"/>
      <c r="LZC33" s="51"/>
      <c r="LZF33" s="51"/>
      <c r="LZH33" s="51"/>
      <c r="LZI33" s="51"/>
      <c r="LZK33" s="51"/>
      <c r="LZN33" s="51"/>
      <c r="LZP33" s="51"/>
      <c r="LZQ33" s="51"/>
      <c r="LZS33" s="51"/>
      <c r="LZV33" s="51"/>
      <c r="LZX33" s="51"/>
      <c r="LZY33" s="51"/>
      <c r="MAA33" s="51"/>
      <c r="MAD33" s="51"/>
      <c r="MAF33" s="51"/>
      <c r="MAG33" s="51"/>
      <c r="MAI33" s="51"/>
      <c r="MAL33" s="51"/>
      <c r="MAN33" s="51"/>
      <c r="MAO33" s="51"/>
      <c r="MAQ33" s="51"/>
      <c r="MAT33" s="51"/>
      <c r="MAV33" s="51"/>
      <c r="MAW33" s="51"/>
      <c r="MAY33" s="51"/>
      <c r="MBB33" s="51"/>
      <c r="MBD33" s="51"/>
      <c r="MBE33" s="51"/>
      <c r="MBG33" s="51"/>
      <c r="MBJ33" s="51"/>
      <c r="MBL33" s="51"/>
      <c r="MBM33" s="51"/>
      <c r="MBO33" s="51"/>
      <c r="MBR33" s="51"/>
      <c r="MBT33" s="51"/>
      <c r="MBU33" s="51"/>
      <c r="MBW33" s="51"/>
      <c r="MBZ33" s="51"/>
      <c r="MCB33" s="51"/>
      <c r="MCC33" s="51"/>
      <c r="MCE33" s="51"/>
      <c r="MCH33" s="51"/>
      <c r="MCJ33" s="51"/>
      <c r="MCK33" s="51"/>
      <c r="MCM33" s="51"/>
      <c r="MCP33" s="51"/>
      <c r="MCR33" s="51"/>
      <c r="MCS33" s="51"/>
      <c r="MCU33" s="51"/>
      <c r="MCX33" s="51"/>
      <c r="MCZ33" s="51"/>
      <c r="MDA33" s="51"/>
      <c r="MDC33" s="51"/>
      <c r="MDF33" s="51"/>
      <c r="MDH33" s="51"/>
      <c r="MDI33" s="51"/>
      <c r="MDK33" s="51"/>
      <c r="MDN33" s="51"/>
      <c r="MDP33" s="51"/>
      <c r="MDQ33" s="51"/>
      <c r="MDS33" s="51"/>
      <c r="MDV33" s="51"/>
      <c r="MDX33" s="51"/>
      <c r="MDY33" s="51"/>
      <c r="MEA33" s="51"/>
      <c r="MED33" s="51"/>
      <c r="MEF33" s="51"/>
      <c r="MEG33" s="51"/>
      <c r="MEI33" s="51"/>
      <c r="MEL33" s="51"/>
      <c r="MEN33" s="51"/>
      <c r="MEO33" s="51"/>
      <c r="MEQ33" s="51"/>
      <c r="MET33" s="51"/>
      <c r="MEV33" s="51"/>
      <c r="MEW33" s="51"/>
      <c r="MEY33" s="51"/>
      <c r="MFB33" s="51"/>
      <c r="MFD33" s="51"/>
      <c r="MFE33" s="51"/>
      <c r="MFG33" s="51"/>
      <c r="MFJ33" s="51"/>
      <c r="MFL33" s="51"/>
      <c r="MFM33" s="51"/>
      <c r="MFO33" s="51"/>
      <c r="MFR33" s="51"/>
      <c r="MFT33" s="51"/>
      <c r="MFU33" s="51"/>
      <c r="MFW33" s="51"/>
      <c r="MFZ33" s="51"/>
      <c r="MGB33" s="51"/>
      <c r="MGC33" s="51"/>
      <c r="MGE33" s="51"/>
      <c r="MGH33" s="51"/>
      <c r="MGJ33" s="51"/>
      <c r="MGK33" s="51"/>
      <c r="MGM33" s="51"/>
      <c r="MGP33" s="51"/>
      <c r="MGR33" s="51"/>
      <c r="MGS33" s="51"/>
      <c r="MGU33" s="51"/>
      <c r="MGX33" s="51"/>
      <c r="MGZ33" s="51"/>
      <c r="MHA33" s="51"/>
      <c r="MHC33" s="51"/>
      <c r="MHF33" s="51"/>
      <c r="MHH33" s="51"/>
      <c r="MHI33" s="51"/>
      <c r="MHK33" s="51"/>
      <c r="MHN33" s="51"/>
      <c r="MHP33" s="51"/>
      <c r="MHQ33" s="51"/>
      <c r="MHS33" s="51"/>
      <c r="MHV33" s="51"/>
      <c r="MHX33" s="51"/>
      <c r="MHY33" s="51"/>
      <c r="MIA33" s="51"/>
      <c r="MID33" s="51"/>
      <c r="MIF33" s="51"/>
      <c r="MIG33" s="51"/>
      <c r="MII33" s="51"/>
      <c r="MIL33" s="51"/>
      <c r="MIN33" s="51"/>
      <c r="MIO33" s="51"/>
      <c r="MIQ33" s="51"/>
      <c r="MIT33" s="51"/>
      <c r="MIV33" s="51"/>
      <c r="MIW33" s="51"/>
      <c r="MIY33" s="51"/>
      <c r="MJB33" s="51"/>
      <c r="MJD33" s="51"/>
      <c r="MJE33" s="51"/>
      <c r="MJG33" s="51"/>
      <c r="MJJ33" s="51"/>
      <c r="MJL33" s="51"/>
      <c r="MJM33" s="51"/>
      <c r="MJO33" s="51"/>
      <c r="MJR33" s="51"/>
      <c r="MJT33" s="51"/>
      <c r="MJU33" s="51"/>
      <c r="MJW33" s="51"/>
      <c r="MJZ33" s="51"/>
      <c r="MKB33" s="51"/>
      <c r="MKC33" s="51"/>
      <c r="MKE33" s="51"/>
      <c r="MKH33" s="51"/>
      <c r="MKJ33" s="51"/>
      <c r="MKK33" s="51"/>
      <c r="MKM33" s="51"/>
      <c r="MKP33" s="51"/>
      <c r="MKR33" s="51"/>
      <c r="MKS33" s="51"/>
      <c r="MKU33" s="51"/>
      <c r="MKX33" s="51"/>
      <c r="MKZ33" s="51"/>
      <c r="MLA33" s="51"/>
      <c r="MLC33" s="51"/>
      <c r="MLF33" s="51"/>
      <c r="MLH33" s="51"/>
      <c r="MLI33" s="51"/>
      <c r="MLK33" s="51"/>
      <c r="MLN33" s="51"/>
      <c r="MLP33" s="51"/>
      <c r="MLQ33" s="51"/>
      <c r="MLS33" s="51"/>
      <c r="MLV33" s="51"/>
      <c r="MLX33" s="51"/>
      <c r="MLY33" s="51"/>
      <c r="MMA33" s="51"/>
      <c r="MMD33" s="51"/>
      <c r="MMF33" s="51"/>
      <c r="MMG33" s="51"/>
      <c r="MMI33" s="51"/>
      <c r="MML33" s="51"/>
      <c r="MMN33" s="51"/>
      <c r="MMO33" s="51"/>
      <c r="MMQ33" s="51"/>
      <c r="MMT33" s="51"/>
      <c r="MMV33" s="51"/>
      <c r="MMW33" s="51"/>
      <c r="MMY33" s="51"/>
      <c r="MNB33" s="51"/>
      <c r="MND33" s="51"/>
      <c r="MNE33" s="51"/>
      <c r="MNG33" s="51"/>
      <c r="MNJ33" s="51"/>
      <c r="MNL33" s="51"/>
      <c r="MNM33" s="51"/>
      <c r="MNO33" s="51"/>
      <c r="MNR33" s="51"/>
      <c r="MNT33" s="51"/>
      <c r="MNU33" s="51"/>
      <c r="MNW33" s="51"/>
      <c r="MNZ33" s="51"/>
      <c r="MOB33" s="51"/>
      <c r="MOC33" s="51"/>
      <c r="MOE33" s="51"/>
      <c r="MOH33" s="51"/>
      <c r="MOJ33" s="51"/>
      <c r="MOK33" s="51"/>
      <c r="MOM33" s="51"/>
      <c r="MOP33" s="51"/>
      <c r="MOR33" s="51"/>
      <c r="MOS33" s="51"/>
      <c r="MOU33" s="51"/>
      <c r="MOX33" s="51"/>
      <c r="MOZ33" s="51"/>
      <c r="MPA33" s="51"/>
      <c r="MPC33" s="51"/>
      <c r="MPF33" s="51"/>
      <c r="MPH33" s="51"/>
      <c r="MPI33" s="51"/>
      <c r="MPK33" s="51"/>
      <c r="MPN33" s="51"/>
      <c r="MPP33" s="51"/>
      <c r="MPQ33" s="51"/>
      <c r="MPS33" s="51"/>
      <c r="MPV33" s="51"/>
      <c r="MPX33" s="51"/>
      <c r="MPY33" s="51"/>
      <c r="MQA33" s="51"/>
      <c r="MQD33" s="51"/>
      <c r="MQF33" s="51"/>
      <c r="MQG33" s="51"/>
      <c r="MQI33" s="51"/>
      <c r="MQL33" s="51"/>
      <c r="MQN33" s="51"/>
      <c r="MQO33" s="51"/>
      <c r="MQQ33" s="51"/>
      <c r="MQT33" s="51"/>
      <c r="MQV33" s="51"/>
      <c r="MQW33" s="51"/>
      <c r="MQY33" s="51"/>
      <c r="MRB33" s="51"/>
      <c r="MRD33" s="51"/>
      <c r="MRE33" s="51"/>
      <c r="MRG33" s="51"/>
      <c r="MRJ33" s="51"/>
      <c r="MRL33" s="51"/>
      <c r="MRM33" s="51"/>
      <c r="MRO33" s="51"/>
      <c r="MRR33" s="51"/>
      <c r="MRT33" s="51"/>
      <c r="MRU33" s="51"/>
      <c r="MRW33" s="51"/>
      <c r="MRZ33" s="51"/>
      <c r="MSB33" s="51"/>
      <c r="MSC33" s="51"/>
      <c r="MSE33" s="51"/>
      <c r="MSH33" s="51"/>
      <c r="MSJ33" s="51"/>
      <c r="MSK33" s="51"/>
      <c r="MSM33" s="51"/>
      <c r="MSP33" s="51"/>
      <c r="MSR33" s="51"/>
      <c r="MSS33" s="51"/>
      <c r="MSU33" s="51"/>
      <c r="MSX33" s="51"/>
      <c r="MSZ33" s="51"/>
      <c r="MTA33" s="51"/>
      <c r="MTC33" s="51"/>
      <c r="MTF33" s="51"/>
      <c r="MTH33" s="51"/>
      <c r="MTI33" s="51"/>
      <c r="MTK33" s="51"/>
      <c r="MTN33" s="51"/>
      <c r="MTP33" s="51"/>
      <c r="MTQ33" s="51"/>
      <c r="MTS33" s="51"/>
      <c r="MTV33" s="51"/>
      <c r="MTX33" s="51"/>
      <c r="MTY33" s="51"/>
      <c r="MUA33" s="51"/>
      <c r="MUD33" s="51"/>
      <c r="MUF33" s="51"/>
      <c r="MUG33" s="51"/>
      <c r="MUI33" s="51"/>
      <c r="MUL33" s="51"/>
      <c r="MUN33" s="51"/>
      <c r="MUO33" s="51"/>
      <c r="MUQ33" s="51"/>
      <c r="MUT33" s="51"/>
      <c r="MUV33" s="51"/>
      <c r="MUW33" s="51"/>
      <c r="MUY33" s="51"/>
      <c r="MVB33" s="51"/>
      <c r="MVD33" s="51"/>
      <c r="MVE33" s="51"/>
      <c r="MVG33" s="51"/>
      <c r="MVJ33" s="51"/>
      <c r="MVL33" s="51"/>
      <c r="MVM33" s="51"/>
      <c r="MVO33" s="51"/>
      <c r="MVR33" s="51"/>
      <c r="MVT33" s="51"/>
      <c r="MVU33" s="51"/>
      <c r="MVW33" s="51"/>
      <c r="MVZ33" s="51"/>
      <c r="MWB33" s="51"/>
      <c r="MWC33" s="51"/>
      <c r="MWE33" s="51"/>
      <c r="MWH33" s="51"/>
      <c r="MWJ33" s="51"/>
      <c r="MWK33" s="51"/>
      <c r="MWM33" s="51"/>
      <c r="MWP33" s="51"/>
      <c r="MWR33" s="51"/>
      <c r="MWS33" s="51"/>
      <c r="MWU33" s="51"/>
      <c r="MWX33" s="51"/>
      <c r="MWZ33" s="51"/>
      <c r="MXA33" s="51"/>
      <c r="MXC33" s="51"/>
      <c r="MXF33" s="51"/>
      <c r="MXH33" s="51"/>
      <c r="MXI33" s="51"/>
      <c r="MXK33" s="51"/>
      <c r="MXN33" s="51"/>
      <c r="MXP33" s="51"/>
      <c r="MXQ33" s="51"/>
      <c r="MXS33" s="51"/>
      <c r="MXV33" s="51"/>
      <c r="MXX33" s="51"/>
      <c r="MXY33" s="51"/>
      <c r="MYA33" s="51"/>
      <c r="MYD33" s="51"/>
      <c r="MYF33" s="51"/>
      <c r="MYG33" s="51"/>
      <c r="MYI33" s="51"/>
      <c r="MYL33" s="51"/>
      <c r="MYN33" s="51"/>
      <c r="MYO33" s="51"/>
      <c r="MYQ33" s="51"/>
      <c r="MYT33" s="51"/>
      <c r="MYV33" s="51"/>
      <c r="MYW33" s="51"/>
      <c r="MYY33" s="51"/>
      <c r="MZB33" s="51"/>
      <c r="MZD33" s="51"/>
      <c r="MZE33" s="51"/>
      <c r="MZG33" s="51"/>
      <c r="MZJ33" s="51"/>
      <c r="MZL33" s="51"/>
      <c r="MZM33" s="51"/>
      <c r="MZO33" s="51"/>
      <c r="MZR33" s="51"/>
      <c r="MZT33" s="51"/>
      <c r="MZU33" s="51"/>
      <c r="MZW33" s="51"/>
      <c r="MZZ33" s="51"/>
      <c r="NAB33" s="51"/>
      <c r="NAC33" s="51"/>
      <c r="NAE33" s="51"/>
      <c r="NAH33" s="51"/>
      <c r="NAJ33" s="51"/>
      <c r="NAK33" s="51"/>
      <c r="NAM33" s="51"/>
      <c r="NAP33" s="51"/>
      <c r="NAR33" s="51"/>
      <c r="NAS33" s="51"/>
      <c r="NAU33" s="51"/>
      <c r="NAX33" s="51"/>
      <c r="NAZ33" s="51"/>
      <c r="NBA33" s="51"/>
      <c r="NBC33" s="51"/>
      <c r="NBF33" s="51"/>
      <c r="NBH33" s="51"/>
      <c r="NBI33" s="51"/>
      <c r="NBK33" s="51"/>
      <c r="NBN33" s="51"/>
      <c r="NBP33" s="51"/>
      <c r="NBQ33" s="51"/>
      <c r="NBS33" s="51"/>
      <c r="NBV33" s="51"/>
      <c r="NBX33" s="51"/>
      <c r="NBY33" s="51"/>
      <c r="NCA33" s="51"/>
      <c r="NCD33" s="51"/>
      <c r="NCF33" s="51"/>
      <c r="NCG33" s="51"/>
      <c r="NCI33" s="51"/>
      <c r="NCL33" s="51"/>
      <c r="NCN33" s="51"/>
      <c r="NCO33" s="51"/>
      <c r="NCQ33" s="51"/>
      <c r="NCT33" s="51"/>
      <c r="NCV33" s="51"/>
      <c r="NCW33" s="51"/>
      <c r="NCY33" s="51"/>
      <c r="NDB33" s="51"/>
      <c r="NDD33" s="51"/>
      <c r="NDE33" s="51"/>
      <c r="NDG33" s="51"/>
      <c r="NDJ33" s="51"/>
      <c r="NDL33" s="51"/>
      <c r="NDM33" s="51"/>
      <c r="NDO33" s="51"/>
      <c r="NDR33" s="51"/>
      <c r="NDT33" s="51"/>
      <c r="NDU33" s="51"/>
      <c r="NDW33" s="51"/>
      <c r="NDZ33" s="51"/>
      <c r="NEB33" s="51"/>
      <c r="NEC33" s="51"/>
      <c r="NEE33" s="51"/>
      <c r="NEH33" s="51"/>
      <c r="NEJ33" s="51"/>
      <c r="NEK33" s="51"/>
      <c r="NEM33" s="51"/>
      <c r="NEP33" s="51"/>
      <c r="NER33" s="51"/>
      <c r="NES33" s="51"/>
      <c r="NEU33" s="51"/>
      <c r="NEX33" s="51"/>
      <c r="NEZ33" s="51"/>
      <c r="NFA33" s="51"/>
      <c r="NFC33" s="51"/>
      <c r="NFF33" s="51"/>
      <c r="NFH33" s="51"/>
      <c r="NFI33" s="51"/>
      <c r="NFK33" s="51"/>
      <c r="NFN33" s="51"/>
      <c r="NFP33" s="51"/>
      <c r="NFQ33" s="51"/>
      <c r="NFS33" s="51"/>
      <c r="NFV33" s="51"/>
      <c r="NFX33" s="51"/>
      <c r="NFY33" s="51"/>
      <c r="NGA33" s="51"/>
      <c r="NGD33" s="51"/>
      <c r="NGF33" s="51"/>
      <c r="NGG33" s="51"/>
      <c r="NGI33" s="51"/>
      <c r="NGL33" s="51"/>
      <c r="NGN33" s="51"/>
      <c r="NGO33" s="51"/>
      <c r="NGQ33" s="51"/>
      <c r="NGT33" s="51"/>
      <c r="NGV33" s="51"/>
      <c r="NGW33" s="51"/>
      <c r="NGY33" s="51"/>
      <c r="NHB33" s="51"/>
      <c r="NHD33" s="51"/>
      <c r="NHE33" s="51"/>
      <c r="NHG33" s="51"/>
      <c r="NHJ33" s="51"/>
      <c r="NHL33" s="51"/>
      <c r="NHM33" s="51"/>
      <c r="NHO33" s="51"/>
      <c r="NHR33" s="51"/>
      <c r="NHT33" s="51"/>
      <c r="NHU33" s="51"/>
      <c r="NHW33" s="51"/>
      <c r="NHZ33" s="51"/>
      <c r="NIB33" s="51"/>
      <c r="NIC33" s="51"/>
      <c r="NIE33" s="51"/>
      <c r="NIH33" s="51"/>
      <c r="NIJ33" s="51"/>
      <c r="NIK33" s="51"/>
      <c r="NIM33" s="51"/>
      <c r="NIP33" s="51"/>
      <c r="NIR33" s="51"/>
      <c r="NIS33" s="51"/>
      <c r="NIU33" s="51"/>
      <c r="NIX33" s="51"/>
      <c r="NIZ33" s="51"/>
      <c r="NJA33" s="51"/>
      <c r="NJC33" s="51"/>
      <c r="NJF33" s="51"/>
      <c r="NJH33" s="51"/>
      <c r="NJI33" s="51"/>
      <c r="NJK33" s="51"/>
      <c r="NJN33" s="51"/>
      <c r="NJP33" s="51"/>
      <c r="NJQ33" s="51"/>
      <c r="NJS33" s="51"/>
      <c r="NJV33" s="51"/>
      <c r="NJX33" s="51"/>
      <c r="NJY33" s="51"/>
      <c r="NKA33" s="51"/>
      <c r="NKD33" s="51"/>
      <c r="NKF33" s="51"/>
      <c r="NKG33" s="51"/>
      <c r="NKI33" s="51"/>
      <c r="NKL33" s="51"/>
      <c r="NKN33" s="51"/>
      <c r="NKO33" s="51"/>
      <c r="NKQ33" s="51"/>
      <c r="NKT33" s="51"/>
      <c r="NKV33" s="51"/>
      <c r="NKW33" s="51"/>
      <c r="NKY33" s="51"/>
      <c r="NLB33" s="51"/>
      <c r="NLD33" s="51"/>
      <c r="NLE33" s="51"/>
      <c r="NLG33" s="51"/>
      <c r="NLJ33" s="51"/>
      <c r="NLL33" s="51"/>
      <c r="NLM33" s="51"/>
      <c r="NLO33" s="51"/>
      <c r="NLR33" s="51"/>
      <c r="NLT33" s="51"/>
      <c r="NLU33" s="51"/>
      <c r="NLW33" s="51"/>
      <c r="NLZ33" s="51"/>
      <c r="NMB33" s="51"/>
      <c r="NMC33" s="51"/>
      <c r="NME33" s="51"/>
      <c r="NMH33" s="51"/>
      <c r="NMJ33" s="51"/>
      <c r="NMK33" s="51"/>
      <c r="NMM33" s="51"/>
      <c r="NMP33" s="51"/>
      <c r="NMR33" s="51"/>
      <c r="NMS33" s="51"/>
      <c r="NMU33" s="51"/>
      <c r="NMX33" s="51"/>
      <c r="NMZ33" s="51"/>
      <c r="NNA33" s="51"/>
      <c r="NNC33" s="51"/>
      <c r="NNF33" s="51"/>
      <c r="NNH33" s="51"/>
      <c r="NNI33" s="51"/>
      <c r="NNK33" s="51"/>
      <c r="NNN33" s="51"/>
      <c r="NNP33" s="51"/>
      <c r="NNQ33" s="51"/>
      <c r="NNS33" s="51"/>
      <c r="NNV33" s="51"/>
      <c r="NNX33" s="51"/>
      <c r="NNY33" s="51"/>
      <c r="NOA33" s="51"/>
      <c r="NOD33" s="51"/>
      <c r="NOF33" s="51"/>
      <c r="NOG33" s="51"/>
      <c r="NOI33" s="51"/>
      <c r="NOL33" s="51"/>
      <c r="NON33" s="51"/>
      <c r="NOO33" s="51"/>
      <c r="NOQ33" s="51"/>
      <c r="NOT33" s="51"/>
      <c r="NOV33" s="51"/>
      <c r="NOW33" s="51"/>
      <c r="NOY33" s="51"/>
      <c r="NPB33" s="51"/>
      <c r="NPD33" s="51"/>
      <c r="NPE33" s="51"/>
      <c r="NPG33" s="51"/>
      <c r="NPJ33" s="51"/>
      <c r="NPL33" s="51"/>
      <c r="NPM33" s="51"/>
      <c r="NPO33" s="51"/>
      <c r="NPR33" s="51"/>
      <c r="NPT33" s="51"/>
      <c r="NPU33" s="51"/>
      <c r="NPW33" s="51"/>
      <c r="NPZ33" s="51"/>
      <c r="NQB33" s="51"/>
      <c r="NQC33" s="51"/>
      <c r="NQE33" s="51"/>
      <c r="NQH33" s="51"/>
      <c r="NQJ33" s="51"/>
      <c r="NQK33" s="51"/>
      <c r="NQM33" s="51"/>
      <c r="NQP33" s="51"/>
      <c r="NQR33" s="51"/>
      <c r="NQS33" s="51"/>
      <c r="NQU33" s="51"/>
      <c r="NQX33" s="51"/>
      <c r="NQZ33" s="51"/>
      <c r="NRA33" s="51"/>
      <c r="NRC33" s="51"/>
      <c r="NRF33" s="51"/>
      <c r="NRH33" s="51"/>
      <c r="NRI33" s="51"/>
      <c r="NRK33" s="51"/>
      <c r="NRN33" s="51"/>
      <c r="NRP33" s="51"/>
      <c r="NRQ33" s="51"/>
      <c r="NRS33" s="51"/>
      <c r="NRV33" s="51"/>
      <c r="NRX33" s="51"/>
      <c r="NRY33" s="51"/>
      <c r="NSA33" s="51"/>
      <c r="NSD33" s="51"/>
      <c r="NSF33" s="51"/>
      <c r="NSG33" s="51"/>
      <c r="NSI33" s="51"/>
      <c r="NSL33" s="51"/>
      <c r="NSN33" s="51"/>
      <c r="NSO33" s="51"/>
      <c r="NSQ33" s="51"/>
      <c r="NST33" s="51"/>
      <c r="NSV33" s="51"/>
      <c r="NSW33" s="51"/>
      <c r="NSY33" s="51"/>
      <c r="NTB33" s="51"/>
      <c r="NTD33" s="51"/>
      <c r="NTE33" s="51"/>
      <c r="NTG33" s="51"/>
      <c r="NTJ33" s="51"/>
      <c r="NTL33" s="51"/>
      <c r="NTM33" s="51"/>
      <c r="NTO33" s="51"/>
      <c r="NTR33" s="51"/>
      <c r="NTT33" s="51"/>
      <c r="NTU33" s="51"/>
      <c r="NTW33" s="51"/>
      <c r="NTZ33" s="51"/>
      <c r="NUB33" s="51"/>
      <c r="NUC33" s="51"/>
      <c r="NUE33" s="51"/>
      <c r="NUH33" s="51"/>
      <c r="NUJ33" s="51"/>
      <c r="NUK33" s="51"/>
      <c r="NUM33" s="51"/>
      <c r="NUP33" s="51"/>
      <c r="NUR33" s="51"/>
      <c r="NUS33" s="51"/>
      <c r="NUU33" s="51"/>
      <c r="NUX33" s="51"/>
      <c r="NUZ33" s="51"/>
      <c r="NVA33" s="51"/>
      <c r="NVC33" s="51"/>
      <c r="NVF33" s="51"/>
      <c r="NVH33" s="51"/>
      <c r="NVI33" s="51"/>
      <c r="NVK33" s="51"/>
      <c r="NVN33" s="51"/>
      <c r="NVP33" s="51"/>
      <c r="NVQ33" s="51"/>
      <c r="NVS33" s="51"/>
      <c r="NVV33" s="51"/>
      <c r="NVX33" s="51"/>
      <c r="NVY33" s="51"/>
      <c r="NWA33" s="51"/>
      <c r="NWD33" s="51"/>
      <c r="NWF33" s="51"/>
      <c r="NWG33" s="51"/>
      <c r="NWI33" s="51"/>
      <c r="NWL33" s="51"/>
      <c r="NWN33" s="51"/>
      <c r="NWO33" s="51"/>
      <c r="NWQ33" s="51"/>
      <c r="NWT33" s="51"/>
      <c r="NWV33" s="51"/>
      <c r="NWW33" s="51"/>
      <c r="NWY33" s="51"/>
      <c r="NXB33" s="51"/>
      <c r="NXD33" s="51"/>
      <c r="NXE33" s="51"/>
      <c r="NXG33" s="51"/>
      <c r="NXJ33" s="51"/>
      <c r="NXL33" s="51"/>
      <c r="NXM33" s="51"/>
      <c r="NXO33" s="51"/>
      <c r="NXR33" s="51"/>
      <c r="NXT33" s="51"/>
      <c r="NXU33" s="51"/>
      <c r="NXW33" s="51"/>
      <c r="NXZ33" s="51"/>
      <c r="NYB33" s="51"/>
      <c r="NYC33" s="51"/>
      <c r="NYE33" s="51"/>
      <c r="NYH33" s="51"/>
      <c r="NYJ33" s="51"/>
      <c r="NYK33" s="51"/>
      <c r="NYM33" s="51"/>
      <c r="NYP33" s="51"/>
      <c r="NYR33" s="51"/>
      <c r="NYS33" s="51"/>
      <c r="NYU33" s="51"/>
      <c r="NYX33" s="51"/>
      <c r="NYZ33" s="51"/>
      <c r="NZA33" s="51"/>
      <c r="NZC33" s="51"/>
      <c r="NZF33" s="51"/>
      <c r="NZH33" s="51"/>
      <c r="NZI33" s="51"/>
      <c r="NZK33" s="51"/>
      <c r="NZN33" s="51"/>
      <c r="NZP33" s="51"/>
      <c r="NZQ33" s="51"/>
      <c r="NZS33" s="51"/>
      <c r="NZV33" s="51"/>
      <c r="NZX33" s="51"/>
      <c r="NZY33" s="51"/>
      <c r="OAA33" s="51"/>
      <c r="OAD33" s="51"/>
      <c r="OAF33" s="51"/>
      <c r="OAG33" s="51"/>
      <c r="OAI33" s="51"/>
      <c r="OAL33" s="51"/>
      <c r="OAN33" s="51"/>
      <c r="OAO33" s="51"/>
      <c r="OAQ33" s="51"/>
      <c r="OAT33" s="51"/>
      <c r="OAV33" s="51"/>
      <c r="OAW33" s="51"/>
      <c r="OAY33" s="51"/>
      <c r="OBB33" s="51"/>
      <c r="OBD33" s="51"/>
      <c r="OBE33" s="51"/>
      <c r="OBG33" s="51"/>
      <c r="OBJ33" s="51"/>
      <c r="OBL33" s="51"/>
      <c r="OBM33" s="51"/>
      <c r="OBO33" s="51"/>
      <c r="OBR33" s="51"/>
      <c r="OBT33" s="51"/>
      <c r="OBU33" s="51"/>
      <c r="OBW33" s="51"/>
      <c r="OBZ33" s="51"/>
      <c r="OCB33" s="51"/>
      <c r="OCC33" s="51"/>
      <c r="OCE33" s="51"/>
      <c r="OCH33" s="51"/>
      <c r="OCJ33" s="51"/>
      <c r="OCK33" s="51"/>
      <c r="OCM33" s="51"/>
      <c r="OCP33" s="51"/>
      <c r="OCR33" s="51"/>
      <c r="OCS33" s="51"/>
      <c r="OCU33" s="51"/>
      <c r="OCX33" s="51"/>
      <c r="OCZ33" s="51"/>
      <c r="ODA33" s="51"/>
      <c r="ODC33" s="51"/>
      <c r="ODF33" s="51"/>
      <c r="ODH33" s="51"/>
      <c r="ODI33" s="51"/>
      <c r="ODK33" s="51"/>
      <c r="ODN33" s="51"/>
      <c r="ODP33" s="51"/>
      <c r="ODQ33" s="51"/>
      <c r="ODS33" s="51"/>
      <c r="ODV33" s="51"/>
      <c r="ODX33" s="51"/>
      <c r="ODY33" s="51"/>
      <c r="OEA33" s="51"/>
      <c r="OED33" s="51"/>
      <c r="OEF33" s="51"/>
      <c r="OEG33" s="51"/>
      <c r="OEI33" s="51"/>
      <c r="OEL33" s="51"/>
      <c r="OEN33" s="51"/>
      <c r="OEO33" s="51"/>
      <c r="OEQ33" s="51"/>
      <c r="OET33" s="51"/>
      <c r="OEV33" s="51"/>
      <c r="OEW33" s="51"/>
      <c r="OEY33" s="51"/>
      <c r="OFB33" s="51"/>
      <c r="OFD33" s="51"/>
      <c r="OFE33" s="51"/>
      <c r="OFG33" s="51"/>
      <c r="OFJ33" s="51"/>
      <c r="OFL33" s="51"/>
      <c r="OFM33" s="51"/>
      <c r="OFO33" s="51"/>
      <c r="OFR33" s="51"/>
      <c r="OFT33" s="51"/>
      <c r="OFU33" s="51"/>
      <c r="OFW33" s="51"/>
      <c r="OFZ33" s="51"/>
      <c r="OGB33" s="51"/>
      <c r="OGC33" s="51"/>
      <c r="OGE33" s="51"/>
      <c r="OGH33" s="51"/>
      <c r="OGJ33" s="51"/>
      <c r="OGK33" s="51"/>
      <c r="OGM33" s="51"/>
      <c r="OGP33" s="51"/>
      <c r="OGR33" s="51"/>
      <c r="OGS33" s="51"/>
      <c r="OGU33" s="51"/>
      <c r="OGX33" s="51"/>
      <c r="OGZ33" s="51"/>
      <c r="OHA33" s="51"/>
      <c r="OHC33" s="51"/>
      <c r="OHF33" s="51"/>
      <c r="OHH33" s="51"/>
      <c r="OHI33" s="51"/>
      <c r="OHK33" s="51"/>
      <c r="OHN33" s="51"/>
      <c r="OHP33" s="51"/>
      <c r="OHQ33" s="51"/>
      <c r="OHS33" s="51"/>
      <c r="OHV33" s="51"/>
      <c r="OHX33" s="51"/>
      <c r="OHY33" s="51"/>
      <c r="OIA33" s="51"/>
      <c r="OID33" s="51"/>
      <c r="OIF33" s="51"/>
      <c r="OIG33" s="51"/>
      <c r="OII33" s="51"/>
      <c r="OIL33" s="51"/>
      <c r="OIN33" s="51"/>
      <c r="OIO33" s="51"/>
      <c r="OIQ33" s="51"/>
      <c r="OIT33" s="51"/>
      <c r="OIV33" s="51"/>
      <c r="OIW33" s="51"/>
      <c r="OIY33" s="51"/>
      <c r="OJB33" s="51"/>
      <c r="OJD33" s="51"/>
      <c r="OJE33" s="51"/>
      <c r="OJG33" s="51"/>
      <c r="OJJ33" s="51"/>
      <c r="OJL33" s="51"/>
      <c r="OJM33" s="51"/>
      <c r="OJO33" s="51"/>
      <c r="OJR33" s="51"/>
      <c r="OJT33" s="51"/>
      <c r="OJU33" s="51"/>
      <c r="OJW33" s="51"/>
      <c r="OJZ33" s="51"/>
      <c r="OKB33" s="51"/>
      <c r="OKC33" s="51"/>
      <c r="OKE33" s="51"/>
      <c r="OKH33" s="51"/>
      <c r="OKJ33" s="51"/>
      <c r="OKK33" s="51"/>
      <c r="OKM33" s="51"/>
      <c r="OKP33" s="51"/>
      <c r="OKR33" s="51"/>
      <c r="OKS33" s="51"/>
      <c r="OKU33" s="51"/>
      <c r="OKX33" s="51"/>
      <c r="OKZ33" s="51"/>
      <c r="OLA33" s="51"/>
      <c r="OLC33" s="51"/>
      <c r="OLF33" s="51"/>
      <c r="OLH33" s="51"/>
      <c r="OLI33" s="51"/>
      <c r="OLK33" s="51"/>
      <c r="OLN33" s="51"/>
      <c r="OLP33" s="51"/>
      <c r="OLQ33" s="51"/>
      <c r="OLS33" s="51"/>
      <c r="OLV33" s="51"/>
      <c r="OLX33" s="51"/>
      <c r="OLY33" s="51"/>
      <c r="OMA33" s="51"/>
      <c r="OMD33" s="51"/>
      <c r="OMF33" s="51"/>
      <c r="OMG33" s="51"/>
      <c r="OMI33" s="51"/>
      <c r="OML33" s="51"/>
      <c r="OMN33" s="51"/>
      <c r="OMO33" s="51"/>
      <c r="OMQ33" s="51"/>
      <c r="OMT33" s="51"/>
      <c r="OMV33" s="51"/>
      <c r="OMW33" s="51"/>
      <c r="OMY33" s="51"/>
      <c r="ONB33" s="51"/>
      <c r="OND33" s="51"/>
      <c r="ONE33" s="51"/>
      <c r="ONG33" s="51"/>
      <c r="ONJ33" s="51"/>
      <c r="ONL33" s="51"/>
      <c r="ONM33" s="51"/>
      <c r="ONO33" s="51"/>
      <c r="ONR33" s="51"/>
      <c r="ONT33" s="51"/>
      <c r="ONU33" s="51"/>
      <c r="ONW33" s="51"/>
      <c r="ONZ33" s="51"/>
      <c r="OOB33" s="51"/>
      <c r="OOC33" s="51"/>
      <c r="OOE33" s="51"/>
      <c r="OOH33" s="51"/>
      <c r="OOJ33" s="51"/>
      <c r="OOK33" s="51"/>
      <c r="OOM33" s="51"/>
      <c r="OOP33" s="51"/>
      <c r="OOR33" s="51"/>
      <c r="OOS33" s="51"/>
      <c r="OOU33" s="51"/>
      <c r="OOX33" s="51"/>
      <c r="OOZ33" s="51"/>
      <c r="OPA33" s="51"/>
      <c r="OPC33" s="51"/>
      <c r="OPF33" s="51"/>
      <c r="OPH33" s="51"/>
      <c r="OPI33" s="51"/>
      <c r="OPK33" s="51"/>
      <c r="OPN33" s="51"/>
      <c r="OPP33" s="51"/>
      <c r="OPQ33" s="51"/>
      <c r="OPS33" s="51"/>
      <c r="OPV33" s="51"/>
      <c r="OPX33" s="51"/>
      <c r="OPY33" s="51"/>
      <c r="OQA33" s="51"/>
      <c r="OQD33" s="51"/>
      <c r="OQF33" s="51"/>
      <c r="OQG33" s="51"/>
      <c r="OQI33" s="51"/>
      <c r="OQL33" s="51"/>
      <c r="OQN33" s="51"/>
      <c r="OQO33" s="51"/>
      <c r="OQQ33" s="51"/>
      <c r="OQT33" s="51"/>
      <c r="OQV33" s="51"/>
      <c r="OQW33" s="51"/>
      <c r="OQY33" s="51"/>
      <c r="ORB33" s="51"/>
      <c r="ORD33" s="51"/>
      <c r="ORE33" s="51"/>
      <c r="ORG33" s="51"/>
      <c r="ORJ33" s="51"/>
      <c r="ORL33" s="51"/>
      <c r="ORM33" s="51"/>
      <c r="ORO33" s="51"/>
      <c r="ORR33" s="51"/>
      <c r="ORT33" s="51"/>
      <c r="ORU33" s="51"/>
      <c r="ORW33" s="51"/>
      <c r="ORZ33" s="51"/>
      <c r="OSB33" s="51"/>
      <c r="OSC33" s="51"/>
      <c r="OSE33" s="51"/>
      <c r="OSH33" s="51"/>
      <c r="OSJ33" s="51"/>
      <c r="OSK33" s="51"/>
      <c r="OSM33" s="51"/>
      <c r="OSP33" s="51"/>
      <c r="OSR33" s="51"/>
      <c r="OSS33" s="51"/>
      <c r="OSU33" s="51"/>
      <c r="OSX33" s="51"/>
      <c r="OSZ33" s="51"/>
      <c r="OTA33" s="51"/>
      <c r="OTC33" s="51"/>
      <c r="OTF33" s="51"/>
      <c r="OTH33" s="51"/>
      <c r="OTI33" s="51"/>
      <c r="OTK33" s="51"/>
      <c r="OTN33" s="51"/>
      <c r="OTP33" s="51"/>
      <c r="OTQ33" s="51"/>
      <c r="OTS33" s="51"/>
      <c r="OTV33" s="51"/>
      <c r="OTX33" s="51"/>
      <c r="OTY33" s="51"/>
      <c r="OUA33" s="51"/>
      <c r="OUD33" s="51"/>
      <c r="OUF33" s="51"/>
      <c r="OUG33" s="51"/>
      <c r="OUI33" s="51"/>
      <c r="OUL33" s="51"/>
      <c r="OUN33" s="51"/>
      <c r="OUO33" s="51"/>
      <c r="OUQ33" s="51"/>
      <c r="OUT33" s="51"/>
      <c r="OUV33" s="51"/>
      <c r="OUW33" s="51"/>
      <c r="OUY33" s="51"/>
      <c r="OVB33" s="51"/>
      <c r="OVD33" s="51"/>
      <c r="OVE33" s="51"/>
      <c r="OVG33" s="51"/>
      <c r="OVJ33" s="51"/>
      <c r="OVL33" s="51"/>
      <c r="OVM33" s="51"/>
      <c r="OVO33" s="51"/>
      <c r="OVR33" s="51"/>
      <c r="OVT33" s="51"/>
      <c r="OVU33" s="51"/>
      <c r="OVW33" s="51"/>
      <c r="OVZ33" s="51"/>
      <c r="OWB33" s="51"/>
      <c r="OWC33" s="51"/>
      <c r="OWE33" s="51"/>
      <c r="OWH33" s="51"/>
      <c r="OWJ33" s="51"/>
      <c r="OWK33" s="51"/>
      <c r="OWM33" s="51"/>
      <c r="OWP33" s="51"/>
      <c r="OWR33" s="51"/>
      <c r="OWS33" s="51"/>
      <c r="OWU33" s="51"/>
      <c r="OWX33" s="51"/>
      <c r="OWZ33" s="51"/>
      <c r="OXA33" s="51"/>
      <c r="OXC33" s="51"/>
      <c r="OXF33" s="51"/>
      <c r="OXH33" s="51"/>
      <c r="OXI33" s="51"/>
      <c r="OXK33" s="51"/>
      <c r="OXN33" s="51"/>
      <c r="OXP33" s="51"/>
      <c r="OXQ33" s="51"/>
      <c r="OXS33" s="51"/>
      <c r="OXV33" s="51"/>
      <c r="OXX33" s="51"/>
      <c r="OXY33" s="51"/>
      <c r="OYA33" s="51"/>
      <c r="OYD33" s="51"/>
      <c r="OYF33" s="51"/>
      <c r="OYG33" s="51"/>
      <c r="OYI33" s="51"/>
      <c r="OYL33" s="51"/>
      <c r="OYN33" s="51"/>
      <c r="OYO33" s="51"/>
      <c r="OYQ33" s="51"/>
      <c r="OYT33" s="51"/>
      <c r="OYV33" s="51"/>
      <c r="OYW33" s="51"/>
      <c r="OYY33" s="51"/>
      <c r="OZB33" s="51"/>
      <c r="OZD33" s="51"/>
      <c r="OZE33" s="51"/>
      <c r="OZG33" s="51"/>
      <c r="OZJ33" s="51"/>
      <c r="OZL33" s="51"/>
      <c r="OZM33" s="51"/>
      <c r="OZO33" s="51"/>
      <c r="OZR33" s="51"/>
      <c r="OZT33" s="51"/>
      <c r="OZU33" s="51"/>
      <c r="OZW33" s="51"/>
      <c r="OZZ33" s="51"/>
      <c r="PAB33" s="51"/>
      <c r="PAC33" s="51"/>
      <c r="PAE33" s="51"/>
      <c r="PAH33" s="51"/>
      <c r="PAJ33" s="51"/>
      <c r="PAK33" s="51"/>
      <c r="PAM33" s="51"/>
      <c r="PAP33" s="51"/>
      <c r="PAR33" s="51"/>
      <c r="PAS33" s="51"/>
      <c r="PAU33" s="51"/>
      <c r="PAX33" s="51"/>
      <c r="PAZ33" s="51"/>
      <c r="PBA33" s="51"/>
      <c r="PBC33" s="51"/>
      <c r="PBF33" s="51"/>
      <c r="PBH33" s="51"/>
      <c r="PBI33" s="51"/>
      <c r="PBK33" s="51"/>
      <c r="PBN33" s="51"/>
      <c r="PBP33" s="51"/>
      <c r="PBQ33" s="51"/>
      <c r="PBS33" s="51"/>
      <c r="PBV33" s="51"/>
      <c r="PBX33" s="51"/>
      <c r="PBY33" s="51"/>
      <c r="PCA33" s="51"/>
      <c r="PCD33" s="51"/>
      <c r="PCF33" s="51"/>
      <c r="PCG33" s="51"/>
      <c r="PCI33" s="51"/>
      <c r="PCL33" s="51"/>
      <c r="PCN33" s="51"/>
      <c r="PCO33" s="51"/>
      <c r="PCQ33" s="51"/>
      <c r="PCT33" s="51"/>
      <c r="PCV33" s="51"/>
      <c r="PCW33" s="51"/>
      <c r="PCY33" s="51"/>
      <c r="PDB33" s="51"/>
      <c r="PDD33" s="51"/>
      <c r="PDE33" s="51"/>
      <c r="PDG33" s="51"/>
      <c r="PDJ33" s="51"/>
      <c r="PDL33" s="51"/>
      <c r="PDM33" s="51"/>
      <c r="PDO33" s="51"/>
      <c r="PDR33" s="51"/>
      <c r="PDT33" s="51"/>
      <c r="PDU33" s="51"/>
      <c r="PDW33" s="51"/>
      <c r="PDZ33" s="51"/>
      <c r="PEB33" s="51"/>
      <c r="PEC33" s="51"/>
      <c r="PEE33" s="51"/>
      <c r="PEH33" s="51"/>
      <c r="PEJ33" s="51"/>
      <c r="PEK33" s="51"/>
      <c r="PEM33" s="51"/>
      <c r="PEP33" s="51"/>
      <c r="PER33" s="51"/>
      <c r="PES33" s="51"/>
      <c r="PEU33" s="51"/>
      <c r="PEX33" s="51"/>
      <c r="PEZ33" s="51"/>
      <c r="PFA33" s="51"/>
      <c r="PFC33" s="51"/>
      <c r="PFF33" s="51"/>
      <c r="PFH33" s="51"/>
      <c r="PFI33" s="51"/>
      <c r="PFK33" s="51"/>
      <c r="PFN33" s="51"/>
      <c r="PFP33" s="51"/>
      <c r="PFQ33" s="51"/>
      <c r="PFS33" s="51"/>
      <c r="PFV33" s="51"/>
      <c r="PFX33" s="51"/>
      <c r="PFY33" s="51"/>
      <c r="PGA33" s="51"/>
      <c r="PGD33" s="51"/>
      <c r="PGF33" s="51"/>
      <c r="PGG33" s="51"/>
      <c r="PGI33" s="51"/>
      <c r="PGL33" s="51"/>
      <c r="PGN33" s="51"/>
      <c r="PGO33" s="51"/>
      <c r="PGQ33" s="51"/>
      <c r="PGT33" s="51"/>
      <c r="PGV33" s="51"/>
      <c r="PGW33" s="51"/>
      <c r="PGY33" s="51"/>
      <c r="PHB33" s="51"/>
      <c r="PHD33" s="51"/>
      <c r="PHE33" s="51"/>
      <c r="PHG33" s="51"/>
      <c r="PHJ33" s="51"/>
      <c r="PHL33" s="51"/>
      <c r="PHM33" s="51"/>
      <c r="PHO33" s="51"/>
      <c r="PHR33" s="51"/>
      <c r="PHT33" s="51"/>
      <c r="PHU33" s="51"/>
      <c r="PHW33" s="51"/>
      <c r="PHZ33" s="51"/>
      <c r="PIB33" s="51"/>
      <c r="PIC33" s="51"/>
      <c r="PIE33" s="51"/>
      <c r="PIH33" s="51"/>
      <c r="PIJ33" s="51"/>
      <c r="PIK33" s="51"/>
      <c r="PIM33" s="51"/>
      <c r="PIP33" s="51"/>
      <c r="PIR33" s="51"/>
      <c r="PIS33" s="51"/>
      <c r="PIU33" s="51"/>
      <c r="PIX33" s="51"/>
      <c r="PIZ33" s="51"/>
      <c r="PJA33" s="51"/>
      <c r="PJC33" s="51"/>
      <c r="PJF33" s="51"/>
      <c r="PJH33" s="51"/>
      <c r="PJI33" s="51"/>
      <c r="PJK33" s="51"/>
      <c r="PJN33" s="51"/>
      <c r="PJP33" s="51"/>
      <c r="PJQ33" s="51"/>
      <c r="PJS33" s="51"/>
      <c r="PJV33" s="51"/>
      <c r="PJX33" s="51"/>
      <c r="PJY33" s="51"/>
      <c r="PKA33" s="51"/>
      <c r="PKD33" s="51"/>
      <c r="PKF33" s="51"/>
      <c r="PKG33" s="51"/>
      <c r="PKI33" s="51"/>
      <c r="PKL33" s="51"/>
      <c r="PKN33" s="51"/>
      <c r="PKO33" s="51"/>
      <c r="PKQ33" s="51"/>
      <c r="PKT33" s="51"/>
      <c r="PKV33" s="51"/>
      <c r="PKW33" s="51"/>
      <c r="PKY33" s="51"/>
      <c r="PLB33" s="51"/>
      <c r="PLD33" s="51"/>
      <c r="PLE33" s="51"/>
      <c r="PLG33" s="51"/>
      <c r="PLJ33" s="51"/>
      <c r="PLL33" s="51"/>
      <c r="PLM33" s="51"/>
      <c r="PLO33" s="51"/>
      <c r="PLR33" s="51"/>
      <c r="PLT33" s="51"/>
      <c r="PLU33" s="51"/>
      <c r="PLW33" s="51"/>
      <c r="PLZ33" s="51"/>
      <c r="PMB33" s="51"/>
      <c r="PMC33" s="51"/>
      <c r="PME33" s="51"/>
      <c r="PMH33" s="51"/>
      <c r="PMJ33" s="51"/>
      <c r="PMK33" s="51"/>
      <c r="PMM33" s="51"/>
      <c r="PMP33" s="51"/>
      <c r="PMR33" s="51"/>
      <c r="PMS33" s="51"/>
      <c r="PMU33" s="51"/>
      <c r="PMX33" s="51"/>
      <c r="PMZ33" s="51"/>
      <c r="PNA33" s="51"/>
      <c r="PNC33" s="51"/>
      <c r="PNF33" s="51"/>
      <c r="PNH33" s="51"/>
      <c r="PNI33" s="51"/>
      <c r="PNK33" s="51"/>
      <c r="PNN33" s="51"/>
      <c r="PNP33" s="51"/>
      <c r="PNQ33" s="51"/>
      <c r="PNS33" s="51"/>
      <c r="PNV33" s="51"/>
      <c r="PNX33" s="51"/>
      <c r="PNY33" s="51"/>
      <c r="POA33" s="51"/>
      <c r="POD33" s="51"/>
      <c r="POF33" s="51"/>
      <c r="POG33" s="51"/>
      <c r="POI33" s="51"/>
      <c r="POL33" s="51"/>
      <c r="PON33" s="51"/>
      <c r="POO33" s="51"/>
      <c r="POQ33" s="51"/>
      <c r="POT33" s="51"/>
      <c r="POV33" s="51"/>
      <c r="POW33" s="51"/>
      <c r="POY33" s="51"/>
      <c r="PPB33" s="51"/>
      <c r="PPD33" s="51"/>
      <c r="PPE33" s="51"/>
      <c r="PPG33" s="51"/>
      <c r="PPJ33" s="51"/>
      <c r="PPL33" s="51"/>
      <c r="PPM33" s="51"/>
      <c r="PPO33" s="51"/>
      <c r="PPR33" s="51"/>
      <c r="PPT33" s="51"/>
      <c r="PPU33" s="51"/>
      <c r="PPW33" s="51"/>
      <c r="PPZ33" s="51"/>
      <c r="PQB33" s="51"/>
      <c r="PQC33" s="51"/>
      <c r="PQE33" s="51"/>
      <c r="PQH33" s="51"/>
      <c r="PQJ33" s="51"/>
      <c r="PQK33" s="51"/>
      <c r="PQM33" s="51"/>
      <c r="PQP33" s="51"/>
      <c r="PQR33" s="51"/>
      <c r="PQS33" s="51"/>
      <c r="PQU33" s="51"/>
      <c r="PQX33" s="51"/>
      <c r="PQZ33" s="51"/>
      <c r="PRA33" s="51"/>
      <c r="PRC33" s="51"/>
      <c r="PRF33" s="51"/>
      <c r="PRH33" s="51"/>
      <c r="PRI33" s="51"/>
      <c r="PRK33" s="51"/>
      <c r="PRN33" s="51"/>
      <c r="PRP33" s="51"/>
      <c r="PRQ33" s="51"/>
      <c r="PRS33" s="51"/>
      <c r="PRV33" s="51"/>
      <c r="PRX33" s="51"/>
      <c r="PRY33" s="51"/>
      <c r="PSA33" s="51"/>
      <c r="PSD33" s="51"/>
      <c r="PSF33" s="51"/>
      <c r="PSG33" s="51"/>
      <c r="PSI33" s="51"/>
      <c r="PSL33" s="51"/>
      <c r="PSN33" s="51"/>
      <c r="PSO33" s="51"/>
      <c r="PSQ33" s="51"/>
      <c r="PST33" s="51"/>
      <c r="PSV33" s="51"/>
      <c r="PSW33" s="51"/>
      <c r="PSY33" s="51"/>
      <c r="PTB33" s="51"/>
      <c r="PTD33" s="51"/>
      <c r="PTE33" s="51"/>
      <c r="PTG33" s="51"/>
      <c r="PTJ33" s="51"/>
      <c r="PTL33" s="51"/>
      <c r="PTM33" s="51"/>
      <c r="PTO33" s="51"/>
      <c r="PTR33" s="51"/>
      <c r="PTT33" s="51"/>
      <c r="PTU33" s="51"/>
      <c r="PTW33" s="51"/>
      <c r="PTZ33" s="51"/>
      <c r="PUB33" s="51"/>
      <c r="PUC33" s="51"/>
      <c r="PUE33" s="51"/>
      <c r="PUH33" s="51"/>
      <c r="PUJ33" s="51"/>
      <c r="PUK33" s="51"/>
      <c r="PUM33" s="51"/>
      <c r="PUP33" s="51"/>
      <c r="PUR33" s="51"/>
      <c r="PUS33" s="51"/>
      <c r="PUU33" s="51"/>
      <c r="PUX33" s="51"/>
      <c r="PUZ33" s="51"/>
      <c r="PVA33" s="51"/>
      <c r="PVC33" s="51"/>
      <c r="PVF33" s="51"/>
      <c r="PVH33" s="51"/>
      <c r="PVI33" s="51"/>
      <c r="PVK33" s="51"/>
      <c r="PVN33" s="51"/>
      <c r="PVP33" s="51"/>
      <c r="PVQ33" s="51"/>
      <c r="PVS33" s="51"/>
      <c r="PVV33" s="51"/>
      <c r="PVX33" s="51"/>
      <c r="PVY33" s="51"/>
      <c r="PWA33" s="51"/>
      <c r="PWD33" s="51"/>
      <c r="PWF33" s="51"/>
      <c r="PWG33" s="51"/>
      <c r="PWI33" s="51"/>
      <c r="PWL33" s="51"/>
      <c r="PWN33" s="51"/>
      <c r="PWO33" s="51"/>
      <c r="PWQ33" s="51"/>
      <c r="PWT33" s="51"/>
      <c r="PWV33" s="51"/>
      <c r="PWW33" s="51"/>
      <c r="PWY33" s="51"/>
      <c r="PXB33" s="51"/>
      <c r="PXD33" s="51"/>
      <c r="PXE33" s="51"/>
      <c r="PXG33" s="51"/>
      <c r="PXJ33" s="51"/>
      <c r="PXL33" s="51"/>
      <c r="PXM33" s="51"/>
      <c r="PXO33" s="51"/>
      <c r="PXR33" s="51"/>
      <c r="PXT33" s="51"/>
      <c r="PXU33" s="51"/>
      <c r="PXW33" s="51"/>
      <c r="PXZ33" s="51"/>
      <c r="PYB33" s="51"/>
      <c r="PYC33" s="51"/>
      <c r="PYE33" s="51"/>
      <c r="PYH33" s="51"/>
      <c r="PYJ33" s="51"/>
      <c r="PYK33" s="51"/>
      <c r="PYM33" s="51"/>
      <c r="PYP33" s="51"/>
      <c r="PYR33" s="51"/>
      <c r="PYS33" s="51"/>
      <c r="PYU33" s="51"/>
      <c r="PYX33" s="51"/>
      <c r="PYZ33" s="51"/>
      <c r="PZA33" s="51"/>
      <c r="PZC33" s="51"/>
      <c r="PZF33" s="51"/>
      <c r="PZH33" s="51"/>
      <c r="PZI33" s="51"/>
      <c r="PZK33" s="51"/>
      <c r="PZN33" s="51"/>
      <c r="PZP33" s="51"/>
      <c r="PZQ33" s="51"/>
      <c r="PZS33" s="51"/>
      <c r="PZV33" s="51"/>
      <c r="PZX33" s="51"/>
      <c r="PZY33" s="51"/>
      <c r="QAA33" s="51"/>
      <c r="QAD33" s="51"/>
      <c r="QAF33" s="51"/>
      <c r="QAG33" s="51"/>
      <c r="QAI33" s="51"/>
      <c r="QAL33" s="51"/>
      <c r="QAN33" s="51"/>
      <c r="QAO33" s="51"/>
      <c r="QAQ33" s="51"/>
      <c r="QAT33" s="51"/>
      <c r="QAV33" s="51"/>
      <c r="QAW33" s="51"/>
      <c r="QAY33" s="51"/>
      <c r="QBB33" s="51"/>
      <c r="QBD33" s="51"/>
      <c r="QBE33" s="51"/>
      <c r="QBG33" s="51"/>
      <c r="QBJ33" s="51"/>
      <c r="QBL33" s="51"/>
      <c r="QBM33" s="51"/>
      <c r="QBO33" s="51"/>
      <c r="QBR33" s="51"/>
      <c r="QBT33" s="51"/>
      <c r="QBU33" s="51"/>
      <c r="QBW33" s="51"/>
      <c r="QBZ33" s="51"/>
      <c r="QCB33" s="51"/>
      <c r="QCC33" s="51"/>
      <c r="QCE33" s="51"/>
      <c r="QCH33" s="51"/>
      <c r="QCJ33" s="51"/>
      <c r="QCK33" s="51"/>
      <c r="QCM33" s="51"/>
      <c r="QCP33" s="51"/>
      <c r="QCR33" s="51"/>
      <c r="QCS33" s="51"/>
      <c r="QCU33" s="51"/>
      <c r="QCX33" s="51"/>
      <c r="QCZ33" s="51"/>
      <c r="QDA33" s="51"/>
      <c r="QDC33" s="51"/>
      <c r="QDF33" s="51"/>
      <c r="QDH33" s="51"/>
      <c r="QDI33" s="51"/>
      <c r="QDK33" s="51"/>
      <c r="QDN33" s="51"/>
      <c r="QDP33" s="51"/>
      <c r="QDQ33" s="51"/>
      <c r="QDS33" s="51"/>
      <c r="QDV33" s="51"/>
      <c r="QDX33" s="51"/>
      <c r="QDY33" s="51"/>
      <c r="QEA33" s="51"/>
      <c r="QED33" s="51"/>
      <c r="QEF33" s="51"/>
      <c r="QEG33" s="51"/>
      <c r="QEI33" s="51"/>
      <c r="QEL33" s="51"/>
      <c r="QEN33" s="51"/>
      <c r="QEO33" s="51"/>
      <c r="QEQ33" s="51"/>
      <c r="QET33" s="51"/>
      <c r="QEV33" s="51"/>
      <c r="QEW33" s="51"/>
      <c r="QEY33" s="51"/>
      <c r="QFB33" s="51"/>
      <c r="QFD33" s="51"/>
      <c r="QFE33" s="51"/>
      <c r="QFG33" s="51"/>
      <c r="QFJ33" s="51"/>
      <c r="QFL33" s="51"/>
      <c r="QFM33" s="51"/>
      <c r="QFO33" s="51"/>
      <c r="QFR33" s="51"/>
      <c r="QFT33" s="51"/>
      <c r="QFU33" s="51"/>
      <c r="QFW33" s="51"/>
      <c r="QFZ33" s="51"/>
      <c r="QGB33" s="51"/>
      <c r="QGC33" s="51"/>
      <c r="QGE33" s="51"/>
      <c r="QGH33" s="51"/>
      <c r="QGJ33" s="51"/>
      <c r="QGK33" s="51"/>
      <c r="QGM33" s="51"/>
      <c r="QGP33" s="51"/>
      <c r="QGR33" s="51"/>
      <c r="QGS33" s="51"/>
      <c r="QGU33" s="51"/>
      <c r="QGX33" s="51"/>
      <c r="QGZ33" s="51"/>
      <c r="QHA33" s="51"/>
      <c r="QHC33" s="51"/>
      <c r="QHF33" s="51"/>
      <c r="QHH33" s="51"/>
      <c r="QHI33" s="51"/>
      <c r="QHK33" s="51"/>
      <c r="QHN33" s="51"/>
      <c r="QHP33" s="51"/>
      <c r="QHQ33" s="51"/>
      <c r="QHS33" s="51"/>
      <c r="QHV33" s="51"/>
      <c r="QHX33" s="51"/>
      <c r="QHY33" s="51"/>
      <c r="QIA33" s="51"/>
      <c r="QID33" s="51"/>
      <c r="QIF33" s="51"/>
      <c r="QIG33" s="51"/>
      <c r="QII33" s="51"/>
      <c r="QIL33" s="51"/>
      <c r="QIN33" s="51"/>
      <c r="QIO33" s="51"/>
      <c r="QIQ33" s="51"/>
      <c r="QIT33" s="51"/>
      <c r="QIV33" s="51"/>
      <c r="QIW33" s="51"/>
      <c r="QIY33" s="51"/>
      <c r="QJB33" s="51"/>
      <c r="QJD33" s="51"/>
      <c r="QJE33" s="51"/>
      <c r="QJG33" s="51"/>
      <c r="QJJ33" s="51"/>
      <c r="QJL33" s="51"/>
      <c r="QJM33" s="51"/>
      <c r="QJO33" s="51"/>
      <c r="QJR33" s="51"/>
      <c r="QJT33" s="51"/>
      <c r="QJU33" s="51"/>
      <c r="QJW33" s="51"/>
      <c r="QJZ33" s="51"/>
      <c r="QKB33" s="51"/>
      <c r="QKC33" s="51"/>
      <c r="QKE33" s="51"/>
      <c r="QKH33" s="51"/>
      <c r="QKJ33" s="51"/>
      <c r="QKK33" s="51"/>
      <c r="QKM33" s="51"/>
      <c r="QKP33" s="51"/>
      <c r="QKR33" s="51"/>
      <c r="QKS33" s="51"/>
      <c r="QKU33" s="51"/>
      <c r="QKX33" s="51"/>
      <c r="QKZ33" s="51"/>
      <c r="QLA33" s="51"/>
      <c r="QLC33" s="51"/>
      <c r="QLF33" s="51"/>
      <c r="QLH33" s="51"/>
      <c r="QLI33" s="51"/>
      <c r="QLK33" s="51"/>
      <c r="QLN33" s="51"/>
      <c r="QLP33" s="51"/>
      <c r="QLQ33" s="51"/>
      <c r="QLS33" s="51"/>
      <c r="QLV33" s="51"/>
      <c r="QLX33" s="51"/>
      <c r="QLY33" s="51"/>
      <c r="QMA33" s="51"/>
      <c r="QMD33" s="51"/>
      <c r="QMF33" s="51"/>
      <c r="QMG33" s="51"/>
      <c r="QMI33" s="51"/>
      <c r="QML33" s="51"/>
      <c r="QMN33" s="51"/>
      <c r="QMO33" s="51"/>
      <c r="QMQ33" s="51"/>
      <c r="QMT33" s="51"/>
      <c r="QMV33" s="51"/>
      <c r="QMW33" s="51"/>
      <c r="QMY33" s="51"/>
      <c r="QNB33" s="51"/>
      <c r="QND33" s="51"/>
      <c r="QNE33" s="51"/>
      <c r="QNG33" s="51"/>
      <c r="QNJ33" s="51"/>
      <c r="QNL33" s="51"/>
      <c r="QNM33" s="51"/>
      <c r="QNO33" s="51"/>
      <c r="QNR33" s="51"/>
      <c r="QNT33" s="51"/>
      <c r="QNU33" s="51"/>
      <c r="QNW33" s="51"/>
      <c r="QNZ33" s="51"/>
      <c r="QOB33" s="51"/>
      <c r="QOC33" s="51"/>
      <c r="QOE33" s="51"/>
      <c r="QOH33" s="51"/>
      <c r="QOJ33" s="51"/>
      <c r="QOK33" s="51"/>
      <c r="QOM33" s="51"/>
      <c r="QOP33" s="51"/>
      <c r="QOR33" s="51"/>
      <c r="QOS33" s="51"/>
      <c r="QOU33" s="51"/>
      <c r="QOX33" s="51"/>
      <c r="QOZ33" s="51"/>
      <c r="QPA33" s="51"/>
      <c r="QPC33" s="51"/>
      <c r="QPF33" s="51"/>
      <c r="QPH33" s="51"/>
      <c r="QPI33" s="51"/>
      <c r="QPK33" s="51"/>
      <c r="QPN33" s="51"/>
      <c r="QPP33" s="51"/>
      <c r="QPQ33" s="51"/>
      <c r="QPS33" s="51"/>
      <c r="QPV33" s="51"/>
      <c r="QPX33" s="51"/>
      <c r="QPY33" s="51"/>
      <c r="QQA33" s="51"/>
      <c r="QQD33" s="51"/>
      <c r="QQF33" s="51"/>
      <c r="QQG33" s="51"/>
      <c r="QQI33" s="51"/>
      <c r="QQL33" s="51"/>
      <c r="QQN33" s="51"/>
      <c r="QQO33" s="51"/>
      <c r="QQQ33" s="51"/>
      <c r="QQT33" s="51"/>
      <c r="QQV33" s="51"/>
      <c r="QQW33" s="51"/>
      <c r="QQY33" s="51"/>
      <c r="QRB33" s="51"/>
      <c r="QRD33" s="51"/>
      <c r="QRE33" s="51"/>
      <c r="QRG33" s="51"/>
      <c r="QRJ33" s="51"/>
      <c r="QRL33" s="51"/>
      <c r="QRM33" s="51"/>
      <c r="QRO33" s="51"/>
      <c r="QRR33" s="51"/>
      <c r="QRT33" s="51"/>
      <c r="QRU33" s="51"/>
      <c r="QRW33" s="51"/>
      <c r="QRZ33" s="51"/>
      <c r="QSB33" s="51"/>
      <c r="QSC33" s="51"/>
      <c r="QSE33" s="51"/>
      <c r="QSH33" s="51"/>
      <c r="QSJ33" s="51"/>
      <c r="QSK33" s="51"/>
      <c r="QSM33" s="51"/>
      <c r="QSP33" s="51"/>
      <c r="QSR33" s="51"/>
      <c r="QSS33" s="51"/>
      <c r="QSU33" s="51"/>
      <c r="QSX33" s="51"/>
      <c r="QSZ33" s="51"/>
      <c r="QTA33" s="51"/>
      <c r="QTC33" s="51"/>
      <c r="QTF33" s="51"/>
      <c r="QTH33" s="51"/>
      <c r="QTI33" s="51"/>
      <c r="QTK33" s="51"/>
      <c r="QTN33" s="51"/>
      <c r="QTP33" s="51"/>
      <c r="QTQ33" s="51"/>
      <c r="QTS33" s="51"/>
      <c r="QTV33" s="51"/>
      <c r="QTX33" s="51"/>
      <c r="QTY33" s="51"/>
      <c r="QUA33" s="51"/>
      <c r="QUD33" s="51"/>
      <c r="QUF33" s="51"/>
      <c r="QUG33" s="51"/>
      <c r="QUI33" s="51"/>
      <c r="QUL33" s="51"/>
      <c r="QUN33" s="51"/>
      <c r="QUO33" s="51"/>
      <c r="QUQ33" s="51"/>
      <c r="QUT33" s="51"/>
      <c r="QUV33" s="51"/>
      <c r="QUW33" s="51"/>
      <c r="QUY33" s="51"/>
      <c r="QVB33" s="51"/>
      <c r="QVD33" s="51"/>
      <c r="QVE33" s="51"/>
      <c r="QVG33" s="51"/>
      <c r="QVJ33" s="51"/>
      <c r="QVL33" s="51"/>
      <c r="QVM33" s="51"/>
      <c r="QVO33" s="51"/>
      <c r="QVR33" s="51"/>
      <c r="QVT33" s="51"/>
      <c r="QVU33" s="51"/>
      <c r="QVW33" s="51"/>
      <c r="QVZ33" s="51"/>
      <c r="QWB33" s="51"/>
      <c r="QWC33" s="51"/>
      <c r="QWE33" s="51"/>
      <c r="QWH33" s="51"/>
      <c r="QWJ33" s="51"/>
      <c r="QWK33" s="51"/>
      <c r="QWM33" s="51"/>
      <c r="QWP33" s="51"/>
      <c r="QWR33" s="51"/>
      <c r="QWS33" s="51"/>
      <c r="QWU33" s="51"/>
      <c r="QWX33" s="51"/>
      <c r="QWZ33" s="51"/>
      <c r="QXA33" s="51"/>
      <c r="QXC33" s="51"/>
      <c r="QXF33" s="51"/>
      <c r="QXH33" s="51"/>
      <c r="QXI33" s="51"/>
      <c r="QXK33" s="51"/>
      <c r="QXN33" s="51"/>
      <c r="QXP33" s="51"/>
      <c r="QXQ33" s="51"/>
      <c r="QXS33" s="51"/>
      <c r="QXV33" s="51"/>
      <c r="QXX33" s="51"/>
      <c r="QXY33" s="51"/>
      <c r="QYA33" s="51"/>
      <c r="QYD33" s="51"/>
      <c r="QYF33" s="51"/>
      <c r="QYG33" s="51"/>
      <c r="QYI33" s="51"/>
      <c r="QYL33" s="51"/>
      <c r="QYN33" s="51"/>
      <c r="QYO33" s="51"/>
      <c r="QYQ33" s="51"/>
      <c r="QYT33" s="51"/>
      <c r="QYV33" s="51"/>
      <c r="QYW33" s="51"/>
      <c r="QYY33" s="51"/>
      <c r="QZB33" s="51"/>
      <c r="QZD33" s="51"/>
      <c r="QZE33" s="51"/>
      <c r="QZG33" s="51"/>
      <c r="QZJ33" s="51"/>
      <c r="QZL33" s="51"/>
      <c r="QZM33" s="51"/>
      <c r="QZO33" s="51"/>
      <c r="QZR33" s="51"/>
      <c r="QZT33" s="51"/>
      <c r="QZU33" s="51"/>
      <c r="QZW33" s="51"/>
      <c r="QZZ33" s="51"/>
      <c r="RAB33" s="51"/>
      <c r="RAC33" s="51"/>
      <c r="RAE33" s="51"/>
      <c r="RAH33" s="51"/>
      <c r="RAJ33" s="51"/>
      <c r="RAK33" s="51"/>
      <c r="RAM33" s="51"/>
      <c r="RAP33" s="51"/>
      <c r="RAR33" s="51"/>
      <c r="RAS33" s="51"/>
      <c r="RAU33" s="51"/>
      <c r="RAX33" s="51"/>
      <c r="RAZ33" s="51"/>
      <c r="RBA33" s="51"/>
      <c r="RBC33" s="51"/>
      <c r="RBF33" s="51"/>
      <c r="RBH33" s="51"/>
      <c r="RBI33" s="51"/>
      <c r="RBK33" s="51"/>
      <c r="RBN33" s="51"/>
      <c r="RBP33" s="51"/>
      <c r="RBQ33" s="51"/>
      <c r="RBS33" s="51"/>
      <c r="RBV33" s="51"/>
      <c r="RBX33" s="51"/>
      <c r="RBY33" s="51"/>
      <c r="RCA33" s="51"/>
      <c r="RCD33" s="51"/>
      <c r="RCF33" s="51"/>
      <c r="RCG33" s="51"/>
      <c r="RCI33" s="51"/>
      <c r="RCL33" s="51"/>
      <c r="RCN33" s="51"/>
      <c r="RCO33" s="51"/>
      <c r="RCQ33" s="51"/>
      <c r="RCT33" s="51"/>
      <c r="RCV33" s="51"/>
      <c r="RCW33" s="51"/>
      <c r="RCY33" s="51"/>
      <c r="RDB33" s="51"/>
      <c r="RDD33" s="51"/>
      <c r="RDE33" s="51"/>
      <c r="RDG33" s="51"/>
      <c r="RDJ33" s="51"/>
      <c r="RDL33" s="51"/>
      <c r="RDM33" s="51"/>
      <c r="RDO33" s="51"/>
      <c r="RDR33" s="51"/>
      <c r="RDT33" s="51"/>
      <c r="RDU33" s="51"/>
      <c r="RDW33" s="51"/>
      <c r="RDZ33" s="51"/>
      <c r="REB33" s="51"/>
      <c r="REC33" s="51"/>
      <c r="REE33" s="51"/>
      <c r="REH33" s="51"/>
      <c r="REJ33" s="51"/>
      <c r="REK33" s="51"/>
      <c r="REM33" s="51"/>
      <c r="REP33" s="51"/>
      <c r="RER33" s="51"/>
      <c r="RES33" s="51"/>
      <c r="REU33" s="51"/>
      <c r="REX33" s="51"/>
      <c r="REZ33" s="51"/>
      <c r="RFA33" s="51"/>
      <c r="RFC33" s="51"/>
      <c r="RFF33" s="51"/>
      <c r="RFH33" s="51"/>
      <c r="RFI33" s="51"/>
      <c r="RFK33" s="51"/>
      <c r="RFN33" s="51"/>
      <c r="RFP33" s="51"/>
      <c r="RFQ33" s="51"/>
      <c r="RFS33" s="51"/>
      <c r="RFV33" s="51"/>
      <c r="RFX33" s="51"/>
      <c r="RFY33" s="51"/>
      <c r="RGA33" s="51"/>
      <c r="RGD33" s="51"/>
      <c r="RGF33" s="51"/>
      <c r="RGG33" s="51"/>
      <c r="RGI33" s="51"/>
      <c r="RGL33" s="51"/>
      <c r="RGN33" s="51"/>
      <c r="RGO33" s="51"/>
      <c r="RGQ33" s="51"/>
      <c r="RGT33" s="51"/>
      <c r="RGV33" s="51"/>
      <c r="RGW33" s="51"/>
      <c r="RGY33" s="51"/>
      <c r="RHB33" s="51"/>
      <c r="RHD33" s="51"/>
      <c r="RHE33" s="51"/>
      <c r="RHG33" s="51"/>
      <c r="RHJ33" s="51"/>
      <c r="RHL33" s="51"/>
      <c r="RHM33" s="51"/>
      <c r="RHO33" s="51"/>
      <c r="RHR33" s="51"/>
      <c r="RHT33" s="51"/>
      <c r="RHU33" s="51"/>
      <c r="RHW33" s="51"/>
      <c r="RHZ33" s="51"/>
      <c r="RIB33" s="51"/>
      <c r="RIC33" s="51"/>
      <c r="RIE33" s="51"/>
      <c r="RIH33" s="51"/>
      <c r="RIJ33" s="51"/>
      <c r="RIK33" s="51"/>
      <c r="RIM33" s="51"/>
      <c r="RIP33" s="51"/>
      <c r="RIR33" s="51"/>
      <c r="RIS33" s="51"/>
      <c r="RIU33" s="51"/>
      <c r="RIX33" s="51"/>
      <c r="RIZ33" s="51"/>
      <c r="RJA33" s="51"/>
      <c r="RJC33" s="51"/>
      <c r="RJF33" s="51"/>
      <c r="RJH33" s="51"/>
      <c r="RJI33" s="51"/>
      <c r="RJK33" s="51"/>
      <c r="RJN33" s="51"/>
      <c r="RJP33" s="51"/>
      <c r="RJQ33" s="51"/>
      <c r="RJS33" s="51"/>
      <c r="RJV33" s="51"/>
      <c r="RJX33" s="51"/>
      <c r="RJY33" s="51"/>
      <c r="RKA33" s="51"/>
      <c r="RKD33" s="51"/>
      <c r="RKF33" s="51"/>
      <c r="RKG33" s="51"/>
      <c r="RKI33" s="51"/>
      <c r="RKL33" s="51"/>
      <c r="RKN33" s="51"/>
      <c r="RKO33" s="51"/>
      <c r="RKQ33" s="51"/>
      <c r="RKT33" s="51"/>
      <c r="RKV33" s="51"/>
      <c r="RKW33" s="51"/>
      <c r="RKY33" s="51"/>
      <c r="RLB33" s="51"/>
      <c r="RLD33" s="51"/>
      <c r="RLE33" s="51"/>
      <c r="RLG33" s="51"/>
      <c r="RLJ33" s="51"/>
      <c r="RLL33" s="51"/>
      <c r="RLM33" s="51"/>
      <c r="RLO33" s="51"/>
      <c r="RLR33" s="51"/>
      <c r="RLT33" s="51"/>
      <c r="RLU33" s="51"/>
      <c r="RLW33" s="51"/>
      <c r="RLZ33" s="51"/>
      <c r="RMB33" s="51"/>
      <c r="RMC33" s="51"/>
      <c r="RME33" s="51"/>
      <c r="RMH33" s="51"/>
      <c r="RMJ33" s="51"/>
      <c r="RMK33" s="51"/>
      <c r="RMM33" s="51"/>
      <c r="RMP33" s="51"/>
      <c r="RMR33" s="51"/>
      <c r="RMS33" s="51"/>
      <c r="RMU33" s="51"/>
      <c r="RMX33" s="51"/>
      <c r="RMZ33" s="51"/>
      <c r="RNA33" s="51"/>
      <c r="RNC33" s="51"/>
      <c r="RNF33" s="51"/>
      <c r="RNH33" s="51"/>
      <c r="RNI33" s="51"/>
      <c r="RNK33" s="51"/>
      <c r="RNN33" s="51"/>
      <c r="RNP33" s="51"/>
      <c r="RNQ33" s="51"/>
      <c r="RNS33" s="51"/>
      <c r="RNV33" s="51"/>
      <c r="RNX33" s="51"/>
      <c r="RNY33" s="51"/>
      <c r="ROA33" s="51"/>
      <c r="ROD33" s="51"/>
      <c r="ROF33" s="51"/>
      <c r="ROG33" s="51"/>
      <c r="ROI33" s="51"/>
      <c r="ROL33" s="51"/>
      <c r="RON33" s="51"/>
      <c r="ROO33" s="51"/>
      <c r="ROQ33" s="51"/>
      <c r="ROT33" s="51"/>
      <c r="ROV33" s="51"/>
      <c r="ROW33" s="51"/>
      <c r="ROY33" s="51"/>
      <c r="RPB33" s="51"/>
      <c r="RPD33" s="51"/>
      <c r="RPE33" s="51"/>
      <c r="RPG33" s="51"/>
      <c r="RPJ33" s="51"/>
      <c r="RPL33" s="51"/>
      <c r="RPM33" s="51"/>
      <c r="RPO33" s="51"/>
      <c r="RPR33" s="51"/>
      <c r="RPT33" s="51"/>
      <c r="RPU33" s="51"/>
      <c r="RPW33" s="51"/>
      <c r="RPZ33" s="51"/>
      <c r="RQB33" s="51"/>
      <c r="RQC33" s="51"/>
      <c r="RQE33" s="51"/>
      <c r="RQH33" s="51"/>
      <c r="RQJ33" s="51"/>
      <c r="RQK33" s="51"/>
      <c r="RQM33" s="51"/>
      <c r="RQP33" s="51"/>
      <c r="RQR33" s="51"/>
      <c r="RQS33" s="51"/>
      <c r="RQU33" s="51"/>
      <c r="RQX33" s="51"/>
      <c r="RQZ33" s="51"/>
      <c r="RRA33" s="51"/>
      <c r="RRC33" s="51"/>
      <c r="RRF33" s="51"/>
      <c r="RRH33" s="51"/>
      <c r="RRI33" s="51"/>
      <c r="RRK33" s="51"/>
      <c r="RRN33" s="51"/>
      <c r="RRP33" s="51"/>
      <c r="RRQ33" s="51"/>
      <c r="RRS33" s="51"/>
      <c r="RRV33" s="51"/>
      <c r="RRX33" s="51"/>
      <c r="RRY33" s="51"/>
      <c r="RSA33" s="51"/>
      <c r="RSD33" s="51"/>
      <c r="RSF33" s="51"/>
      <c r="RSG33" s="51"/>
      <c r="RSI33" s="51"/>
      <c r="RSL33" s="51"/>
      <c r="RSN33" s="51"/>
      <c r="RSO33" s="51"/>
      <c r="RSQ33" s="51"/>
      <c r="RST33" s="51"/>
      <c r="RSV33" s="51"/>
      <c r="RSW33" s="51"/>
      <c r="RSY33" s="51"/>
      <c r="RTB33" s="51"/>
      <c r="RTD33" s="51"/>
      <c r="RTE33" s="51"/>
      <c r="RTG33" s="51"/>
      <c r="RTJ33" s="51"/>
      <c r="RTL33" s="51"/>
      <c r="RTM33" s="51"/>
      <c r="RTO33" s="51"/>
      <c r="RTR33" s="51"/>
      <c r="RTT33" s="51"/>
      <c r="RTU33" s="51"/>
      <c r="RTW33" s="51"/>
      <c r="RTZ33" s="51"/>
      <c r="RUB33" s="51"/>
      <c r="RUC33" s="51"/>
      <c r="RUE33" s="51"/>
      <c r="RUH33" s="51"/>
      <c r="RUJ33" s="51"/>
      <c r="RUK33" s="51"/>
      <c r="RUM33" s="51"/>
      <c r="RUP33" s="51"/>
      <c r="RUR33" s="51"/>
      <c r="RUS33" s="51"/>
      <c r="RUU33" s="51"/>
      <c r="RUX33" s="51"/>
      <c r="RUZ33" s="51"/>
      <c r="RVA33" s="51"/>
      <c r="RVC33" s="51"/>
      <c r="RVF33" s="51"/>
      <c r="RVH33" s="51"/>
      <c r="RVI33" s="51"/>
      <c r="RVK33" s="51"/>
      <c r="RVN33" s="51"/>
      <c r="RVP33" s="51"/>
      <c r="RVQ33" s="51"/>
      <c r="RVS33" s="51"/>
      <c r="RVV33" s="51"/>
      <c r="RVX33" s="51"/>
      <c r="RVY33" s="51"/>
      <c r="RWA33" s="51"/>
      <c r="RWD33" s="51"/>
      <c r="RWF33" s="51"/>
      <c r="RWG33" s="51"/>
      <c r="RWI33" s="51"/>
      <c r="RWL33" s="51"/>
      <c r="RWN33" s="51"/>
      <c r="RWO33" s="51"/>
      <c r="RWQ33" s="51"/>
      <c r="RWT33" s="51"/>
      <c r="RWV33" s="51"/>
      <c r="RWW33" s="51"/>
      <c r="RWY33" s="51"/>
      <c r="RXB33" s="51"/>
      <c r="RXD33" s="51"/>
      <c r="RXE33" s="51"/>
      <c r="RXG33" s="51"/>
      <c r="RXJ33" s="51"/>
      <c r="RXL33" s="51"/>
      <c r="RXM33" s="51"/>
      <c r="RXO33" s="51"/>
      <c r="RXR33" s="51"/>
      <c r="RXT33" s="51"/>
      <c r="RXU33" s="51"/>
      <c r="RXW33" s="51"/>
      <c r="RXZ33" s="51"/>
      <c r="RYB33" s="51"/>
      <c r="RYC33" s="51"/>
      <c r="RYE33" s="51"/>
      <c r="RYH33" s="51"/>
      <c r="RYJ33" s="51"/>
      <c r="RYK33" s="51"/>
      <c r="RYM33" s="51"/>
      <c r="RYP33" s="51"/>
      <c r="RYR33" s="51"/>
      <c r="RYS33" s="51"/>
      <c r="RYU33" s="51"/>
      <c r="RYX33" s="51"/>
      <c r="RYZ33" s="51"/>
      <c r="RZA33" s="51"/>
      <c r="RZC33" s="51"/>
      <c r="RZF33" s="51"/>
      <c r="RZH33" s="51"/>
      <c r="RZI33" s="51"/>
      <c r="RZK33" s="51"/>
      <c r="RZN33" s="51"/>
      <c r="RZP33" s="51"/>
      <c r="RZQ33" s="51"/>
      <c r="RZS33" s="51"/>
      <c r="RZV33" s="51"/>
      <c r="RZX33" s="51"/>
      <c r="RZY33" s="51"/>
      <c r="SAA33" s="51"/>
      <c r="SAD33" s="51"/>
      <c r="SAF33" s="51"/>
      <c r="SAG33" s="51"/>
      <c r="SAI33" s="51"/>
      <c r="SAL33" s="51"/>
      <c r="SAN33" s="51"/>
      <c r="SAO33" s="51"/>
      <c r="SAQ33" s="51"/>
      <c r="SAT33" s="51"/>
      <c r="SAV33" s="51"/>
      <c r="SAW33" s="51"/>
      <c r="SAY33" s="51"/>
      <c r="SBB33" s="51"/>
      <c r="SBD33" s="51"/>
      <c r="SBE33" s="51"/>
      <c r="SBG33" s="51"/>
      <c r="SBJ33" s="51"/>
      <c r="SBL33" s="51"/>
      <c r="SBM33" s="51"/>
      <c r="SBO33" s="51"/>
      <c r="SBR33" s="51"/>
      <c r="SBT33" s="51"/>
      <c r="SBU33" s="51"/>
      <c r="SBW33" s="51"/>
      <c r="SBZ33" s="51"/>
      <c r="SCB33" s="51"/>
      <c r="SCC33" s="51"/>
      <c r="SCE33" s="51"/>
      <c r="SCH33" s="51"/>
      <c r="SCJ33" s="51"/>
      <c r="SCK33" s="51"/>
      <c r="SCM33" s="51"/>
      <c r="SCP33" s="51"/>
      <c r="SCR33" s="51"/>
      <c r="SCS33" s="51"/>
      <c r="SCU33" s="51"/>
      <c r="SCX33" s="51"/>
      <c r="SCZ33" s="51"/>
      <c r="SDA33" s="51"/>
      <c r="SDC33" s="51"/>
      <c r="SDF33" s="51"/>
      <c r="SDH33" s="51"/>
      <c r="SDI33" s="51"/>
      <c r="SDK33" s="51"/>
      <c r="SDN33" s="51"/>
      <c r="SDP33" s="51"/>
      <c r="SDQ33" s="51"/>
      <c r="SDS33" s="51"/>
      <c r="SDV33" s="51"/>
      <c r="SDX33" s="51"/>
      <c r="SDY33" s="51"/>
      <c r="SEA33" s="51"/>
      <c r="SED33" s="51"/>
      <c r="SEF33" s="51"/>
      <c r="SEG33" s="51"/>
      <c r="SEI33" s="51"/>
      <c r="SEL33" s="51"/>
      <c r="SEN33" s="51"/>
      <c r="SEO33" s="51"/>
      <c r="SEQ33" s="51"/>
      <c r="SET33" s="51"/>
      <c r="SEV33" s="51"/>
      <c r="SEW33" s="51"/>
      <c r="SEY33" s="51"/>
      <c r="SFB33" s="51"/>
      <c r="SFD33" s="51"/>
      <c r="SFE33" s="51"/>
      <c r="SFG33" s="51"/>
      <c r="SFJ33" s="51"/>
      <c r="SFL33" s="51"/>
      <c r="SFM33" s="51"/>
      <c r="SFO33" s="51"/>
      <c r="SFR33" s="51"/>
      <c r="SFT33" s="51"/>
      <c r="SFU33" s="51"/>
      <c r="SFW33" s="51"/>
      <c r="SFZ33" s="51"/>
      <c r="SGB33" s="51"/>
      <c r="SGC33" s="51"/>
      <c r="SGE33" s="51"/>
      <c r="SGH33" s="51"/>
      <c r="SGJ33" s="51"/>
      <c r="SGK33" s="51"/>
      <c r="SGM33" s="51"/>
      <c r="SGP33" s="51"/>
      <c r="SGR33" s="51"/>
      <c r="SGS33" s="51"/>
      <c r="SGU33" s="51"/>
      <c r="SGX33" s="51"/>
      <c r="SGZ33" s="51"/>
      <c r="SHA33" s="51"/>
      <c r="SHC33" s="51"/>
      <c r="SHF33" s="51"/>
      <c r="SHH33" s="51"/>
      <c r="SHI33" s="51"/>
      <c r="SHK33" s="51"/>
      <c r="SHN33" s="51"/>
      <c r="SHP33" s="51"/>
      <c r="SHQ33" s="51"/>
      <c r="SHS33" s="51"/>
      <c r="SHV33" s="51"/>
      <c r="SHX33" s="51"/>
      <c r="SHY33" s="51"/>
      <c r="SIA33" s="51"/>
      <c r="SID33" s="51"/>
      <c r="SIF33" s="51"/>
      <c r="SIG33" s="51"/>
      <c r="SII33" s="51"/>
      <c r="SIL33" s="51"/>
      <c r="SIN33" s="51"/>
      <c r="SIO33" s="51"/>
      <c r="SIQ33" s="51"/>
      <c r="SIT33" s="51"/>
      <c r="SIV33" s="51"/>
      <c r="SIW33" s="51"/>
      <c r="SIY33" s="51"/>
      <c r="SJB33" s="51"/>
      <c r="SJD33" s="51"/>
      <c r="SJE33" s="51"/>
      <c r="SJG33" s="51"/>
      <c r="SJJ33" s="51"/>
      <c r="SJL33" s="51"/>
      <c r="SJM33" s="51"/>
      <c r="SJO33" s="51"/>
      <c r="SJR33" s="51"/>
      <c r="SJT33" s="51"/>
      <c r="SJU33" s="51"/>
      <c r="SJW33" s="51"/>
      <c r="SJZ33" s="51"/>
      <c r="SKB33" s="51"/>
      <c r="SKC33" s="51"/>
      <c r="SKE33" s="51"/>
      <c r="SKH33" s="51"/>
      <c r="SKJ33" s="51"/>
      <c r="SKK33" s="51"/>
      <c r="SKM33" s="51"/>
      <c r="SKP33" s="51"/>
      <c r="SKR33" s="51"/>
      <c r="SKS33" s="51"/>
      <c r="SKU33" s="51"/>
      <c r="SKX33" s="51"/>
      <c r="SKZ33" s="51"/>
      <c r="SLA33" s="51"/>
      <c r="SLC33" s="51"/>
      <c r="SLF33" s="51"/>
      <c r="SLH33" s="51"/>
      <c r="SLI33" s="51"/>
      <c r="SLK33" s="51"/>
      <c r="SLN33" s="51"/>
      <c r="SLP33" s="51"/>
      <c r="SLQ33" s="51"/>
      <c r="SLS33" s="51"/>
      <c r="SLV33" s="51"/>
      <c r="SLX33" s="51"/>
      <c r="SLY33" s="51"/>
      <c r="SMA33" s="51"/>
      <c r="SMD33" s="51"/>
      <c r="SMF33" s="51"/>
      <c r="SMG33" s="51"/>
      <c r="SMI33" s="51"/>
      <c r="SML33" s="51"/>
      <c r="SMN33" s="51"/>
      <c r="SMO33" s="51"/>
      <c r="SMQ33" s="51"/>
      <c r="SMT33" s="51"/>
      <c r="SMV33" s="51"/>
      <c r="SMW33" s="51"/>
      <c r="SMY33" s="51"/>
      <c r="SNB33" s="51"/>
      <c r="SND33" s="51"/>
      <c r="SNE33" s="51"/>
      <c r="SNG33" s="51"/>
      <c r="SNJ33" s="51"/>
      <c r="SNL33" s="51"/>
      <c r="SNM33" s="51"/>
      <c r="SNO33" s="51"/>
      <c r="SNR33" s="51"/>
      <c r="SNT33" s="51"/>
      <c r="SNU33" s="51"/>
      <c r="SNW33" s="51"/>
      <c r="SNZ33" s="51"/>
      <c r="SOB33" s="51"/>
      <c r="SOC33" s="51"/>
      <c r="SOE33" s="51"/>
      <c r="SOH33" s="51"/>
      <c r="SOJ33" s="51"/>
      <c r="SOK33" s="51"/>
      <c r="SOM33" s="51"/>
      <c r="SOP33" s="51"/>
      <c r="SOR33" s="51"/>
      <c r="SOS33" s="51"/>
      <c r="SOU33" s="51"/>
      <c r="SOX33" s="51"/>
      <c r="SOZ33" s="51"/>
      <c r="SPA33" s="51"/>
      <c r="SPC33" s="51"/>
      <c r="SPF33" s="51"/>
      <c r="SPH33" s="51"/>
      <c r="SPI33" s="51"/>
      <c r="SPK33" s="51"/>
      <c r="SPN33" s="51"/>
      <c r="SPP33" s="51"/>
      <c r="SPQ33" s="51"/>
      <c r="SPS33" s="51"/>
      <c r="SPV33" s="51"/>
      <c r="SPX33" s="51"/>
      <c r="SPY33" s="51"/>
      <c r="SQA33" s="51"/>
      <c r="SQD33" s="51"/>
      <c r="SQF33" s="51"/>
      <c r="SQG33" s="51"/>
      <c r="SQI33" s="51"/>
      <c r="SQL33" s="51"/>
      <c r="SQN33" s="51"/>
      <c r="SQO33" s="51"/>
      <c r="SQQ33" s="51"/>
      <c r="SQT33" s="51"/>
      <c r="SQV33" s="51"/>
      <c r="SQW33" s="51"/>
      <c r="SQY33" s="51"/>
      <c r="SRB33" s="51"/>
      <c r="SRD33" s="51"/>
      <c r="SRE33" s="51"/>
      <c r="SRG33" s="51"/>
      <c r="SRJ33" s="51"/>
      <c r="SRL33" s="51"/>
      <c r="SRM33" s="51"/>
      <c r="SRO33" s="51"/>
      <c r="SRR33" s="51"/>
      <c r="SRT33" s="51"/>
      <c r="SRU33" s="51"/>
      <c r="SRW33" s="51"/>
      <c r="SRZ33" s="51"/>
      <c r="SSB33" s="51"/>
      <c r="SSC33" s="51"/>
      <c r="SSE33" s="51"/>
      <c r="SSH33" s="51"/>
      <c r="SSJ33" s="51"/>
      <c r="SSK33" s="51"/>
      <c r="SSM33" s="51"/>
      <c r="SSP33" s="51"/>
      <c r="SSR33" s="51"/>
      <c r="SSS33" s="51"/>
      <c r="SSU33" s="51"/>
      <c r="SSX33" s="51"/>
      <c r="SSZ33" s="51"/>
      <c r="STA33" s="51"/>
      <c r="STC33" s="51"/>
      <c r="STF33" s="51"/>
      <c r="STH33" s="51"/>
      <c r="STI33" s="51"/>
      <c r="STK33" s="51"/>
      <c r="STN33" s="51"/>
      <c r="STP33" s="51"/>
      <c r="STQ33" s="51"/>
      <c r="STS33" s="51"/>
      <c r="STV33" s="51"/>
      <c r="STX33" s="51"/>
      <c r="STY33" s="51"/>
      <c r="SUA33" s="51"/>
      <c r="SUD33" s="51"/>
      <c r="SUF33" s="51"/>
      <c r="SUG33" s="51"/>
      <c r="SUI33" s="51"/>
      <c r="SUL33" s="51"/>
      <c r="SUN33" s="51"/>
      <c r="SUO33" s="51"/>
      <c r="SUQ33" s="51"/>
      <c r="SUT33" s="51"/>
      <c r="SUV33" s="51"/>
      <c r="SUW33" s="51"/>
      <c r="SUY33" s="51"/>
      <c r="SVB33" s="51"/>
      <c r="SVD33" s="51"/>
      <c r="SVE33" s="51"/>
      <c r="SVG33" s="51"/>
      <c r="SVJ33" s="51"/>
      <c r="SVL33" s="51"/>
      <c r="SVM33" s="51"/>
      <c r="SVO33" s="51"/>
      <c r="SVR33" s="51"/>
      <c r="SVT33" s="51"/>
      <c r="SVU33" s="51"/>
      <c r="SVW33" s="51"/>
      <c r="SVZ33" s="51"/>
      <c r="SWB33" s="51"/>
      <c r="SWC33" s="51"/>
      <c r="SWE33" s="51"/>
      <c r="SWH33" s="51"/>
      <c r="SWJ33" s="51"/>
      <c r="SWK33" s="51"/>
      <c r="SWM33" s="51"/>
      <c r="SWP33" s="51"/>
      <c r="SWR33" s="51"/>
      <c r="SWS33" s="51"/>
      <c r="SWU33" s="51"/>
      <c r="SWX33" s="51"/>
      <c r="SWZ33" s="51"/>
      <c r="SXA33" s="51"/>
      <c r="SXC33" s="51"/>
      <c r="SXF33" s="51"/>
      <c r="SXH33" s="51"/>
      <c r="SXI33" s="51"/>
      <c r="SXK33" s="51"/>
      <c r="SXN33" s="51"/>
      <c r="SXP33" s="51"/>
      <c r="SXQ33" s="51"/>
      <c r="SXS33" s="51"/>
      <c r="SXV33" s="51"/>
      <c r="SXX33" s="51"/>
      <c r="SXY33" s="51"/>
      <c r="SYA33" s="51"/>
      <c r="SYD33" s="51"/>
      <c r="SYF33" s="51"/>
      <c r="SYG33" s="51"/>
      <c r="SYI33" s="51"/>
      <c r="SYL33" s="51"/>
      <c r="SYN33" s="51"/>
      <c r="SYO33" s="51"/>
      <c r="SYQ33" s="51"/>
      <c r="SYT33" s="51"/>
      <c r="SYV33" s="51"/>
      <c r="SYW33" s="51"/>
      <c r="SYY33" s="51"/>
      <c r="SZB33" s="51"/>
      <c r="SZD33" s="51"/>
      <c r="SZE33" s="51"/>
      <c r="SZG33" s="51"/>
      <c r="SZJ33" s="51"/>
      <c r="SZL33" s="51"/>
      <c r="SZM33" s="51"/>
      <c r="SZO33" s="51"/>
      <c r="SZR33" s="51"/>
      <c r="SZT33" s="51"/>
      <c r="SZU33" s="51"/>
      <c r="SZW33" s="51"/>
      <c r="SZZ33" s="51"/>
      <c r="TAB33" s="51"/>
      <c r="TAC33" s="51"/>
      <c r="TAE33" s="51"/>
      <c r="TAH33" s="51"/>
      <c r="TAJ33" s="51"/>
      <c r="TAK33" s="51"/>
      <c r="TAM33" s="51"/>
      <c r="TAP33" s="51"/>
      <c r="TAR33" s="51"/>
      <c r="TAS33" s="51"/>
      <c r="TAU33" s="51"/>
      <c r="TAX33" s="51"/>
      <c r="TAZ33" s="51"/>
      <c r="TBA33" s="51"/>
      <c r="TBC33" s="51"/>
      <c r="TBF33" s="51"/>
      <c r="TBH33" s="51"/>
      <c r="TBI33" s="51"/>
      <c r="TBK33" s="51"/>
      <c r="TBN33" s="51"/>
      <c r="TBP33" s="51"/>
      <c r="TBQ33" s="51"/>
      <c r="TBS33" s="51"/>
      <c r="TBV33" s="51"/>
      <c r="TBX33" s="51"/>
      <c r="TBY33" s="51"/>
      <c r="TCA33" s="51"/>
      <c r="TCD33" s="51"/>
      <c r="TCF33" s="51"/>
      <c r="TCG33" s="51"/>
      <c r="TCI33" s="51"/>
      <c r="TCL33" s="51"/>
      <c r="TCN33" s="51"/>
      <c r="TCO33" s="51"/>
      <c r="TCQ33" s="51"/>
      <c r="TCT33" s="51"/>
      <c r="TCV33" s="51"/>
      <c r="TCW33" s="51"/>
      <c r="TCY33" s="51"/>
      <c r="TDB33" s="51"/>
      <c r="TDD33" s="51"/>
      <c r="TDE33" s="51"/>
      <c r="TDG33" s="51"/>
      <c r="TDJ33" s="51"/>
      <c r="TDL33" s="51"/>
      <c r="TDM33" s="51"/>
      <c r="TDO33" s="51"/>
      <c r="TDR33" s="51"/>
      <c r="TDT33" s="51"/>
      <c r="TDU33" s="51"/>
      <c r="TDW33" s="51"/>
      <c r="TDZ33" s="51"/>
      <c r="TEB33" s="51"/>
      <c r="TEC33" s="51"/>
      <c r="TEE33" s="51"/>
      <c r="TEH33" s="51"/>
      <c r="TEJ33" s="51"/>
      <c r="TEK33" s="51"/>
      <c r="TEM33" s="51"/>
      <c r="TEP33" s="51"/>
      <c r="TER33" s="51"/>
      <c r="TES33" s="51"/>
      <c r="TEU33" s="51"/>
      <c r="TEX33" s="51"/>
      <c r="TEZ33" s="51"/>
      <c r="TFA33" s="51"/>
      <c r="TFC33" s="51"/>
      <c r="TFF33" s="51"/>
      <c r="TFH33" s="51"/>
      <c r="TFI33" s="51"/>
      <c r="TFK33" s="51"/>
      <c r="TFN33" s="51"/>
      <c r="TFP33" s="51"/>
      <c r="TFQ33" s="51"/>
      <c r="TFS33" s="51"/>
      <c r="TFV33" s="51"/>
      <c r="TFX33" s="51"/>
      <c r="TFY33" s="51"/>
      <c r="TGA33" s="51"/>
      <c r="TGD33" s="51"/>
      <c r="TGF33" s="51"/>
      <c r="TGG33" s="51"/>
      <c r="TGI33" s="51"/>
      <c r="TGL33" s="51"/>
      <c r="TGN33" s="51"/>
      <c r="TGO33" s="51"/>
      <c r="TGQ33" s="51"/>
      <c r="TGT33" s="51"/>
      <c r="TGV33" s="51"/>
      <c r="TGW33" s="51"/>
      <c r="TGY33" s="51"/>
      <c r="THB33" s="51"/>
      <c r="THD33" s="51"/>
      <c r="THE33" s="51"/>
      <c r="THG33" s="51"/>
      <c r="THJ33" s="51"/>
      <c r="THL33" s="51"/>
      <c r="THM33" s="51"/>
      <c r="THO33" s="51"/>
      <c r="THR33" s="51"/>
      <c r="THT33" s="51"/>
      <c r="THU33" s="51"/>
      <c r="THW33" s="51"/>
      <c r="THZ33" s="51"/>
      <c r="TIB33" s="51"/>
      <c r="TIC33" s="51"/>
      <c r="TIE33" s="51"/>
      <c r="TIH33" s="51"/>
      <c r="TIJ33" s="51"/>
      <c r="TIK33" s="51"/>
      <c r="TIM33" s="51"/>
      <c r="TIP33" s="51"/>
      <c r="TIR33" s="51"/>
      <c r="TIS33" s="51"/>
      <c r="TIU33" s="51"/>
      <c r="TIX33" s="51"/>
      <c r="TIZ33" s="51"/>
      <c r="TJA33" s="51"/>
      <c r="TJC33" s="51"/>
      <c r="TJF33" s="51"/>
      <c r="TJH33" s="51"/>
      <c r="TJI33" s="51"/>
      <c r="TJK33" s="51"/>
      <c r="TJN33" s="51"/>
      <c r="TJP33" s="51"/>
      <c r="TJQ33" s="51"/>
      <c r="TJS33" s="51"/>
      <c r="TJV33" s="51"/>
      <c r="TJX33" s="51"/>
      <c r="TJY33" s="51"/>
      <c r="TKA33" s="51"/>
      <c r="TKD33" s="51"/>
      <c r="TKF33" s="51"/>
      <c r="TKG33" s="51"/>
      <c r="TKI33" s="51"/>
      <c r="TKL33" s="51"/>
      <c r="TKN33" s="51"/>
      <c r="TKO33" s="51"/>
      <c r="TKQ33" s="51"/>
      <c r="TKT33" s="51"/>
      <c r="TKV33" s="51"/>
      <c r="TKW33" s="51"/>
      <c r="TKY33" s="51"/>
      <c r="TLB33" s="51"/>
      <c r="TLD33" s="51"/>
      <c r="TLE33" s="51"/>
      <c r="TLG33" s="51"/>
      <c r="TLJ33" s="51"/>
      <c r="TLL33" s="51"/>
      <c r="TLM33" s="51"/>
      <c r="TLO33" s="51"/>
      <c r="TLR33" s="51"/>
      <c r="TLT33" s="51"/>
      <c r="TLU33" s="51"/>
      <c r="TLW33" s="51"/>
      <c r="TLZ33" s="51"/>
      <c r="TMB33" s="51"/>
      <c r="TMC33" s="51"/>
      <c r="TME33" s="51"/>
      <c r="TMH33" s="51"/>
      <c r="TMJ33" s="51"/>
      <c r="TMK33" s="51"/>
      <c r="TMM33" s="51"/>
      <c r="TMP33" s="51"/>
      <c r="TMR33" s="51"/>
      <c r="TMS33" s="51"/>
      <c r="TMU33" s="51"/>
      <c r="TMX33" s="51"/>
      <c r="TMZ33" s="51"/>
      <c r="TNA33" s="51"/>
      <c r="TNC33" s="51"/>
      <c r="TNF33" s="51"/>
      <c r="TNH33" s="51"/>
      <c r="TNI33" s="51"/>
      <c r="TNK33" s="51"/>
      <c r="TNN33" s="51"/>
      <c r="TNP33" s="51"/>
      <c r="TNQ33" s="51"/>
      <c r="TNS33" s="51"/>
      <c r="TNV33" s="51"/>
      <c r="TNX33" s="51"/>
      <c r="TNY33" s="51"/>
      <c r="TOA33" s="51"/>
      <c r="TOD33" s="51"/>
      <c r="TOF33" s="51"/>
      <c r="TOG33" s="51"/>
      <c r="TOI33" s="51"/>
      <c r="TOL33" s="51"/>
      <c r="TON33" s="51"/>
      <c r="TOO33" s="51"/>
      <c r="TOQ33" s="51"/>
      <c r="TOT33" s="51"/>
      <c r="TOV33" s="51"/>
      <c r="TOW33" s="51"/>
      <c r="TOY33" s="51"/>
      <c r="TPB33" s="51"/>
      <c r="TPD33" s="51"/>
      <c r="TPE33" s="51"/>
      <c r="TPG33" s="51"/>
      <c r="TPJ33" s="51"/>
      <c r="TPL33" s="51"/>
      <c r="TPM33" s="51"/>
      <c r="TPO33" s="51"/>
      <c r="TPR33" s="51"/>
      <c r="TPT33" s="51"/>
      <c r="TPU33" s="51"/>
      <c r="TPW33" s="51"/>
      <c r="TPZ33" s="51"/>
      <c r="TQB33" s="51"/>
      <c r="TQC33" s="51"/>
      <c r="TQE33" s="51"/>
      <c r="TQH33" s="51"/>
      <c r="TQJ33" s="51"/>
      <c r="TQK33" s="51"/>
      <c r="TQM33" s="51"/>
      <c r="TQP33" s="51"/>
      <c r="TQR33" s="51"/>
      <c r="TQS33" s="51"/>
      <c r="TQU33" s="51"/>
      <c r="TQX33" s="51"/>
      <c r="TQZ33" s="51"/>
      <c r="TRA33" s="51"/>
      <c r="TRC33" s="51"/>
      <c r="TRF33" s="51"/>
      <c r="TRH33" s="51"/>
      <c r="TRI33" s="51"/>
      <c r="TRK33" s="51"/>
      <c r="TRN33" s="51"/>
      <c r="TRP33" s="51"/>
      <c r="TRQ33" s="51"/>
      <c r="TRS33" s="51"/>
      <c r="TRV33" s="51"/>
      <c r="TRX33" s="51"/>
      <c r="TRY33" s="51"/>
      <c r="TSA33" s="51"/>
      <c r="TSD33" s="51"/>
      <c r="TSF33" s="51"/>
      <c r="TSG33" s="51"/>
      <c r="TSI33" s="51"/>
      <c r="TSL33" s="51"/>
      <c r="TSN33" s="51"/>
      <c r="TSO33" s="51"/>
      <c r="TSQ33" s="51"/>
      <c r="TST33" s="51"/>
      <c r="TSV33" s="51"/>
      <c r="TSW33" s="51"/>
      <c r="TSY33" s="51"/>
      <c r="TTB33" s="51"/>
      <c r="TTD33" s="51"/>
      <c r="TTE33" s="51"/>
      <c r="TTG33" s="51"/>
      <c r="TTJ33" s="51"/>
      <c r="TTL33" s="51"/>
      <c r="TTM33" s="51"/>
      <c r="TTO33" s="51"/>
      <c r="TTR33" s="51"/>
      <c r="TTT33" s="51"/>
      <c r="TTU33" s="51"/>
      <c r="TTW33" s="51"/>
      <c r="TTZ33" s="51"/>
      <c r="TUB33" s="51"/>
      <c r="TUC33" s="51"/>
      <c r="TUE33" s="51"/>
      <c r="TUH33" s="51"/>
      <c r="TUJ33" s="51"/>
      <c r="TUK33" s="51"/>
      <c r="TUM33" s="51"/>
      <c r="TUP33" s="51"/>
      <c r="TUR33" s="51"/>
      <c r="TUS33" s="51"/>
      <c r="TUU33" s="51"/>
      <c r="TUX33" s="51"/>
      <c r="TUZ33" s="51"/>
      <c r="TVA33" s="51"/>
      <c r="TVC33" s="51"/>
      <c r="TVF33" s="51"/>
      <c r="TVH33" s="51"/>
      <c r="TVI33" s="51"/>
      <c r="TVK33" s="51"/>
      <c r="TVN33" s="51"/>
      <c r="TVP33" s="51"/>
      <c r="TVQ33" s="51"/>
      <c r="TVS33" s="51"/>
      <c r="TVV33" s="51"/>
      <c r="TVX33" s="51"/>
      <c r="TVY33" s="51"/>
      <c r="TWA33" s="51"/>
      <c r="TWD33" s="51"/>
      <c r="TWF33" s="51"/>
      <c r="TWG33" s="51"/>
      <c r="TWI33" s="51"/>
      <c r="TWL33" s="51"/>
      <c r="TWN33" s="51"/>
      <c r="TWO33" s="51"/>
      <c r="TWQ33" s="51"/>
      <c r="TWT33" s="51"/>
      <c r="TWV33" s="51"/>
      <c r="TWW33" s="51"/>
      <c r="TWY33" s="51"/>
      <c r="TXB33" s="51"/>
      <c r="TXD33" s="51"/>
      <c r="TXE33" s="51"/>
      <c r="TXG33" s="51"/>
      <c r="TXJ33" s="51"/>
      <c r="TXL33" s="51"/>
      <c r="TXM33" s="51"/>
      <c r="TXO33" s="51"/>
      <c r="TXR33" s="51"/>
      <c r="TXT33" s="51"/>
      <c r="TXU33" s="51"/>
      <c r="TXW33" s="51"/>
      <c r="TXZ33" s="51"/>
      <c r="TYB33" s="51"/>
      <c r="TYC33" s="51"/>
      <c r="TYE33" s="51"/>
      <c r="TYH33" s="51"/>
      <c r="TYJ33" s="51"/>
      <c r="TYK33" s="51"/>
      <c r="TYM33" s="51"/>
      <c r="TYP33" s="51"/>
      <c r="TYR33" s="51"/>
      <c r="TYS33" s="51"/>
      <c r="TYU33" s="51"/>
      <c r="TYX33" s="51"/>
      <c r="TYZ33" s="51"/>
      <c r="TZA33" s="51"/>
      <c r="TZC33" s="51"/>
      <c r="TZF33" s="51"/>
      <c r="TZH33" s="51"/>
      <c r="TZI33" s="51"/>
      <c r="TZK33" s="51"/>
      <c r="TZN33" s="51"/>
      <c r="TZP33" s="51"/>
      <c r="TZQ33" s="51"/>
      <c r="TZS33" s="51"/>
      <c r="TZV33" s="51"/>
      <c r="TZX33" s="51"/>
      <c r="TZY33" s="51"/>
      <c r="UAA33" s="51"/>
      <c r="UAD33" s="51"/>
      <c r="UAF33" s="51"/>
      <c r="UAG33" s="51"/>
      <c r="UAI33" s="51"/>
      <c r="UAL33" s="51"/>
      <c r="UAN33" s="51"/>
      <c r="UAO33" s="51"/>
      <c r="UAQ33" s="51"/>
      <c r="UAT33" s="51"/>
      <c r="UAV33" s="51"/>
      <c r="UAW33" s="51"/>
      <c r="UAY33" s="51"/>
      <c r="UBB33" s="51"/>
      <c r="UBD33" s="51"/>
      <c r="UBE33" s="51"/>
      <c r="UBG33" s="51"/>
      <c r="UBJ33" s="51"/>
      <c r="UBL33" s="51"/>
      <c r="UBM33" s="51"/>
      <c r="UBO33" s="51"/>
      <c r="UBR33" s="51"/>
      <c r="UBT33" s="51"/>
      <c r="UBU33" s="51"/>
      <c r="UBW33" s="51"/>
      <c r="UBZ33" s="51"/>
      <c r="UCB33" s="51"/>
      <c r="UCC33" s="51"/>
      <c r="UCE33" s="51"/>
      <c r="UCH33" s="51"/>
      <c r="UCJ33" s="51"/>
      <c r="UCK33" s="51"/>
      <c r="UCM33" s="51"/>
      <c r="UCP33" s="51"/>
      <c r="UCR33" s="51"/>
      <c r="UCS33" s="51"/>
      <c r="UCU33" s="51"/>
      <c r="UCX33" s="51"/>
      <c r="UCZ33" s="51"/>
      <c r="UDA33" s="51"/>
      <c r="UDC33" s="51"/>
      <c r="UDF33" s="51"/>
      <c r="UDH33" s="51"/>
      <c r="UDI33" s="51"/>
      <c r="UDK33" s="51"/>
      <c r="UDN33" s="51"/>
      <c r="UDP33" s="51"/>
      <c r="UDQ33" s="51"/>
      <c r="UDS33" s="51"/>
      <c r="UDV33" s="51"/>
      <c r="UDX33" s="51"/>
      <c r="UDY33" s="51"/>
      <c r="UEA33" s="51"/>
      <c r="UED33" s="51"/>
      <c r="UEF33" s="51"/>
      <c r="UEG33" s="51"/>
      <c r="UEI33" s="51"/>
      <c r="UEL33" s="51"/>
      <c r="UEN33" s="51"/>
      <c r="UEO33" s="51"/>
      <c r="UEQ33" s="51"/>
      <c r="UET33" s="51"/>
      <c r="UEV33" s="51"/>
      <c r="UEW33" s="51"/>
      <c r="UEY33" s="51"/>
      <c r="UFB33" s="51"/>
      <c r="UFD33" s="51"/>
      <c r="UFE33" s="51"/>
      <c r="UFG33" s="51"/>
      <c r="UFJ33" s="51"/>
      <c r="UFL33" s="51"/>
      <c r="UFM33" s="51"/>
      <c r="UFO33" s="51"/>
      <c r="UFR33" s="51"/>
      <c r="UFT33" s="51"/>
      <c r="UFU33" s="51"/>
      <c r="UFW33" s="51"/>
      <c r="UFZ33" s="51"/>
      <c r="UGB33" s="51"/>
      <c r="UGC33" s="51"/>
      <c r="UGE33" s="51"/>
      <c r="UGH33" s="51"/>
      <c r="UGJ33" s="51"/>
      <c r="UGK33" s="51"/>
      <c r="UGM33" s="51"/>
      <c r="UGP33" s="51"/>
      <c r="UGR33" s="51"/>
      <c r="UGS33" s="51"/>
      <c r="UGU33" s="51"/>
      <c r="UGX33" s="51"/>
      <c r="UGZ33" s="51"/>
      <c r="UHA33" s="51"/>
      <c r="UHC33" s="51"/>
      <c r="UHF33" s="51"/>
      <c r="UHH33" s="51"/>
      <c r="UHI33" s="51"/>
      <c r="UHK33" s="51"/>
      <c r="UHN33" s="51"/>
      <c r="UHP33" s="51"/>
      <c r="UHQ33" s="51"/>
      <c r="UHS33" s="51"/>
      <c r="UHV33" s="51"/>
      <c r="UHX33" s="51"/>
      <c r="UHY33" s="51"/>
      <c r="UIA33" s="51"/>
      <c r="UID33" s="51"/>
      <c r="UIF33" s="51"/>
      <c r="UIG33" s="51"/>
      <c r="UII33" s="51"/>
      <c r="UIL33" s="51"/>
      <c r="UIN33" s="51"/>
      <c r="UIO33" s="51"/>
      <c r="UIQ33" s="51"/>
      <c r="UIT33" s="51"/>
      <c r="UIV33" s="51"/>
      <c r="UIW33" s="51"/>
      <c r="UIY33" s="51"/>
      <c r="UJB33" s="51"/>
      <c r="UJD33" s="51"/>
      <c r="UJE33" s="51"/>
      <c r="UJG33" s="51"/>
      <c r="UJJ33" s="51"/>
      <c r="UJL33" s="51"/>
      <c r="UJM33" s="51"/>
      <c r="UJO33" s="51"/>
      <c r="UJR33" s="51"/>
      <c r="UJT33" s="51"/>
      <c r="UJU33" s="51"/>
      <c r="UJW33" s="51"/>
      <c r="UJZ33" s="51"/>
      <c r="UKB33" s="51"/>
      <c r="UKC33" s="51"/>
      <c r="UKE33" s="51"/>
      <c r="UKH33" s="51"/>
      <c r="UKJ33" s="51"/>
      <c r="UKK33" s="51"/>
      <c r="UKM33" s="51"/>
      <c r="UKP33" s="51"/>
      <c r="UKR33" s="51"/>
      <c r="UKS33" s="51"/>
      <c r="UKU33" s="51"/>
      <c r="UKX33" s="51"/>
      <c r="UKZ33" s="51"/>
      <c r="ULA33" s="51"/>
      <c r="ULC33" s="51"/>
      <c r="ULF33" s="51"/>
      <c r="ULH33" s="51"/>
      <c r="ULI33" s="51"/>
      <c r="ULK33" s="51"/>
      <c r="ULN33" s="51"/>
      <c r="ULP33" s="51"/>
      <c r="ULQ33" s="51"/>
      <c r="ULS33" s="51"/>
      <c r="ULV33" s="51"/>
      <c r="ULX33" s="51"/>
      <c r="ULY33" s="51"/>
      <c r="UMA33" s="51"/>
      <c r="UMD33" s="51"/>
      <c r="UMF33" s="51"/>
      <c r="UMG33" s="51"/>
      <c r="UMI33" s="51"/>
      <c r="UML33" s="51"/>
      <c r="UMN33" s="51"/>
      <c r="UMO33" s="51"/>
      <c r="UMQ33" s="51"/>
      <c r="UMT33" s="51"/>
      <c r="UMV33" s="51"/>
      <c r="UMW33" s="51"/>
      <c r="UMY33" s="51"/>
      <c r="UNB33" s="51"/>
      <c r="UND33" s="51"/>
      <c r="UNE33" s="51"/>
      <c r="UNG33" s="51"/>
      <c r="UNJ33" s="51"/>
      <c r="UNL33" s="51"/>
      <c r="UNM33" s="51"/>
      <c r="UNO33" s="51"/>
      <c r="UNR33" s="51"/>
      <c r="UNT33" s="51"/>
      <c r="UNU33" s="51"/>
      <c r="UNW33" s="51"/>
      <c r="UNZ33" s="51"/>
      <c r="UOB33" s="51"/>
      <c r="UOC33" s="51"/>
      <c r="UOE33" s="51"/>
      <c r="UOH33" s="51"/>
      <c r="UOJ33" s="51"/>
      <c r="UOK33" s="51"/>
      <c r="UOM33" s="51"/>
      <c r="UOP33" s="51"/>
      <c r="UOR33" s="51"/>
      <c r="UOS33" s="51"/>
      <c r="UOU33" s="51"/>
      <c r="UOX33" s="51"/>
      <c r="UOZ33" s="51"/>
      <c r="UPA33" s="51"/>
      <c r="UPC33" s="51"/>
      <c r="UPF33" s="51"/>
      <c r="UPH33" s="51"/>
      <c r="UPI33" s="51"/>
      <c r="UPK33" s="51"/>
      <c r="UPN33" s="51"/>
      <c r="UPP33" s="51"/>
      <c r="UPQ33" s="51"/>
      <c r="UPS33" s="51"/>
      <c r="UPV33" s="51"/>
      <c r="UPX33" s="51"/>
      <c r="UPY33" s="51"/>
      <c r="UQA33" s="51"/>
      <c r="UQD33" s="51"/>
      <c r="UQF33" s="51"/>
      <c r="UQG33" s="51"/>
      <c r="UQI33" s="51"/>
      <c r="UQL33" s="51"/>
      <c r="UQN33" s="51"/>
      <c r="UQO33" s="51"/>
      <c r="UQQ33" s="51"/>
      <c r="UQT33" s="51"/>
      <c r="UQV33" s="51"/>
      <c r="UQW33" s="51"/>
      <c r="UQY33" s="51"/>
      <c r="URB33" s="51"/>
      <c r="URD33" s="51"/>
      <c r="URE33" s="51"/>
      <c r="URG33" s="51"/>
      <c r="URJ33" s="51"/>
      <c r="URL33" s="51"/>
      <c r="URM33" s="51"/>
      <c r="URO33" s="51"/>
      <c r="URR33" s="51"/>
      <c r="URT33" s="51"/>
      <c r="URU33" s="51"/>
      <c r="URW33" s="51"/>
      <c r="URZ33" s="51"/>
      <c r="USB33" s="51"/>
      <c r="USC33" s="51"/>
      <c r="USE33" s="51"/>
      <c r="USH33" s="51"/>
      <c r="USJ33" s="51"/>
      <c r="USK33" s="51"/>
      <c r="USM33" s="51"/>
      <c r="USP33" s="51"/>
      <c r="USR33" s="51"/>
      <c r="USS33" s="51"/>
      <c r="USU33" s="51"/>
      <c r="USX33" s="51"/>
      <c r="USZ33" s="51"/>
      <c r="UTA33" s="51"/>
      <c r="UTC33" s="51"/>
      <c r="UTF33" s="51"/>
      <c r="UTH33" s="51"/>
      <c r="UTI33" s="51"/>
      <c r="UTK33" s="51"/>
      <c r="UTN33" s="51"/>
      <c r="UTP33" s="51"/>
      <c r="UTQ33" s="51"/>
      <c r="UTS33" s="51"/>
      <c r="UTV33" s="51"/>
      <c r="UTX33" s="51"/>
      <c r="UTY33" s="51"/>
      <c r="UUA33" s="51"/>
      <c r="UUD33" s="51"/>
      <c r="UUF33" s="51"/>
      <c r="UUG33" s="51"/>
      <c r="UUI33" s="51"/>
      <c r="UUL33" s="51"/>
      <c r="UUN33" s="51"/>
      <c r="UUO33" s="51"/>
      <c r="UUQ33" s="51"/>
      <c r="UUT33" s="51"/>
      <c r="UUV33" s="51"/>
      <c r="UUW33" s="51"/>
      <c r="UUY33" s="51"/>
      <c r="UVB33" s="51"/>
      <c r="UVD33" s="51"/>
      <c r="UVE33" s="51"/>
      <c r="UVG33" s="51"/>
      <c r="UVJ33" s="51"/>
      <c r="UVL33" s="51"/>
      <c r="UVM33" s="51"/>
      <c r="UVO33" s="51"/>
      <c r="UVR33" s="51"/>
      <c r="UVT33" s="51"/>
      <c r="UVU33" s="51"/>
      <c r="UVW33" s="51"/>
      <c r="UVZ33" s="51"/>
      <c r="UWB33" s="51"/>
      <c r="UWC33" s="51"/>
      <c r="UWE33" s="51"/>
      <c r="UWH33" s="51"/>
      <c r="UWJ33" s="51"/>
      <c r="UWK33" s="51"/>
      <c r="UWM33" s="51"/>
      <c r="UWP33" s="51"/>
      <c r="UWR33" s="51"/>
      <c r="UWS33" s="51"/>
      <c r="UWU33" s="51"/>
      <c r="UWX33" s="51"/>
      <c r="UWZ33" s="51"/>
      <c r="UXA33" s="51"/>
      <c r="UXC33" s="51"/>
      <c r="UXF33" s="51"/>
      <c r="UXH33" s="51"/>
      <c r="UXI33" s="51"/>
      <c r="UXK33" s="51"/>
      <c r="UXN33" s="51"/>
      <c r="UXP33" s="51"/>
      <c r="UXQ33" s="51"/>
      <c r="UXS33" s="51"/>
      <c r="UXV33" s="51"/>
      <c r="UXX33" s="51"/>
      <c r="UXY33" s="51"/>
      <c r="UYA33" s="51"/>
      <c r="UYD33" s="51"/>
      <c r="UYF33" s="51"/>
      <c r="UYG33" s="51"/>
      <c r="UYI33" s="51"/>
      <c r="UYL33" s="51"/>
      <c r="UYN33" s="51"/>
      <c r="UYO33" s="51"/>
      <c r="UYQ33" s="51"/>
      <c r="UYT33" s="51"/>
      <c r="UYV33" s="51"/>
      <c r="UYW33" s="51"/>
      <c r="UYY33" s="51"/>
      <c r="UZB33" s="51"/>
      <c r="UZD33" s="51"/>
      <c r="UZE33" s="51"/>
      <c r="UZG33" s="51"/>
      <c r="UZJ33" s="51"/>
      <c r="UZL33" s="51"/>
      <c r="UZM33" s="51"/>
      <c r="UZO33" s="51"/>
      <c r="UZR33" s="51"/>
      <c r="UZT33" s="51"/>
      <c r="UZU33" s="51"/>
      <c r="UZW33" s="51"/>
      <c r="UZZ33" s="51"/>
      <c r="VAB33" s="51"/>
      <c r="VAC33" s="51"/>
      <c r="VAE33" s="51"/>
      <c r="VAH33" s="51"/>
      <c r="VAJ33" s="51"/>
      <c r="VAK33" s="51"/>
      <c r="VAM33" s="51"/>
      <c r="VAP33" s="51"/>
      <c r="VAR33" s="51"/>
      <c r="VAS33" s="51"/>
      <c r="VAU33" s="51"/>
      <c r="VAX33" s="51"/>
      <c r="VAZ33" s="51"/>
      <c r="VBA33" s="51"/>
      <c r="VBC33" s="51"/>
      <c r="VBF33" s="51"/>
      <c r="VBH33" s="51"/>
      <c r="VBI33" s="51"/>
      <c r="VBK33" s="51"/>
      <c r="VBN33" s="51"/>
      <c r="VBP33" s="51"/>
      <c r="VBQ33" s="51"/>
      <c r="VBS33" s="51"/>
      <c r="VBV33" s="51"/>
      <c r="VBX33" s="51"/>
      <c r="VBY33" s="51"/>
      <c r="VCA33" s="51"/>
      <c r="VCD33" s="51"/>
      <c r="VCF33" s="51"/>
      <c r="VCG33" s="51"/>
      <c r="VCI33" s="51"/>
      <c r="VCL33" s="51"/>
      <c r="VCN33" s="51"/>
      <c r="VCO33" s="51"/>
      <c r="VCQ33" s="51"/>
      <c r="VCT33" s="51"/>
      <c r="VCV33" s="51"/>
      <c r="VCW33" s="51"/>
      <c r="VCY33" s="51"/>
      <c r="VDB33" s="51"/>
      <c r="VDD33" s="51"/>
      <c r="VDE33" s="51"/>
      <c r="VDG33" s="51"/>
      <c r="VDJ33" s="51"/>
      <c r="VDL33" s="51"/>
      <c r="VDM33" s="51"/>
      <c r="VDO33" s="51"/>
      <c r="VDR33" s="51"/>
      <c r="VDT33" s="51"/>
      <c r="VDU33" s="51"/>
      <c r="VDW33" s="51"/>
      <c r="VDZ33" s="51"/>
      <c r="VEB33" s="51"/>
      <c r="VEC33" s="51"/>
      <c r="VEE33" s="51"/>
      <c r="VEH33" s="51"/>
      <c r="VEJ33" s="51"/>
      <c r="VEK33" s="51"/>
      <c r="VEM33" s="51"/>
      <c r="VEP33" s="51"/>
      <c r="VER33" s="51"/>
      <c r="VES33" s="51"/>
      <c r="VEU33" s="51"/>
      <c r="VEX33" s="51"/>
      <c r="VEZ33" s="51"/>
      <c r="VFA33" s="51"/>
      <c r="VFC33" s="51"/>
      <c r="VFF33" s="51"/>
      <c r="VFH33" s="51"/>
      <c r="VFI33" s="51"/>
      <c r="VFK33" s="51"/>
      <c r="VFN33" s="51"/>
      <c r="VFP33" s="51"/>
      <c r="VFQ33" s="51"/>
      <c r="VFS33" s="51"/>
      <c r="VFV33" s="51"/>
      <c r="VFX33" s="51"/>
      <c r="VFY33" s="51"/>
      <c r="VGA33" s="51"/>
      <c r="VGD33" s="51"/>
      <c r="VGF33" s="51"/>
      <c r="VGG33" s="51"/>
      <c r="VGI33" s="51"/>
      <c r="VGL33" s="51"/>
      <c r="VGN33" s="51"/>
      <c r="VGO33" s="51"/>
      <c r="VGQ33" s="51"/>
      <c r="VGT33" s="51"/>
      <c r="VGV33" s="51"/>
      <c r="VGW33" s="51"/>
      <c r="VGY33" s="51"/>
      <c r="VHB33" s="51"/>
      <c r="VHD33" s="51"/>
      <c r="VHE33" s="51"/>
      <c r="VHG33" s="51"/>
      <c r="VHJ33" s="51"/>
      <c r="VHL33" s="51"/>
      <c r="VHM33" s="51"/>
      <c r="VHO33" s="51"/>
      <c r="VHR33" s="51"/>
      <c r="VHT33" s="51"/>
      <c r="VHU33" s="51"/>
      <c r="VHW33" s="51"/>
      <c r="VHZ33" s="51"/>
      <c r="VIB33" s="51"/>
      <c r="VIC33" s="51"/>
      <c r="VIE33" s="51"/>
      <c r="VIH33" s="51"/>
      <c r="VIJ33" s="51"/>
      <c r="VIK33" s="51"/>
      <c r="VIM33" s="51"/>
      <c r="VIP33" s="51"/>
      <c r="VIR33" s="51"/>
      <c r="VIS33" s="51"/>
      <c r="VIU33" s="51"/>
      <c r="VIX33" s="51"/>
      <c r="VIZ33" s="51"/>
      <c r="VJA33" s="51"/>
      <c r="VJC33" s="51"/>
      <c r="VJF33" s="51"/>
      <c r="VJH33" s="51"/>
      <c r="VJI33" s="51"/>
      <c r="VJK33" s="51"/>
      <c r="VJN33" s="51"/>
      <c r="VJP33" s="51"/>
      <c r="VJQ33" s="51"/>
      <c r="VJS33" s="51"/>
      <c r="VJV33" s="51"/>
      <c r="VJX33" s="51"/>
      <c r="VJY33" s="51"/>
      <c r="VKA33" s="51"/>
      <c r="VKD33" s="51"/>
      <c r="VKF33" s="51"/>
      <c r="VKG33" s="51"/>
      <c r="VKI33" s="51"/>
      <c r="VKL33" s="51"/>
      <c r="VKN33" s="51"/>
      <c r="VKO33" s="51"/>
      <c r="VKQ33" s="51"/>
      <c r="VKT33" s="51"/>
      <c r="VKV33" s="51"/>
      <c r="VKW33" s="51"/>
      <c r="VKY33" s="51"/>
      <c r="VLB33" s="51"/>
      <c r="VLD33" s="51"/>
      <c r="VLE33" s="51"/>
      <c r="VLG33" s="51"/>
      <c r="VLJ33" s="51"/>
      <c r="VLL33" s="51"/>
      <c r="VLM33" s="51"/>
      <c r="VLO33" s="51"/>
      <c r="VLR33" s="51"/>
      <c r="VLT33" s="51"/>
      <c r="VLU33" s="51"/>
      <c r="VLW33" s="51"/>
      <c r="VLZ33" s="51"/>
      <c r="VMB33" s="51"/>
      <c r="VMC33" s="51"/>
      <c r="VME33" s="51"/>
      <c r="VMH33" s="51"/>
      <c r="VMJ33" s="51"/>
      <c r="VMK33" s="51"/>
      <c r="VMM33" s="51"/>
      <c r="VMP33" s="51"/>
      <c r="VMR33" s="51"/>
      <c r="VMS33" s="51"/>
      <c r="VMU33" s="51"/>
      <c r="VMX33" s="51"/>
      <c r="VMZ33" s="51"/>
      <c r="VNA33" s="51"/>
      <c r="VNC33" s="51"/>
      <c r="VNF33" s="51"/>
      <c r="VNH33" s="51"/>
      <c r="VNI33" s="51"/>
      <c r="VNK33" s="51"/>
      <c r="VNN33" s="51"/>
      <c r="VNP33" s="51"/>
      <c r="VNQ33" s="51"/>
      <c r="VNS33" s="51"/>
      <c r="VNV33" s="51"/>
      <c r="VNX33" s="51"/>
      <c r="VNY33" s="51"/>
      <c r="VOA33" s="51"/>
      <c r="VOD33" s="51"/>
      <c r="VOF33" s="51"/>
      <c r="VOG33" s="51"/>
      <c r="VOI33" s="51"/>
      <c r="VOL33" s="51"/>
      <c r="VON33" s="51"/>
      <c r="VOO33" s="51"/>
      <c r="VOQ33" s="51"/>
      <c r="VOT33" s="51"/>
      <c r="VOV33" s="51"/>
      <c r="VOW33" s="51"/>
      <c r="VOY33" s="51"/>
      <c r="VPB33" s="51"/>
      <c r="VPD33" s="51"/>
      <c r="VPE33" s="51"/>
      <c r="VPG33" s="51"/>
      <c r="VPJ33" s="51"/>
      <c r="VPL33" s="51"/>
      <c r="VPM33" s="51"/>
      <c r="VPO33" s="51"/>
      <c r="VPR33" s="51"/>
      <c r="VPT33" s="51"/>
      <c r="VPU33" s="51"/>
      <c r="VPW33" s="51"/>
      <c r="VPZ33" s="51"/>
      <c r="VQB33" s="51"/>
      <c r="VQC33" s="51"/>
      <c r="VQE33" s="51"/>
      <c r="VQH33" s="51"/>
      <c r="VQJ33" s="51"/>
      <c r="VQK33" s="51"/>
      <c r="VQM33" s="51"/>
      <c r="VQP33" s="51"/>
      <c r="VQR33" s="51"/>
      <c r="VQS33" s="51"/>
      <c r="VQU33" s="51"/>
      <c r="VQX33" s="51"/>
      <c r="VQZ33" s="51"/>
      <c r="VRA33" s="51"/>
      <c r="VRC33" s="51"/>
      <c r="VRF33" s="51"/>
      <c r="VRH33" s="51"/>
      <c r="VRI33" s="51"/>
      <c r="VRK33" s="51"/>
      <c r="VRN33" s="51"/>
      <c r="VRP33" s="51"/>
      <c r="VRQ33" s="51"/>
      <c r="VRS33" s="51"/>
      <c r="VRV33" s="51"/>
      <c r="VRX33" s="51"/>
      <c r="VRY33" s="51"/>
      <c r="VSA33" s="51"/>
      <c r="VSD33" s="51"/>
      <c r="VSF33" s="51"/>
      <c r="VSG33" s="51"/>
      <c r="VSI33" s="51"/>
      <c r="VSL33" s="51"/>
      <c r="VSN33" s="51"/>
      <c r="VSO33" s="51"/>
      <c r="VSQ33" s="51"/>
      <c r="VST33" s="51"/>
      <c r="VSV33" s="51"/>
      <c r="VSW33" s="51"/>
      <c r="VSY33" s="51"/>
      <c r="VTB33" s="51"/>
      <c r="VTD33" s="51"/>
      <c r="VTE33" s="51"/>
      <c r="VTG33" s="51"/>
      <c r="VTJ33" s="51"/>
      <c r="VTL33" s="51"/>
      <c r="VTM33" s="51"/>
      <c r="VTO33" s="51"/>
      <c r="VTR33" s="51"/>
      <c r="VTT33" s="51"/>
      <c r="VTU33" s="51"/>
      <c r="VTW33" s="51"/>
      <c r="VTZ33" s="51"/>
      <c r="VUB33" s="51"/>
      <c r="VUC33" s="51"/>
      <c r="VUE33" s="51"/>
      <c r="VUH33" s="51"/>
      <c r="VUJ33" s="51"/>
      <c r="VUK33" s="51"/>
      <c r="VUM33" s="51"/>
      <c r="VUP33" s="51"/>
      <c r="VUR33" s="51"/>
      <c r="VUS33" s="51"/>
      <c r="VUU33" s="51"/>
      <c r="VUX33" s="51"/>
      <c r="VUZ33" s="51"/>
      <c r="VVA33" s="51"/>
      <c r="VVC33" s="51"/>
      <c r="VVF33" s="51"/>
      <c r="VVH33" s="51"/>
      <c r="VVI33" s="51"/>
      <c r="VVK33" s="51"/>
      <c r="VVN33" s="51"/>
      <c r="VVP33" s="51"/>
      <c r="VVQ33" s="51"/>
      <c r="VVS33" s="51"/>
      <c r="VVV33" s="51"/>
      <c r="VVX33" s="51"/>
      <c r="VVY33" s="51"/>
      <c r="VWA33" s="51"/>
      <c r="VWD33" s="51"/>
      <c r="VWF33" s="51"/>
      <c r="VWG33" s="51"/>
      <c r="VWI33" s="51"/>
      <c r="VWL33" s="51"/>
      <c r="VWN33" s="51"/>
      <c r="VWO33" s="51"/>
      <c r="VWQ33" s="51"/>
      <c r="VWT33" s="51"/>
      <c r="VWV33" s="51"/>
      <c r="VWW33" s="51"/>
      <c r="VWY33" s="51"/>
      <c r="VXB33" s="51"/>
      <c r="VXD33" s="51"/>
      <c r="VXE33" s="51"/>
      <c r="VXG33" s="51"/>
      <c r="VXJ33" s="51"/>
      <c r="VXL33" s="51"/>
      <c r="VXM33" s="51"/>
      <c r="VXO33" s="51"/>
      <c r="VXR33" s="51"/>
      <c r="VXT33" s="51"/>
      <c r="VXU33" s="51"/>
      <c r="VXW33" s="51"/>
      <c r="VXZ33" s="51"/>
      <c r="VYB33" s="51"/>
      <c r="VYC33" s="51"/>
      <c r="VYE33" s="51"/>
      <c r="VYH33" s="51"/>
      <c r="VYJ33" s="51"/>
      <c r="VYK33" s="51"/>
      <c r="VYM33" s="51"/>
      <c r="VYP33" s="51"/>
      <c r="VYR33" s="51"/>
      <c r="VYS33" s="51"/>
      <c r="VYU33" s="51"/>
      <c r="VYX33" s="51"/>
      <c r="VYZ33" s="51"/>
      <c r="VZA33" s="51"/>
      <c r="VZC33" s="51"/>
      <c r="VZF33" s="51"/>
      <c r="VZH33" s="51"/>
      <c r="VZI33" s="51"/>
      <c r="VZK33" s="51"/>
      <c r="VZN33" s="51"/>
      <c r="VZP33" s="51"/>
      <c r="VZQ33" s="51"/>
      <c r="VZS33" s="51"/>
      <c r="VZV33" s="51"/>
      <c r="VZX33" s="51"/>
      <c r="VZY33" s="51"/>
      <c r="WAA33" s="51"/>
      <c r="WAD33" s="51"/>
      <c r="WAF33" s="51"/>
      <c r="WAG33" s="51"/>
      <c r="WAI33" s="51"/>
      <c r="WAL33" s="51"/>
      <c r="WAN33" s="51"/>
      <c r="WAO33" s="51"/>
      <c r="WAQ33" s="51"/>
      <c r="WAT33" s="51"/>
      <c r="WAV33" s="51"/>
      <c r="WAW33" s="51"/>
      <c r="WAY33" s="51"/>
      <c r="WBB33" s="51"/>
      <c r="WBD33" s="51"/>
      <c r="WBE33" s="51"/>
      <c r="WBG33" s="51"/>
      <c r="WBJ33" s="51"/>
      <c r="WBL33" s="51"/>
      <c r="WBM33" s="51"/>
      <c r="WBO33" s="51"/>
      <c r="WBR33" s="51"/>
      <c r="WBT33" s="51"/>
      <c r="WBU33" s="51"/>
      <c r="WBW33" s="51"/>
      <c r="WBZ33" s="51"/>
      <c r="WCB33" s="51"/>
      <c r="WCC33" s="51"/>
      <c r="WCE33" s="51"/>
      <c r="WCH33" s="51"/>
      <c r="WCJ33" s="51"/>
      <c r="WCK33" s="51"/>
      <c r="WCM33" s="51"/>
      <c r="WCP33" s="51"/>
      <c r="WCR33" s="51"/>
      <c r="WCS33" s="51"/>
      <c r="WCU33" s="51"/>
      <c r="WCX33" s="51"/>
      <c r="WCZ33" s="51"/>
      <c r="WDA33" s="51"/>
      <c r="WDC33" s="51"/>
      <c r="WDF33" s="51"/>
      <c r="WDH33" s="51"/>
      <c r="WDI33" s="51"/>
      <c r="WDK33" s="51"/>
      <c r="WDN33" s="51"/>
      <c r="WDP33" s="51"/>
      <c r="WDQ33" s="51"/>
      <c r="WDS33" s="51"/>
      <c r="WDV33" s="51"/>
      <c r="WDX33" s="51"/>
      <c r="WDY33" s="51"/>
      <c r="WEA33" s="51"/>
      <c r="WED33" s="51"/>
      <c r="WEF33" s="51"/>
      <c r="WEG33" s="51"/>
      <c r="WEI33" s="51"/>
      <c r="WEL33" s="51"/>
      <c r="WEN33" s="51"/>
      <c r="WEO33" s="51"/>
      <c r="WEQ33" s="51"/>
      <c r="WET33" s="51"/>
      <c r="WEV33" s="51"/>
      <c r="WEW33" s="51"/>
      <c r="WEY33" s="51"/>
      <c r="WFB33" s="51"/>
      <c r="WFD33" s="51"/>
      <c r="WFE33" s="51"/>
      <c r="WFG33" s="51"/>
      <c r="WFJ33" s="51"/>
      <c r="WFL33" s="51"/>
      <c r="WFM33" s="51"/>
      <c r="WFO33" s="51"/>
      <c r="WFR33" s="51"/>
      <c r="WFT33" s="51"/>
      <c r="WFU33" s="51"/>
      <c r="WFW33" s="51"/>
      <c r="WFZ33" s="51"/>
      <c r="WGB33" s="51"/>
      <c r="WGC33" s="51"/>
      <c r="WGE33" s="51"/>
      <c r="WGH33" s="51"/>
      <c r="WGJ33" s="51"/>
      <c r="WGK33" s="51"/>
      <c r="WGM33" s="51"/>
      <c r="WGP33" s="51"/>
      <c r="WGR33" s="51"/>
      <c r="WGS33" s="51"/>
      <c r="WGU33" s="51"/>
      <c r="WGX33" s="51"/>
      <c r="WGZ33" s="51"/>
      <c r="WHA33" s="51"/>
      <c r="WHC33" s="51"/>
      <c r="WHF33" s="51"/>
      <c r="WHH33" s="51"/>
      <c r="WHI33" s="51"/>
      <c r="WHK33" s="51"/>
      <c r="WHN33" s="51"/>
      <c r="WHP33" s="51"/>
      <c r="WHQ33" s="51"/>
      <c r="WHS33" s="51"/>
      <c r="WHV33" s="51"/>
      <c r="WHX33" s="51"/>
      <c r="WHY33" s="51"/>
      <c r="WIA33" s="51"/>
      <c r="WID33" s="51"/>
      <c r="WIF33" s="51"/>
      <c r="WIG33" s="51"/>
      <c r="WII33" s="51"/>
      <c r="WIL33" s="51"/>
      <c r="WIN33" s="51"/>
      <c r="WIO33" s="51"/>
      <c r="WIQ33" s="51"/>
      <c r="WIT33" s="51"/>
      <c r="WIV33" s="51"/>
      <c r="WIW33" s="51"/>
      <c r="WIY33" s="51"/>
      <c r="WJB33" s="51"/>
      <c r="WJD33" s="51"/>
      <c r="WJE33" s="51"/>
      <c r="WJG33" s="51"/>
      <c r="WJJ33" s="51"/>
      <c r="WJL33" s="51"/>
      <c r="WJM33" s="51"/>
      <c r="WJO33" s="51"/>
      <c r="WJR33" s="51"/>
      <c r="WJT33" s="51"/>
      <c r="WJU33" s="51"/>
      <c r="WJW33" s="51"/>
      <c r="WJZ33" s="51"/>
      <c r="WKB33" s="51"/>
      <c r="WKC33" s="51"/>
      <c r="WKE33" s="51"/>
      <c r="WKH33" s="51"/>
      <c r="WKJ33" s="51"/>
      <c r="WKK33" s="51"/>
      <c r="WKM33" s="51"/>
      <c r="WKP33" s="51"/>
      <c r="WKR33" s="51"/>
      <c r="WKS33" s="51"/>
      <c r="WKU33" s="51"/>
      <c r="WKX33" s="51"/>
      <c r="WKZ33" s="51"/>
      <c r="WLA33" s="51"/>
      <c r="WLC33" s="51"/>
      <c r="WLF33" s="51"/>
      <c r="WLH33" s="51"/>
      <c r="WLI33" s="51"/>
      <c r="WLK33" s="51"/>
      <c r="WLN33" s="51"/>
      <c r="WLP33" s="51"/>
      <c r="WLQ33" s="51"/>
      <c r="WLS33" s="51"/>
      <c r="WLV33" s="51"/>
      <c r="WLX33" s="51"/>
      <c r="WLY33" s="51"/>
      <c r="WMA33" s="51"/>
      <c r="WMD33" s="51"/>
      <c r="WMF33" s="51"/>
      <c r="WMG33" s="51"/>
      <c r="WMI33" s="51"/>
      <c r="WML33" s="51"/>
      <c r="WMN33" s="51"/>
      <c r="WMO33" s="51"/>
      <c r="WMQ33" s="51"/>
      <c r="WMT33" s="51"/>
      <c r="WMV33" s="51"/>
      <c r="WMW33" s="51"/>
      <c r="WMY33" s="51"/>
      <c r="WNB33" s="51"/>
      <c r="WND33" s="51"/>
      <c r="WNE33" s="51"/>
      <c r="WNG33" s="51"/>
      <c r="WNJ33" s="51"/>
      <c r="WNL33" s="51"/>
      <c r="WNM33" s="51"/>
      <c r="WNO33" s="51"/>
      <c r="WNR33" s="51"/>
      <c r="WNT33" s="51"/>
      <c r="WNU33" s="51"/>
      <c r="WNW33" s="51"/>
      <c r="WNZ33" s="51"/>
      <c r="WOB33" s="51"/>
      <c r="WOC33" s="51"/>
      <c r="WOE33" s="51"/>
      <c r="WOH33" s="51"/>
      <c r="WOJ33" s="51"/>
      <c r="WOK33" s="51"/>
      <c r="WOM33" s="51"/>
      <c r="WOP33" s="51"/>
      <c r="WOR33" s="51"/>
      <c r="WOS33" s="51"/>
      <c r="WOU33" s="51"/>
      <c r="WOX33" s="51"/>
      <c r="WOZ33" s="51"/>
      <c r="WPA33" s="51"/>
      <c r="WPC33" s="51"/>
      <c r="WPF33" s="51"/>
      <c r="WPH33" s="51"/>
      <c r="WPI33" s="51"/>
      <c r="WPK33" s="51"/>
      <c r="WPN33" s="51"/>
      <c r="WPP33" s="51"/>
      <c r="WPQ33" s="51"/>
      <c r="WPS33" s="51"/>
      <c r="WPV33" s="51"/>
      <c r="WPX33" s="51"/>
      <c r="WPY33" s="51"/>
      <c r="WQA33" s="51"/>
      <c r="WQD33" s="51"/>
      <c r="WQF33" s="51"/>
      <c r="WQG33" s="51"/>
      <c r="WQI33" s="51"/>
      <c r="WQL33" s="51"/>
      <c r="WQN33" s="51"/>
      <c r="WQO33" s="51"/>
      <c r="WQQ33" s="51"/>
      <c r="WQT33" s="51"/>
      <c r="WQV33" s="51"/>
      <c r="WQW33" s="51"/>
      <c r="WQY33" s="51"/>
      <c r="WRB33" s="51"/>
      <c r="WRD33" s="51"/>
      <c r="WRE33" s="51"/>
      <c r="WRG33" s="51"/>
      <c r="WRJ33" s="51"/>
      <c r="WRL33" s="51"/>
      <c r="WRM33" s="51"/>
      <c r="WRO33" s="51"/>
      <c r="WRR33" s="51"/>
      <c r="WRT33" s="51"/>
      <c r="WRU33" s="51"/>
      <c r="WRW33" s="51"/>
      <c r="WRZ33" s="51"/>
      <c r="WSB33" s="51"/>
      <c r="WSC33" s="51"/>
      <c r="WSE33" s="51"/>
      <c r="WSH33" s="51"/>
      <c r="WSJ33" s="51"/>
      <c r="WSK33" s="51"/>
      <c r="WSM33" s="51"/>
      <c r="WSP33" s="51"/>
      <c r="WSR33" s="51"/>
      <c r="WSS33" s="51"/>
      <c r="WSU33" s="51"/>
      <c r="WSX33" s="51"/>
      <c r="WSZ33" s="51"/>
      <c r="WTA33" s="51"/>
      <c r="WTC33" s="51"/>
      <c r="WTF33" s="51"/>
      <c r="WTH33" s="51"/>
      <c r="WTI33" s="51"/>
      <c r="WTK33" s="51"/>
      <c r="WTN33" s="51"/>
      <c r="WTP33" s="51"/>
      <c r="WTQ33" s="51"/>
      <c r="WTS33" s="51"/>
      <c r="WTV33" s="51"/>
      <c r="WTX33" s="51"/>
      <c r="WTY33" s="51"/>
      <c r="WUA33" s="51"/>
      <c r="WUD33" s="51"/>
      <c r="WUF33" s="51"/>
      <c r="WUG33" s="51"/>
      <c r="WUI33" s="51"/>
      <c r="WUL33" s="51"/>
      <c r="WUN33" s="51"/>
      <c r="WUO33" s="51"/>
      <c r="WUQ33" s="51"/>
      <c r="WUT33" s="51"/>
      <c r="WUV33" s="51"/>
      <c r="WUW33" s="51"/>
      <c r="WUY33" s="51"/>
      <c r="WVB33" s="51"/>
      <c r="WVD33" s="51"/>
      <c r="WVE33" s="51"/>
      <c r="WVG33" s="51"/>
      <c r="WVJ33" s="51"/>
      <c r="WVL33" s="51"/>
      <c r="WVM33" s="51"/>
      <c r="WVO33" s="51"/>
      <c r="WVR33" s="51"/>
      <c r="WVT33" s="51"/>
      <c r="WVU33" s="51"/>
      <c r="WVW33" s="51"/>
      <c r="WVZ33" s="51"/>
      <c r="WWB33" s="51"/>
      <c r="WWC33" s="51"/>
      <c r="WWE33" s="51"/>
      <c r="WWH33" s="51"/>
      <c r="WWJ33" s="51"/>
      <c r="WWK33" s="51"/>
      <c r="WWM33" s="51"/>
      <c r="WWP33" s="51"/>
      <c r="WWR33" s="51"/>
      <c r="WWS33" s="51"/>
      <c r="WWU33" s="51"/>
      <c r="WWX33" s="51"/>
      <c r="WWZ33" s="51"/>
      <c r="WXA33" s="51"/>
      <c r="WXC33" s="51"/>
      <c r="WXF33" s="51"/>
      <c r="WXH33" s="51"/>
      <c r="WXI33" s="51"/>
      <c r="WXK33" s="51"/>
      <c r="WXN33" s="51"/>
      <c r="WXP33" s="51"/>
      <c r="WXQ33" s="51"/>
      <c r="WXS33" s="51"/>
      <c r="WXV33" s="51"/>
      <c r="WXX33" s="51"/>
      <c r="WXY33" s="51"/>
      <c r="WYA33" s="51"/>
      <c r="WYD33" s="51"/>
      <c r="WYF33" s="51"/>
      <c r="WYG33" s="51"/>
      <c r="WYI33" s="51"/>
      <c r="WYL33" s="51"/>
      <c r="WYN33" s="51"/>
      <c r="WYO33" s="51"/>
      <c r="WYQ33" s="51"/>
      <c r="WYT33" s="51"/>
      <c r="WYV33" s="51"/>
      <c r="WYW33" s="51"/>
      <c r="WYY33" s="51"/>
      <c r="WZB33" s="51"/>
      <c r="WZD33" s="51"/>
      <c r="WZE33" s="51"/>
      <c r="WZG33" s="51"/>
      <c r="WZJ33" s="51"/>
      <c r="WZL33" s="51"/>
      <c r="WZM33" s="51"/>
      <c r="WZO33" s="51"/>
      <c r="WZR33" s="51"/>
      <c r="WZT33" s="51"/>
      <c r="WZU33" s="51"/>
      <c r="WZW33" s="51"/>
      <c r="WZZ33" s="51"/>
      <c r="XAB33" s="51"/>
      <c r="XAC33" s="51"/>
      <c r="XAE33" s="51"/>
      <c r="XAH33" s="51"/>
      <c r="XAJ33" s="51"/>
      <c r="XAK33" s="51"/>
      <c r="XAM33" s="51"/>
      <c r="XAP33" s="51"/>
      <c r="XAR33" s="51"/>
      <c r="XAS33" s="51"/>
      <c r="XAU33" s="51"/>
      <c r="XAX33" s="51"/>
      <c r="XAZ33" s="51"/>
      <c r="XBA33" s="51"/>
      <c r="XBC33" s="51"/>
      <c r="XBF33" s="51"/>
      <c r="XBH33" s="51"/>
      <c r="XBI33" s="51"/>
      <c r="XBK33" s="51"/>
      <c r="XBN33" s="51"/>
      <c r="XBP33" s="51"/>
      <c r="XBQ33" s="51"/>
      <c r="XBS33" s="51"/>
      <c r="XBV33" s="51"/>
      <c r="XBX33" s="51"/>
      <c r="XBY33" s="51"/>
      <c r="XCA33" s="51"/>
      <c r="XCD33" s="51"/>
      <c r="XCF33" s="51"/>
      <c r="XCG33" s="51"/>
      <c r="XCI33" s="51"/>
      <c r="XCL33" s="51"/>
      <c r="XCN33" s="51"/>
      <c r="XCO33" s="51"/>
      <c r="XCQ33" s="51"/>
      <c r="XCT33" s="51"/>
      <c r="XCV33" s="51"/>
      <c r="XCW33" s="51"/>
      <c r="XCY33" s="51"/>
      <c r="XDB33" s="51"/>
      <c r="XDD33" s="51"/>
      <c r="XDE33" s="51"/>
      <c r="XDG33" s="51"/>
      <c r="XDJ33" s="51"/>
      <c r="XDL33" s="51"/>
      <c r="XDM33" s="51"/>
      <c r="XDO33" s="51"/>
      <c r="XDR33" s="51"/>
      <c r="XDT33" s="51"/>
      <c r="XDU33" s="51"/>
      <c r="XDW33" s="51"/>
      <c r="XDZ33" s="51"/>
      <c r="XEB33" s="51"/>
      <c r="XEC33" s="51"/>
      <c r="XEE33" s="51"/>
      <c r="XEH33" s="51"/>
      <c r="XEJ33" s="51"/>
      <c r="XEK33" s="51"/>
      <c r="XEM33" s="51"/>
      <c r="XEP33" s="51"/>
      <c r="XER33" s="51"/>
      <c r="XES33" s="51"/>
      <c r="XEU33" s="51"/>
      <c r="XEX33" s="51"/>
      <c r="XEZ33" s="51"/>
      <c r="XFA33" s="51"/>
      <c r="XFC33" s="51"/>
    </row>
    <row r="34" spans="1:1023 1026:2047 2050:3071 3074:4095 4098:5119 5122:6143 6146:7167 7170:8191 8194:9215 9218:10239 10242:11263 11266:12287 12290:13311 13314:14335 14338:15359 15362:16383" x14ac:dyDescent="0.25">
      <c r="A34" s="17" t="s">
        <v>492</v>
      </c>
      <c r="M34" s="51"/>
      <c r="O34" s="51"/>
      <c r="R34" s="51"/>
      <c r="S34" s="421"/>
      <c r="T34" s="51"/>
      <c r="U34" s="51"/>
      <c r="W34" s="51"/>
      <c r="Z34" s="51"/>
      <c r="AB34" s="51"/>
      <c r="AC34" s="51"/>
      <c r="AE34" s="51"/>
      <c r="AH34" s="51"/>
      <c r="AJ34" s="51"/>
      <c r="AK34" s="51"/>
      <c r="AM34" s="51"/>
      <c r="AP34" s="51"/>
      <c r="AR34" s="51"/>
      <c r="AS34" s="51"/>
      <c r="AU34" s="51"/>
      <c r="AX34" s="51"/>
      <c r="AZ34" s="51"/>
      <c r="BA34" s="51"/>
      <c r="BC34" s="51"/>
      <c r="BF34" s="51"/>
      <c r="BH34" s="51"/>
      <c r="BI34" s="51"/>
      <c r="BK34" s="51"/>
      <c r="BN34" s="51"/>
      <c r="BP34" s="51"/>
      <c r="BQ34" s="51"/>
      <c r="BS34" s="51"/>
      <c r="BV34" s="51"/>
      <c r="BX34" s="51"/>
      <c r="BY34" s="51"/>
      <c r="CA34" s="51"/>
      <c r="CD34" s="51"/>
      <c r="CF34" s="51"/>
      <c r="CG34" s="51"/>
      <c r="CI34" s="51"/>
      <c r="CL34" s="51"/>
      <c r="CN34" s="51"/>
      <c r="CO34" s="51"/>
      <c r="CQ34" s="51"/>
      <c r="CT34" s="51"/>
      <c r="CV34" s="51"/>
      <c r="CW34" s="51"/>
      <c r="CY34" s="51"/>
      <c r="DB34" s="51"/>
      <c r="DD34" s="51"/>
      <c r="DE34" s="51"/>
      <c r="DG34" s="51"/>
      <c r="DJ34" s="51"/>
      <c r="DL34" s="51"/>
      <c r="DM34" s="51"/>
      <c r="DO34" s="51"/>
      <c r="DR34" s="51"/>
      <c r="DT34" s="51"/>
      <c r="DU34" s="51"/>
      <c r="DW34" s="51"/>
      <c r="DZ34" s="51"/>
      <c r="EB34" s="51"/>
      <c r="EC34" s="51"/>
      <c r="EE34" s="51"/>
      <c r="EH34" s="51"/>
      <c r="EJ34" s="51"/>
      <c r="EK34" s="51"/>
      <c r="EM34" s="51"/>
      <c r="EP34" s="51"/>
      <c r="ER34" s="51"/>
      <c r="ES34" s="51"/>
      <c r="EU34" s="51"/>
      <c r="EX34" s="51"/>
      <c r="EZ34" s="51"/>
      <c r="FA34" s="51"/>
      <c r="FC34" s="51"/>
      <c r="FF34" s="51"/>
      <c r="FH34" s="51"/>
      <c r="FI34" s="51"/>
      <c r="FK34" s="51"/>
      <c r="FN34" s="51"/>
      <c r="FP34" s="51"/>
      <c r="FQ34" s="51"/>
      <c r="FS34" s="51"/>
      <c r="FV34" s="51"/>
      <c r="FX34" s="51"/>
      <c r="FY34" s="51"/>
      <c r="GA34" s="51"/>
      <c r="GD34" s="51"/>
      <c r="GF34" s="51"/>
      <c r="GG34" s="51"/>
      <c r="GI34" s="51"/>
      <c r="GL34" s="51"/>
      <c r="GN34" s="51"/>
      <c r="GO34" s="51"/>
      <c r="GQ34" s="51"/>
      <c r="GT34" s="51"/>
      <c r="GV34" s="51"/>
      <c r="GW34" s="51"/>
      <c r="GY34" s="51"/>
      <c r="HB34" s="51"/>
      <c r="HD34" s="51"/>
      <c r="HE34" s="51"/>
      <c r="HG34" s="51"/>
      <c r="HJ34" s="51"/>
      <c r="HL34" s="51"/>
      <c r="HM34" s="51"/>
      <c r="HO34" s="51"/>
      <c r="HR34" s="51"/>
      <c r="HT34" s="51"/>
      <c r="HU34" s="51"/>
      <c r="HW34" s="51"/>
      <c r="HZ34" s="51"/>
      <c r="IB34" s="51"/>
      <c r="IC34" s="51"/>
      <c r="IE34" s="51"/>
      <c r="IH34" s="51"/>
      <c r="IJ34" s="51"/>
      <c r="IK34" s="51"/>
      <c r="IM34" s="51"/>
      <c r="IP34" s="51"/>
      <c r="IR34" s="51"/>
      <c r="IS34" s="51"/>
      <c r="IU34" s="51"/>
      <c r="IX34" s="51"/>
      <c r="IZ34" s="51"/>
      <c r="JA34" s="51"/>
      <c r="JC34" s="51"/>
      <c r="JF34" s="51"/>
      <c r="JH34" s="51"/>
      <c r="JI34" s="51"/>
      <c r="JK34" s="51"/>
      <c r="JN34" s="51"/>
      <c r="JP34" s="51"/>
      <c r="JQ34" s="51"/>
      <c r="JS34" s="51"/>
      <c r="JV34" s="51"/>
      <c r="JX34" s="51"/>
      <c r="JY34" s="51"/>
      <c r="KA34" s="51"/>
      <c r="KD34" s="51"/>
      <c r="KF34" s="51"/>
      <c r="KG34" s="51"/>
      <c r="KI34" s="51"/>
      <c r="KL34" s="51"/>
      <c r="KN34" s="51"/>
      <c r="KO34" s="51"/>
      <c r="KQ34" s="51"/>
      <c r="KT34" s="51"/>
      <c r="KV34" s="51"/>
      <c r="KW34" s="51"/>
      <c r="KY34" s="51"/>
      <c r="LB34" s="51"/>
      <c r="LD34" s="51"/>
      <c r="LU34" s="51"/>
      <c r="LW34" s="51"/>
      <c r="LZ34" s="51"/>
      <c r="MB34" s="51"/>
      <c r="MC34" s="51"/>
      <c r="ME34" s="51"/>
      <c r="MH34" s="51"/>
      <c r="MJ34" s="51"/>
      <c r="MK34" s="51"/>
      <c r="MM34" s="51"/>
      <c r="MP34" s="51"/>
      <c r="MR34" s="51"/>
      <c r="MS34" s="51"/>
      <c r="MU34" s="51"/>
      <c r="MX34" s="51"/>
      <c r="MZ34" s="51"/>
      <c r="NA34" s="51"/>
      <c r="NC34" s="51"/>
      <c r="NF34" s="51"/>
      <c r="NH34" s="51"/>
      <c r="NI34" s="51"/>
      <c r="NK34" s="51"/>
      <c r="NN34" s="51"/>
      <c r="NP34" s="51"/>
      <c r="NQ34" s="51"/>
      <c r="NS34" s="51"/>
      <c r="NV34" s="51"/>
      <c r="NX34" s="51"/>
      <c r="NY34" s="51"/>
      <c r="OA34" s="51"/>
      <c r="OD34" s="51"/>
      <c r="OF34" s="51"/>
      <c r="OG34" s="51"/>
      <c r="OI34" s="51"/>
      <c r="OL34" s="51"/>
      <c r="ON34" s="51"/>
      <c r="OO34" s="51"/>
      <c r="OQ34" s="51"/>
      <c r="OT34" s="51"/>
      <c r="OV34" s="51"/>
      <c r="OW34" s="51"/>
      <c r="OY34" s="51"/>
      <c r="PB34" s="51"/>
      <c r="PD34" s="51"/>
      <c r="PE34" s="51"/>
      <c r="PG34" s="51"/>
      <c r="PJ34" s="51"/>
      <c r="PL34" s="51"/>
      <c r="PM34" s="51"/>
      <c r="PO34" s="51"/>
      <c r="PR34" s="51"/>
      <c r="PT34" s="51"/>
      <c r="PU34" s="51"/>
      <c r="PW34" s="51"/>
      <c r="PZ34" s="51"/>
      <c r="QB34" s="51"/>
      <c r="QC34" s="51"/>
      <c r="QE34" s="51"/>
      <c r="QH34" s="51"/>
      <c r="QJ34" s="51"/>
      <c r="QK34" s="51"/>
      <c r="QM34" s="51"/>
      <c r="QP34" s="51"/>
      <c r="QR34" s="51"/>
      <c r="QS34" s="51"/>
      <c r="QU34" s="51"/>
      <c r="QX34" s="51"/>
      <c r="QZ34" s="51"/>
      <c r="RA34" s="51"/>
      <c r="RC34" s="51"/>
      <c r="RF34" s="51"/>
      <c r="RH34" s="51"/>
      <c r="RI34" s="51"/>
      <c r="RK34" s="51"/>
      <c r="RN34" s="51"/>
      <c r="RP34" s="51"/>
      <c r="RQ34" s="51"/>
      <c r="RS34" s="51"/>
      <c r="RV34" s="51"/>
      <c r="RX34" s="51"/>
      <c r="RY34" s="51"/>
      <c r="SA34" s="51"/>
      <c r="SD34" s="51"/>
      <c r="SF34" s="51"/>
      <c r="SG34" s="51"/>
      <c r="SI34" s="51"/>
      <c r="SL34" s="51"/>
      <c r="SN34" s="51"/>
      <c r="SO34" s="51"/>
      <c r="SQ34" s="51"/>
      <c r="ST34" s="51"/>
      <c r="SV34" s="51"/>
      <c r="SW34" s="51"/>
      <c r="SY34" s="51"/>
      <c r="TB34" s="51"/>
      <c r="TD34" s="51"/>
      <c r="TE34" s="51"/>
      <c r="TG34" s="51"/>
      <c r="TJ34" s="51"/>
      <c r="TL34" s="51"/>
      <c r="TM34" s="51"/>
      <c r="TO34" s="51"/>
      <c r="TR34" s="51"/>
      <c r="TT34" s="51"/>
      <c r="TU34" s="51"/>
      <c r="TW34" s="51"/>
      <c r="TZ34" s="51"/>
      <c r="UB34" s="51"/>
      <c r="UC34" s="51"/>
      <c r="UE34" s="51"/>
      <c r="UH34" s="51"/>
      <c r="UJ34" s="51"/>
      <c r="UK34" s="51"/>
      <c r="UM34" s="51"/>
      <c r="UP34" s="51"/>
      <c r="UR34" s="51"/>
      <c r="US34" s="51"/>
      <c r="UU34" s="51"/>
      <c r="UX34" s="51"/>
      <c r="UZ34" s="51"/>
      <c r="VA34" s="51"/>
      <c r="VC34" s="51"/>
      <c r="VF34" s="51"/>
      <c r="VH34" s="51"/>
      <c r="VI34" s="51"/>
      <c r="VK34" s="51"/>
      <c r="VN34" s="51"/>
      <c r="VP34" s="51"/>
      <c r="VQ34" s="51"/>
      <c r="VS34" s="51"/>
      <c r="VV34" s="51"/>
      <c r="VX34" s="51"/>
      <c r="VY34" s="51"/>
      <c r="WA34" s="51"/>
      <c r="WD34" s="51"/>
      <c r="WF34" s="51"/>
      <c r="WG34" s="51"/>
      <c r="WI34" s="51"/>
      <c r="WL34" s="51"/>
      <c r="WN34" s="51"/>
      <c r="WO34" s="51"/>
      <c r="WQ34" s="51"/>
      <c r="WT34" s="51"/>
      <c r="WV34" s="51"/>
      <c r="WW34" s="51"/>
      <c r="WY34" s="51"/>
      <c r="XB34" s="51"/>
      <c r="XD34" s="51"/>
      <c r="XE34" s="51"/>
      <c r="XG34" s="51"/>
      <c r="XJ34" s="51"/>
      <c r="XL34" s="51"/>
      <c r="XM34" s="51"/>
      <c r="XO34" s="51"/>
      <c r="XR34" s="51"/>
      <c r="XT34" s="51"/>
      <c r="XU34" s="51"/>
      <c r="XW34" s="51"/>
      <c r="XZ34" s="51"/>
      <c r="YB34" s="51"/>
      <c r="YC34" s="51"/>
      <c r="YE34" s="51"/>
      <c r="YH34" s="51"/>
      <c r="YJ34" s="51"/>
      <c r="YK34" s="51"/>
      <c r="YM34" s="51"/>
      <c r="YP34" s="51"/>
      <c r="YR34" s="51"/>
      <c r="YS34" s="51"/>
      <c r="YU34" s="51"/>
      <c r="YX34" s="51"/>
      <c r="YZ34" s="51"/>
      <c r="ZA34" s="51"/>
      <c r="ZC34" s="51"/>
      <c r="ZF34" s="51"/>
      <c r="ZH34" s="51"/>
      <c r="ZI34" s="51"/>
      <c r="ZK34" s="51"/>
      <c r="ZN34" s="51"/>
      <c r="ZP34" s="51"/>
      <c r="ZQ34" s="51"/>
      <c r="ZS34" s="51"/>
      <c r="ZV34" s="51"/>
      <c r="ZX34" s="51"/>
      <c r="ZY34" s="51"/>
      <c r="AAA34" s="51"/>
      <c r="AAD34" s="51"/>
      <c r="AAF34" s="51"/>
      <c r="AAG34" s="51"/>
      <c r="AAI34" s="51"/>
      <c r="AAL34" s="51"/>
      <c r="AAN34" s="51"/>
      <c r="AAO34" s="51"/>
      <c r="AAQ34" s="51"/>
      <c r="AAT34" s="51"/>
      <c r="AAV34" s="51"/>
      <c r="AAW34" s="51"/>
      <c r="AAY34" s="51"/>
      <c r="ABB34" s="51"/>
      <c r="ABD34" s="51"/>
      <c r="ABE34" s="51"/>
      <c r="ABG34" s="51"/>
      <c r="ABJ34" s="51"/>
      <c r="ABL34" s="51"/>
      <c r="ABM34" s="51"/>
      <c r="ABO34" s="51"/>
      <c r="ABR34" s="51"/>
      <c r="ABT34" s="51"/>
      <c r="ABU34" s="51"/>
      <c r="ABW34" s="51"/>
      <c r="ABZ34" s="51"/>
      <c r="ACB34" s="51"/>
      <c r="ACC34" s="51"/>
      <c r="ACE34" s="51"/>
      <c r="ACH34" s="51"/>
      <c r="ACJ34" s="51"/>
      <c r="ACK34" s="51"/>
      <c r="ACM34" s="51"/>
      <c r="ACP34" s="51"/>
      <c r="ACR34" s="51"/>
      <c r="ACS34" s="51"/>
      <c r="ACU34" s="51"/>
      <c r="ACX34" s="51"/>
      <c r="ACZ34" s="51"/>
      <c r="ADA34" s="51"/>
      <c r="ADC34" s="51"/>
      <c r="ADF34" s="51"/>
      <c r="ADH34" s="51"/>
      <c r="ADI34" s="51"/>
      <c r="ADK34" s="51"/>
      <c r="ADN34" s="51"/>
      <c r="ADP34" s="51"/>
      <c r="ADQ34" s="51"/>
      <c r="ADS34" s="51"/>
      <c r="ADV34" s="51"/>
      <c r="ADX34" s="51"/>
      <c r="ADY34" s="51"/>
      <c r="AEA34" s="51"/>
      <c r="AED34" s="51"/>
      <c r="AEF34" s="51"/>
      <c r="AEG34" s="51"/>
      <c r="AEI34" s="51"/>
      <c r="AEL34" s="51"/>
      <c r="AEN34" s="51"/>
      <c r="AEO34" s="51"/>
      <c r="AEQ34" s="51"/>
      <c r="AET34" s="51"/>
      <c r="AEV34" s="51"/>
      <c r="AEW34" s="51"/>
      <c r="AEY34" s="51"/>
      <c r="AFB34" s="51"/>
      <c r="AFD34" s="51"/>
      <c r="AFE34" s="51"/>
      <c r="AFG34" s="51"/>
      <c r="AFJ34" s="51"/>
      <c r="AFL34" s="51"/>
      <c r="AFM34" s="51"/>
      <c r="AFO34" s="51"/>
      <c r="AFR34" s="51"/>
      <c r="AFT34" s="51"/>
      <c r="AFU34" s="51"/>
      <c r="AFW34" s="51"/>
      <c r="AFZ34" s="51"/>
      <c r="AGB34" s="51"/>
      <c r="AGC34" s="51"/>
      <c r="AGE34" s="51"/>
      <c r="AGH34" s="51"/>
      <c r="AGJ34" s="51"/>
      <c r="AGK34" s="51"/>
      <c r="AGM34" s="51"/>
      <c r="AGP34" s="51"/>
      <c r="AGR34" s="51"/>
      <c r="AGS34" s="51"/>
      <c r="AGU34" s="51"/>
      <c r="AGX34" s="51"/>
      <c r="AGZ34" s="51"/>
      <c r="AHA34" s="51"/>
      <c r="AHC34" s="51"/>
      <c r="AHF34" s="51"/>
      <c r="AHH34" s="51"/>
      <c r="AHI34" s="51"/>
      <c r="AHK34" s="51"/>
      <c r="AHN34" s="51"/>
      <c r="AHP34" s="51"/>
      <c r="AHQ34" s="51"/>
      <c r="AHS34" s="51"/>
      <c r="AHV34" s="51"/>
      <c r="AHX34" s="51"/>
      <c r="AHY34" s="51"/>
      <c r="AIA34" s="51"/>
      <c r="AID34" s="51"/>
      <c r="AIF34" s="51"/>
      <c r="AIG34" s="51"/>
      <c r="AII34" s="51"/>
      <c r="AIL34" s="51"/>
      <c r="AIN34" s="51"/>
      <c r="AIO34" s="51"/>
      <c r="AIQ34" s="51"/>
      <c r="AIT34" s="51"/>
      <c r="AIV34" s="51"/>
      <c r="AIW34" s="51"/>
      <c r="AIY34" s="51"/>
      <c r="AJB34" s="51"/>
      <c r="AJD34" s="51"/>
      <c r="AJE34" s="51"/>
      <c r="AJG34" s="51"/>
      <c r="AJJ34" s="51"/>
      <c r="AJL34" s="51"/>
      <c r="AJM34" s="51"/>
      <c r="AJO34" s="51"/>
      <c r="AJR34" s="51"/>
      <c r="AJT34" s="51"/>
      <c r="AJU34" s="51"/>
      <c r="AJW34" s="51"/>
      <c r="AJZ34" s="51"/>
      <c r="AKB34" s="51"/>
      <c r="AKC34" s="51"/>
      <c r="AKE34" s="51"/>
      <c r="AKH34" s="51"/>
      <c r="AKJ34" s="51"/>
      <c r="AKK34" s="51"/>
      <c r="AKM34" s="51"/>
      <c r="AKP34" s="51"/>
      <c r="AKR34" s="51"/>
      <c r="AKS34" s="51"/>
      <c r="AKU34" s="51"/>
      <c r="AKX34" s="51"/>
      <c r="AKZ34" s="51"/>
      <c r="ALA34" s="51"/>
      <c r="ALC34" s="51"/>
      <c r="ALF34" s="51"/>
      <c r="ALH34" s="51"/>
      <c r="ALI34" s="51"/>
      <c r="ALK34" s="51"/>
      <c r="ALN34" s="51"/>
      <c r="ALP34" s="51"/>
      <c r="ALQ34" s="51"/>
      <c r="ALS34" s="51"/>
      <c r="ALV34" s="51"/>
      <c r="ALX34" s="51"/>
      <c r="ALY34" s="51"/>
      <c r="AMA34" s="51"/>
      <c r="AMD34" s="51"/>
      <c r="AMF34" s="51"/>
      <c r="AMG34" s="51"/>
      <c r="AMI34" s="51"/>
      <c r="AML34" s="51"/>
      <c r="AMN34" s="51"/>
      <c r="AMO34" s="51"/>
      <c r="AMQ34" s="51"/>
      <c r="AMT34" s="51"/>
      <c r="AMV34" s="51"/>
      <c r="AMW34" s="51"/>
      <c r="AMY34" s="51"/>
      <c r="ANB34" s="51"/>
      <c r="AND34" s="51"/>
      <c r="ANE34" s="51"/>
      <c r="ANG34" s="51"/>
      <c r="ANJ34" s="51"/>
      <c r="ANL34" s="51"/>
      <c r="ANM34" s="51"/>
      <c r="ANO34" s="51"/>
      <c r="ANR34" s="51"/>
      <c r="ANT34" s="51"/>
      <c r="ANU34" s="51"/>
      <c r="ANW34" s="51"/>
      <c r="ANZ34" s="51"/>
      <c r="AOB34" s="51"/>
      <c r="AOC34" s="51"/>
      <c r="AOE34" s="51"/>
      <c r="AOH34" s="51"/>
      <c r="AOJ34" s="51"/>
      <c r="AOK34" s="51"/>
      <c r="AOM34" s="51"/>
      <c r="AOP34" s="51"/>
      <c r="AOR34" s="51"/>
      <c r="AOS34" s="51"/>
      <c r="AOU34" s="51"/>
      <c r="AOX34" s="51"/>
      <c r="AOZ34" s="51"/>
      <c r="APA34" s="51"/>
      <c r="APC34" s="51"/>
      <c r="APF34" s="51"/>
      <c r="APH34" s="51"/>
      <c r="API34" s="51"/>
      <c r="APK34" s="51"/>
      <c r="APN34" s="51"/>
      <c r="APP34" s="51"/>
      <c r="APQ34" s="51"/>
      <c r="APS34" s="51"/>
      <c r="APV34" s="51"/>
      <c r="APX34" s="51"/>
      <c r="APY34" s="51"/>
      <c r="AQA34" s="51"/>
      <c r="AQD34" s="51"/>
      <c r="AQF34" s="51"/>
      <c r="AQG34" s="51"/>
      <c r="AQI34" s="51"/>
      <c r="AQL34" s="51"/>
      <c r="AQN34" s="51"/>
      <c r="AQO34" s="51"/>
      <c r="AQQ34" s="51"/>
      <c r="AQT34" s="51"/>
      <c r="AQV34" s="51"/>
      <c r="AQW34" s="51"/>
      <c r="AQY34" s="51"/>
      <c r="ARB34" s="51"/>
      <c r="ARD34" s="51"/>
      <c r="ARE34" s="51"/>
      <c r="ARG34" s="51"/>
      <c r="ARJ34" s="51"/>
      <c r="ARL34" s="51"/>
      <c r="ARM34" s="51"/>
      <c r="ARO34" s="51"/>
      <c r="ARR34" s="51"/>
      <c r="ART34" s="51"/>
      <c r="ARU34" s="51"/>
      <c r="ARW34" s="51"/>
      <c r="ARZ34" s="51"/>
      <c r="ASB34" s="51"/>
      <c r="ASC34" s="51"/>
      <c r="ASE34" s="51"/>
      <c r="ASH34" s="51"/>
      <c r="ASJ34" s="51"/>
      <c r="ASK34" s="51"/>
      <c r="ASM34" s="51"/>
      <c r="ASP34" s="51"/>
      <c r="ASR34" s="51"/>
      <c r="ASS34" s="51"/>
      <c r="ASU34" s="51"/>
      <c r="ASX34" s="51"/>
      <c r="ASZ34" s="51"/>
      <c r="ATA34" s="51"/>
      <c r="ATC34" s="51"/>
      <c r="ATF34" s="51"/>
      <c r="ATH34" s="51"/>
      <c r="ATI34" s="51"/>
      <c r="ATK34" s="51"/>
      <c r="ATN34" s="51"/>
      <c r="ATP34" s="51"/>
      <c r="ATQ34" s="51"/>
      <c r="ATS34" s="51"/>
      <c r="ATV34" s="51"/>
      <c r="ATX34" s="51"/>
      <c r="ATY34" s="51"/>
      <c r="AUA34" s="51"/>
      <c r="AUD34" s="51"/>
      <c r="AUF34" s="51"/>
      <c r="AUG34" s="51"/>
      <c r="AUI34" s="51"/>
      <c r="AUL34" s="51"/>
      <c r="AUN34" s="51"/>
      <c r="AUO34" s="51"/>
      <c r="AUQ34" s="51"/>
      <c r="AUT34" s="51"/>
      <c r="AUV34" s="51"/>
      <c r="AUW34" s="51"/>
      <c r="AUY34" s="51"/>
      <c r="AVB34" s="51"/>
      <c r="AVD34" s="51"/>
      <c r="AVE34" s="51"/>
      <c r="AVG34" s="51"/>
      <c r="AVJ34" s="51"/>
      <c r="AVL34" s="51"/>
      <c r="AVM34" s="51"/>
      <c r="AVO34" s="51"/>
      <c r="AVR34" s="51"/>
      <c r="AVT34" s="51"/>
      <c r="AVU34" s="51"/>
      <c r="AVW34" s="51"/>
      <c r="AVZ34" s="51"/>
      <c r="AWB34" s="51"/>
      <c r="AWC34" s="51"/>
      <c r="AWE34" s="51"/>
      <c r="AWH34" s="51"/>
      <c r="AWJ34" s="51"/>
      <c r="AWK34" s="51"/>
      <c r="AWM34" s="51"/>
      <c r="AWP34" s="51"/>
      <c r="AWR34" s="51"/>
      <c r="AWS34" s="51"/>
      <c r="AWU34" s="51"/>
      <c r="AWX34" s="51"/>
      <c r="AWZ34" s="51"/>
      <c r="AXA34" s="51"/>
      <c r="AXC34" s="51"/>
      <c r="AXF34" s="51"/>
      <c r="AXH34" s="51"/>
      <c r="AXI34" s="51"/>
      <c r="AXK34" s="51"/>
      <c r="AXN34" s="51"/>
      <c r="AXP34" s="51"/>
      <c r="AXQ34" s="51"/>
      <c r="AXS34" s="51"/>
      <c r="AXV34" s="51"/>
      <c r="AXX34" s="51"/>
      <c r="AXY34" s="51"/>
      <c r="AYA34" s="51"/>
      <c r="AYD34" s="51"/>
      <c r="AYF34" s="51"/>
      <c r="AYG34" s="51"/>
      <c r="AYI34" s="51"/>
      <c r="AYL34" s="51"/>
      <c r="AYN34" s="51"/>
      <c r="AYO34" s="51"/>
      <c r="AYQ34" s="51"/>
      <c r="AYT34" s="51"/>
      <c r="AYV34" s="51"/>
      <c r="AYW34" s="51"/>
      <c r="AYY34" s="51"/>
      <c r="AZB34" s="51"/>
      <c r="AZD34" s="51"/>
      <c r="AZE34" s="51"/>
      <c r="AZG34" s="51"/>
      <c r="AZJ34" s="51"/>
      <c r="AZL34" s="51"/>
      <c r="AZM34" s="51"/>
      <c r="AZO34" s="51"/>
      <c r="AZR34" s="51"/>
      <c r="AZT34" s="51"/>
      <c r="AZU34" s="51"/>
      <c r="AZW34" s="51"/>
      <c r="AZZ34" s="51"/>
      <c r="BAB34" s="51"/>
      <c r="BAC34" s="51"/>
      <c r="BAE34" s="51"/>
      <c r="BAH34" s="51"/>
      <c r="BAJ34" s="51"/>
      <c r="BAK34" s="51"/>
      <c r="BAM34" s="51"/>
      <c r="BAP34" s="51"/>
      <c r="BAR34" s="51"/>
      <c r="BAS34" s="51"/>
      <c r="BAU34" s="51"/>
      <c r="BAX34" s="51"/>
      <c r="BAZ34" s="51"/>
      <c r="BBA34" s="51"/>
      <c r="BBC34" s="51"/>
      <c r="BBF34" s="51"/>
      <c r="BBH34" s="51"/>
      <c r="BBI34" s="51"/>
      <c r="BBK34" s="51"/>
      <c r="BBN34" s="51"/>
      <c r="BBP34" s="51"/>
      <c r="BBQ34" s="51"/>
      <c r="BBS34" s="51"/>
      <c r="BBV34" s="51"/>
      <c r="BBX34" s="51"/>
      <c r="BBY34" s="51"/>
      <c r="BCA34" s="51"/>
      <c r="BCD34" s="51"/>
      <c r="BCF34" s="51"/>
      <c r="BCG34" s="51"/>
      <c r="BCI34" s="51"/>
      <c r="BCL34" s="51"/>
      <c r="BCN34" s="51"/>
      <c r="BCO34" s="51"/>
      <c r="BCQ34" s="51"/>
      <c r="BCT34" s="51"/>
      <c r="BCV34" s="51"/>
      <c r="BCW34" s="51"/>
      <c r="BCY34" s="51"/>
      <c r="BDB34" s="51"/>
      <c r="BDD34" s="51"/>
      <c r="BDE34" s="51"/>
      <c r="BDG34" s="51"/>
      <c r="BDJ34" s="51"/>
      <c r="BDL34" s="51"/>
      <c r="BDM34" s="51"/>
      <c r="BDO34" s="51"/>
      <c r="BDR34" s="51"/>
      <c r="BDT34" s="51"/>
      <c r="BDU34" s="51"/>
      <c r="BDW34" s="51"/>
      <c r="BDZ34" s="51"/>
      <c r="BEB34" s="51"/>
      <c r="BEC34" s="51"/>
      <c r="BEE34" s="51"/>
      <c r="BEH34" s="51"/>
      <c r="BEJ34" s="51"/>
      <c r="BEK34" s="51"/>
      <c r="BEM34" s="51"/>
      <c r="BEP34" s="51"/>
      <c r="BER34" s="51"/>
      <c r="BES34" s="51"/>
      <c r="BEU34" s="51"/>
      <c r="BEX34" s="51"/>
      <c r="BEZ34" s="51"/>
      <c r="BFA34" s="51"/>
      <c r="BFC34" s="51"/>
      <c r="BFF34" s="51"/>
      <c r="BFH34" s="51"/>
      <c r="BFI34" s="51"/>
      <c r="BFK34" s="51"/>
      <c r="BFN34" s="51"/>
      <c r="BFP34" s="51"/>
      <c r="BFQ34" s="51"/>
      <c r="BFS34" s="51"/>
      <c r="BFV34" s="51"/>
      <c r="BFX34" s="51"/>
      <c r="BFY34" s="51"/>
      <c r="BGA34" s="51"/>
      <c r="BGD34" s="51"/>
      <c r="BGF34" s="51"/>
      <c r="BGG34" s="51"/>
      <c r="BGI34" s="51"/>
      <c r="BGL34" s="51"/>
      <c r="BGN34" s="51"/>
      <c r="BGO34" s="51"/>
      <c r="BGQ34" s="51"/>
      <c r="BGT34" s="51"/>
      <c r="BGV34" s="51"/>
      <c r="BGW34" s="51"/>
      <c r="BGY34" s="51"/>
      <c r="BHB34" s="51"/>
      <c r="BHD34" s="51"/>
      <c r="BHE34" s="51"/>
      <c r="BHG34" s="51"/>
      <c r="BHJ34" s="51"/>
      <c r="BHL34" s="51"/>
      <c r="BHM34" s="51"/>
      <c r="BHO34" s="51"/>
      <c r="BHR34" s="51"/>
      <c r="BHT34" s="51"/>
      <c r="BHU34" s="51"/>
      <c r="BHW34" s="51"/>
      <c r="BHZ34" s="51"/>
      <c r="BIB34" s="51"/>
      <c r="BIC34" s="51"/>
      <c r="BIE34" s="51"/>
      <c r="BIH34" s="51"/>
      <c r="BIJ34" s="51"/>
      <c r="BIK34" s="51"/>
      <c r="BIM34" s="51"/>
      <c r="BIP34" s="51"/>
      <c r="BIR34" s="51"/>
      <c r="BIS34" s="51"/>
      <c r="BIU34" s="51"/>
      <c r="BIX34" s="51"/>
      <c r="BIZ34" s="51"/>
      <c r="BJA34" s="51"/>
      <c r="BJC34" s="51"/>
      <c r="BJF34" s="51"/>
      <c r="BJH34" s="51"/>
      <c r="BJI34" s="51"/>
      <c r="BJK34" s="51"/>
      <c r="BJN34" s="51"/>
      <c r="BJP34" s="51"/>
      <c r="BJQ34" s="51"/>
      <c r="BJS34" s="51"/>
      <c r="BJV34" s="51"/>
      <c r="BJX34" s="51"/>
      <c r="BJY34" s="51"/>
      <c r="BKA34" s="51"/>
      <c r="BKD34" s="51"/>
      <c r="BKF34" s="51"/>
      <c r="BKG34" s="51"/>
      <c r="BKI34" s="51"/>
      <c r="BKL34" s="51"/>
      <c r="BKN34" s="51"/>
      <c r="BKO34" s="51"/>
      <c r="BKQ34" s="51"/>
      <c r="BKT34" s="51"/>
      <c r="BKV34" s="51"/>
      <c r="BKW34" s="51"/>
      <c r="BKY34" s="51"/>
      <c r="BLB34" s="51"/>
      <c r="BLD34" s="51"/>
      <c r="BLE34" s="51"/>
      <c r="BLG34" s="51"/>
      <c r="BLJ34" s="51"/>
      <c r="BLL34" s="51"/>
      <c r="BLM34" s="51"/>
      <c r="BLO34" s="51"/>
      <c r="BLR34" s="51"/>
      <c r="BLT34" s="51"/>
      <c r="BLU34" s="51"/>
      <c r="BLW34" s="51"/>
      <c r="BLZ34" s="51"/>
      <c r="BMB34" s="51"/>
      <c r="BMC34" s="51"/>
      <c r="BME34" s="51"/>
      <c r="BMH34" s="51"/>
      <c r="BMJ34" s="51"/>
      <c r="BMK34" s="51"/>
      <c r="BMM34" s="51"/>
      <c r="BMP34" s="51"/>
      <c r="BMR34" s="51"/>
      <c r="BMS34" s="51"/>
      <c r="BMU34" s="51"/>
      <c r="BMX34" s="51"/>
      <c r="BMZ34" s="51"/>
      <c r="BNA34" s="51"/>
      <c r="BNC34" s="51"/>
      <c r="BNF34" s="51"/>
      <c r="BNH34" s="51"/>
      <c r="BNI34" s="51"/>
      <c r="BNK34" s="51"/>
      <c r="BNN34" s="51"/>
      <c r="BNP34" s="51"/>
      <c r="BNQ34" s="51"/>
      <c r="BNS34" s="51"/>
      <c r="BNV34" s="51"/>
      <c r="BNX34" s="51"/>
      <c r="BNY34" s="51"/>
      <c r="BOA34" s="51"/>
      <c r="BOD34" s="51"/>
      <c r="BOF34" s="51"/>
      <c r="BOG34" s="51"/>
      <c r="BOI34" s="51"/>
      <c r="BOL34" s="51"/>
      <c r="BON34" s="51"/>
      <c r="BOO34" s="51"/>
      <c r="BOQ34" s="51"/>
      <c r="BOT34" s="51"/>
      <c r="BOV34" s="51"/>
      <c r="BOW34" s="51"/>
      <c r="BOY34" s="51"/>
      <c r="BPB34" s="51"/>
      <c r="BPD34" s="51"/>
      <c r="BPE34" s="51"/>
      <c r="BPG34" s="51"/>
      <c r="BPJ34" s="51"/>
      <c r="BPL34" s="51"/>
      <c r="BPM34" s="51"/>
      <c r="BPO34" s="51"/>
      <c r="BPR34" s="51"/>
      <c r="BPT34" s="51"/>
      <c r="BPU34" s="51"/>
      <c r="BPW34" s="51"/>
      <c r="BPZ34" s="51"/>
      <c r="BQB34" s="51"/>
      <c r="BQC34" s="51"/>
      <c r="BQE34" s="51"/>
      <c r="BQH34" s="51"/>
      <c r="BQJ34" s="51"/>
      <c r="BQK34" s="51"/>
      <c r="BQM34" s="51"/>
      <c r="BQP34" s="51"/>
      <c r="BQR34" s="51"/>
      <c r="BQS34" s="51"/>
      <c r="BQU34" s="51"/>
      <c r="BQX34" s="51"/>
      <c r="BQZ34" s="51"/>
      <c r="BRA34" s="51"/>
      <c r="BRC34" s="51"/>
      <c r="BRF34" s="51"/>
      <c r="BRH34" s="51"/>
      <c r="BRI34" s="51"/>
      <c r="BRK34" s="51"/>
      <c r="BRN34" s="51"/>
      <c r="BRP34" s="51"/>
      <c r="BRQ34" s="51"/>
      <c r="BRS34" s="51"/>
      <c r="BRV34" s="51"/>
      <c r="BRX34" s="51"/>
      <c r="BRY34" s="51"/>
      <c r="BSA34" s="51"/>
      <c r="BSD34" s="51"/>
      <c r="BSF34" s="51"/>
      <c r="BSG34" s="51"/>
      <c r="BSI34" s="51"/>
      <c r="BSL34" s="51"/>
      <c r="BSN34" s="51"/>
      <c r="BSO34" s="51"/>
      <c r="BSQ34" s="51"/>
      <c r="BST34" s="51"/>
      <c r="BSV34" s="51"/>
      <c r="BSW34" s="51"/>
      <c r="BSY34" s="51"/>
      <c r="BTB34" s="51"/>
      <c r="BTD34" s="51"/>
      <c r="BTE34" s="51"/>
      <c r="BTG34" s="51"/>
      <c r="BTJ34" s="51"/>
      <c r="BTL34" s="51"/>
      <c r="BTM34" s="51"/>
      <c r="BTO34" s="51"/>
      <c r="BTR34" s="51"/>
      <c r="BTT34" s="51"/>
      <c r="BTU34" s="51"/>
      <c r="BTW34" s="51"/>
      <c r="BTZ34" s="51"/>
      <c r="BUB34" s="51"/>
      <c r="BUC34" s="51"/>
      <c r="BUE34" s="51"/>
      <c r="BUH34" s="51"/>
      <c r="BUJ34" s="51"/>
      <c r="BUK34" s="51"/>
      <c r="BUM34" s="51"/>
      <c r="BUP34" s="51"/>
      <c r="BUR34" s="51"/>
      <c r="BUS34" s="51"/>
      <c r="BUU34" s="51"/>
      <c r="BUX34" s="51"/>
      <c r="BUZ34" s="51"/>
      <c r="BVA34" s="51"/>
      <c r="BVC34" s="51"/>
      <c r="BVF34" s="51"/>
      <c r="BVH34" s="51"/>
      <c r="BVI34" s="51"/>
      <c r="BVK34" s="51"/>
      <c r="BVN34" s="51"/>
      <c r="BVP34" s="51"/>
      <c r="BVQ34" s="51"/>
      <c r="BVS34" s="51"/>
      <c r="BVV34" s="51"/>
      <c r="BVX34" s="51"/>
      <c r="BVY34" s="51"/>
      <c r="BWA34" s="51"/>
      <c r="BWD34" s="51"/>
      <c r="BWF34" s="51"/>
      <c r="BWG34" s="51"/>
      <c r="BWI34" s="51"/>
      <c r="BWL34" s="51"/>
      <c r="BWN34" s="51"/>
      <c r="BWO34" s="51"/>
      <c r="BWQ34" s="51"/>
      <c r="BWT34" s="51"/>
      <c r="BWV34" s="51"/>
      <c r="BWW34" s="51"/>
      <c r="BWY34" s="51"/>
      <c r="BXB34" s="51"/>
      <c r="BXD34" s="51"/>
      <c r="BXE34" s="51"/>
      <c r="BXG34" s="51"/>
      <c r="BXJ34" s="51"/>
      <c r="BXL34" s="51"/>
      <c r="BXM34" s="51"/>
      <c r="BXO34" s="51"/>
      <c r="BXR34" s="51"/>
      <c r="BXT34" s="51"/>
      <c r="BXU34" s="51"/>
      <c r="BXW34" s="51"/>
      <c r="BXZ34" s="51"/>
      <c r="BYB34" s="51"/>
      <c r="BYC34" s="51"/>
      <c r="BYE34" s="51"/>
      <c r="BYH34" s="51"/>
      <c r="BYJ34" s="51"/>
      <c r="BYK34" s="51"/>
      <c r="BYM34" s="51"/>
      <c r="BYP34" s="51"/>
      <c r="BYR34" s="51"/>
      <c r="BYS34" s="51"/>
      <c r="BYU34" s="51"/>
      <c r="BYX34" s="51"/>
      <c r="BYZ34" s="51"/>
      <c r="BZA34" s="51"/>
      <c r="BZC34" s="51"/>
      <c r="BZF34" s="51"/>
      <c r="BZH34" s="51"/>
      <c r="BZI34" s="51"/>
      <c r="BZK34" s="51"/>
      <c r="BZN34" s="51"/>
      <c r="BZP34" s="51"/>
      <c r="BZQ34" s="51"/>
      <c r="BZS34" s="51"/>
      <c r="BZV34" s="51"/>
      <c r="BZX34" s="51"/>
      <c r="BZY34" s="51"/>
      <c r="CAA34" s="51"/>
      <c r="CAD34" s="51"/>
      <c r="CAF34" s="51"/>
      <c r="CAG34" s="51"/>
      <c r="CAI34" s="51"/>
      <c r="CAL34" s="51"/>
      <c r="CAN34" s="51"/>
      <c r="CAO34" s="51"/>
      <c r="CAQ34" s="51"/>
      <c r="CAT34" s="51"/>
      <c r="CAV34" s="51"/>
      <c r="CAW34" s="51"/>
      <c r="CAY34" s="51"/>
      <c r="CBB34" s="51"/>
      <c r="CBD34" s="51"/>
      <c r="CBE34" s="51"/>
      <c r="CBG34" s="51"/>
      <c r="CBJ34" s="51"/>
      <c r="CBL34" s="51"/>
      <c r="CBM34" s="51"/>
      <c r="CBO34" s="51"/>
      <c r="CBR34" s="51"/>
      <c r="CBT34" s="51"/>
      <c r="CBU34" s="51"/>
      <c r="CBW34" s="51"/>
      <c r="CBZ34" s="51"/>
      <c r="CCB34" s="51"/>
      <c r="CCC34" s="51"/>
      <c r="CCE34" s="51"/>
      <c r="CCH34" s="51"/>
      <c r="CCJ34" s="51"/>
      <c r="CCK34" s="51"/>
      <c r="CCM34" s="51"/>
      <c r="CCP34" s="51"/>
      <c r="CCR34" s="51"/>
      <c r="CCS34" s="51"/>
      <c r="CCU34" s="51"/>
      <c r="CCX34" s="51"/>
      <c r="CCZ34" s="51"/>
      <c r="CDA34" s="51"/>
      <c r="CDC34" s="51"/>
      <c r="CDF34" s="51"/>
      <c r="CDH34" s="51"/>
      <c r="CDI34" s="51"/>
      <c r="CDK34" s="51"/>
      <c r="CDN34" s="51"/>
      <c r="CDP34" s="51"/>
      <c r="CDQ34" s="51"/>
      <c r="CDS34" s="51"/>
      <c r="CDV34" s="51"/>
      <c r="CDX34" s="51"/>
      <c r="CDY34" s="51"/>
      <c r="CEA34" s="51"/>
      <c r="CED34" s="51"/>
      <c r="CEF34" s="51"/>
      <c r="CEG34" s="51"/>
      <c r="CEI34" s="51"/>
      <c r="CEL34" s="51"/>
      <c r="CEN34" s="51"/>
      <c r="CEO34" s="51"/>
      <c r="CEQ34" s="51"/>
      <c r="CET34" s="51"/>
      <c r="CEV34" s="51"/>
      <c r="CEW34" s="51"/>
      <c r="CEY34" s="51"/>
      <c r="CFB34" s="51"/>
      <c r="CFD34" s="51"/>
      <c r="CFE34" s="51"/>
      <c r="CFG34" s="51"/>
      <c r="CFJ34" s="51"/>
      <c r="CFL34" s="51"/>
      <c r="CFM34" s="51"/>
      <c r="CFO34" s="51"/>
      <c r="CFR34" s="51"/>
      <c r="CFT34" s="51"/>
      <c r="CFU34" s="51"/>
      <c r="CFW34" s="51"/>
      <c r="CFZ34" s="51"/>
      <c r="CGB34" s="51"/>
      <c r="CGC34" s="51"/>
      <c r="CGE34" s="51"/>
      <c r="CGH34" s="51"/>
      <c r="CGJ34" s="51"/>
      <c r="CGK34" s="51"/>
      <c r="CGM34" s="51"/>
      <c r="CGP34" s="51"/>
      <c r="CGR34" s="51"/>
      <c r="CGS34" s="51"/>
      <c r="CGU34" s="51"/>
      <c r="CGX34" s="51"/>
      <c r="CGZ34" s="51"/>
      <c r="CHA34" s="51"/>
      <c r="CHC34" s="51"/>
      <c r="CHF34" s="51"/>
      <c r="CHH34" s="51"/>
      <c r="CHI34" s="51"/>
      <c r="CHK34" s="51"/>
      <c r="CHN34" s="51"/>
      <c r="CHP34" s="51"/>
      <c r="CHQ34" s="51"/>
      <c r="CHS34" s="51"/>
      <c r="CHV34" s="51"/>
      <c r="CHX34" s="51"/>
      <c r="CHY34" s="51"/>
      <c r="CIA34" s="51"/>
      <c r="CID34" s="51"/>
      <c r="CIF34" s="51"/>
      <c r="CIG34" s="51"/>
      <c r="CII34" s="51"/>
      <c r="CIL34" s="51"/>
      <c r="CIN34" s="51"/>
      <c r="CIO34" s="51"/>
      <c r="CIQ34" s="51"/>
      <c r="CIT34" s="51"/>
      <c r="CIV34" s="51"/>
      <c r="CIW34" s="51"/>
      <c r="CIY34" s="51"/>
      <c r="CJB34" s="51"/>
      <c r="CJD34" s="51"/>
      <c r="CJE34" s="51"/>
      <c r="CJG34" s="51"/>
      <c r="CJJ34" s="51"/>
      <c r="CJL34" s="51"/>
      <c r="CJM34" s="51"/>
      <c r="CJO34" s="51"/>
      <c r="CJR34" s="51"/>
      <c r="CJT34" s="51"/>
      <c r="CJU34" s="51"/>
      <c r="CJW34" s="51"/>
      <c r="CJZ34" s="51"/>
      <c r="CKB34" s="51"/>
      <c r="CKC34" s="51"/>
      <c r="CKE34" s="51"/>
      <c r="CKH34" s="51"/>
      <c r="CKJ34" s="51"/>
      <c r="CKK34" s="51"/>
      <c r="CKM34" s="51"/>
      <c r="CKP34" s="51"/>
      <c r="CKR34" s="51"/>
      <c r="CKS34" s="51"/>
      <c r="CKU34" s="51"/>
      <c r="CKX34" s="51"/>
      <c r="CKZ34" s="51"/>
      <c r="CLA34" s="51"/>
      <c r="CLC34" s="51"/>
      <c r="CLF34" s="51"/>
      <c r="CLH34" s="51"/>
      <c r="CLI34" s="51"/>
      <c r="CLK34" s="51"/>
      <c r="CLN34" s="51"/>
      <c r="CLP34" s="51"/>
      <c r="CLQ34" s="51"/>
      <c r="CLS34" s="51"/>
      <c r="CLV34" s="51"/>
      <c r="CLX34" s="51"/>
      <c r="CLY34" s="51"/>
      <c r="CMA34" s="51"/>
      <c r="CMD34" s="51"/>
      <c r="CMF34" s="51"/>
      <c r="CMG34" s="51"/>
      <c r="CMI34" s="51"/>
      <c r="CML34" s="51"/>
      <c r="CMN34" s="51"/>
      <c r="CMO34" s="51"/>
      <c r="CMQ34" s="51"/>
      <c r="CMT34" s="51"/>
      <c r="CMV34" s="51"/>
      <c r="CMW34" s="51"/>
      <c r="CMY34" s="51"/>
      <c r="CNB34" s="51"/>
      <c r="CND34" s="51"/>
      <c r="CNE34" s="51"/>
      <c r="CNG34" s="51"/>
      <c r="CNJ34" s="51"/>
      <c r="CNL34" s="51"/>
      <c r="CNM34" s="51"/>
      <c r="CNO34" s="51"/>
      <c r="CNR34" s="51"/>
      <c r="CNT34" s="51"/>
      <c r="CNU34" s="51"/>
      <c r="CNW34" s="51"/>
      <c r="CNZ34" s="51"/>
      <c r="COB34" s="51"/>
      <c r="COC34" s="51"/>
      <c r="COE34" s="51"/>
      <c r="COH34" s="51"/>
      <c r="COJ34" s="51"/>
      <c r="COK34" s="51"/>
      <c r="COM34" s="51"/>
      <c r="COP34" s="51"/>
      <c r="COR34" s="51"/>
      <c r="COS34" s="51"/>
      <c r="COU34" s="51"/>
      <c r="COX34" s="51"/>
      <c r="COZ34" s="51"/>
      <c r="CPA34" s="51"/>
      <c r="CPC34" s="51"/>
      <c r="CPF34" s="51"/>
      <c r="CPH34" s="51"/>
      <c r="CPI34" s="51"/>
      <c r="CPK34" s="51"/>
      <c r="CPN34" s="51"/>
      <c r="CPP34" s="51"/>
      <c r="CPQ34" s="51"/>
      <c r="CPS34" s="51"/>
      <c r="CPV34" s="51"/>
      <c r="CPX34" s="51"/>
      <c r="CPY34" s="51"/>
      <c r="CQA34" s="51"/>
      <c r="CQD34" s="51"/>
      <c r="CQF34" s="51"/>
      <c r="CQG34" s="51"/>
      <c r="CQI34" s="51"/>
      <c r="CQL34" s="51"/>
      <c r="CQN34" s="51"/>
      <c r="CQO34" s="51"/>
      <c r="CQQ34" s="51"/>
      <c r="CQT34" s="51"/>
      <c r="CQV34" s="51"/>
      <c r="CQW34" s="51"/>
      <c r="CQY34" s="51"/>
      <c r="CRB34" s="51"/>
      <c r="CRD34" s="51"/>
      <c r="CRE34" s="51"/>
      <c r="CRG34" s="51"/>
      <c r="CRJ34" s="51"/>
      <c r="CRL34" s="51"/>
      <c r="CRM34" s="51"/>
      <c r="CRO34" s="51"/>
      <c r="CRR34" s="51"/>
      <c r="CRT34" s="51"/>
      <c r="CRU34" s="51"/>
      <c r="CRW34" s="51"/>
      <c r="CRZ34" s="51"/>
      <c r="CSB34" s="51"/>
      <c r="CSC34" s="51"/>
      <c r="CSE34" s="51"/>
      <c r="CSH34" s="51"/>
      <c r="CSJ34" s="51"/>
      <c r="CSK34" s="51"/>
      <c r="CSM34" s="51"/>
      <c r="CSP34" s="51"/>
      <c r="CSR34" s="51"/>
      <c r="CSS34" s="51"/>
      <c r="CSU34" s="51"/>
      <c r="CSX34" s="51"/>
      <c r="CSZ34" s="51"/>
      <c r="CTA34" s="51"/>
      <c r="CTC34" s="51"/>
      <c r="CTF34" s="51"/>
      <c r="CTH34" s="51"/>
      <c r="CTI34" s="51"/>
      <c r="CTK34" s="51"/>
      <c r="CTN34" s="51"/>
      <c r="CTP34" s="51"/>
      <c r="CTQ34" s="51"/>
      <c r="CTS34" s="51"/>
      <c r="CTV34" s="51"/>
      <c r="CTX34" s="51"/>
      <c r="CTY34" s="51"/>
      <c r="CUA34" s="51"/>
      <c r="CUD34" s="51"/>
      <c r="CUF34" s="51"/>
      <c r="CUG34" s="51"/>
      <c r="CUI34" s="51"/>
      <c r="CUL34" s="51"/>
      <c r="CUN34" s="51"/>
      <c r="CUO34" s="51"/>
      <c r="CUQ34" s="51"/>
      <c r="CUT34" s="51"/>
      <c r="CUV34" s="51"/>
      <c r="CUW34" s="51"/>
      <c r="CUY34" s="51"/>
      <c r="CVB34" s="51"/>
      <c r="CVD34" s="51"/>
      <c r="CVE34" s="51"/>
      <c r="CVG34" s="51"/>
      <c r="CVJ34" s="51"/>
      <c r="CVL34" s="51"/>
      <c r="CVM34" s="51"/>
      <c r="CVO34" s="51"/>
      <c r="CVR34" s="51"/>
      <c r="CVT34" s="51"/>
      <c r="CVU34" s="51"/>
      <c r="CVW34" s="51"/>
      <c r="CVZ34" s="51"/>
      <c r="CWB34" s="51"/>
      <c r="CWC34" s="51"/>
      <c r="CWE34" s="51"/>
      <c r="CWH34" s="51"/>
      <c r="CWJ34" s="51"/>
      <c r="CWK34" s="51"/>
      <c r="CWM34" s="51"/>
      <c r="CWP34" s="51"/>
      <c r="CWR34" s="51"/>
      <c r="CWS34" s="51"/>
      <c r="CWU34" s="51"/>
      <c r="CWX34" s="51"/>
      <c r="CWZ34" s="51"/>
      <c r="CXA34" s="51"/>
      <c r="CXC34" s="51"/>
      <c r="CXF34" s="51"/>
      <c r="CXH34" s="51"/>
      <c r="CXI34" s="51"/>
      <c r="CXK34" s="51"/>
      <c r="CXN34" s="51"/>
      <c r="CXP34" s="51"/>
      <c r="CXQ34" s="51"/>
      <c r="CXS34" s="51"/>
      <c r="CXV34" s="51"/>
      <c r="CXX34" s="51"/>
      <c r="CXY34" s="51"/>
      <c r="CYA34" s="51"/>
      <c r="CYD34" s="51"/>
      <c r="CYF34" s="51"/>
      <c r="CYG34" s="51"/>
      <c r="CYI34" s="51"/>
      <c r="CYL34" s="51"/>
      <c r="CYN34" s="51"/>
      <c r="CYO34" s="51"/>
      <c r="CYQ34" s="51"/>
      <c r="CYT34" s="51"/>
      <c r="CYV34" s="51"/>
      <c r="CYW34" s="51"/>
      <c r="CYY34" s="51"/>
      <c r="CZB34" s="51"/>
      <c r="CZD34" s="51"/>
      <c r="CZE34" s="51"/>
      <c r="CZG34" s="51"/>
      <c r="CZJ34" s="51"/>
      <c r="CZL34" s="51"/>
      <c r="CZM34" s="51"/>
      <c r="CZO34" s="51"/>
      <c r="CZR34" s="51"/>
      <c r="CZT34" s="51"/>
      <c r="CZU34" s="51"/>
      <c r="CZW34" s="51"/>
      <c r="CZZ34" s="51"/>
      <c r="DAB34" s="51"/>
      <c r="DAC34" s="51"/>
      <c r="DAE34" s="51"/>
      <c r="DAH34" s="51"/>
      <c r="DAJ34" s="51"/>
      <c r="DAK34" s="51"/>
      <c r="DAM34" s="51"/>
      <c r="DAP34" s="51"/>
      <c r="DAR34" s="51"/>
      <c r="DAS34" s="51"/>
      <c r="DAU34" s="51"/>
      <c r="DAX34" s="51"/>
      <c r="DAZ34" s="51"/>
      <c r="DBA34" s="51"/>
      <c r="DBC34" s="51"/>
      <c r="DBF34" s="51"/>
      <c r="DBH34" s="51"/>
      <c r="DBI34" s="51"/>
      <c r="DBK34" s="51"/>
      <c r="DBN34" s="51"/>
      <c r="DBP34" s="51"/>
      <c r="DBQ34" s="51"/>
      <c r="DBS34" s="51"/>
      <c r="DBV34" s="51"/>
      <c r="DBX34" s="51"/>
      <c r="DBY34" s="51"/>
      <c r="DCA34" s="51"/>
      <c r="DCD34" s="51"/>
      <c r="DCF34" s="51"/>
      <c r="DCG34" s="51"/>
      <c r="DCI34" s="51"/>
      <c r="DCL34" s="51"/>
      <c r="DCN34" s="51"/>
      <c r="DCO34" s="51"/>
      <c r="DCQ34" s="51"/>
      <c r="DCT34" s="51"/>
      <c r="DCV34" s="51"/>
      <c r="DCW34" s="51"/>
      <c r="DCY34" s="51"/>
      <c r="DDB34" s="51"/>
      <c r="DDD34" s="51"/>
      <c r="DDE34" s="51"/>
      <c r="DDG34" s="51"/>
      <c r="DDJ34" s="51"/>
      <c r="DDL34" s="51"/>
      <c r="DDM34" s="51"/>
      <c r="DDO34" s="51"/>
      <c r="DDR34" s="51"/>
      <c r="DDT34" s="51"/>
      <c r="DDU34" s="51"/>
      <c r="DDW34" s="51"/>
      <c r="DDZ34" s="51"/>
      <c r="DEB34" s="51"/>
      <c r="DEC34" s="51"/>
      <c r="DEE34" s="51"/>
      <c r="DEH34" s="51"/>
      <c r="DEJ34" s="51"/>
      <c r="DEK34" s="51"/>
      <c r="DEM34" s="51"/>
      <c r="DEP34" s="51"/>
      <c r="DER34" s="51"/>
      <c r="DES34" s="51"/>
      <c r="DEU34" s="51"/>
      <c r="DEX34" s="51"/>
      <c r="DEZ34" s="51"/>
      <c r="DFA34" s="51"/>
      <c r="DFC34" s="51"/>
      <c r="DFF34" s="51"/>
      <c r="DFH34" s="51"/>
      <c r="DFI34" s="51"/>
      <c r="DFK34" s="51"/>
      <c r="DFN34" s="51"/>
      <c r="DFP34" s="51"/>
      <c r="DFQ34" s="51"/>
      <c r="DFS34" s="51"/>
      <c r="DFV34" s="51"/>
      <c r="DFX34" s="51"/>
      <c r="DFY34" s="51"/>
      <c r="DGA34" s="51"/>
      <c r="DGD34" s="51"/>
      <c r="DGF34" s="51"/>
      <c r="DGG34" s="51"/>
      <c r="DGI34" s="51"/>
      <c r="DGL34" s="51"/>
      <c r="DGN34" s="51"/>
      <c r="DGO34" s="51"/>
      <c r="DGQ34" s="51"/>
      <c r="DGT34" s="51"/>
      <c r="DGV34" s="51"/>
      <c r="DGW34" s="51"/>
      <c r="DGY34" s="51"/>
      <c r="DHB34" s="51"/>
      <c r="DHD34" s="51"/>
      <c r="DHE34" s="51"/>
      <c r="DHG34" s="51"/>
      <c r="DHJ34" s="51"/>
      <c r="DHL34" s="51"/>
      <c r="DHM34" s="51"/>
      <c r="DHO34" s="51"/>
      <c r="DHR34" s="51"/>
      <c r="DHT34" s="51"/>
      <c r="DHU34" s="51"/>
      <c r="DHW34" s="51"/>
      <c r="DHZ34" s="51"/>
      <c r="DIB34" s="51"/>
      <c r="DIC34" s="51"/>
      <c r="DIE34" s="51"/>
      <c r="DIH34" s="51"/>
      <c r="DIJ34" s="51"/>
      <c r="DIK34" s="51"/>
      <c r="DIM34" s="51"/>
      <c r="DIP34" s="51"/>
      <c r="DIR34" s="51"/>
      <c r="DIS34" s="51"/>
      <c r="DIU34" s="51"/>
      <c r="DIX34" s="51"/>
      <c r="DIZ34" s="51"/>
      <c r="DJA34" s="51"/>
      <c r="DJC34" s="51"/>
      <c r="DJF34" s="51"/>
      <c r="DJH34" s="51"/>
      <c r="DJI34" s="51"/>
      <c r="DJK34" s="51"/>
      <c r="DJN34" s="51"/>
      <c r="DJP34" s="51"/>
      <c r="DJQ34" s="51"/>
      <c r="DJS34" s="51"/>
      <c r="DJV34" s="51"/>
      <c r="DJX34" s="51"/>
      <c r="DJY34" s="51"/>
      <c r="DKA34" s="51"/>
      <c r="DKD34" s="51"/>
      <c r="DKF34" s="51"/>
      <c r="DKG34" s="51"/>
      <c r="DKI34" s="51"/>
      <c r="DKL34" s="51"/>
      <c r="DKN34" s="51"/>
      <c r="DKO34" s="51"/>
      <c r="DKQ34" s="51"/>
      <c r="DKT34" s="51"/>
      <c r="DKV34" s="51"/>
      <c r="DKW34" s="51"/>
      <c r="DKY34" s="51"/>
      <c r="DLB34" s="51"/>
      <c r="DLD34" s="51"/>
      <c r="DLE34" s="51"/>
      <c r="DLG34" s="51"/>
      <c r="DLJ34" s="51"/>
      <c r="DLL34" s="51"/>
      <c r="DLM34" s="51"/>
      <c r="DLO34" s="51"/>
      <c r="DLR34" s="51"/>
      <c r="DLT34" s="51"/>
      <c r="DLU34" s="51"/>
      <c r="DLW34" s="51"/>
      <c r="DLZ34" s="51"/>
      <c r="DMB34" s="51"/>
      <c r="DMC34" s="51"/>
      <c r="DME34" s="51"/>
      <c r="DMH34" s="51"/>
      <c r="DMJ34" s="51"/>
      <c r="DMK34" s="51"/>
      <c r="DMM34" s="51"/>
      <c r="DMP34" s="51"/>
      <c r="DMR34" s="51"/>
      <c r="DMS34" s="51"/>
      <c r="DMU34" s="51"/>
      <c r="DMX34" s="51"/>
      <c r="DMZ34" s="51"/>
      <c r="DNA34" s="51"/>
      <c r="DNC34" s="51"/>
      <c r="DNF34" s="51"/>
      <c r="DNH34" s="51"/>
      <c r="DNI34" s="51"/>
      <c r="DNK34" s="51"/>
      <c r="DNN34" s="51"/>
      <c r="DNP34" s="51"/>
      <c r="DNQ34" s="51"/>
      <c r="DNS34" s="51"/>
      <c r="DNV34" s="51"/>
      <c r="DNX34" s="51"/>
      <c r="DNY34" s="51"/>
      <c r="DOA34" s="51"/>
      <c r="DOD34" s="51"/>
      <c r="DOF34" s="51"/>
      <c r="DOG34" s="51"/>
      <c r="DOI34" s="51"/>
      <c r="DOL34" s="51"/>
      <c r="DON34" s="51"/>
      <c r="DOO34" s="51"/>
      <c r="DOQ34" s="51"/>
      <c r="DOT34" s="51"/>
      <c r="DOV34" s="51"/>
      <c r="DOW34" s="51"/>
      <c r="DOY34" s="51"/>
      <c r="DPB34" s="51"/>
      <c r="DPD34" s="51"/>
      <c r="DPE34" s="51"/>
      <c r="DPG34" s="51"/>
      <c r="DPJ34" s="51"/>
      <c r="DPL34" s="51"/>
      <c r="DPM34" s="51"/>
      <c r="DPO34" s="51"/>
      <c r="DPR34" s="51"/>
      <c r="DPT34" s="51"/>
      <c r="DPU34" s="51"/>
      <c r="DPW34" s="51"/>
      <c r="DPZ34" s="51"/>
      <c r="DQB34" s="51"/>
      <c r="DQC34" s="51"/>
      <c r="DQE34" s="51"/>
      <c r="DQH34" s="51"/>
      <c r="DQJ34" s="51"/>
      <c r="DQK34" s="51"/>
      <c r="DQM34" s="51"/>
      <c r="DQP34" s="51"/>
      <c r="DQR34" s="51"/>
      <c r="DQS34" s="51"/>
      <c r="DQU34" s="51"/>
      <c r="DQX34" s="51"/>
      <c r="DQZ34" s="51"/>
      <c r="DRA34" s="51"/>
      <c r="DRC34" s="51"/>
      <c r="DRF34" s="51"/>
      <c r="DRH34" s="51"/>
      <c r="DRI34" s="51"/>
      <c r="DRK34" s="51"/>
      <c r="DRN34" s="51"/>
      <c r="DRP34" s="51"/>
      <c r="DRQ34" s="51"/>
      <c r="DRS34" s="51"/>
      <c r="DRV34" s="51"/>
      <c r="DRX34" s="51"/>
      <c r="DRY34" s="51"/>
      <c r="DSA34" s="51"/>
      <c r="DSD34" s="51"/>
      <c r="DSF34" s="51"/>
      <c r="DSG34" s="51"/>
      <c r="DSI34" s="51"/>
      <c r="DSL34" s="51"/>
      <c r="DSN34" s="51"/>
      <c r="DSO34" s="51"/>
      <c r="DSQ34" s="51"/>
      <c r="DST34" s="51"/>
      <c r="DSV34" s="51"/>
      <c r="DSW34" s="51"/>
      <c r="DSY34" s="51"/>
      <c r="DTB34" s="51"/>
      <c r="DTD34" s="51"/>
      <c r="DTE34" s="51"/>
      <c r="DTG34" s="51"/>
      <c r="DTJ34" s="51"/>
      <c r="DTL34" s="51"/>
      <c r="DTM34" s="51"/>
      <c r="DTO34" s="51"/>
      <c r="DTR34" s="51"/>
      <c r="DTT34" s="51"/>
      <c r="DTU34" s="51"/>
      <c r="DTW34" s="51"/>
      <c r="DTZ34" s="51"/>
      <c r="DUB34" s="51"/>
      <c r="DUC34" s="51"/>
      <c r="DUE34" s="51"/>
      <c r="DUH34" s="51"/>
      <c r="DUJ34" s="51"/>
      <c r="DUK34" s="51"/>
      <c r="DUM34" s="51"/>
      <c r="DUP34" s="51"/>
      <c r="DUR34" s="51"/>
      <c r="DUS34" s="51"/>
      <c r="DUU34" s="51"/>
      <c r="DUX34" s="51"/>
      <c r="DUZ34" s="51"/>
      <c r="DVA34" s="51"/>
      <c r="DVC34" s="51"/>
      <c r="DVF34" s="51"/>
      <c r="DVH34" s="51"/>
      <c r="DVI34" s="51"/>
      <c r="DVK34" s="51"/>
      <c r="DVN34" s="51"/>
      <c r="DVP34" s="51"/>
      <c r="DVQ34" s="51"/>
      <c r="DVS34" s="51"/>
      <c r="DVV34" s="51"/>
      <c r="DVX34" s="51"/>
      <c r="DVY34" s="51"/>
      <c r="DWA34" s="51"/>
      <c r="DWD34" s="51"/>
      <c r="DWF34" s="51"/>
      <c r="DWG34" s="51"/>
      <c r="DWI34" s="51"/>
      <c r="DWL34" s="51"/>
      <c r="DWN34" s="51"/>
      <c r="DWO34" s="51"/>
      <c r="DWQ34" s="51"/>
      <c r="DWT34" s="51"/>
      <c r="DWV34" s="51"/>
      <c r="DWW34" s="51"/>
      <c r="DWY34" s="51"/>
      <c r="DXB34" s="51"/>
      <c r="DXD34" s="51"/>
      <c r="DXE34" s="51"/>
      <c r="DXG34" s="51"/>
      <c r="DXJ34" s="51"/>
      <c r="DXL34" s="51"/>
      <c r="DXM34" s="51"/>
      <c r="DXO34" s="51"/>
      <c r="DXR34" s="51"/>
      <c r="DXT34" s="51"/>
      <c r="DXU34" s="51"/>
      <c r="DXW34" s="51"/>
      <c r="DXZ34" s="51"/>
      <c r="DYB34" s="51"/>
      <c r="DYC34" s="51"/>
      <c r="DYE34" s="51"/>
      <c r="DYH34" s="51"/>
      <c r="DYJ34" s="51"/>
      <c r="DYK34" s="51"/>
      <c r="DYM34" s="51"/>
      <c r="DYP34" s="51"/>
      <c r="DYR34" s="51"/>
      <c r="DYS34" s="51"/>
      <c r="DYU34" s="51"/>
      <c r="DYX34" s="51"/>
      <c r="DYZ34" s="51"/>
      <c r="DZA34" s="51"/>
      <c r="DZC34" s="51"/>
      <c r="DZF34" s="51"/>
      <c r="DZH34" s="51"/>
      <c r="DZI34" s="51"/>
      <c r="DZK34" s="51"/>
      <c r="DZN34" s="51"/>
      <c r="DZP34" s="51"/>
      <c r="DZQ34" s="51"/>
      <c r="DZS34" s="51"/>
      <c r="DZV34" s="51"/>
      <c r="DZX34" s="51"/>
      <c r="DZY34" s="51"/>
      <c r="EAA34" s="51"/>
      <c r="EAD34" s="51"/>
      <c r="EAF34" s="51"/>
      <c r="EAG34" s="51"/>
      <c r="EAI34" s="51"/>
      <c r="EAL34" s="51"/>
      <c r="EAN34" s="51"/>
      <c r="EAO34" s="51"/>
      <c r="EAQ34" s="51"/>
      <c r="EAT34" s="51"/>
      <c r="EAV34" s="51"/>
      <c r="EAW34" s="51"/>
      <c r="EAY34" s="51"/>
      <c r="EBB34" s="51"/>
      <c r="EBD34" s="51"/>
      <c r="EBE34" s="51"/>
      <c r="EBG34" s="51"/>
      <c r="EBJ34" s="51"/>
      <c r="EBL34" s="51"/>
      <c r="EBM34" s="51"/>
      <c r="EBO34" s="51"/>
      <c r="EBR34" s="51"/>
      <c r="EBT34" s="51"/>
      <c r="EBU34" s="51"/>
      <c r="EBW34" s="51"/>
      <c r="EBZ34" s="51"/>
      <c r="ECB34" s="51"/>
      <c r="ECC34" s="51"/>
      <c r="ECE34" s="51"/>
      <c r="ECH34" s="51"/>
      <c r="ECJ34" s="51"/>
      <c r="ECK34" s="51"/>
      <c r="ECM34" s="51"/>
      <c r="ECP34" s="51"/>
      <c r="ECR34" s="51"/>
      <c r="ECS34" s="51"/>
      <c r="ECU34" s="51"/>
      <c r="ECX34" s="51"/>
      <c r="ECZ34" s="51"/>
      <c r="EDA34" s="51"/>
      <c r="EDC34" s="51"/>
      <c r="EDF34" s="51"/>
      <c r="EDH34" s="51"/>
      <c r="EDI34" s="51"/>
      <c r="EDK34" s="51"/>
      <c r="EDN34" s="51"/>
      <c r="EDP34" s="51"/>
      <c r="EDQ34" s="51"/>
      <c r="EDS34" s="51"/>
      <c r="EDV34" s="51"/>
      <c r="EDX34" s="51"/>
      <c r="EDY34" s="51"/>
      <c r="EEA34" s="51"/>
      <c r="EED34" s="51"/>
      <c r="EEF34" s="51"/>
      <c r="EEG34" s="51"/>
      <c r="EEI34" s="51"/>
      <c r="EEL34" s="51"/>
      <c r="EEN34" s="51"/>
      <c r="EEO34" s="51"/>
      <c r="EEQ34" s="51"/>
      <c r="EET34" s="51"/>
      <c r="EEV34" s="51"/>
      <c r="EEW34" s="51"/>
      <c r="EEY34" s="51"/>
      <c r="EFB34" s="51"/>
      <c r="EFD34" s="51"/>
      <c r="EFE34" s="51"/>
      <c r="EFG34" s="51"/>
      <c r="EFJ34" s="51"/>
      <c r="EFL34" s="51"/>
      <c r="EFM34" s="51"/>
      <c r="EFO34" s="51"/>
      <c r="EFR34" s="51"/>
      <c r="EFT34" s="51"/>
      <c r="EFU34" s="51"/>
      <c r="EFW34" s="51"/>
      <c r="EFZ34" s="51"/>
      <c r="EGB34" s="51"/>
      <c r="EGC34" s="51"/>
      <c r="EGE34" s="51"/>
      <c r="EGH34" s="51"/>
      <c r="EGJ34" s="51"/>
      <c r="EGK34" s="51"/>
      <c r="EGM34" s="51"/>
      <c r="EGP34" s="51"/>
      <c r="EGR34" s="51"/>
      <c r="EGS34" s="51"/>
      <c r="EGU34" s="51"/>
      <c r="EGX34" s="51"/>
      <c r="EGZ34" s="51"/>
      <c r="EHA34" s="51"/>
      <c r="EHC34" s="51"/>
      <c r="EHF34" s="51"/>
      <c r="EHH34" s="51"/>
      <c r="EHI34" s="51"/>
      <c r="EHK34" s="51"/>
      <c r="EHN34" s="51"/>
      <c r="EHP34" s="51"/>
      <c r="EHQ34" s="51"/>
      <c r="EHS34" s="51"/>
      <c r="EHV34" s="51"/>
      <c r="EHX34" s="51"/>
      <c r="EHY34" s="51"/>
      <c r="EIA34" s="51"/>
      <c r="EID34" s="51"/>
      <c r="EIF34" s="51"/>
      <c r="EIG34" s="51"/>
      <c r="EII34" s="51"/>
      <c r="EIL34" s="51"/>
      <c r="EIN34" s="51"/>
      <c r="EIO34" s="51"/>
      <c r="EIQ34" s="51"/>
      <c r="EIT34" s="51"/>
      <c r="EIV34" s="51"/>
      <c r="EIW34" s="51"/>
      <c r="EIY34" s="51"/>
      <c r="EJB34" s="51"/>
      <c r="EJD34" s="51"/>
      <c r="EJE34" s="51"/>
      <c r="EJG34" s="51"/>
      <c r="EJJ34" s="51"/>
      <c r="EJL34" s="51"/>
      <c r="EJM34" s="51"/>
      <c r="EJO34" s="51"/>
      <c r="EJR34" s="51"/>
      <c r="EJT34" s="51"/>
      <c r="EJU34" s="51"/>
      <c r="EJW34" s="51"/>
      <c r="EJZ34" s="51"/>
      <c r="EKB34" s="51"/>
      <c r="EKC34" s="51"/>
      <c r="EKE34" s="51"/>
      <c r="EKH34" s="51"/>
      <c r="EKJ34" s="51"/>
      <c r="EKK34" s="51"/>
      <c r="EKM34" s="51"/>
      <c r="EKP34" s="51"/>
      <c r="EKR34" s="51"/>
      <c r="EKS34" s="51"/>
      <c r="EKU34" s="51"/>
      <c r="EKX34" s="51"/>
      <c r="EKZ34" s="51"/>
      <c r="ELA34" s="51"/>
      <c r="ELC34" s="51"/>
      <c r="ELF34" s="51"/>
      <c r="ELH34" s="51"/>
      <c r="ELI34" s="51"/>
      <c r="ELK34" s="51"/>
      <c r="ELN34" s="51"/>
      <c r="ELP34" s="51"/>
      <c r="ELQ34" s="51"/>
      <c r="ELS34" s="51"/>
      <c r="ELV34" s="51"/>
      <c r="ELX34" s="51"/>
      <c r="ELY34" s="51"/>
      <c r="EMA34" s="51"/>
      <c r="EMD34" s="51"/>
      <c r="EMF34" s="51"/>
      <c r="EMG34" s="51"/>
      <c r="EMI34" s="51"/>
      <c r="EML34" s="51"/>
      <c r="EMN34" s="51"/>
      <c r="EMO34" s="51"/>
      <c r="EMQ34" s="51"/>
      <c r="EMT34" s="51"/>
      <c r="EMV34" s="51"/>
      <c r="EMW34" s="51"/>
      <c r="EMY34" s="51"/>
      <c r="ENB34" s="51"/>
      <c r="END34" s="51"/>
      <c r="ENE34" s="51"/>
      <c r="ENG34" s="51"/>
      <c r="ENJ34" s="51"/>
      <c r="ENL34" s="51"/>
      <c r="ENM34" s="51"/>
      <c r="ENO34" s="51"/>
      <c r="ENR34" s="51"/>
      <c r="ENT34" s="51"/>
      <c r="ENU34" s="51"/>
      <c r="ENW34" s="51"/>
      <c r="ENZ34" s="51"/>
      <c r="EOB34" s="51"/>
      <c r="EOC34" s="51"/>
      <c r="EOE34" s="51"/>
      <c r="EOH34" s="51"/>
      <c r="EOJ34" s="51"/>
      <c r="EOK34" s="51"/>
      <c r="EOM34" s="51"/>
      <c r="EOP34" s="51"/>
      <c r="EOR34" s="51"/>
      <c r="EOS34" s="51"/>
      <c r="EOU34" s="51"/>
      <c r="EOX34" s="51"/>
      <c r="EOZ34" s="51"/>
      <c r="EPA34" s="51"/>
      <c r="EPC34" s="51"/>
      <c r="EPF34" s="51"/>
      <c r="EPH34" s="51"/>
      <c r="EPI34" s="51"/>
      <c r="EPK34" s="51"/>
      <c r="EPN34" s="51"/>
      <c r="EPP34" s="51"/>
      <c r="EPQ34" s="51"/>
      <c r="EPS34" s="51"/>
      <c r="EPV34" s="51"/>
      <c r="EPX34" s="51"/>
      <c r="EPY34" s="51"/>
      <c r="EQA34" s="51"/>
      <c r="EQD34" s="51"/>
      <c r="EQF34" s="51"/>
      <c r="EQG34" s="51"/>
      <c r="EQI34" s="51"/>
      <c r="EQL34" s="51"/>
      <c r="EQN34" s="51"/>
      <c r="EQO34" s="51"/>
      <c r="EQQ34" s="51"/>
      <c r="EQT34" s="51"/>
      <c r="EQV34" s="51"/>
      <c r="EQW34" s="51"/>
      <c r="EQY34" s="51"/>
      <c r="ERB34" s="51"/>
      <c r="ERD34" s="51"/>
      <c r="ERE34" s="51"/>
      <c r="ERG34" s="51"/>
      <c r="ERJ34" s="51"/>
      <c r="ERL34" s="51"/>
      <c r="ERM34" s="51"/>
      <c r="ERO34" s="51"/>
      <c r="ERR34" s="51"/>
      <c r="ERT34" s="51"/>
      <c r="ERU34" s="51"/>
      <c r="ERW34" s="51"/>
      <c r="ERZ34" s="51"/>
      <c r="ESB34" s="51"/>
      <c r="ESC34" s="51"/>
      <c r="ESE34" s="51"/>
      <c r="ESH34" s="51"/>
      <c r="ESJ34" s="51"/>
      <c r="ESK34" s="51"/>
      <c r="ESM34" s="51"/>
      <c r="ESP34" s="51"/>
      <c r="ESR34" s="51"/>
      <c r="ESS34" s="51"/>
      <c r="ESU34" s="51"/>
      <c r="ESX34" s="51"/>
      <c r="ESZ34" s="51"/>
      <c r="ETA34" s="51"/>
      <c r="ETC34" s="51"/>
      <c r="ETF34" s="51"/>
      <c r="ETH34" s="51"/>
      <c r="ETI34" s="51"/>
      <c r="ETK34" s="51"/>
      <c r="ETN34" s="51"/>
      <c r="ETP34" s="51"/>
      <c r="ETQ34" s="51"/>
      <c r="ETS34" s="51"/>
      <c r="ETV34" s="51"/>
      <c r="ETX34" s="51"/>
      <c r="ETY34" s="51"/>
      <c r="EUA34" s="51"/>
      <c r="EUD34" s="51"/>
      <c r="EUF34" s="51"/>
      <c r="EUG34" s="51"/>
      <c r="EUI34" s="51"/>
      <c r="EUL34" s="51"/>
      <c r="EUN34" s="51"/>
      <c r="EUO34" s="51"/>
      <c r="EUQ34" s="51"/>
      <c r="EUT34" s="51"/>
      <c r="EUV34" s="51"/>
      <c r="EUW34" s="51"/>
      <c r="EUY34" s="51"/>
      <c r="EVB34" s="51"/>
      <c r="EVD34" s="51"/>
      <c r="EVE34" s="51"/>
      <c r="EVG34" s="51"/>
      <c r="EVJ34" s="51"/>
      <c r="EVL34" s="51"/>
      <c r="EVM34" s="51"/>
      <c r="EVO34" s="51"/>
      <c r="EVR34" s="51"/>
      <c r="EVT34" s="51"/>
      <c r="EVU34" s="51"/>
      <c r="EVW34" s="51"/>
      <c r="EVZ34" s="51"/>
      <c r="EWB34" s="51"/>
      <c r="EWC34" s="51"/>
      <c r="EWE34" s="51"/>
      <c r="EWH34" s="51"/>
      <c r="EWJ34" s="51"/>
      <c r="EWK34" s="51"/>
      <c r="EWM34" s="51"/>
      <c r="EWP34" s="51"/>
      <c r="EWR34" s="51"/>
      <c r="EWS34" s="51"/>
      <c r="EWU34" s="51"/>
      <c r="EWX34" s="51"/>
      <c r="EWZ34" s="51"/>
      <c r="EXA34" s="51"/>
      <c r="EXC34" s="51"/>
      <c r="EXF34" s="51"/>
      <c r="EXH34" s="51"/>
      <c r="EXI34" s="51"/>
      <c r="EXK34" s="51"/>
      <c r="EXN34" s="51"/>
      <c r="EXP34" s="51"/>
      <c r="EXQ34" s="51"/>
      <c r="EXS34" s="51"/>
      <c r="EXV34" s="51"/>
      <c r="EXX34" s="51"/>
      <c r="EXY34" s="51"/>
      <c r="EYA34" s="51"/>
      <c r="EYD34" s="51"/>
      <c r="EYF34" s="51"/>
      <c r="EYG34" s="51"/>
      <c r="EYI34" s="51"/>
      <c r="EYL34" s="51"/>
      <c r="EYN34" s="51"/>
      <c r="EYO34" s="51"/>
      <c r="EYQ34" s="51"/>
      <c r="EYT34" s="51"/>
      <c r="EYV34" s="51"/>
      <c r="EYW34" s="51"/>
      <c r="EYY34" s="51"/>
      <c r="EZB34" s="51"/>
      <c r="EZD34" s="51"/>
      <c r="EZE34" s="51"/>
      <c r="EZG34" s="51"/>
      <c r="EZJ34" s="51"/>
      <c r="EZL34" s="51"/>
      <c r="EZM34" s="51"/>
      <c r="EZO34" s="51"/>
      <c r="EZR34" s="51"/>
      <c r="EZT34" s="51"/>
      <c r="EZU34" s="51"/>
      <c r="EZW34" s="51"/>
      <c r="EZZ34" s="51"/>
      <c r="FAB34" s="51"/>
      <c r="FAC34" s="51"/>
      <c r="FAE34" s="51"/>
      <c r="FAH34" s="51"/>
      <c r="FAJ34" s="51"/>
      <c r="FAK34" s="51"/>
      <c r="FAM34" s="51"/>
      <c r="FAP34" s="51"/>
      <c r="FAR34" s="51"/>
      <c r="FAS34" s="51"/>
      <c r="FAU34" s="51"/>
      <c r="FAX34" s="51"/>
      <c r="FAZ34" s="51"/>
      <c r="FBA34" s="51"/>
      <c r="FBC34" s="51"/>
      <c r="FBF34" s="51"/>
      <c r="FBH34" s="51"/>
      <c r="FBI34" s="51"/>
      <c r="FBK34" s="51"/>
      <c r="FBN34" s="51"/>
      <c r="FBP34" s="51"/>
      <c r="FBQ34" s="51"/>
      <c r="FBS34" s="51"/>
      <c r="FBV34" s="51"/>
      <c r="FBX34" s="51"/>
      <c r="FBY34" s="51"/>
      <c r="FCA34" s="51"/>
      <c r="FCD34" s="51"/>
      <c r="FCF34" s="51"/>
      <c r="FCG34" s="51"/>
      <c r="FCI34" s="51"/>
      <c r="FCL34" s="51"/>
      <c r="FCN34" s="51"/>
      <c r="FCO34" s="51"/>
      <c r="FCQ34" s="51"/>
      <c r="FCT34" s="51"/>
      <c r="FCV34" s="51"/>
      <c r="FCW34" s="51"/>
      <c r="FCY34" s="51"/>
      <c r="FDB34" s="51"/>
      <c r="FDD34" s="51"/>
      <c r="FDE34" s="51"/>
      <c r="FDG34" s="51"/>
      <c r="FDJ34" s="51"/>
      <c r="FDL34" s="51"/>
      <c r="FDM34" s="51"/>
      <c r="FDO34" s="51"/>
      <c r="FDR34" s="51"/>
      <c r="FDT34" s="51"/>
      <c r="FDU34" s="51"/>
      <c r="FDW34" s="51"/>
      <c r="FDZ34" s="51"/>
      <c r="FEB34" s="51"/>
      <c r="FEC34" s="51"/>
      <c r="FEE34" s="51"/>
      <c r="FEH34" s="51"/>
      <c r="FEJ34" s="51"/>
      <c r="FEK34" s="51"/>
      <c r="FEM34" s="51"/>
      <c r="FEP34" s="51"/>
      <c r="FER34" s="51"/>
      <c r="FES34" s="51"/>
      <c r="FEU34" s="51"/>
      <c r="FEX34" s="51"/>
      <c r="FEZ34" s="51"/>
      <c r="FFA34" s="51"/>
      <c r="FFC34" s="51"/>
      <c r="FFF34" s="51"/>
      <c r="FFH34" s="51"/>
      <c r="FFI34" s="51"/>
      <c r="FFK34" s="51"/>
      <c r="FFN34" s="51"/>
      <c r="FFP34" s="51"/>
      <c r="FFQ34" s="51"/>
      <c r="FFS34" s="51"/>
      <c r="FFV34" s="51"/>
      <c r="FFX34" s="51"/>
      <c r="FFY34" s="51"/>
      <c r="FGA34" s="51"/>
      <c r="FGD34" s="51"/>
      <c r="FGF34" s="51"/>
      <c r="FGG34" s="51"/>
      <c r="FGI34" s="51"/>
      <c r="FGL34" s="51"/>
      <c r="FGN34" s="51"/>
      <c r="FGO34" s="51"/>
      <c r="FGQ34" s="51"/>
      <c r="FGT34" s="51"/>
      <c r="FGV34" s="51"/>
      <c r="FGW34" s="51"/>
      <c r="FGY34" s="51"/>
      <c r="FHB34" s="51"/>
      <c r="FHD34" s="51"/>
      <c r="FHE34" s="51"/>
      <c r="FHG34" s="51"/>
      <c r="FHJ34" s="51"/>
      <c r="FHL34" s="51"/>
      <c r="FHM34" s="51"/>
      <c r="FHO34" s="51"/>
      <c r="FHR34" s="51"/>
      <c r="FHT34" s="51"/>
      <c r="FHU34" s="51"/>
      <c r="FHW34" s="51"/>
      <c r="FHZ34" s="51"/>
      <c r="FIB34" s="51"/>
      <c r="FIC34" s="51"/>
      <c r="FIE34" s="51"/>
      <c r="FIH34" s="51"/>
      <c r="FIJ34" s="51"/>
      <c r="FIK34" s="51"/>
      <c r="FIM34" s="51"/>
      <c r="FIP34" s="51"/>
      <c r="FIR34" s="51"/>
      <c r="FIS34" s="51"/>
      <c r="FIU34" s="51"/>
      <c r="FIX34" s="51"/>
      <c r="FIZ34" s="51"/>
      <c r="FJA34" s="51"/>
      <c r="FJC34" s="51"/>
      <c r="FJF34" s="51"/>
      <c r="FJH34" s="51"/>
      <c r="FJI34" s="51"/>
      <c r="FJK34" s="51"/>
      <c r="FJN34" s="51"/>
      <c r="FJP34" s="51"/>
      <c r="FJQ34" s="51"/>
      <c r="FJS34" s="51"/>
      <c r="FJV34" s="51"/>
      <c r="FJX34" s="51"/>
      <c r="FJY34" s="51"/>
      <c r="FKA34" s="51"/>
      <c r="FKD34" s="51"/>
      <c r="FKF34" s="51"/>
      <c r="FKG34" s="51"/>
      <c r="FKI34" s="51"/>
      <c r="FKL34" s="51"/>
      <c r="FKN34" s="51"/>
      <c r="FKO34" s="51"/>
      <c r="FKQ34" s="51"/>
      <c r="FKT34" s="51"/>
      <c r="FKV34" s="51"/>
      <c r="FKW34" s="51"/>
      <c r="FKY34" s="51"/>
      <c r="FLB34" s="51"/>
      <c r="FLD34" s="51"/>
      <c r="FLE34" s="51"/>
      <c r="FLG34" s="51"/>
      <c r="FLJ34" s="51"/>
      <c r="FLL34" s="51"/>
      <c r="FLM34" s="51"/>
      <c r="FLO34" s="51"/>
      <c r="FLR34" s="51"/>
      <c r="FLT34" s="51"/>
      <c r="FLU34" s="51"/>
      <c r="FLW34" s="51"/>
      <c r="FLZ34" s="51"/>
      <c r="FMB34" s="51"/>
      <c r="FMC34" s="51"/>
      <c r="FME34" s="51"/>
      <c r="FMH34" s="51"/>
      <c r="FMJ34" s="51"/>
      <c r="FMK34" s="51"/>
      <c r="FMM34" s="51"/>
      <c r="FMP34" s="51"/>
      <c r="FMR34" s="51"/>
      <c r="FMS34" s="51"/>
      <c r="FMU34" s="51"/>
      <c r="FMX34" s="51"/>
      <c r="FMZ34" s="51"/>
      <c r="FNA34" s="51"/>
      <c r="FNC34" s="51"/>
      <c r="FNF34" s="51"/>
      <c r="FNH34" s="51"/>
      <c r="FNI34" s="51"/>
      <c r="FNK34" s="51"/>
      <c r="FNN34" s="51"/>
      <c r="FNP34" s="51"/>
      <c r="FNQ34" s="51"/>
      <c r="FNS34" s="51"/>
      <c r="FNV34" s="51"/>
      <c r="FNX34" s="51"/>
      <c r="FNY34" s="51"/>
      <c r="FOA34" s="51"/>
      <c r="FOD34" s="51"/>
      <c r="FOF34" s="51"/>
      <c r="FOG34" s="51"/>
      <c r="FOI34" s="51"/>
      <c r="FOL34" s="51"/>
      <c r="FON34" s="51"/>
      <c r="FOO34" s="51"/>
      <c r="FOQ34" s="51"/>
      <c r="FOT34" s="51"/>
      <c r="FOV34" s="51"/>
      <c r="FOW34" s="51"/>
      <c r="FOY34" s="51"/>
      <c r="FPB34" s="51"/>
      <c r="FPD34" s="51"/>
      <c r="FPE34" s="51"/>
      <c r="FPG34" s="51"/>
      <c r="FPJ34" s="51"/>
      <c r="FPL34" s="51"/>
      <c r="FPM34" s="51"/>
      <c r="FPO34" s="51"/>
      <c r="FPR34" s="51"/>
      <c r="FPT34" s="51"/>
      <c r="FPU34" s="51"/>
      <c r="FPW34" s="51"/>
      <c r="FPZ34" s="51"/>
      <c r="FQB34" s="51"/>
      <c r="FQC34" s="51"/>
      <c r="FQE34" s="51"/>
      <c r="FQH34" s="51"/>
      <c r="FQJ34" s="51"/>
      <c r="FQK34" s="51"/>
      <c r="FQM34" s="51"/>
      <c r="FQP34" s="51"/>
      <c r="FQR34" s="51"/>
      <c r="FQS34" s="51"/>
      <c r="FQU34" s="51"/>
      <c r="FQX34" s="51"/>
      <c r="FQZ34" s="51"/>
      <c r="FRA34" s="51"/>
      <c r="FRC34" s="51"/>
      <c r="FRF34" s="51"/>
      <c r="FRH34" s="51"/>
      <c r="FRI34" s="51"/>
      <c r="FRK34" s="51"/>
      <c r="FRN34" s="51"/>
      <c r="FRP34" s="51"/>
      <c r="FRQ34" s="51"/>
      <c r="FRS34" s="51"/>
      <c r="FRV34" s="51"/>
      <c r="FRX34" s="51"/>
      <c r="FRY34" s="51"/>
      <c r="FSA34" s="51"/>
      <c r="FSD34" s="51"/>
      <c r="FSF34" s="51"/>
      <c r="FSG34" s="51"/>
      <c r="FSI34" s="51"/>
      <c r="FSL34" s="51"/>
      <c r="FSN34" s="51"/>
      <c r="FSO34" s="51"/>
      <c r="FSQ34" s="51"/>
      <c r="FST34" s="51"/>
      <c r="FSV34" s="51"/>
      <c r="FSW34" s="51"/>
      <c r="FSY34" s="51"/>
      <c r="FTB34" s="51"/>
      <c r="FTD34" s="51"/>
      <c r="FTE34" s="51"/>
      <c r="FTG34" s="51"/>
      <c r="FTJ34" s="51"/>
      <c r="FTL34" s="51"/>
      <c r="FTM34" s="51"/>
      <c r="FTO34" s="51"/>
      <c r="FTR34" s="51"/>
      <c r="FTT34" s="51"/>
      <c r="FTU34" s="51"/>
      <c r="FTW34" s="51"/>
      <c r="FTZ34" s="51"/>
      <c r="FUB34" s="51"/>
      <c r="FUC34" s="51"/>
      <c r="FUE34" s="51"/>
      <c r="FUH34" s="51"/>
      <c r="FUJ34" s="51"/>
      <c r="FUK34" s="51"/>
      <c r="FUM34" s="51"/>
      <c r="FUP34" s="51"/>
      <c r="FUR34" s="51"/>
      <c r="FUS34" s="51"/>
      <c r="FUU34" s="51"/>
      <c r="FUX34" s="51"/>
      <c r="FUZ34" s="51"/>
      <c r="FVA34" s="51"/>
      <c r="FVC34" s="51"/>
      <c r="FVF34" s="51"/>
      <c r="FVH34" s="51"/>
      <c r="FVI34" s="51"/>
      <c r="FVK34" s="51"/>
      <c r="FVN34" s="51"/>
      <c r="FVP34" s="51"/>
      <c r="FVQ34" s="51"/>
      <c r="FVS34" s="51"/>
      <c r="FVV34" s="51"/>
      <c r="FVX34" s="51"/>
      <c r="FVY34" s="51"/>
      <c r="FWA34" s="51"/>
      <c r="FWD34" s="51"/>
      <c r="FWF34" s="51"/>
      <c r="FWG34" s="51"/>
      <c r="FWI34" s="51"/>
      <c r="FWL34" s="51"/>
      <c r="FWN34" s="51"/>
      <c r="FWO34" s="51"/>
      <c r="FWQ34" s="51"/>
      <c r="FWT34" s="51"/>
      <c r="FWV34" s="51"/>
      <c r="FWW34" s="51"/>
      <c r="FWY34" s="51"/>
      <c r="FXB34" s="51"/>
      <c r="FXD34" s="51"/>
      <c r="FXE34" s="51"/>
      <c r="FXG34" s="51"/>
      <c r="FXJ34" s="51"/>
      <c r="FXL34" s="51"/>
      <c r="FXM34" s="51"/>
      <c r="FXO34" s="51"/>
      <c r="FXR34" s="51"/>
      <c r="FXT34" s="51"/>
      <c r="FXU34" s="51"/>
      <c r="FXW34" s="51"/>
      <c r="FXZ34" s="51"/>
      <c r="FYB34" s="51"/>
      <c r="FYC34" s="51"/>
      <c r="FYE34" s="51"/>
      <c r="FYH34" s="51"/>
      <c r="FYJ34" s="51"/>
      <c r="FYK34" s="51"/>
      <c r="FYM34" s="51"/>
      <c r="FYP34" s="51"/>
      <c r="FYR34" s="51"/>
      <c r="FYS34" s="51"/>
      <c r="FYU34" s="51"/>
      <c r="FYX34" s="51"/>
      <c r="FYZ34" s="51"/>
      <c r="FZA34" s="51"/>
      <c r="FZC34" s="51"/>
      <c r="FZF34" s="51"/>
      <c r="FZH34" s="51"/>
      <c r="FZI34" s="51"/>
      <c r="FZK34" s="51"/>
      <c r="FZN34" s="51"/>
      <c r="FZP34" s="51"/>
      <c r="FZQ34" s="51"/>
      <c r="FZS34" s="51"/>
      <c r="FZV34" s="51"/>
      <c r="FZX34" s="51"/>
      <c r="FZY34" s="51"/>
      <c r="GAA34" s="51"/>
      <c r="GAD34" s="51"/>
      <c r="GAF34" s="51"/>
      <c r="GAG34" s="51"/>
      <c r="GAI34" s="51"/>
      <c r="GAL34" s="51"/>
      <c r="GAN34" s="51"/>
      <c r="GAO34" s="51"/>
      <c r="GAQ34" s="51"/>
      <c r="GAT34" s="51"/>
      <c r="GAV34" s="51"/>
      <c r="GAW34" s="51"/>
      <c r="GAY34" s="51"/>
      <c r="GBB34" s="51"/>
      <c r="GBD34" s="51"/>
      <c r="GBE34" s="51"/>
      <c r="GBG34" s="51"/>
      <c r="GBJ34" s="51"/>
      <c r="GBL34" s="51"/>
      <c r="GBM34" s="51"/>
      <c r="GBO34" s="51"/>
      <c r="GBR34" s="51"/>
      <c r="GBT34" s="51"/>
      <c r="GBU34" s="51"/>
      <c r="GBW34" s="51"/>
      <c r="GBZ34" s="51"/>
      <c r="GCB34" s="51"/>
      <c r="GCC34" s="51"/>
      <c r="GCE34" s="51"/>
      <c r="GCH34" s="51"/>
      <c r="GCJ34" s="51"/>
      <c r="GCK34" s="51"/>
      <c r="GCM34" s="51"/>
      <c r="GCP34" s="51"/>
      <c r="GCR34" s="51"/>
      <c r="GCS34" s="51"/>
      <c r="GCU34" s="51"/>
      <c r="GCX34" s="51"/>
      <c r="GCZ34" s="51"/>
      <c r="GDA34" s="51"/>
      <c r="GDC34" s="51"/>
      <c r="GDF34" s="51"/>
      <c r="GDH34" s="51"/>
      <c r="GDI34" s="51"/>
      <c r="GDK34" s="51"/>
      <c r="GDN34" s="51"/>
      <c r="GDP34" s="51"/>
      <c r="GDQ34" s="51"/>
      <c r="GDS34" s="51"/>
      <c r="GDV34" s="51"/>
      <c r="GDX34" s="51"/>
      <c r="GDY34" s="51"/>
      <c r="GEA34" s="51"/>
      <c r="GED34" s="51"/>
      <c r="GEF34" s="51"/>
      <c r="GEG34" s="51"/>
      <c r="GEI34" s="51"/>
      <c r="GEL34" s="51"/>
      <c r="GEN34" s="51"/>
      <c r="GEO34" s="51"/>
      <c r="GEQ34" s="51"/>
      <c r="GET34" s="51"/>
      <c r="GEV34" s="51"/>
      <c r="GEW34" s="51"/>
      <c r="GEY34" s="51"/>
      <c r="GFB34" s="51"/>
      <c r="GFD34" s="51"/>
      <c r="GFE34" s="51"/>
      <c r="GFG34" s="51"/>
      <c r="GFJ34" s="51"/>
      <c r="GFL34" s="51"/>
      <c r="GFM34" s="51"/>
      <c r="GFO34" s="51"/>
      <c r="GFR34" s="51"/>
      <c r="GFT34" s="51"/>
      <c r="GFU34" s="51"/>
      <c r="GFW34" s="51"/>
      <c r="GFZ34" s="51"/>
      <c r="GGB34" s="51"/>
      <c r="GGC34" s="51"/>
      <c r="GGE34" s="51"/>
      <c r="GGH34" s="51"/>
      <c r="GGJ34" s="51"/>
      <c r="GGK34" s="51"/>
      <c r="GGM34" s="51"/>
      <c r="GGP34" s="51"/>
      <c r="GGR34" s="51"/>
      <c r="GGS34" s="51"/>
      <c r="GGU34" s="51"/>
      <c r="GGX34" s="51"/>
      <c r="GGZ34" s="51"/>
      <c r="GHA34" s="51"/>
      <c r="GHC34" s="51"/>
      <c r="GHF34" s="51"/>
      <c r="GHH34" s="51"/>
      <c r="GHI34" s="51"/>
      <c r="GHK34" s="51"/>
      <c r="GHN34" s="51"/>
      <c r="GHP34" s="51"/>
      <c r="GHQ34" s="51"/>
      <c r="GHS34" s="51"/>
      <c r="GHV34" s="51"/>
      <c r="GHX34" s="51"/>
      <c r="GHY34" s="51"/>
      <c r="GIA34" s="51"/>
      <c r="GID34" s="51"/>
      <c r="GIF34" s="51"/>
      <c r="GIG34" s="51"/>
      <c r="GII34" s="51"/>
      <c r="GIL34" s="51"/>
      <c r="GIN34" s="51"/>
      <c r="GIO34" s="51"/>
      <c r="GIQ34" s="51"/>
      <c r="GIT34" s="51"/>
      <c r="GIV34" s="51"/>
      <c r="GIW34" s="51"/>
      <c r="GIY34" s="51"/>
      <c r="GJB34" s="51"/>
      <c r="GJD34" s="51"/>
      <c r="GJE34" s="51"/>
      <c r="GJG34" s="51"/>
      <c r="GJJ34" s="51"/>
      <c r="GJL34" s="51"/>
      <c r="GJM34" s="51"/>
      <c r="GJO34" s="51"/>
      <c r="GJR34" s="51"/>
      <c r="GJT34" s="51"/>
      <c r="GJU34" s="51"/>
      <c r="GJW34" s="51"/>
      <c r="GJZ34" s="51"/>
      <c r="GKB34" s="51"/>
      <c r="GKC34" s="51"/>
      <c r="GKE34" s="51"/>
      <c r="GKH34" s="51"/>
      <c r="GKJ34" s="51"/>
      <c r="GKK34" s="51"/>
      <c r="GKM34" s="51"/>
      <c r="GKP34" s="51"/>
      <c r="GKR34" s="51"/>
      <c r="GKS34" s="51"/>
      <c r="GKU34" s="51"/>
      <c r="GKX34" s="51"/>
      <c r="GKZ34" s="51"/>
      <c r="GLA34" s="51"/>
      <c r="GLC34" s="51"/>
      <c r="GLF34" s="51"/>
      <c r="GLH34" s="51"/>
      <c r="GLI34" s="51"/>
      <c r="GLK34" s="51"/>
      <c r="GLN34" s="51"/>
      <c r="GLP34" s="51"/>
      <c r="GLQ34" s="51"/>
      <c r="GLS34" s="51"/>
      <c r="GLV34" s="51"/>
      <c r="GLX34" s="51"/>
      <c r="GLY34" s="51"/>
      <c r="GMA34" s="51"/>
      <c r="GMD34" s="51"/>
      <c r="GMF34" s="51"/>
      <c r="GMG34" s="51"/>
      <c r="GMI34" s="51"/>
      <c r="GML34" s="51"/>
      <c r="GMN34" s="51"/>
      <c r="GMO34" s="51"/>
      <c r="GMQ34" s="51"/>
      <c r="GMT34" s="51"/>
      <c r="GMV34" s="51"/>
      <c r="GMW34" s="51"/>
      <c r="GMY34" s="51"/>
      <c r="GNB34" s="51"/>
      <c r="GND34" s="51"/>
      <c r="GNE34" s="51"/>
      <c r="GNG34" s="51"/>
      <c r="GNJ34" s="51"/>
      <c r="GNL34" s="51"/>
      <c r="GNM34" s="51"/>
      <c r="GNO34" s="51"/>
      <c r="GNR34" s="51"/>
      <c r="GNT34" s="51"/>
      <c r="GNU34" s="51"/>
      <c r="GNW34" s="51"/>
      <c r="GNZ34" s="51"/>
      <c r="GOB34" s="51"/>
      <c r="GOC34" s="51"/>
      <c r="GOE34" s="51"/>
      <c r="GOH34" s="51"/>
      <c r="GOJ34" s="51"/>
      <c r="GOK34" s="51"/>
      <c r="GOM34" s="51"/>
      <c r="GOP34" s="51"/>
      <c r="GOR34" s="51"/>
      <c r="GOS34" s="51"/>
      <c r="GOU34" s="51"/>
      <c r="GOX34" s="51"/>
      <c r="GOZ34" s="51"/>
      <c r="GPA34" s="51"/>
      <c r="GPC34" s="51"/>
      <c r="GPF34" s="51"/>
      <c r="GPH34" s="51"/>
      <c r="GPI34" s="51"/>
      <c r="GPK34" s="51"/>
      <c r="GPN34" s="51"/>
      <c r="GPP34" s="51"/>
      <c r="GPQ34" s="51"/>
      <c r="GPS34" s="51"/>
      <c r="GPV34" s="51"/>
      <c r="GPX34" s="51"/>
      <c r="GPY34" s="51"/>
      <c r="GQA34" s="51"/>
      <c r="GQD34" s="51"/>
      <c r="GQF34" s="51"/>
      <c r="GQG34" s="51"/>
      <c r="GQI34" s="51"/>
      <c r="GQL34" s="51"/>
      <c r="GQN34" s="51"/>
      <c r="GQO34" s="51"/>
      <c r="GQQ34" s="51"/>
      <c r="GQT34" s="51"/>
      <c r="GQV34" s="51"/>
      <c r="GQW34" s="51"/>
      <c r="GQY34" s="51"/>
      <c r="GRB34" s="51"/>
      <c r="GRD34" s="51"/>
      <c r="GRE34" s="51"/>
      <c r="GRG34" s="51"/>
      <c r="GRJ34" s="51"/>
      <c r="GRL34" s="51"/>
      <c r="GRM34" s="51"/>
      <c r="GRO34" s="51"/>
      <c r="GRR34" s="51"/>
      <c r="GRT34" s="51"/>
      <c r="GRU34" s="51"/>
      <c r="GRW34" s="51"/>
      <c r="GRZ34" s="51"/>
      <c r="GSB34" s="51"/>
      <c r="GSC34" s="51"/>
      <c r="GSE34" s="51"/>
      <c r="GSH34" s="51"/>
      <c r="GSJ34" s="51"/>
      <c r="GSK34" s="51"/>
      <c r="GSM34" s="51"/>
      <c r="GSP34" s="51"/>
      <c r="GSR34" s="51"/>
      <c r="GSS34" s="51"/>
      <c r="GSU34" s="51"/>
      <c r="GSX34" s="51"/>
      <c r="GSZ34" s="51"/>
      <c r="GTA34" s="51"/>
      <c r="GTC34" s="51"/>
      <c r="GTF34" s="51"/>
      <c r="GTH34" s="51"/>
      <c r="GTI34" s="51"/>
      <c r="GTK34" s="51"/>
      <c r="GTN34" s="51"/>
      <c r="GTP34" s="51"/>
      <c r="GTQ34" s="51"/>
      <c r="GTS34" s="51"/>
      <c r="GTV34" s="51"/>
      <c r="GTX34" s="51"/>
      <c r="GTY34" s="51"/>
      <c r="GUA34" s="51"/>
      <c r="GUD34" s="51"/>
      <c r="GUF34" s="51"/>
      <c r="GUG34" s="51"/>
      <c r="GUI34" s="51"/>
      <c r="GUL34" s="51"/>
      <c r="GUN34" s="51"/>
      <c r="GUO34" s="51"/>
      <c r="GUQ34" s="51"/>
      <c r="GUT34" s="51"/>
      <c r="GUV34" s="51"/>
      <c r="GUW34" s="51"/>
      <c r="GUY34" s="51"/>
      <c r="GVB34" s="51"/>
      <c r="GVD34" s="51"/>
      <c r="GVE34" s="51"/>
      <c r="GVG34" s="51"/>
      <c r="GVJ34" s="51"/>
      <c r="GVL34" s="51"/>
      <c r="GVM34" s="51"/>
      <c r="GVO34" s="51"/>
      <c r="GVR34" s="51"/>
      <c r="GVT34" s="51"/>
      <c r="GVU34" s="51"/>
      <c r="GVW34" s="51"/>
      <c r="GVZ34" s="51"/>
      <c r="GWB34" s="51"/>
      <c r="GWC34" s="51"/>
      <c r="GWE34" s="51"/>
      <c r="GWH34" s="51"/>
      <c r="GWJ34" s="51"/>
      <c r="GWK34" s="51"/>
      <c r="GWM34" s="51"/>
      <c r="GWP34" s="51"/>
      <c r="GWR34" s="51"/>
      <c r="GWS34" s="51"/>
      <c r="GWU34" s="51"/>
      <c r="GWX34" s="51"/>
      <c r="GWZ34" s="51"/>
      <c r="GXA34" s="51"/>
      <c r="GXC34" s="51"/>
      <c r="GXF34" s="51"/>
      <c r="GXH34" s="51"/>
      <c r="GXI34" s="51"/>
      <c r="GXK34" s="51"/>
      <c r="GXN34" s="51"/>
      <c r="GXP34" s="51"/>
      <c r="GXQ34" s="51"/>
      <c r="GXS34" s="51"/>
      <c r="GXV34" s="51"/>
      <c r="GXX34" s="51"/>
      <c r="GXY34" s="51"/>
      <c r="GYA34" s="51"/>
      <c r="GYD34" s="51"/>
      <c r="GYF34" s="51"/>
      <c r="GYG34" s="51"/>
      <c r="GYI34" s="51"/>
      <c r="GYL34" s="51"/>
      <c r="GYN34" s="51"/>
      <c r="GYO34" s="51"/>
      <c r="GYQ34" s="51"/>
      <c r="GYT34" s="51"/>
      <c r="GYV34" s="51"/>
      <c r="GYW34" s="51"/>
      <c r="GYY34" s="51"/>
      <c r="GZB34" s="51"/>
      <c r="GZD34" s="51"/>
      <c r="GZE34" s="51"/>
      <c r="GZG34" s="51"/>
      <c r="GZJ34" s="51"/>
      <c r="GZL34" s="51"/>
      <c r="GZM34" s="51"/>
      <c r="GZO34" s="51"/>
      <c r="GZR34" s="51"/>
      <c r="GZT34" s="51"/>
      <c r="GZU34" s="51"/>
      <c r="GZW34" s="51"/>
      <c r="GZZ34" s="51"/>
      <c r="HAB34" s="51"/>
      <c r="HAC34" s="51"/>
      <c r="HAE34" s="51"/>
      <c r="HAH34" s="51"/>
      <c r="HAJ34" s="51"/>
      <c r="HAK34" s="51"/>
      <c r="HAM34" s="51"/>
      <c r="HAP34" s="51"/>
      <c r="HAR34" s="51"/>
      <c r="HAS34" s="51"/>
      <c r="HAU34" s="51"/>
      <c r="HAX34" s="51"/>
      <c r="HAZ34" s="51"/>
      <c r="HBA34" s="51"/>
      <c r="HBC34" s="51"/>
      <c r="HBF34" s="51"/>
      <c r="HBH34" s="51"/>
      <c r="HBI34" s="51"/>
      <c r="HBK34" s="51"/>
      <c r="HBN34" s="51"/>
      <c r="HBP34" s="51"/>
      <c r="HBQ34" s="51"/>
      <c r="HBS34" s="51"/>
      <c r="HBV34" s="51"/>
      <c r="HBX34" s="51"/>
      <c r="HBY34" s="51"/>
      <c r="HCA34" s="51"/>
      <c r="HCD34" s="51"/>
      <c r="HCF34" s="51"/>
      <c r="HCG34" s="51"/>
      <c r="HCI34" s="51"/>
      <c r="HCL34" s="51"/>
      <c r="HCN34" s="51"/>
      <c r="HCO34" s="51"/>
      <c r="HCQ34" s="51"/>
      <c r="HCT34" s="51"/>
      <c r="HCV34" s="51"/>
      <c r="HCW34" s="51"/>
      <c r="HCY34" s="51"/>
      <c r="HDB34" s="51"/>
      <c r="HDD34" s="51"/>
      <c r="HDE34" s="51"/>
      <c r="HDG34" s="51"/>
      <c r="HDJ34" s="51"/>
      <c r="HDL34" s="51"/>
      <c r="HDM34" s="51"/>
      <c r="HDO34" s="51"/>
      <c r="HDR34" s="51"/>
      <c r="HDT34" s="51"/>
      <c r="HDU34" s="51"/>
      <c r="HDW34" s="51"/>
      <c r="HDZ34" s="51"/>
      <c r="HEB34" s="51"/>
      <c r="HEC34" s="51"/>
      <c r="HEE34" s="51"/>
      <c r="HEH34" s="51"/>
      <c r="HEJ34" s="51"/>
      <c r="HEK34" s="51"/>
      <c r="HEM34" s="51"/>
      <c r="HEP34" s="51"/>
      <c r="HER34" s="51"/>
      <c r="HES34" s="51"/>
      <c r="HEU34" s="51"/>
      <c r="HEX34" s="51"/>
      <c r="HEZ34" s="51"/>
      <c r="HFA34" s="51"/>
      <c r="HFC34" s="51"/>
      <c r="HFF34" s="51"/>
      <c r="HFH34" s="51"/>
      <c r="HFI34" s="51"/>
      <c r="HFK34" s="51"/>
      <c r="HFN34" s="51"/>
      <c r="HFP34" s="51"/>
      <c r="HFQ34" s="51"/>
      <c r="HFS34" s="51"/>
      <c r="HFV34" s="51"/>
      <c r="HFX34" s="51"/>
      <c r="HFY34" s="51"/>
      <c r="HGA34" s="51"/>
      <c r="HGD34" s="51"/>
      <c r="HGF34" s="51"/>
      <c r="HGG34" s="51"/>
      <c r="HGI34" s="51"/>
      <c r="HGL34" s="51"/>
      <c r="HGN34" s="51"/>
      <c r="HGO34" s="51"/>
      <c r="HGQ34" s="51"/>
      <c r="HGT34" s="51"/>
      <c r="HGV34" s="51"/>
      <c r="HGW34" s="51"/>
      <c r="HGY34" s="51"/>
      <c r="HHB34" s="51"/>
      <c r="HHD34" s="51"/>
      <c r="HHE34" s="51"/>
      <c r="HHG34" s="51"/>
      <c r="HHJ34" s="51"/>
      <c r="HHL34" s="51"/>
      <c r="HHM34" s="51"/>
      <c r="HHO34" s="51"/>
      <c r="HHR34" s="51"/>
      <c r="HHT34" s="51"/>
      <c r="HHU34" s="51"/>
      <c r="HHW34" s="51"/>
      <c r="HHZ34" s="51"/>
      <c r="HIB34" s="51"/>
      <c r="HIC34" s="51"/>
      <c r="HIE34" s="51"/>
      <c r="HIH34" s="51"/>
      <c r="HIJ34" s="51"/>
      <c r="HIK34" s="51"/>
      <c r="HIM34" s="51"/>
      <c r="HIP34" s="51"/>
      <c r="HIR34" s="51"/>
      <c r="HIS34" s="51"/>
      <c r="HIU34" s="51"/>
      <c r="HIX34" s="51"/>
      <c r="HIZ34" s="51"/>
      <c r="HJA34" s="51"/>
      <c r="HJC34" s="51"/>
      <c r="HJF34" s="51"/>
      <c r="HJH34" s="51"/>
      <c r="HJI34" s="51"/>
      <c r="HJK34" s="51"/>
      <c r="HJN34" s="51"/>
      <c r="HJP34" s="51"/>
      <c r="HJQ34" s="51"/>
      <c r="HJS34" s="51"/>
      <c r="HJV34" s="51"/>
      <c r="HJX34" s="51"/>
      <c r="HJY34" s="51"/>
      <c r="HKA34" s="51"/>
      <c r="HKD34" s="51"/>
      <c r="HKF34" s="51"/>
      <c r="HKG34" s="51"/>
      <c r="HKI34" s="51"/>
      <c r="HKL34" s="51"/>
      <c r="HKN34" s="51"/>
      <c r="HKO34" s="51"/>
      <c r="HKQ34" s="51"/>
      <c r="HKT34" s="51"/>
      <c r="HKV34" s="51"/>
      <c r="HKW34" s="51"/>
      <c r="HKY34" s="51"/>
      <c r="HLB34" s="51"/>
      <c r="HLD34" s="51"/>
      <c r="HLE34" s="51"/>
      <c r="HLG34" s="51"/>
      <c r="HLJ34" s="51"/>
      <c r="HLL34" s="51"/>
      <c r="HLM34" s="51"/>
      <c r="HLO34" s="51"/>
      <c r="HLR34" s="51"/>
      <c r="HLT34" s="51"/>
      <c r="HLU34" s="51"/>
      <c r="HLW34" s="51"/>
      <c r="HLZ34" s="51"/>
      <c r="HMB34" s="51"/>
      <c r="HMC34" s="51"/>
      <c r="HME34" s="51"/>
      <c r="HMH34" s="51"/>
      <c r="HMJ34" s="51"/>
      <c r="HMK34" s="51"/>
      <c r="HMM34" s="51"/>
      <c r="HMP34" s="51"/>
      <c r="HMR34" s="51"/>
      <c r="HMS34" s="51"/>
      <c r="HMU34" s="51"/>
      <c r="HMX34" s="51"/>
      <c r="HMZ34" s="51"/>
      <c r="HNA34" s="51"/>
      <c r="HNC34" s="51"/>
      <c r="HNF34" s="51"/>
      <c r="HNH34" s="51"/>
      <c r="HNI34" s="51"/>
      <c r="HNK34" s="51"/>
      <c r="HNN34" s="51"/>
      <c r="HNP34" s="51"/>
      <c r="HNQ34" s="51"/>
      <c r="HNS34" s="51"/>
      <c r="HNV34" s="51"/>
      <c r="HNX34" s="51"/>
      <c r="HNY34" s="51"/>
      <c r="HOA34" s="51"/>
      <c r="HOD34" s="51"/>
      <c r="HOF34" s="51"/>
      <c r="HOG34" s="51"/>
      <c r="HOI34" s="51"/>
      <c r="HOL34" s="51"/>
      <c r="HON34" s="51"/>
      <c r="HOO34" s="51"/>
      <c r="HOQ34" s="51"/>
      <c r="HOT34" s="51"/>
      <c r="HOV34" s="51"/>
      <c r="HOW34" s="51"/>
      <c r="HOY34" s="51"/>
      <c r="HPB34" s="51"/>
      <c r="HPD34" s="51"/>
      <c r="HPE34" s="51"/>
      <c r="HPG34" s="51"/>
      <c r="HPJ34" s="51"/>
      <c r="HPL34" s="51"/>
      <c r="HPM34" s="51"/>
      <c r="HPO34" s="51"/>
      <c r="HPR34" s="51"/>
      <c r="HPT34" s="51"/>
      <c r="HPU34" s="51"/>
      <c r="HPW34" s="51"/>
      <c r="HPZ34" s="51"/>
      <c r="HQB34" s="51"/>
      <c r="HQC34" s="51"/>
      <c r="HQE34" s="51"/>
      <c r="HQH34" s="51"/>
      <c r="HQJ34" s="51"/>
      <c r="HQK34" s="51"/>
      <c r="HQM34" s="51"/>
      <c r="HQP34" s="51"/>
      <c r="HQR34" s="51"/>
      <c r="HQS34" s="51"/>
      <c r="HQU34" s="51"/>
      <c r="HQX34" s="51"/>
      <c r="HQZ34" s="51"/>
      <c r="HRA34" s="51"/>
      <c r="HRC34" s="51"/>
      <c r="HRF34" s="51"/>
      <c r="HRH34" s="51"/>
      <c r="HRI34" s="51"/>
      <c r="HRK34" s="51"/>
      <c r="HRN34" s="51"/>
      <c r="HRP34" s="51"/>
      <c r="HRQ34" s="51"/>
      <c r="HRS34" s="51"/>
      <c r="HRV34" s="51"/>
      <c r="HRX34" s="51"/>
      <c r="HRY34" s="51"/>
      <c r="HSA34" s="51"/>
      <c r="HSD34" s="51"/>
      <c r="HSF34" s="51"/>
      <c r="HSG34" s="51"/>
      <c r="HSI34" s="51"/>
      <c r="HSL34" s="51"/>
      <c r="HSN34" s="51"/>
      <c r="HSO34" s="51"/>
      <c r="HSQ34" s="51"/>
      <c r="HST34" s="51"/>
      <c r="HSV34" s="51"/>
      <c r="HSW34" s="51"/>
      <c r="HSY34" s="51"/>
      <c r="HTB34" s="51"/>
      <c r="HTD34" s="51"/>
      <c r="HTE34" s="51"/>
      <c r="HTG34" s="51"/>
      <c r="HTJ34" s="51"/>
      <c r="HTL34" s="51"/>
      <c r="HTM34" s="51"/>
      <c r="HTO34" s="51"/>
      <c r="HTR34" s="51"/>
      <c r="HTT34" s="51"/>
      <c r="HTU34" s="51"/>
      <c r="HTW34" s="51"/>
      <c r="HTZ34" s="51"/>
      <c r="HUB34" s="51"/>
      <c r="HUC34" s="51"/>
      <c r="HUE34" s="51"/>
      <c r="HUH34" s="51"/>
      <c r="HUJ34" s="51"/>
      <c r="HUK34" s="51"/>
      <c r="HUM34" s="51"/>
      <c r="HUP34" s="51"/>
      <c r="HUR34" s="51"/>
      <c r="HUS34" s="51"/>
      <c r="HUU34" s="51"/>
      <c r="HUX34" s="51"/>
      <c r="HUZ34" s="51"/>
      <c r="HVA34" s="51"/>
      <c r="HVC34" s="51"/>
      <c r="HVF34" s="51"/>
      <c r="HVH34" s="51"/>
      <c r="HVI34" s="51"/>
      <c r="HVK34" s="51"/>
      <c r="HVN34" s="51"/>
      <c r="HVP34" s="51"/>
      <c r="HVQ34" s="51"/>
      <c r="HVS34" s="51"/>
      <c r="HVV34" s="51"/>
      <c r="HVX34" s="51"/>
      <c r="HVY34" s="51"/>
      <c r="HWA34" s="51"/>
      <c r="HWD34" s="51"/>
      <c r="HWF34" s="51"/>
      <c r="HWG34" s="51"/>
      <c r="HWI34" s="51"/>
      <c r="HWL34" s="51"/>
      <c r="HWN34" s="51"/>
      <c r="HWO34" s="51"/>
      <c r="HWQ34" s="51"/>
      <c r="HWT34" s="51"/>
      <c r="HWV34" s="51"/>
      <c r="HWW34" s="51"/>
      <c r="HWY34" s="51"/>
      <c r="HXB34" s="51"/>
      <c r="HXD34" s="51"/>
      <c r="HXE34" s="51"/>
      <c r="HXG34" s="51"/>
      <c r="HXJ34" s="51"/>
      <c r="HXL34" s="51"/>
      <c r="HXM34" s="51"/>
      <c r="HXO34" s="51"/>
      <c r="HXR34" s="51"/>
      <c r="HXT34" s="51"/>
      <c r="HXU34" s="51"/>
      <c r="HXW34" s="51"/>
      <c r="HXZ34" s="51"/>
      <c r="HYB34" s="51"/>
      <c r="HYC34" s="51"/>
      <c r="HYE34" s="51"/>
      <c r="HYH34" s="51"/>
      <c r="HYJ34" s="51"/>
      <c r="HYK34" s="51"/>
      <c r="HYM34" s="51"/>
      <c r="HYP34" s="51"/>
      <c r="HYR34" s="51"/>
      <c r="HYS34" s="51"/>
      <c r="HYU34" s="51"/>
      <c r="HYX34" s="51"/>
      <c r="HYZ34" s="51"/>
      <c r="HZA34" s="51"/>
      <c r="HZC34" s="51"/>
      <c r="HZF34" s="51"/>
      <c r="HZH34" s="51"/>
      <c r="HZI34" s="51"/>
      <c r="HZK34" s="51"/>
      <c r="HZN34" s="51"/>
      <c r="HZP34" s="51"/>
      <c r="HZQ34" s="51"/>
      <c r="HZS34" s="51"/>
      <c r="HZV34" s="51"/>
      <c r="HZX34" s="51"/>
      <c r="HZY34" s="51"/>
      <c r="IAA34" s="51"/>
      <c r="IAD34" s="51"/>
      <c r="IAF34" s="51"/>
      <c r="IAG34" s="51"/>
      <c r="IAI34" s="51"/>
      <c r="IAL34" s="51"/>
      <c r="IAN34" s="51"/>
      <c r="IAO34" s="51"/>
      <c r="IAQ34" s="51"/>
      <c r="IAT34" s="51"/>
      <c r="IAV34" s="51"/>
      <c r="IAW34" s="51"/>
      <c r="IAY34" s="51"/>
      <c r="IBB34" s="51"/>
      <c r="IBD34" s="51"/>
      <c r="IBE34" s="51"/>
      <c r="IBG34" s="51"/>
      <c r="IBJ34" s="51"/>
      <c r="IBL34" s="51"/>
      <c r="IBM34" s="51"/>
      <c r="IBO34" s="51"/>
      <c r="IBR34" s="51"/>
      <c r="IBT34" s="51"/>
      <c r="IBU34" s="51"/>
      <c r="IBW34" s="51"/>
      <c r="IBZ34" s="51"/>
      <c r="ICB34" s="51"/>
      <c r="ICC34" s="51"/>
      <c r="ICE34" s="51"/>
      <c r="ICH34" s="51"/>
      <c r="ICJ34" s="51"/>
      <c r="ICK34" s="51"/>
      <c r="ICM34" s="51"/>
      <c r="ICP34" s="51"/>
      <c r="ICR34" s="51"/>
      <c r="ICS34" s="51"/>
      <c r="ICU34" s="51"/>
      <c r="ICX34" s="51"/>
      <c r="ICZ34" s="51"/>
      <c r="IDA34" s="51"/>
      <c r="IDC34" s="51"/>
      <c r="IDF34" s="51"/>
      <c r="IDH34" s="51"/>
      <c r="IDI34" s="51"/>
      <c r="IDK34" s="51"/>
      <c r="IDN34" s="51"/>
      <c r="IDP34" s="51"/>
      <c r="IDQ34" s="51"/>
      <c r="IDS34" s="51"/>
      <c r="IDV34" s="51"/>
      <c r="IDX34" s="51"/>
      <c r="IDY34" s="51"/>
      <c r="IEA34" s="51"/>
      <c r="IED34" s="51"/>
      <c r="IEF34" s="51"/>
      <c r="IEG34" s="51"/>
      <c r="IEI34" s="51"/>
      <c r="IEL34" s="51"/>
      <c r="IEN34" s="51"/>
      <c r="IEO34" s="51"/>
      <c r="IEQ34" s="51"/>
      <c r="IET34" s="51"/>
      <c r="IEV34" s="51"/>
      <c r="IEW34" s="51"/>
      <c r="IEY34" s="51"/>
      <c r="IFB34" s="51"/>
      <c r="IFD34" s="51"/>
      <c r="IFE34" s="51"/>
      <c r="IFG34" s="51"/>
      <c r="IFJ34" s="51"/>
      <c r="IFL34" s="51"/>
      <c r="IFM34" s="51"/>
      <c r="IFO34" s="51"/>
      <c r="IFR34" s="51"/>
      <c r="IFT34" s="51"/>
      <c r="IFU34" s="51"/>
      <c r="IFW34" s="51"/>
      <c r="IFZ34" s="51"/>
      <c r="IGB34" s="51"/>
      <c r="IGC34" s="51"/>
      <c r="IGE34" s="51"/>
      <c r="IGH34" s="51"/>
      <c r="IGJ34" s="51"/>
      <c r="IGK34" s="51"/>
      <c r="IGM34" s="51"/>
      <c r="IGP34" s="51"/>
      <c r="IGR34" s="51"/>
      <c r="IGS34" s="51"/>
      <c r="IGU34" s="51"/>
      <c r="IGX34" s="51"/>
      <c r="IGZ34" s="51"/>
      <c r="IHA34" s="51"/>
      <c r="IHC34" s="51"/>
      <c r="IHF34" s="51"/>
      <c r="IHH34" s="51"/>
      <c r="IHI34" s="51"/>
      <c r="IHK34" s="51"/>
      <c r="IHN34" s="51"/>
      <c r="IHP34" s="51"/>
      <c r="IHQ34" s="51"/>
      <c r="IHS34" s="51"/>
      <c r="IHV34" s="51"/>
      <c r="IHX34" s="51"/>
      <c r="IHY34" s="51"/>
      <c r="IIA34" s="51"/>
      <c r="IID34" s="51"/>
      <c r="IIF34" s="51"/>
      <c r="IIG34" s="51"/>
      <c r="III34" s="51"/>
      <c r="IIL34" s="51"/>
      <c r="IIN34" s="51"/>
      <c r="IIO34" s="51"/>
      <c r="IIQ34" s="51"/>
      <c r="IIT34" s="51"/>
      <c r="IIV34" s="51"/>
      <c r="IIW34" s="51"/>
      <c r="IIY34" s="51"/>
      <c r="IJB34" s="51"/>
      <c r="IJD34" s="51"/>
      <c r="IJE34" s="51"/>
      <c r="IJG34" s="51"/>
      <c r="IJJ34" s="51"/>
      <c r="IJL34" s="51"/>
      <c r="IJM34" s="51"/>
      <c r="IJO34" s="51"/>
      <c r="IJR34" s="51"/>
      <c r="IJT34" s="51"/>
      <c r="IJU34" s="51"/>
      <c r="IJW34" s="51"/>
      <c r="IJZ34" s="51"/>
      <c r="IKB34" s="51"/>
      <c r="IKC34" s="51"/>
      <c r="IKE34" s="51"/>
      <c r="IKH34" s="51"/>
      <c r="IKJ34" s="51"/>
      <c r="IKK34" s="51"/>
      <c r="IKM34" s="51"/>
      <c r="IKP34" s="51"/>
      <c r="IKR34" s="51"/>
      <c r="IKS34" s="51"/>
      <c r="IKU34" s="51"/>
      <c r="IKX34" s="51"/>
      <c r="IKZ34" s="51"/>
      <c r="ILA34" s="51"/>
      <c r="ILC34" s="51"/>
      <c r="ILF34" s="51"/>
      <c r="ILH34" s="51"/>
      <c r="ILI34" s="51"/>
      <c r="ILK34" s="51"/>
      <c r="ILN34" s="51"/>
      <c r="ILP34" s="51"/>
      <c r="ILQ34" s="51"/>
      <c r="ILS34" s="51"/>
      <c r="ILV34" s="51"/>
      <c r="ILX34" s="51"/>
      <c r="ILY34" s="51"/>
      <c r="IMA34" s="51"/>
      <c r="IMD34" s="51"/>
      <c r="IMF34" s="51"/>
      <c r="IMG34" s="51"/>
      <c r="IMI34" s="51"/>
      <c r="IML34" s="51"/>
      <c r="IMN34" s="51"/>
      <c r="IMO34" s="51"/>
      <c r="IMQ34" s="51"/>
      <c r="IMT34" s="51"/>
      <c r="IMV34" s="51"/>
      <c r="IMW34" s="51"/>
      <c r="IMY34" s="51"/>
      <c r="INB34" s="51"/>
      <c r="IND34" s="51"/>
      <c r="INE34" s="51"/>
      <c r="ING34" s="51"/>
      <c r="INJ34" s="51"/>
      <c r="INL34" s="51"/>
      <c r="INM34" s="51"/>
      <c r="INO34" s="51"/>
      <c r="INR34" s="51"/>
      <c r="INT34" s="51"/>
      <c r="INU34" s="51"/>
      <c r="INW34" s="51"/>
      <c r="INZ34" s="51"/>
      <c r="IOB34" s="51"/>
      <c r="IOC34" s="51"/>
      <c r="IOE34" s="51"/>
      <c r="IOH34" s="51"/>
      <c r="IOJ34" s="51"/>
      <c r="IOK34" s="51"/>
      <c r="IOM34" s="51"/>
      <c r="IOP34" s="51"/>
      <c r="IOR34" s="51"/>
      <c r="IOS34" s="51"/>
      <c r="IOU34" s="51"/>
      <c r="IOX34" s="51"/>
      <c r="IOZ34" s="51"/>
      <c r="IPA34" s="51"/>
      <c r="IPC34" s="51"/>
      <c r="IPF34" s="51"/>
      <c r="IPH34" s="51"/>
      <c r="IPI34" s="51"/>
      <c r="IPK34" s="51"/>
      <c r="IPN34" s="51"/>
      <c r="IPP34" s="51"/>
      <c r="IPQ34" s="51"/>
      <c r="IPS34" s="51"/>
      <c r="IPV34" s="51"/>
      <c r="IPX34" s="51"/>
      <c r="IPY34" s="51"/>
      <c r="IQA34" s="51"/>
      <c r="IQD34" s="51"/>
      <c r="IQF34" s="51"/>
      <c r="IQG34" s="51"/>
      <c r="IQI34" s="51"/>
      <c r="IQL34" s="51"/>
      <c r="IQN34" s="51"/>
      <c r="IQO34" s="51"/>
      <c r="IQQ34" s="51"/>
      <c r="IQT34" s="51"/>
      <c r="IQV34" s="51"/>
      <c r="IQW34" s="51"/>
      <c r="IQY34" s="51"/>
      <c r="IRB34" s="51"/>
      <c r="IRD34" s="51"/>
      <c r="IRE34" s="51"/>
      <c r="IRG34" s="51"/>
      <c r="IRJ34" s="51"/>
      <c r="IRL34" s="51"/>
      <c r="IRM34" s="51"/>
      <c r="IRO34" s="51"/>
      <c r="IRR34" s="51"/>
      <c r="IRT34" s="51"/>
      <c r="IRU34" s="51"/>
      <c r="IRW34" s="51"/>
      <c r="IRZ34" s="51"/>
      <c r="ISB34" s="51"/>
      <c r="ISC34" s="51"/>
      <c r="ISE34" s="51"/>
      <c r="ISH34" s="51"/>
      <c r="ISJ34" s="51"/>
      <c r="ISK34" s="51"/>
      <c r="ISM34" s="51"/>
      <c r="ISP34" s="51"/>
      <c r="ISR34" s="51"/>
      <c r="ISS34" s="51"/>
      <c r="ISU34" s="51"/>
      <c r="ISX34" s="51"/>
      <c r="ISZ34" s="51"/>
      <c r="ITA34" s="51"/>
      <c r="ITC34" s="51"/>
      <c r="ITF34" s="51"/>
      <c r="ITH34" s="51"/>
      <c r="ITI34" s="51"/>
      <c r="ITK34" s="51"/>
      <c r="ITN34" s="51"/>
      <c r="ITP34" s="51"/>
      <c r="ITQ34" s="51"/>
      <c r="ITS34" s="51"/>
      <c r="ITV34" s="51"/>
      <c r="ITX34" s="51"/>
      <c r="ITY34" s="51"/>
      <c r="IUA34" s="51"/>
      <c r="IUD34" s="51"/>
      <c r="IUF34" s="51"/>
      <c r="IUG34" s="51"/>
      <c r="IUI34" s="51"/>
      <c r="IUL34" s="51"/>
      <c r="IUN34" s="51"/>
      <c r="IUO34" s="51"/>
      <c r="IUQ34" s="51"/>
      <c r="IUT34" s="51"/>
      <c r="IUV34" s="51"/>
      <c r="IUW34" s="51"/>
      <c r="IUY34" s="51"/>
      <c r="IVB34" s="51"/>
      <c r="IVD34" s="51"/>
      <c r="IVE34" s="51"/>
      <c r="IVG34" s="51"/>
      <c r="IVJ34" s="51"/>
      <c r="IVL34" s="51"/>
      <c r="IVM34" s="51"/>
      <c r="IVO34" s="51"/>
      <c r="IVR34" s="51"/>
      <c r="IVT34" s="51"/>
      <c r="IVU34" s="51"/>
      <c r="IVW34" s="51"/>
      <c r="IVZ34" s="51"/>
      <c r="IWB34" s="51"/>
      <c r="IWC34" s="51"/>
      <c r="IWE34" s="51"/>
      <c r="IWH34" s="51"/>
      <c r="IWJ34" s="51"/>
      <c r="IWK34" s="51"/>
      <c r="IWM34" s="51"/>
      <c r="IWP34" s="51"/>
      <c r="IWR34" s="51"/>
      <c r="IWS34" s="51"/>
      <c r="IWU34" s="51"/>
      <c r="IWX34" s="51"/>
      <c r="IWZ34" s="51"/>
      <c r="IXA34" s="51"/>
      <c r="IXC34" s="51"/>
      <c r="IXF34" s="51"/>
      <c r="IXH34" s="51"/>
      <c r="IXI34" s="51"/>
      <c r="IXK34" s="51"/>
      <c r="IXN34" s="51"/>
      <c r="IXP34" s="51"/>
      <c r="IXQ34" s="51"/>
      <c r="IXS34" s="51"/>
      <c r="IXV34" s="51"/>
      <c r="IXX34" s="51"/>
      <c r="IXY34" s="51"/>
      <c r="IYA34" s="51"/>
      <c r="IYD34" s="51"/>
      <c r="IYF34" s="51"/>
      <c r="IYG34" s="51"/>
      <c r="IYI34" s="51"/>
      <c r="IYL34" s="51"/>
      <c r="IYN34" s="51"/>
      <c r="IYO34" s="51"/>
      <c r="IYQ34" s="51"/>
      <c r="IYT34" s="51"/>
      <c r="IYV34" s="51"/>
      <c r="IYW34" s="51"/>
      <c r="IYY34" s="51"/>
      <c r="IZB34" s="51"/>
      <c r="IZD34" s="51"/>
      <c r="IZE34" s="51"/>
      <c r="IZG34" s="51"/>
      <c r="IZJ34" s="51"/>
      <c r="IZL34" s="51"/>
      <c r="IZM34" s="51"/>
      <c r="IZO34" s="51"/>
      <c r="IZR34" s="51"/>
      <c r="IZT34" s="51"/>
      <c r="IZU34" s="51"/>
      <c r="IZW34" s="51"/>
      <c r="IZZ34" s="51"/>
      <c r="JAB34" s="51"/>
      <c r="JAC34" s="51"/>
      <c r="JAE34" s="51"/>
      <c r="JAH34" s="51"/>
      <c r="JAJ34" s="51"/>
      <c r="JAK34" s="51"/>
      <c r="JAM34" s="51"/>
      <c r="JAP34" s="51"/>
      <c r="JAR34" s="51"/>
      <c r="JAS34" s="51"/>
      <c r="JAU34" s="51"/>
      <c r="JAX34" s="51"/>
      <c r="JAZ34" s="51"/>
      <c r="JBA34" s="51"/>
      <c r="JBC34" s="51"/>
      <c r="JBF34" s="51"/>
      <c r="JBH34" s="51"/>
      <c r="JBI34" s="51"/>
      <c r="JBK34" s="51"/>
      <c r="JBN34" s="51"/>
      <c r="JBP34" s="51"/>
      <c r="JBQ34" s="51"/>
      <c r="JBS34" s="51"/>
      <c r="JBV34" s="51"/>
      <c r="JBX34" s="51"/>
      <c r="JBY34" s="51"/>
      <c r="JCA34" s="51"/>
      <c r="JCD34" s="51"/>
      <c r="JCF34" s="51"/>
      <c r="JCG34" s="51"/>
      <c r="JCI34" s="51"/>
      <c r="JCL34" s="51"/>
      <c r="JCN34" s="51"/>
      <c r="JCO34" s="51"/>
      <c r="JCQ34" s="51"/>
      <c r="JCT34" s="51"/>
      <c r="JCV34" s="51"/>
      <c r="JCW34" s="51"/>
      <c r="JCY34" s="51"/>
      <c r="JDB34" s="51"/>
      <c r="JDD34" s="51"/>
      <c r="JDE34" s="51"/>
      <c r="JDG34" s="51"/>
      <c r="JDJ34" s="51"/>
      <c r="JDL34" s="51"/>
      <c r="JDM34" s="51"/>
      <c r="JDO34" s="51"/>
      <c r="JDR34" s="51"/>
      <c r="JDT34" s="51"/>
      <c r="JDU34" s="51"/>
      <c r="JDW34" s="51"/>
      <c r="JDZ34" s="51"/>
      <c r="JEB34" s="51"/>
      <c r="JEC34" s="51"/>
      <c r="JEE34" s="51"/>
      <c r="JEH34" s="51"/>
      <c r="JEJ34" s="51"/>
      <c r="JEK34" s="51"/>
      <c r="JEM34" s="51"/>
      <c r="JEP34" s="51"/>
      <c r="JER34" s="51"/>
      <c r="JES34" s="51"/>
      <c r="JEU34" s="51"/>
      <c r="JEX34" s="51"/>
      <c r="JEZ34" s="51"/>
      <c r="JFA34" s="51"/>
      <c r="JFC34" s="51"/>
      <c r="JFF34" s="51"/>
      <c r="JFH34" s="51"/>
      <c r="JFI34" s="51"/>
      <c r="JFK34" s="51"/>
      <c r="JFN34" s="51"/>
      <c r="JFP34" s="51"/>
      <c r="JFQ34" s="51"/>
      <c r="JFS34" s="51"/>
      <c r="JFV34" s="51"/>
      <c r="JFX34" s="51"/>
      <c r="JFY34" s="51"/>
      <c r="JGA34" s="51"/>
      <c r="JGD34" s="51"/>
      <c r="JGF34" s="51"/>
      <c r="JGG34" s="51"/>
      <c r="JGI34" s="51"/>
      <c r="JGL34" s="51"/>
      <c r="JGN34" s="51"/>
      <c r="JGO34" s="51"/>
      <c r="JGQ34" s="51"/>
      <c r="JGT34" s="51"/>
      <c r="JGV34" s="51"/>
      <c r="JGW34" s="51"/>
      <c r="JGY34" s="51"/>
      <c r="JHB34" s="51"/>
      <c r="JHD34" s="51"/>
      <c r="JHE34" s="51"/>
      <c r="JHG34" s="51"/>
      <c r="JHJ34" s="51"/>
      <c r="JHL34" s="51"/>
      <c r="JHM34" s="51"/>
      <c r="JHO34" s="51"/>
      <c r="JHR34" s="51"/>
      <c r="JHT34" s="51"/>
      <c r="JHU34" s="51"/>
      <c r="JHW34" s="51"/>
      <c r="JHZ34" s="51"/>
      <c r="JIB34" s="51"/>
      <c r="JIC34" s="51"/>
      <c r="JIE34" s="51"/>
      <c r="JIH34" s="51"/>
      <c r="JIJ34" s="51"/>
      <c r="JIK34" s="51"/>
      <c r="JIM34" s="51"/>
      <c r="JIP34" s="51"/>
      <c r="JIR34" s="51"/>
      <c r="JIS34" s="51"/>
      <c r="JIU34" s="51"/>
      <c r="JIX34" s="51"/>
      <c r="JIZ34" s="51"/>
      <c r="JJA34" s="51"/>
      <c r="JJC34" s="51"/>
      <c r="JJF34" s="51"/>
      <c r="JJH34" s="51"/>
      <c r="JJI34" s="51"/>
      <c r="JJK34" s="51"/>
      <c r="JJN34" s="51"/>
      <c r="JJP34" s="51"/>
      <c r="JJQ34" s="51"/>
      <c r="JJS34" s="51"/>
      <c r="JJV34" s="51"/>
      <c r="JJX34" s="51"/>
      <c r="JJY34" s="51"/>
      <c r="JKA34" s="51"/>
      <c r="JKD34" s="51"/>
      <c r="JKF34" s="51"/>
      <c r="JKG34" s="51"/>
      <c r="JKI34" s="51"/>
      <c r="JKL34" s="51"/>
      <c r="JKN34" s="51"/>
      <c r="JKO34" s="51"/>
      <c r="JKQ34" s="51"/>
      <c r="JKT34" s="51"/>
      <c r="JKV34" s="51"/>
      <c r="JKW34" s="51"/>
      <c r="JKY34" s="51"/>
      <c r="JLB34" s="51"/>
      <c r="JLD34" s="51"/>
      <c r="JLE34" s="51"/>
      <c r="JLG34" s="51"/>
      <c r="JLJ34" s="51"/>
      <c r="JLL34" s="51"/>
      <c r="JLM34" s="51"/>
      <c r="JLO34" s="51"/>
      <c r="JLR34" s="51"/>
      <c r="JLT34" s="51"/>
      <c r="JLU34" s="51"/>
      <c r="JLW34" s="51"/>
      <c r="JLZ34" s="51"/>
      <c r="JMB34" s="51"/>
      <c r="JMC34" s="51"/>
      <c r="JME34" s="51"/>
      <c r="JMH34" s="51"/>
      <c r="JMJ34" s="51"/>
      <c r="JMK34" s="51"/>
      <c r="JMM34" s="51"/>
      <c r="JMP34" s="51"/>
      <c r="JMR34" s="51"/>
      <c r="JMS34" s="51"/>
      <c r="JMU34" s="51"/>
      <c r="JMX34" s="51"/>
      <c r="JMZ34" s="51"/>
      <c r="JNA34" s="51"/>
      <c r="JNC34" s="51"/>
      <c r="JNF34" s="51"/>
      <c r="JNH34" s="51"/>
      <c r="JNI34" s="51"/>
      <c r="JNK34" s="51"/>
      <c r="JNN34" s="51"/>
      <c r="JNP34" s="51"/>
      <c r="JNQ34" s="51"/>
      <c r="JNS34" s="51"/>
      <c r="JNV34" s="51"/>
      <c r="JNX34" s="51"/>
      <c r="JNY34" s="51"/>
      <c r="JOA34" s="51"/>
      <c r="JOD34" s="51"/>
      <c r="JOF34" s="51"/>
      <c r="JOG34" s="51"/>
      <c r="JOI34" s="51"/>
      <c r="JOL34" s="51"/>
      <c r="JON34" s="51"/>
      <c r="JOO34" s="51"/>
      <c r="JOQ34" s="51"/>
      <c r="JOT34" s="51"/>
      <c r="JOV34" s="51"/>
      <c r="JOW34" s="51"/>
      <c r="JOY34" s="51"/>
      <c r="JPB34" s="51"/>
      <c r="JPD34" s="51"/>
      <c r="JPE34" s="51"/>
      <c r="JPG34" s="51"/>
      <c r="JPJ34" s="51"/>
      <c r="JPL34" s="51"/>
      <c r="JPM34" s="51"/>
      <c r="JPO34" s="51"/>
      <c r="JPR34" s="51"/>
      <c r="JPT34" s="51"/>
      <c r="JPU34" s="51"/>
      <c r="JPW34" s="51"/>
      <c r="JPZ34" s="51"/>
      <c r="JQB34" s="51"/>
      <c r="JQC34" s="51"/>
      <c r="JQE34" s="51"/>
      <c r="JQH34" s="51"/>
      <c r="JQJ34" s="51"/>
      <c r="JQK34" s="51"/>
      <c r="JQM34" s="51"/>
      <c r="JQP34" s="51"/>
      <c r="JQR34" s="51"/>
      <c r="JQS34" s="51"/>
      <c r="JQU34" s="51"/>
      <c r="JQX34" s="51"/>
      <c r="JQZ34" s="51"/>
      <c r="JRA34" s="51"/>
      <c r="JRC34" s="51"/>
      <c r="JRF34" s="51"/>
      <c r="JRH34" s="51"/>
      <c r="JRI34" s="51"/>
      <c r="JRK34" s="51"/>
      <c r="JRN34" s="51"/>
      <c r="JRP34" s="51"/>
      <c r="JRQ34" s="51"/>
      <c r="JRS34" s="51"/>
      <c r="JRV34" s="51"/>
      <c r="JRX34" s="51"/>
      <c r="JRY34" s="51"/>
      <c r="JSA34" s="51"/>
      <c r="JSD34" s="51"/>
      <c r="JSF34" s="51"/>
      <c r="JSG34" s="51"/>
      <c r="JSI34" s="51"/>
      <c r="JSL34" s="51"/>
      <c r="JSN34" s="51"/>
      <c r="JSO34" s="51"/>
      <c r="JSQ34" s="51"/>
      <c r="JST34" s="51"/>
      <c r="JSV34" s="51"/>
      <c r="JSW34" s="51"/>
      <c r="JSY34" s="51"/>
      <c r="JTB34" s="51"/>
      <c r="JTD34" s="51"/>
      <c r="JTE34" s="51"/>
      <c r="JTG34" s="51"/>
      <c r="JTJ34" s="51"/>
      <c r="JTL34" s="51"/>
      <c r="JTM34" s="51"/>
      <c r="JTO34" s="51"/>
      <c r="JTR34" s="51"/>
      <c r="JTT34" s="51"/>
      <c r="JTU34" s="51"/>
      <c r="JTW34" s="51"/>
      <c r="JTZ34" s="51"/>
      <c r="JUB34" s="51"/>
      <c r="JUC34" s="51"/>
      <c r="JUE34" s="51"/>
      <c r="JUH34" s="51"/>
      <c r="JUJ34" s="51"/>
      <c r="JUK34" s="51"/>
      <c r="JUM34" s="51"/>
      <c r="JUP34" s="51"/>
      <c r="JUR34" s="51"/>
      <c r="JUS34" s="51"/>
      <c r="JUU34" s="51"/>
      <c r="JUX34" s="51"/>
      <c r="JUZ34" s="51"/>
      <c r="JVA34" s="51"/>
      <c r="JVC34" s="51"/>
      <c r="JVF34" s="51"/>
      <c r="JVH34" s="51"/>
      <c r="JVI34" s="51"/>
      <c r="JVK34" s="51"/>
      <c r="JVN34" s="51"/>
      <c r="JVP34" s="51"/>
      <c r="JVQ34" s="51"/>
      <c r="JVS34" s="51"/>
      <c r="JVV34" s="51"/>
      <c r="JVX34" s="51"/>
      <c r="JVY34" s="51"/>
      <c r="JWA34" s="51"/>
      <c r="JWD34" s="51"/>
      <c r="JWF34" s="51"/>
      <c r="JWG34" s="51"/>
      <c r="JWI34" s="51"/>
      <c r="JWL34" s="51"/>
      <c r="JWN34" s="51"/>
      <c r="JWO34" s="51"/>
      <c r="JWQ34" s="51"/>
      <c r="JWT34" s="51"/>
      <c r="JWV34" s="51"/>
      <c r="JWW34" s="51"/>
      <c r="JWY34" s="51"/>
      <c r="JXB34" s="51"/>
      <c r="JXD34" s="51"/>
      <c r="JXE34" s="51"/>
      <c r="JXG34" s="51"/>
      <c r="JXJ34" s="51"/>
      <c r="JXL34" s="51"/>
      <c r="JXM34" s="51"/>
      <c r="JXO34" s="51"/>
      <c r="JXR34" s="51"/>
      <c r="JXT34" s="51"/>
      <c r="JXU34" s="51"/>
      <c r="JXW34" s="51"/>
      <c r="JXZ34" s="51"/>
      <c r="JYB34" s="51"/>
      <c r="JYC34" s="51"/>
      <c r="JYE34" s="51"/>
      <c r="JYH34" s="51"/>
      <c r="JYJ34" s="51"/>
      <c r="JYK34" s="51"/>
      <c r="JYM34" s="51"/>
      <c r="JYP34" s="51"/>
      <c r="JYR34" s="51"/>
      <c r="JYS34" s="51"/>
      <c r="JYU34" s="51"/>
      <c r="JYX34" s="51"/>
      <c r="JYZ34" s="51"/>
      <c r="JZA34" s="51"/>
      <c r="JZC34" s="51"/>
      <c r="JZF34" s="51"/>
      <c r="JZH34" s="51"/>
      <c r="JZI34" s="51"/>
      <c r="JZK34" s="51"/>
      <c r="JZN34" s="51"/>
      <c r="JZP34" s="51"/>
      <c r="JZQ34" s="51"/>
      <c r="JZS34" s="51"/>
      <c r="JZV34" s="51"/>
      <c r="JZX34" s="51"/>
      <c r="JZY34" s="51"/>
      <c r="KAA34" s="51"/>
      <c r="KAD34" s="51"/>
      <c r="KAF34" s="51"/>
      <c r="KAG34" s="51"/>
      <c r="KAI34" s="51"/>
      <c r="KAL34" s="51"/>
      <c r="KAN34" s="51"/>
      <c r="KAO34" s="51"/>
      <c r="KAQ34" s="51"/>
      <c r="KAT34" s="51"/>
      <c r="KAV34" s="51"/>
      <c r="KAW34" s="51"/>
      <c r="KAY34" s="51"/>
      <c r="KBB34" s="51"/>
      <c r="KBD34" s="51"/>
      <c r="KBE34" s="51"/>
      <c r="KBG34" s="51"/>
      <c r="KBJ34" s="51"/>
      <c r="KBL34" s="51"/>
      <c r="KBM34" s="51"/>
      <c r="KBO34" s="51"/>
      <c r="KBR34" s="51"/>
      <c r="KBT34" s="51"/>
      <c r="KBU34" s="51"/>
      <c r="KBW34" s="51"/>
      <c r="KBZ34" s="51"/>
      <c r="KCB34" s="51"/>
      <c r="KCC34" s="51"/>
      <c r="KCE34" s="51"/>
      <c r="KCH34" s="51"/>
      <c r="KCJ34" s="51"/>
      <c r="KCK34" s="51"/>
      <c r="KCM34" s="51"/>
      <c r="KCP34" s="51"/>
      <c r="KCR34" s="51"/>
      <c r="KCS34" s="51"/>
      <c r="KCU34" s="51"/>
      <c r="KCX34" s="51"/>
      <c r="KCZ34" s="51"/>
      <c r="KDA34" s="51"/>
      <c r="KDC34" s="51"/>
      <c r="KDF34" s="51"/>
      <c r="KDH34" s="51"/>
      <c r="KDI34" s="51"/>
      <c r="KDK34" s="51"/>
      <c r="KDN34" s="51"/>
      <c r="KDP34" s="51"/>
      <c r="KDQ34" s="51"/>
      <c r="KDS34" s="51"/>
      <c r="KDV34" s="51"/>
      <c r="KDX34" s="51"/>
      <c r="KDY34" s="51"/>
      <c r="KEA34" s="51"/>
      <c r="KED34" s="51"/>
      <c r="KEF34" s="51"/>
      <c r="KEG34" s="51"/>
      <c r="KEI34" s="51"/>
      <c r="KEL34" s="51"/>
      <c r="KEN34" s="51"/>
      <c r="KEO34" s="51"/>
      <c r="KEQ34" s="51"/>
      <c r="KET34" s="51"/>
      <c r="KEV34" s="51"/>
      <c r="KEW34" s="51"/>
      <c r="KEY34" s="51"/>
      <c r="KFB34" s="51"/>
      <c r="KFD34" s="51"/>
      <c r="KFE34" s="51"/>
      <c r="KFG34" s="51"/>
      <c r="KFJ34" s="51"/>
      <c r="KFL34" s="51"/>
      <c r="KFM34" s="51"/>
      <c r="KFO34" s="51"/>
      <c r="KFR34" s="51"/>
      <c r="KFT34" s="51"/>
      <c r="KFU34" s="51"/>
      <c r="KFW34" s="51"/>
      <c r="KFZ34" s="51"/>
      <c r="KGB34" s="51"/>
      <c r="KGC34" s="51"/>
      <c r="KGE34" s="51"/>
      <c r="KGH34" s="51"/>
      <c r="KGJ34" s="51"/>
      <c r="KGK34" s="51"/>
      <c r="KGM34" s="51"/>
      <c r="KGP34" s="51"/>
      <c r="KGR34" s="51"/>
      <c r="KGS34" s="51"/>
      <c r="KGU34" s="51"/>
      <c r="KGX34" s="51"/>
      <c r="KGZ34" s="51"/>
      <c r="KHA34" s="51"/>
      <c r="KHC34" s="51"/>
      <c r="KHF34" s="51"/>
      <c r="KHH34" s="51"/>
      <c r="KHI34" s="51"/>
      <c r="KHK34" s="51"/>
      <c r="KHN34" s="51"/>
      <c r="KHP34" s="51"/>
      <c r="KHQ34" s="51"/>
      <c r="KHS34" s="51"/>
      <c r="KHV34" s="51"/>
      <c r="KHX34" s="51"/>
      <c r="KHY34" s="51"/>
      <c r="KIA34" s="51"/>
      <c r="KID34" s="51"/>
      <c r="KIF34" s="51"/>
      <c r="KIG34" s="51"/>
      <c r="KII34" s="51"/>
      <c r="KIL34" s="51"/>
      <c r="KIN34" s="51"/>
      <c r="KIO34" s="51"/>
      <c r="KIQ34" s="51"/>
      <c r="KIT34" s="51"/>
      <c r="KIV34" s="51"/>
      <c r="KIW34" s="51"/>
      <c r="KIY34" s="51"/>
      <c r="KJB34" s="51"/>
      <c r="KJD34" s="51"/>
      <c r="KJE34" s="51"/>
      <c r="KJG34" s="51"/>
      <c r="KJJ34" s="51"/>
      <c r="KJL34" s="51"/>
      <c r="KJM34" s="51"/>
      <c r="KJO34" s="51"/>
      <c r="KJR34" s="51"/>
      <c r="KJT34" s="51"/>
      <c r="KJU34" s="51"/>
      <c r="KJW34" s="51"/>
      <c r="KJZ34" s="51"/>
      <c r="KKB34" s="51"/>
      <c r="KKC34" s="51"/>
      <c r="KKE34" s="51"/>
      <c r="KKH34" s="51"/>
      <c r="KKJ34" s="51"/>
      <c r="KKK34" s="51"/>
      <c r="KKM34" s="51"/>
      <c r="KKP34" s="51"/>
      <c r="KKR34" s="51"/>
      <c r="KKS34" s="51"/>
      <c r="KKU34" s="51"/>
      <c r="KKX34" s="51"/>
      <c r="KKZ34" s="51"/>
      <c r="KLA34" s="51"/>
      <c r="KLC34" s="51"/>
      <c r="KLF34" s="51"/>
      <c r="KLH34" s="51"/>
      <c r="KLI34" s="51"/>
      <c r="KLK34" s="51"/>
      <c r="KLN34" s="51"/>
      <c r="KLP34" s="51"/>
      <c r="KLQ34" s="51"/>
      <c r="KLS34" s="51"/>
      <c r="KLV34" s="51"/>
      <c r="KLX34" s="51"/>
      <c r="KLY34" s="51"/>
      <c r="KMA34" s="51"/>
      <c r="KMD34" s="51"/>
      <c r="KMF34" s="51"/>
      <c r="KMG34" s="51"/>
      <c r="KMI34" s="51"/>
      <c r="KML34" s="51"/>
      <c r="KMN34" s="51"/>
      <c r="KMO34" s="51"/>
      <c r="KMQ34" s="51"/>
      <c r="KMT34" s="51"/>
      <c r="KMV34" s="51"/>
      <c r="KMW34" s="51"/>
      <c r="KMY34" s="51"/>
      <c r="KNB34" s="51"/>
      <c r="KND34" s="51"/>
      <c r="KNE34" s="51"/>
      <c r="KNG34" s="51"/>
      <c r="KNJ34" s="51"/>
      <c r="KNL34" s="51"/>
      <c r="KNM34" s="51"/>
      <c r="KNO34" s="51"/>
      <c r="KNR34" s="51"/>
      <c r="KNT34" s="51"/>
      <c r="KNU34" s="51"/>
      <c r="KNW34" s="51"/>
      <c r="KNZ34" s="51"/>
      <c r="KOB34" s="51"/>
      <c r="KOC34" s="51"/>
      <c r="KOE34" s="51"/>
      <c r="KOH34" s="51"/>
      <c r="KOJ34" s="51"/>
      <c r="KOK34" s="51"/>
      <c r="KOM34" s="51"/>
      <c r="KOP34" s="51"/>
      <c r="KOR34" s="51"/>
      <c r="KOS34" s="51"/>
      <c r="KOU34" s="51"/>
      <c r="KOX34" s="51"/>
      <c r="KOZ34" s="51"/>
      <c r="KPA34" s="51"/>
      <c r="KPC34" s="51"/>
      <c r="KPF34" s="51"/>
      <c r="KPH34" s="51"/>
      <c r="KPI34" s="51"/>
      <c r="KPK34" s="51"/>
      <c r="KPN34" s="51"/>
      <c r="KPP34" s="51"/>
      <c r="KPQ34" s="51"/>
      <c r="KPS34" s="51"/>
      <c r="KPV34" s="51"/>
      <c r="KPX34" s="51"/>
      <c r="KPY34" s="51"/>
      <c r="KQA34" s="51"/>
      <c r="KQD34" s="51"/>
      <c r="KQF34" s="51"/>
      <c r="KQG34" s="51"/>
      <c r="KQI34" s="51"/>
      <c r="KQL34" s="51"/>
      <c r="KQN34" s="51"/>
      <c r="KQO34" s="51"/>
      <c r="KQQ34" s="51"/>
      <c r="KQT34" s="51"/>
      <c r="KQV34" s="51"/>
      <c r="KQW34" s="51"/>
      <c r="KQY34" s="51"/>
      <c r="KRB34" s="51"/>
      <c r="KRD34" s="51"/>
      <c r="KRE34" s="51"/>
      <c r="KRG34" s="51"/>
      <c r="KRJ34" s="51"/>
      <c r="KRL34" s="51"/>
      <c r="KRM34" s="51"/>
      <c r="KRO34" s="51"/>
      <c r="KRR34" s="51"/>
      <c r="KRT34" s="51"/>
      <c r="KRU34" s="51"/>
      <c r="KRW34" s="51"/>
      <c r="KRZ34" s="51"/>
      <c r="KSB34" s="51"/>
      <c r="KSC34" s="51"/>
      <c r="KSE34" s="51"/>
      <c r="KSH34" s="51"/>
      <c r="KSJ34" s="51"/>
      <c r="KSK34" s="51"/>
      <c r="KSM34" s="51"/>
      <c r="KSP34" s="51"/>
      <c r="KSR34" s="51"/>
      <c r="KSS34" s="51"/>
      <c r="KSU34" s="51"/>
      <c r="KSX34" s="51"/>
      <c r="KSZ34" s="51"/>
      <c r="KTA34" s="51"/>
      <c r="KTC34" s="51"/>
      <c r="KTF34" s="51"/>
      <c r="KTH34" s="51"/>
      <c r="KTI34" s="51"/>
      <c r="KTK34" s="51"/>
      <c r="KTN34" s="51"/>
      <c r="KTP34" s="51"/>
      <c r="KTQ34" s="51"/>
      <c r="KTS34" s="51"/>
      <c r="KTV34" s="51"/>
      <c r="KTX34" s="51"/>
      <c r="KTY34" s="51"/>
      <c r="KUA34" s="51"/>
      <c r="KUD34" s="51"/>
      <c r="KUF34" s="51"/>
      <c r="KUG34" s="51"/>
      <c r="KUI34" s="51"/>
      <c r="KUL34" s="51"/>
      <c r="KUN34" s="51"/>
      <c r="KUO34" s="51"/>
      <c r="KUQ34" s="51"/>
      <c r="KUT34" s="51"/>
      <c r="KUV34" s="51"/>
      <c r="KUW34" s="51"/>
      <c r="KUY34" s="51"/>
      <c r="KVB34" s="51"/>
      <c r="KVD34" s="51"/>
      <c r="KVE34" s="51"/>
      <c r="KVG34" s="51"/>
      <c r="KVJ34" s="51"/>
      <c r="KVL34" s="51"/>
      <c r="KVM34" s="51"/>
      <c r="KVO34" s="51"/>
      <c r="KVR34" s="51"/>
      <c r="KVT34" s="51"/>
      <c r="KVU34" s="51"/>
      <c r="KVW34" s="51"/>
      <c r="KVZ34" s="51"/>
      <c r="KWB34" s="51"/>
      <c r="KWC34" s="51"/>
      <c r="KWE34" s="51"/>
      <c r="KWH34" s="51"/>
      <c r="KWJ34" s="51"/>
      <c r="KWK34" s="51"/>
      <c r="KWM34" s="51"/>
      <c r="KWP34" s="51"/>
      <c r="KWR34" s="51"/>
      <c r="KWS34" s="51"/>
      <c r="KWU34" s="51"/>
      <c r="KWX34" s="51"/>
      <c r="KWZ34" s="51"/>
      <c r="KXA34" s="51"/>
      <c r="KXC34" s="51"/>
      <c r="KXF34" s="51"/>
      <c r="KXH34" s="51"/>
      <c r="KXI34" s="51"/>
      <c r="KXK34" s="51"/>
      <c r="KXN34" s="51"/>
      <c r="KXP34" s="51"/>
      <c r="KXQ34" s="51"/>
      <c r="KXS34" s="51"/>
      <c r="KXV34" s="51"/>
      <c r="KXX34" s="51"/>
      <c r="KXY34" s="51"/>
      <c r="KYA34" s="51"/>
      <c r="KYD34" s="51"/>
      <c r="KYF34" s="51"/>
      <c r="KYG34" s="51"/>
      <c r="KYI34" s="51"/>
      <c r="KYL34" s="51"/>
      <c r="KYN34" s="51"/>
      <c r="KYO34" s="51"/>
      <c r="KYQ34" s="51"/>
      <c r="KYT34" s="51"/>
      <c r="KYV34" s="51"/>
      <c r="KYW34" s="51"/>
      <c r="KYY34" s="51"/>
      <c r="KZB34" s="51"/>
      <c r="KZD34" s="51"/>
      <c r="KZE34" s="51"/>
      <c r="KZG34" s="51"/>
      <c r="KZJ34" s="51"/>
      <c r="KZL34" s="51"/>
      <c r="KZM34" s="51"/>
      <c r="KZO34" s="51"/>
      <c r="KZR34" s="51"/>
      <c r="KZT34" s="51"/>
      <c r="KZU34" s="51"/>
      <c r="KZW34" s="51"/>
      <c r="KZZ34" s="51"/>
      <c r="LAB34" s="51"/>
      <c r="LAC34" s="51"/>
      <c r="LAE34" s="51"/>
      <c r="LAH34" s="51"/>
      <c r="LAJ34" s="51"/>
      <c r="LAK34" s="51"/>
      <c r="LAM34" s="51"/>
      <c r="LAP34" s="51"/>
      <c r="LAR34" s="51"/>
      <c r="LAS34" s="51"/>
      <c r="LAU34" s="51"/>
      <c r="LAX34" s="51"/>
      <c r="LAZ34" s="51"/>
      <c r="LBA34" s="51"/>
      <c r="LBC34" s="51"/>
      <c r="LBF34" s="51"/>
      <c r="LBH34" s="51"/>
      <c r="LBI34" s="51"/>
      <c r="LBK34" s="51"/>
      <c r="LBN34" s="51"/>
      <c r="LBP34" s="51"/>
      <c r="LBQ34" s="51"/>
      <c r="LBS34" s="51"/>
      <c r="LBV34" s="51"/>
      <c r="LBX34" s="51"/>
      <c r="LBY34" s="51"/>
      <c r="LCA34" s="51"/>
      <c r="LCD34" s="51"/>
      <c r="LCF34" s="51"/>
      <c r="LCG34" s="51"/>
      <c r="LCI34" s="51"/>
      <c r="LCL34" s="51"/>
      <c r="LCN34" s="51"/>
      <c r="LCO34" s="51"/>
      <c r="LCQ34" s="51"/>
      <c r="LCT34" s="51"/>
      <c r="LCV34" s="51"/>
      <c r="LCW34" s="51"/>
      <c r="LCY34" s="51"/>
      <c r="LDB34" s="51"/>
      <c r="LDD34" s="51"/>
      <c r="LDE34" s="51"/>
      <c r="LDG34" s="51"/>
      <c r="LDJ34" s="51"/>
      <c r="LDL34" s="51"/>
      <c r="LDM34" s="51"/>
      <c r="LDO34" s="51"/>
      <c r="LDR34" s="51"/>
      <c r="LDT34" s="51"/>
      <c r="LDU34" s="51"/>
      <c r="LDW34" s="51"/>
      <c r="LDZ34" s="51"/>
      <c r="LEB34" s="51"/>
      <c r="LEC34" s="51"/>
      <c r="LEE34" s="51"/>
      <c r="LEH34" s="51"/>
      <c r="LEJ34" s="51"/>
      <c r="LEK34" s="51"/>
      <c r="LEM34" s="51"/>
      <c r="LEP34" s="51"/>
      <c r="LER34" s="51"/>
      <c r="LES34" s="51"/>
      <c r="LEU34" s="51"/>
      <c r="LEX34" s="51"/>
      <c r="LEZ34" s="51"/>
      <c r="LFA34" s="51"/>
      <c r="LFC34" s="51"/>
      <c r="LFF34" s="51"/>
      <c r="LFH34" s="51"/>
      <c r="LFI34" s="51"/>
      <c r="LFK34" s="51"/>
      <c r="LFN34" s="51"/>
      <c r="LFP34" s="51"/>
      <c r="LFQ34" s="51"/>
      <c r="LFS34" s="51"/>
      <c r="LFV34" s="51"/>
      <c r="LFX34" s="51"/>
      <c r="LFY34" s="51"/>
      <c r="LGA34" s="51"/>
      <c r="LGD34" s="51"/>
      <c r="LGF34" s="51"/>
      <c r="LGG34" s="51"/>
      <c r="LGI34" s="51"/>
      <c r="LGL34" s="51"/>
      <c r="LGN34" s="51"/>
      <c r="LGO34" s="51"/>
      <c r="LGQ34" s="51"/>
      <c r="LGT34" s="51"/>
      <c r="LGV34" s="51"/>
      <c r="LGW34" s="51"/>
      <c r="LGY34" s="51"/>
      <c r="LHB34" s="51"/>
      <c r="LHD34" s="51"/>
      <c r="LHE34" s="51"/>
      <c r="LHG34" s="51"/>
      <c r="LHJ34" s="51"/>
      <c r="LHL34" s="51"/>
      <c r="LHM34" s="51"/>
      <c r="LHO34" s="51"/>
      <c r="LHR34" s="51"/>
      <c r="LHT34" s="51"/>
      <c r="LHU34" s="51"/>
      <c r="LHW34" s="51"/>
      <c r="LHZ34" s="51"/>
      <c r="LIB34" s="51"/>
      <c r="LIC34" s="51"/>
      <c r="LIE34" s="51"/>
      <c r="LIH34" s="51"/>
      <c r="LIJ34" s="51"/>
      <c r="LIK34" s="51"/>
      <c r="LIM34" s="51"/>
      <c r="LIP34" s="51"/>
      <c r="LIR34" s="51"/>
      <c r="LIS34" s="51"/>
      <c r="LIU34" s="51"/>
      <c r="LIX34" s="51"/>
      <c r="LIZ34" s="51"/>
      <c r="LJA34" s="51"/>
      <c r="LJC34" s="51"/>
      <c r="LJF34" s="51"/>
      <c r="LJH34" s="51"/>
      <c r="LJI34" s="51"/>
      <c r="LJK34" s="51"/>
      <c r="LJN34" s="51"/>
      <c r="LJP34" s="51"/>
      <c r="LJQ34" s="51"/>
      <c r="LJS34" s="51"/>
      <c r="LJV34" s="51"/>
      <c r="LJX34" s="51"/>
      <c r="LJY34" s="51"/>
      <c r="LKA34" s="51"/>
      <c r="LKD34" s="51"/>
      <c r="LKF34" s="51"/>
      <c r="LKG34" s="51"/>
      <c r="LKI34" s="51"/>
      <c r="LKL34" s="51"/>
      <c r="LKN34" s="51"/>
      <c r="LKO34" s="51"/>
      <c r="LKQ34" s="51"/>
      <c r="LKT34" s="51"/>
      <c r="LKV34" s="51"/>
      <c r="LKW34" s="51"/>
      <c r="LKY34" s="51"/>
      <c r="LLB34" s="51"/>
      <c r="LLD34" s="51"/>
      <c r="LLE34" s="51"/>
      <c r="LLG34" s="51"/>
      <c r="LLJ34" s="51"/>
      <c r="LLL34" s="51"/>
      <c r="LLM34" s="51"/>
      <c r="LLO34" s="51"/>
      <c r="LLR34" s="51"/>
      <c r="LLT34" s="51"/>
      <c r="LLU34" s="51"/>
      <c r="LLW34" s="51"/>
      <c r="LLZ34" s="51"/>
      <c r="LMB34" s="51"/>
      <c r="LMC34" s="51"/>
      <c r="LME34" s="51"/>
      <c r="LMH34" s="51"/>
      <c r="LMJ34" s="51"/>
      <c r="LMK34" s="51"/>
      <c r="LMM34" s="51"/>
      <c r="LMP34" s="51"/>
      <c r="LMR34" s="51"/>
      <c r="LMS34" s="51"/>
      <c r="LMU34" s="51"/>
      <c r="LMX34" s="51"/>
      <c r="LMZ34" s="51"/>
      <c r="LNA34" s="51"/>
      <c r="LNC34" s="51"/>
      <c r="LNF34" s="51"/>
      <c r="LNH34" s="51"/>
      <c r="LNI34" s="51"/>
      <c r="LNK34" s="51"/>
      <c r="LNN34" s="51"/>
      <c r="LNP34" s="51"/>
      <c r="LNQ34" s="51"/>
      <c r="LNS34" s="51"/>
      <c r="LNV34" s="51"/>
      <c r="LNX34" s="51"/>
      <c r="LNY34" s="51"/>
      <c r="LOA34" s="51"/>
      <c r="LOD34" s="51"/>
      <c r="LOF34" s="51"/>
      <c r="LOG34" s="51"/>
      <c r="LOI34" s="51"/>
      <c r="LOL34" s="51"/>
      <c r="LON34" s="51"/>
      <c r="LOO34" s="51"/>
      <c r="LOQ34" s="51"/>
      <c r="LOT34" s="51"/>
      <c r="LOV34" s="51"/>
      <c r="LOW34" s="51"/>
      <c r="LOY34" s="51"/>
      <c r="LPB34" s="51"/>
      <c r="LPD34" s="51"/>
      <c r="LPE34" s="51"/>
      <c r="LPG34" s="51"/>
      <c r="LPJ34" s="51"/>
      <c r="LPL34" s="51"/>
      <c r="LPM34" s="51"/>
      <c r="LPO34" s="51"/>
      <c r="LPR34" s="51"/>
      <c r="LPT34" s="51"/>
      <c r="LPU34" s="51"/>
      <c r="LPW34" s="51"/>
      <c r="LPZ34" s="51"/>
      <c r="LQB34" s="51"/>
      <c r="LQC34" s="51"/>
      <c r="LQE34" s="51"/>
      <c r="LQH34" s="51"/>
      <c r="LQJ34" s="51"/>
      <c r="LQK34" s="51"/>
      <c r="LQM34" s="51"/>
      <c r="LQP34" s="51"/>
      <c r="LQR34" s="51"/>
      <c r="LQS34" s="51"/>
      <c r="LQU34" s="51"/>
      <c r="LQX34" s="51"/>
      <c r="LQZ34" s="51"/>
      <c r="LRA34" s="51"/>
      <c r="LRC34" s="51"/>
      <c r="LRF34" s="51"/>
      <c r="LRH34" s="51"/>
      <c r="LRI34" s="51"/>
      <c r="LRK34" s="51"/>
      <c r="LRN34" s="51"/>
      <c r="LRP34" s="51"/>
      <c r="LRQ34" s="51"/>
      <c r="LRS34" s="51"/>
      <c r="LRV34" s="51"/>
      <c r="LRX34" s="51"/>
      <c r="LRY34" s="51"/>
      <c r="LSA34" s="51"/>
      <c r="LSD34" s="51"/>
      <c r="LSF34" s="51"/>
      <c r="LSG34" s="51"/>
      <c r="LSI34" s="51"/>
      <c r="LSL34" s="51"/>
      <c r="LSN34" s="51"/>
      <c r="LSO34" s="51"/>
      <c r="LSQ34" s="51"/>
      <c r="LST34" s="51"/>
      <c r="LSV34" s="51"/>
      <c r="LSW34" s="51"/>
      <c r="LSY34" s="51"/>
      <c r="LTB34" s="51"/>
      <c r="LTD34" s="51"/>
      <c r="LTE34" s="51"/>
      <c r="LTG34" s="51"/>
      <c r="LTJ34" s="51"/>
      <c r="LTL34" s="51"/>
      <c r="LTM34" s="51"/>
      <c r="LTO34" s="51"/>
      <c r="LTR34" s="51"/>
      <c r="LTT34" s="51"/>
      <c r="LTU34" s="51"/>
      <c r="LTW34" s="51"/>
      <c r="LTZ34" s="51"/>
      <c r="LUB34" s="51"/>
      <c r="LUC34" s="51"/>
      <c r="LUE34" s="51"/>
      <c r="LUH34" s="51"/>
      <c r="LUJ34" s="51"/>
      <c r="LUK34" s="51"/>
      <c r="LUM34" s="51"/>
      <c r="LUP34" s="51"/>
      <c r="LUR34" s="51"/>
      <c r="LUS34" s="51"/>
      <c r="LUU34" s="51"/>
      <c r="LUX34" s="51"/>
      <c r="LUZ34" s="51"/>
      <c r="LVA34" s="51"/>
      <c r="LVC34" s="51"/>
      <c r="LVF34" s="51"/>
      <c r="LVH34" s="51"/>
      <c r="LVI34" s="51"/>
      <c r="LVK34" s="51"/>
      <c r="LVN34" s="51"/>
      <c r="LVP34" s="51"/>
      <c r="LVQ34" s="51"/>
      <c r="LVS34" s="51"/>
      <c r="LVV34" s="51"/>
      <c r="LVX34" s="51"/>
      <c r="LVY34" s="51"/>
      <c r="LWA34" s="51"/>
      <c r="LWD34" s="51"/>
      <c r="LWF34" s="51"/>
      <c r="LWG34" s="51"/>
      <c r="LWI34" s="51"/>
      <c r="LWL34" s="51"/>
      <c r="LWN34" s="51"/>
      <c r="LWO34" s="51"/>
      <c r="LWQ34" s="51"/>
      <c r="LWT34" s="51"/>
      <c r="LWV34" s="51"/>
      <c r="LWW34" s="51"/>
      <c r="LWY34" s="51"/>
      <c r="LXB34" s="51"/>
      <c r="LXD34" s="51"/>
      <c r="LXE34" s="51"/>
      <c r="LXG34" s="51"/>
      <c r="LXJ34" s="51"/>
      <c r="LXL34" s="51"/>
      <c r="LXM34" s="51"/>
      <c r="LXO34" s="51"/>
      <c r="LXR34" s="51"/>
      <c r="LXT34" s="51"/>
      <c r="LXU34" s="51"/>
      <c r="LXW34" s="51"/>
      <c r="LXZ34" s="51"/>
      <c r="LYB34" s="51"/>
      <c r="LYC34" s="51"/>
      <c r="LYE34" s="51"/>
      <c r="LYH34" s="51"/>
      <c r="LYJ34" s="51"/>
      <c r="LYK34" s="51"/>
      <c r="LYM34" s="51"/>
      <c r="LYP34" s="51"/>
      <c r="LYR34" s="51"/>
      <c r="LYS34" s="51"/>
      <c r="LYU34" s="51"/>
      <c r="LYX34" s="51"/>
      <c r="LYZ34" s="51"/>
      <c r="LZA34" s="51"/>
      <c r="LZC34" s="51"/>
      <c r="LZF34" s="51"/>
      <c r="LZH34" s="51"/>
      <c r="LZI34" s="51"/>
      <c r="LZK34" s="51"/>
      <c r="LZN34" s="51"/>
      <c r="LZP34" s="51"/>
      <c r="LZQ34" s="51"/>
      <c r="LZS34" s="51"/>
      <c r="LZV34" s="51"/>
      <c r="LZX34" s="51"/>
      <c r="LZY34" s="51"/>
      <c r="MAA34" s="51"/>
      <c r="MAD34" s="51"/>
      <c r="MAF34" s="51"/>
      <c r="MAG34" s="51"/>
      <c r="MAI34" s="51"/>
      <c r="MAL34" s="51"/>
      <c r="MAN34" s="51"/>
      <c r="MAO34" s="51"/>
      <c r="MAQ34" s="51"/>
      <c r="MAT34" s="51"/>
      <c r="MAV34" s="51"/>
      <c r="MAW34" s="51"/>
      <c r="MAY34" s="51"/>
      <c r="MBB34" s="51"/>
      <c r="MBD34" s="51"/>
      <c r="MBE34" s="51"/>
      <c r="MBG34" s="51"/>
      <c r="MBJ34" s="51"/>
      <c r="MBL34" s="51"/>
      <c r="MBM34" s="51"/>
      <c r="MBO34" s="51"/>
      <c r="MBR34" s="51"/>
      <c r="MBT34" s="51"/>
      <c r="MBU34" s="51"/>
      <c r="MBW34" s="51"/>
      <c r="MBZ34" s="51"/>
      <c r="MCB34" s="51"/>
      <c r="MCC34" s="51"/>
      <c r="MCE34" s="51"/>
      <c r="MCH34" s="51"/>
      <c r="MCJ34" s="51"/>
      <c r="MCK34" s="51"/>
      <c r="MCM34" s="51"/>
      <c r="MCP34" s="51"/>
      <c r="MCR34" s="51"/>
      <c r="MCS34" s="51"/>
      <c r="MCU34" s="51"/>
      <c r="MCX34" s="51"/>
      <c r="MCZ34" s="51"/>
      <c r="MDA34" s="51"/>
      <c r="MDC34" s="51"/>
      <c r="MDF34" s="51"/>
      <c r="MDH34" s="51"/>
      <c r="MDI34" s="51"/>
      <c r="MDK34" s="51"/>
      <c r="MDN34" s="51"/>
      <c r="MDP34" s="51"/>
      <c r="MDQ34" s="51"/>
      <c r="MDS34" s="51"/>
      <c r="MDV34" s="51"/>
      <c r="MDX34" s="51"/>
      <c r="MDY34" s="51"/>
      <c r="MEA34" s="51"/>
      <c r="MED34" s="51"/>
      <c r="MEF34" s="51"/>
      <c r="MEG34" s="51"/>
      <c r="MEI34" s="51"/>
      <c r="MEL34" s="51"/>
      <c r="MEN34" s="51"/>
      <c r="MEO34" s="51"/>
      <c r="MEQ34" s="51"/>
      <c r="MET34" s="51"/>
      <c r="MEV34" s="51"/>
      <c r="MEW34" s="51"/>
      <c r="MEY34" s="51"/>
      <c r="MFB34" s="51"/>
      <c r="MFD34" s="51"/>
      <c r="MFE34" s="51"/>
      <c r="MFG34" s="51"/>
      <c r="MFJ34" s="51"/>
      <c r="MFL34" s="51"/>
      <c r="MFM34" s="51"/>
      <c r="MFO34" s="51"/>
      <c r="MFR34" s="51"/>
      <c r="MFT34" s="51"/>
      <c r="MFU34" s="51"/>
      <c r="MFW34" s="51"/>
      <c r="MFZ34" s="51"/>
      <c r="MGB34" s="51"/>
      <c r="MGC34" s="51"/>
      <c r="MGE34" s="51"/>
      <c r="MGH34" s="51"/>
      <c r="MGJ34" s="51"/>
      <c r="MGK34" s="51"/>
      <c r="MGM34" s="51"/>
      <c r="MGP34" s="51"/>
      <c r="MGR34" s="51"/>
      <c r="MGS34" s="51"/>
      <c r="MGU34" s="51"/>
      <c r="MGX34" s="51"/>
      <c r="MGZ34" s="51"/>
      <c r="MHA34" s="51"/>
      <c r="MHC34" s="51"/>
      <c r="MHF34" s="51"/>
      <c r="MHH34" s="51"/>
      <c r="MHI34" s="51"/>
      <c r="MHK34" s="51"/>
      <c r="MHN34" s="51"/>
      <c r="MHP34" s="51"/>
      <c r="MHQ34" s="51"/>
      <c r="MHS34" s="51"/>
      <c r="MHV34" s="51"/>
      <c r="MHX34" s="51"/>
      <c r="MHY34" s="51"/>
      <c r="MIA34" s="51"/>
      <c r="MID34" s="51"/>
      <c r="MIF34" s="51"/>
      <c r="MIG34" s="51"/>
      <c r="MII34" s="51"/>
      <c r="MIL34" s="51"/>
      <c r="MIN34" s="51"/>
      <c r="MIO34" s="51"/>
      <c r="MIQ34" s="51"/>
      <c r="MIT34" s="51"/>
      <c r="MIV34" s="51"/>
      <c r="MIW34" s="51"/>
      <c r="MIY34" s="51"/>
      <c r="MJB34" s="51"/>
      <c r="MJD34" s="51"/>
      <c r="MJE34" s="51"/>
      <c r="MJG34" s="51"/>
      <c r="MJJ34" s="51"/>
      <c r="MJL34" s="51"/>
      <c r="MJM34" s="51"/>
      <c r="MJO34" s="51"/>
      <c r="MJR34" s="51"/>
      <c r="MJT34" s="51"/>
      <c r="MJU34" s="51"/>
      <c r="MJW34" s="51"/>
      <c r="MJZ34" s="51"/>
      <c r="MKB34" s="51"/>
      <c r="MKC34" s="51"/>
      <c r="MKE34" s="51"/>
      <c r="MKH34" s="51"/>
      <c r="MKJ34" s="51"/>
      <c r="MKK34" s="51"/>
      <c r="MKM34" s="51"/>
      <c r="MKP34" s="51"/>
      <c r="MKR34" s="51"/>
      <c r="MKS34" s="51"/>
      <c r="MKU34" s="51"/>
      <c r="MKX34" s="51"/>
      <c r="MKZ34" s="51"/>
      <c r="MLA34" s="51"/>
      <c r="MLC34" s="51"/>
      <c r="MLF34" s="51"/>
      <c r="MLH34" s="51"/>
      <c r="MLI34" s="51"/>
      <c r="MLK34" s="51"/>
      <c r="MLN34" s="51"/>
      <c r="MLP34" s="51"/>
      <c r="MLQ34" s="51"/>
      <c r="MLS34" s="51"/>
      <c r="MLV34" s="51"/>
      <c r="MLX34" s="51"/>
      <c r="MLY34" s="51"/>
      <c r="MMA34" s="51"/>
      <c r="MMD34" s="51"/>
      <c r="MMF34" s="51"/>
      <c r="MMG34" s="51"/>
      <c r="MMI34" s="51"/>
      <c r="MML34" s="51"/>
      <c r="MMN34" s="51"/>
      <c r="MMO34" s="51"/>
      <c r="MMQ34" s="51"/>
      <c r="MMT34" s="51"/>
      <c r="MMV34" s="51"/>
      <c r="MMW34" s="51"/>
      <c r="MMY34" s="51"/>
      <c r="MNB34" s="51"/>
      <c r="MND34" s="51"/>
      <c r="MNE34" s="51"/>
      <c r="MNG34" s="51"/>
      <c r="MNJ34" s="51"/>
      <c r="MNL34" s="51"/>
      <c r="MNM34" s="51"/>
      <c r="MNO34" s="51"/>
      <c r="MNR34" s="51"/>
      <c r="MNT34" s="51"/>
      <c r="MNU34" s="51"/>
      <c r="MNW34" s="51"/>
      <c r="MNZ34" s="51"/>
      <c r="MOB34" s="51"/>
      <c r="MOC34" s="51"/>
      <c r="MOE34" s="51"/>
      <c r="MOH34" s="51"/>
      <c r="MOJ34" s="51"/>
      <c r="MOK34" s="51"/>
      <c r="MOM34" s="51"/>
      <c r="MOP34" s="51"/>
      <c r="MOR34" s="51"/>
      <c r="MOS34" s="51"/>
      <c r="MOU34" s="51"/>
      <c r="MOX34" s="51"/>
      <c r="MOZ34" s="51"/>
      <c r="MPA34" s="51"/>
      <c r="MPC34" s="51"/>
      <c r="MPF34" s="51"/>
      <c r="MPH34" s="51"/>
      <c r="MPI34" s="51"/>
      <c r="MPK34" s="51"/>
      <c r="MPN34" s="51"/>
      <c r="MPP34" s="51"/>
      <c r="MPQ34" s="51"/>
      <c r="MPS34" s="51"/>
      <c r="MPV34" s="51"/>
      <c r="MPX34" s="51"/>
      <c r="MPY34" s="51"/>
      <c r="MQA34" s="51"/>
      <c r="MQD34" s="51"/>
      <c r="MQF34" s="51"/>
      <c r="MQG34" s="51"/>
      <c r="MQI34" s="51"/>
      <c r="MQL34" s="51"/>
      <c r="MQN34" s="51"/>
      <c r="MQO34" s="51"/>
      <c r="MQQ34" s="51"/>
      <c r="MQT34" s="51"/>
      <c r="MQV34" s="51"/>
      <c r="MQW34" s="51"/>
      <c r="MQY34" s="51"/>
      <c r="MRB34" s="51"/>
      <c r="MRD34" s="51"/>
      <c r="MRE34" s="51"/>
      <c r="MRG34" s="51"/>
      <c r="MRJ34" s="51"/>
      <c r="MRL34" s="51"/>
      <c r="MRM34" s="51"/>
      <c r="MRO34" s="51"/>
      <c r="MRR34" s="51"/>
      <c r="MRT34" s="51"/>
      <c r="MRU34" s="51"/>
      <c r="MRW34" s="51"/>
      <c r="MRZ34" s="51"/>
      <c r="MSB34" s="51"/>
      <c r="MSC34" s="51"/>
      <c r="MSE34" s="51"/>
      <c r="MSH34" s="51"/>
      <c r="MSJ34" s="51"/>
      <c r="MSK34" s="51"/>
      <c r="MSM34" s="51"/>
      <c r="MSP34" s="51"/>
      <c r="MSR34" s="51"/>
      <c r="MSS34" s="51"/>
      <c r="MSU34" s="51"/>
      <c r="MSX34" s="51"/>
      <c r="MSZ34" s="51"/>
      <c r="MTA34" s="51"/>
      <c r="MTC34" s="51"/>
      <c r="MTF34" s="51"/>
      <c r="MTH34" s="51"/>
      <c r="MTI34" s="51"/>
      <c r="MTK34" s="51"/>
      <c r="MTN34" s="51"/>
      <c r="MTP34" s="51"/>
      <c r="MTQ34" s="51"/>
      <c r="MTS34" s="51"/>
      <c r="MTV34" s="51"/>
      <c r="MTX34" s="51"/>
      <c r="MTY34" s="51"/>
      <c r="MUA34" s="51"/>
      <c r="MUD34" s="51"/>
      <c r="MUF34" s="51"/>
      <c r="MUG34" s="51"/>
      <c r="MUI34" s="51"/>
      <c r="MUL34" s="51"/>
      <c r="MUN34" s="51"/>
      <c r="MUO34" s="51"/>
      <c r="MUQ34" s="51"/>
      <c r="MUT34" s="51"/>
      <c r="MUV34" s="51"/>
      <c r="MUW34" s="51"/>
      <c r="MUY34" s="51"/>
      <c r="MVB34" s="51"/>
      <c r="MVD34" s="51"/>
      <c r="MVE34" s="51"/>
      <c r="MVG34" s="51"/>
      <c r="MVJ34" s="51"/>
      <c r="MVL34" s="51"/>
      <c r="MVM34" s="51"/>
      <c r="MVO34" s="51"/>
      <c r="MVR34" s="51"/>
      <c r="MVT34" s="51"/>
      <c r="MVU34" s="51"/>
      <c r="MVW34" s="51"/>
      <c r="MVZ34" s="51"/>
      <c r="MWB34" s="51"/>
      <c r="MWC34" s="51"/>
      <c r="MWE34" s="51"/>
      <c r="MWH34" s="51"/>
      <c r="MWJ34" s="51"/>
      <c r="MWK34" s="51"/>
      <c r="MWM34" s="51"/>
      <c r="MWP34" s="51"/>
      <c r="MWR34" s="51"/>
      <c r="MWS34" s="51"/>
      <c r="MWU34" s="51"/>
      <c r="MWX34" s="51"/>
      <c r="MWZ34" s="51"/>
      <c r="MXA34" s="51"/>
      <c r="MXC34" s="51"/>
      <c r="MXF34" s="51"/>
      <c r="MXH34" s="51"/>
      <c r="MXI34" s="51"/>
      <c r="MXK34" s="51"/>
      <c r="MXN34" s="51"/>
      <c r="MXP34" s="51"/>
      <c r="MXQ34" s="51"/>
      <c r="MXS34" s="51"/>
      <c r="MXV34" s="51"/>
      <c r="MXX34" s="51"/>
      <c r="MXY34" s="51"/>
      <c r="MYA34" s="51"/>
      <c r="MYD34" s="51"/>
      <c r="MYF34" s="51"/>
      <c r="MYG34" s="51"/>
      <c r="MYI34" s="51"/>
      <c r="MYL34" s="51"/>
      <c r="MYN34" s="51"/>
      <c r="MYO34" s="51"/>
      <c r="MYQ34" s="51"/>
      <c r="MYT34" s="51"/>
      <c r="MYV34" s="51"/>
      <c r="MYW34" s="51"/>
      <c r="MYY34" s="51"/>
      <c r="MZB34" s="51"/>
      <c r="MZD34" s="51"/>
      <c r="MZE34" s="51"/>
      <c r="MZG34" s="51"/>
      <c r="MZJ34" s="51"/>
      <c r="MZL34" s="51"/>
      <c r="MZM34" s="51"/>
      <c r="MZO34" s="51"/>
      <c r="MZR34" s="51"/>
      <c r="MZT34" s="51"/>
      <c r="MZU34" s="51"/>
      <c r="MZW34" s="51"/>
      <c r="MZZ34" s="51"/>
      <c r="NAB34" s="51"/>
      <c r="NAC34" s="51"/>
      <c r="NAE34" s="51"/>
      <c r="NAH34" s="51"/>
      <c r="NAJ34" s="51"/>
      <c r="NAK34" s="51"/>
      <c r="NAM34" s="51"/>
      <c r="NAP34" s="51"/>
      <c r="NAR34" s="51"/>
      <c r="NAS34" s="51"/>
      <c r="NAU34" s="51"/>
      <c r="NAX34" s="51"/>
      <c r="NAZ34" s="51"/>
      <c r="NBA34" s="51"/>
      <c r="NBC34" s="51"/>
      <c r="NBF34" s="51"/>
      <c r="NBH34" s="51"/>
      <c r="NBI34" s="51"/>
      <c r="NBK34" s="51"/>
      <c r="NBN34" s="51"/>
      <c r="NBP34" s="51"/>
      <c r="NBQ34" s="51"/>
      <c r="NBS34" s="51"/>
      <c r="NBV34" s="51"/>
      <c r="NBX34" s="51"/>
      <c r="NBY34" s="51"/>
      <c r="NCA34" s="51"/>
      <c r="NCD34" s="51"/>
      <c r="NCF34" s="51"/>
      <c r="NCG34" s="51"/>
      <c r="NCI34" s="51"/>
      <c r="NCL34" s="51"/>
      <c r="NCN34" s="51"/>
      <c r="NCO34" s="51"/>
      <c r="NCQ34" s="51"/>
      <c r="NCT34" s="51"/>
      <c r="NCV34" s="51"/>
      <c r="NCW34" s="51"/>
      <c r="NCY34" s="51"/>
      <c r="NDB34" s="51"/>
      <c r="NDD34" s="51"/>
      <c r="NDE34" s="51"/>
      <c r="NDG34" s="51"/>
      <c r="NDJ34" s="51"/>
      <c r="NDL34" s="51"/>
      <c r="NDM34" s="51"/>
      <c r="NDO34" s="51"/>
      <c r="NDR34" s="51"/>
      <c r="NDT34" s="51"/>
      <c r="NDU34" s="51"/>
      <c r="NDW34" s="51"/>
      <c r="NDZ34" s="51"/>
      <c r="NEB34" s="51"/>
      <c r="NEC34" s="51"/>
      <c r="NEE34" s="51"/>
      <c r="NEH34" s="51"/>
      <c r="NEJ34" s="51"/>
      <c r="NEK34" s="51"/>
      <c r="NEM34" s="51"/>
      <c r="NEP34" s="51"/>
      <c r="NER34" s="51"/>
      <c r="NES34" s="51"/>
      <c r="NEU34" s="51"/>
      <c r="NEX34" s="51"/>
      <c r="NEZ34" s="51"/>
      <c r="NFA34" s="51"/>
      <c r="NFC34" s="51"/>
      <c r="NFF34" s="51"/>
      <c r="NFH34" s="51"/>
      <c r="NFI34" s="51"/>
      <c r="NFK34" s="51"/>
      <c r="NFN34" s="51"/>
      <c r="NFP34" s="51"/>
      <c r="NFQ34" s="51"/>
      <c r="NFS34" s="51"/>
      <c r="NFV34" s="51"/>
      <c r="NFX34" s="51"/>
      <c r="NFY34" s="51"/>
      <c r="NGA34" s="51"/>
      <c r="NGD34" s="51"/>
      <c r="NGF34" s="51"/>
      <c r="NGG34" s="51"/>
      <c r="NGI34" s="51"/>
      <c r="NGL34" s="51"/>
      <c r="NGN34" s="51"/>
      <c r="NGO34" s="51"/>
      <c r="NGQ34" s="51"/>
      <c r="NGT34" s="51"/>
      <c r="NGV34" s="51"/>
      <c r="NGW34" s="51"/>
      <c r="NGY34" s="51"/>
      <c r="NHB34" s="51"/>
      <c r="NHD34" s="51"/>
      <c r="NHE34" s="51"/>
      <c r="NHG34" s="51"/>
      <c r="NHJ34" s="51"/>
      <c r="NHL34" s="51"/>
      <c r="NHM34" s="51"/>
      <c r="NHO34" s="51"/>
      <c r="NHR34" s="51"/>
      <c r="NHT34" s="51"/>
      <c r="NHU34" s="51"/>
      <c r="NHW34" s="51"/>
      <c r="NHZ34" s="51"/>
      <c r="NIB34" s="51"/>
      <c r="NIC34" s="51"/>
      <c r="NIE34" s="51"/>
      <c r="NIH34" s="51"/>
      <c r="NIJ34" s="51"/>
      <c r="NIK34" s="51"/>
      <c r="NIM34" s="51"/>
      <c r="NIP34" s="51"/>
      <c r="NIR34" s="51"/>
      <c r="NIS34" s="51"/>
      <c r="NIU34" s="51"/>
      <c r="NIX34" s="51"/>
      <c r="NIZ34" s="51"/>
      <c r="NJA34" s="51"/>
      <c r="NJC34" s="51"/>
      <c r="NJF34" s="51"/>
      <c r="NJH34" s="51"/>
      <c r="NJI34" s="51"/>
      <c r="NJK34" s="51"/>
      <c r="NJN34" s="51"/>
      <c r="NJP34" s="51"/>
      <c r="NJQ34" s="51"/>
      <c r="NJS34" s="51"/>
      <c r="NJV34" s="51"/>
      <c r="NJX34" s="51"/>
      <c r="NJY34" s="51"/>
      <c r="NKA34" s="51"/>
      <c r="NKD34" s="51"/>
      <c r="NKF34" s="51"/>
      <c r="NKG34" s="51"/>
      <c r="NKI34" s="51"/>
      <c r="NKL34" s="51"/>
      <c r="NKN34" s="51"/>
      <c r="NKO34" s="51"/>
      <c r="NKQ34" s="51"/>
      <c r="NKT34" s="51"/>
      <c r="NKV34" s="51"/>
      <c r="NKW34" s="51"/>
      <c r="NKY34" s="51"/>
      <c r="NLB34" s="51"/>
      <c r="NLD34" s="51"/>
      <c r="NLE34" s="51"/>
      <c r="NLG34" s="51"/>
      <c r="NLJ34" s="51"/>
      <c r="NLL34" s="51"/>
      <c r="NLM34" s="51"/>
      <c r="NLO34" s="51"/>
      <c r="NLR34" s="51"/>
      <c r="NLT34" s="51"/>
      <c r="NLU34" s="51"/>
      <c r="NLW34" s="51"/>
      <c r="NLZ34" s="51"/>
      <c r="NMB34" s="51"/>
      <c r="NMC34" s="51"/>
      <c r="NME34" s="51"/>
      <c r="NMH34" s="51"/>
      <c r="NMJ34" s="51"/>
      <c r="NMK34" s="51"/>
      <c r="NMM34" s="51"/>
      <c r="NMP34" s="51"/>
      <c r="NMR34" s="51"/>
      <c r="NMS34" s="51"/>
      <c r="NMU34" s="51"/>
      <c r="NMX34" s="51"/>
      <c r="NMZ34" s="51"/>
      <c r="NNA34" s="51"/>
      <c r="NNC34" s="51"/>
      <c r="NNF34" s="51"/>
      <c r="NNH34" s="51"/>
      <c r="NNI34" s="51"/>
      <c r="NNK34" s="51"/>
      <c r="NNN34" s="51"/>
      <c r="NNP34" s="51"/>
      <c r="NNQ34" s="51"/>
      <c r="NNS34" s="51"/>
      <c r="NNV34" s="51"/>
      <c r="NNX34" s="51"/>
      <c r="NNY34" s="51"/>
      <c r="NOA34" s="51"/>
      <c r="NOD34" s="51"/>
      <c r="NOF34" s="51"/>
      <c r="NOG34" s="51"/>
      <c r="NOI34" s="51"/>
      <c r="NOL34" s="51"/>
      <c r="NON34" s="51"/>
      <c r="NOO34" s="51"/>
      <c r="NOQ34" s="51"/>
      <c r="NOT34" s="51"/>
      <c r="NOV34" s="51"/>
      <c r="NOW34" s="51"/>
      <c r="NOY34" s="51"/>
      <c r="NPB34" s="51"/>
      <c r="NPD34" s="51"/>
      <c r="NPE34" s="51"/>
      <c r="NPG34" s="51"/>
      <c r="NPJ34" s="51"/>
      <c r="NPL34" s="51"/>
      <c r="NPM34" s="51"/>
      <c r="NPO34" s="51"/>
      <c r="NPR34" s="51"/>
      <c r="NPT34" s="51"/>
      <c r="NPU34" s="51"/>
      <c r="NPW34" s="51"/>
      <c r="NPZ34" s="51"/>
      <c r="NQB34" s="51"/>
      <c r="NQC34" s="51"/>
      <c r="NQE34" s="51"/>
      <c r="NQH34" s="51"/>
      <c r="NQJ34" s="51"/>
      <c r="NQK34" s="51"/>
      <c r="NQM34" s="51"/>
      <c r="NQP34" s="51"/>
      <c r="NQR34" s="51"/>
      <c r="NQS34" s="51"/>
      <c r="NQU34" s="51"/>
      <c r="NQX34" s="51"/>
      <c r="NQZ34" s="51"/>
      <c r="NRA34" s="51"/>
      <c r="NRC34" s="51"/>
      <c r="NRF34" s="51"/>
      <c r="NRH34" s="51"/>
      <c r="NRI34" s="51"/>
      <c r="NRK34" s="51"/>
      <c r="NRN34" s="51"/>
      <c r="NRP34" s="51"/>
      <c r="NRQ34" s="51"/>
      <c r="NRS34" s="51"/>
      <c r="NRV34" s="51"/>
      <c r="NRX34" s="51"/>
      <c r="NRY34" s="51"/>
      <c r="NSA34" s="51"/>
      <c r="NSD34" s="51"/>
      <c r="NSF34" s="51"/>
      <c r="NSG34" s="51"/>
      <c r="NSI34" s="51"/>
      <c r="NSL34" s="51"/>
      <c r="NSN34" s="51"/>
      <c r="NSO34" s="51"/>
      <c r="NSQ34" s="51"/>
      <c r="NST34" s="51"/>
      <c r="NSV34" s="51"/>
      <c r="NSW34" s="51"/>
      <c r="NSY34" s="51"/>
      <c r="NTB34" s="51"/>
      <c r="NTD34" s="51"/>
      <c r="NTE34" s="51"/>
      <c r="NTG34" s="51"/>
      <c r="NTJ34" s="51"/>
      <c r="NTL34" s="51"/>
      <c r="NTM34" s="51"/>
      <c r="NTO34" s="51"/>
      <c r="NTR34" s="51"/>
      <c r="NTT34" s="51"/>
      <c r="NTU34" s="51"/>
      <c r="NTW34" s="51"/>
      <c r="NTZ34" s="51"/>
      <c r="NUB34" s="51"/>
      <c r="NUC34" s="51"/>
      <c r="NUE34" s="51"/>
      <c r="NUH34" s="51"/>
      <c r="NUJ34" s="51"/>
      <c r="NUK34" s="51"/>
      <c r="NUM34" s="51"/>
      <c r="NUP34" s="51"/>
      <c r="NUR34" s="51"/>
      <c r="NUS34" s="51"/>
      <c r="NUU34" s="51"/>
      <c r="NUX34" s="51"/>
      <c r="NUZ34" s="51"/>
      <c r="NVA34" s="51"/>
      <c r="NVC34" s="51"/>
      <c r="NVF34" s="51"/>
      <c r="NVH34" s="51"/>
      <c r="NVI34" s="51"/>
      <c r="NVK34" s="51"/>
      <c r="NVN34" s="51"/>
      <c r="NVP34" s="51"/>
      <c r="NVQ34" s="51"/>
      <c r="NVS34" s="51"/>
      <c r="NVV34" s="51"/>
      <c r="NVX34" s="51"/>
      <c r="NVY34" s="51"/>
      <c r="NWA34" s="51"/>
      <c r="NWD34" s="51"/>
      <c r="NWF34" s="51"/>
      <c r="NWG34" s="51"/>
      <c r="NWI34" s="51"/>
      <c r="NWL34" s="51"/>
      <c r="NWN34" s="51"/>
      <c r="NWO34" s="51"/>
      <c r="NWQ34" s="51"/>
      <c r="NWT34" s="51"/>
      <c r="NWV34" s="51"/>
      <c r="NWW34" s="51"/>
      <c r="NWY34" s="51"/>
      <c r="NXB34" s="51"/>
      <c r="NXD34" s="51"/>
      <c r="NXE34" s="51"/>
      <c r="NXG34" s="51"/>
      <c r="NXJ34" s="51"/>
      <c r="NXL34" s="51"/>
      <c r="NXM34" s="51"/>
      <c r="NXO34" s="51"/>
      <c r="NXR34" s="51"/>
      <c r="NXT34" s="51"/>
      <c r="NXU34" s="51"/>
      <c r="NXW34" s="51"/>
      <c r="NXZ34" s="51"/>
      <c r="NYB34" s="51"/>
      <c r="NYC34" s="51"/>
      <c r="NYE34" s="51"/>
      <c r="NYH34" s="51"/>
      <c r="NYJ34" s="51"/>
      <c r="NYK34" s="51"/>
      <c r="NYM34" s="51"/>
      <c r="NYP34" s="51"/>
      <c r="NYR34" s="51"/>
      <c r="NYS34" s="51"/>
      <c r="NYU34" s="51"/>
      <c r="NYX34" s="51"/>
      <c r="NYZ34" s="51"/>
      <c r="NZA34" s="51"/>
      <c r="NZC34" s="51"/>
      <c r="NZF34" s="51"/>
      <c r="NZH34" s="51"/>
      <c r="NZI34" s="51"/>
      <c r="NZK34" s="51"/>
      <c r="NZN34" s="51"/>
      <c r="NZP34" s="51"/>
      <c r="NZQ34" s="51"/>
      <c r="NZS34" s="51"/>
      <c r="NZV34" s="51"/>
      <c r="NZX34" s="51"/>
      <c r="NZY34" s="51"/>
      <c r="OAA34" s="51"/>
      <c r="OAD34" s="51"/>
      <c r="OAF34" s="51"/>
      <c r="OAG34" s="51"/>
      <c r="OAI34" s="51"/>
      <c r="OAL34" s="51"/>
      <c r="OAN34" s="51"/>
      <c r="OAO34" s="51"/>
      <c r="OAQ34" s="51"/>
      <c r="OAT34" s="51"/>
      <c r="OAV34" s="51"/>
      <c r="OAW34" s="51"/>
      <c r="OAY34" s="51"/>
      <c r="OBB34" s="51"/>
      <c r="OBD34" s="51"/>
      <c r="OBE34" s="51"/>
      <c r="OBG34" s="51"/>
      <c r="OBJ34" s="51"/>
      <c r="OBL34" s="51"/>
      <c r="OBM34" s="51"/>
      <c r="OBO34" s="51"/>
      <c r="OBR34" s="51"/>
      <c r="OBT34" s="51"/>
      <c r="OBU34" s="51"/>
      <c r="OBW34" s="51"/>
      <c r="OBZ34" s="51"/>
      <c r="OCB34" s="51"/>
      <c r="OCC34" s="51"/>
      <c r="OCE34" s="51"/>
      <c r="OCH34" s="51"/>
      <c r="OCJ34" s="51"/>
      <c r="OCK34" s="51"/>
      <c r="OCM34" s="51"/>
      <c r="OCP34" s="51"/>
      <c r="OCR34" s="51"/>
      <c r="OCS34" s="51"/>
      <c r="OCU34" s="51"/>
      <c r="OCX34" s="51"/>
      <c r="OCZ34" s="51"/>
      <c r="ODA34" s="51"/>
      <c r="ODC34" s="51"/>
      <c r="ODF34" s="51"/>
      <c r="ODH34" s="51"/>
      <c r="ODI34" s="51"/>
      <c r="ODK34" s="51"/>
      <c r="ODN34" s="51"/>
      <c r="ODP34" s="51"/>
      <c r="ODQ34" s="51"/>
      <c r="ODS34" s="51"/>
      <c r="ODV34" s="51"/>
      <c r="ODX34" s="51"/>
      <c r="ODY34" s="51"/>
      <c r="OEA34" s="51"/>
      <c r="OED34" s="51"/>
      <c r="OEF34" s="51"/>
      <c r="OEG34" s="51"/>
      <c r="OEI34" s="51"/>
      <c r="OEL34" s="51"/>
      <c r="OEN34" s="51"/>
      <c r="OEO34" s="51"/>
      <c r="OEQ34" s="51"/>
      <c r="OET34" s="51"/>
      <c r="OEV34" s="51"/>
      <c r="OEW34" s="51"/>
      <c r="OEY34" s="51"/>
      <c r="OFB34" s="51"/>
      <c r="OFD34" s="51"/>
      <c r="OFE34" s="51"/>
      <c r="OFG34" s="51"/>
      <c r="OFJ34" s="51"/>
      <c r="OFL34" s="51"/>
      <c r="OFM34" s="51"/>
      <c r="OFO34" s="51"/>
      <c r="OFR34" s="51"/>
      <c r="OFT34" s="51"/>
      <c r="OFU34" s="51"/>
      <c r="OFW34" s="51"/>
      <c r="OFZ34" s="51"/>
      <c r="OGB34" s="51"/>
      <c r="OGC34" s="51"/>
      <c r="OGE34" s="51"/>
      <c r="OGH34" s="51"/>
      <c r="OGJ34" s="51"/>
      <c r="OGK34" s="51"/>
      <c r="OGM34" s="51"/>
      <c r="OGP34" s="51"/>
      <c r="OGR34" s="51"/>
      <c r="OGS34" s="51"/>
      <c r="OGU34" s="51"/>
      <c r="OGX34" s="51"/>
      <c r="OGZ34" s="51"/>
      <c r="OHA34" s="51"/>
      <c r="OHC34" s="51"/>
      <c r="OHF34" s="51"/>
      <c r="OHH34" s="51"/>
      <c r="OHI34" s="51"/>
      <c r="OHK34" s="51"/>
      <c r="OHN34" s="51"/>
      <c r="OHP34" s="51"/>
      <c r="OHQ34" s="51"/>
      <c r="OHS34" s="51"/>
      <c r="OHV34" s="51"/>
      <c r="OHX34" s="51"/>
      <c r="OHY34" s="51"/>
      <c r="OIA34" s="51"/>
      <c r="OID34" s="51"/>
      <c r="OIF34" s="51"/>
      <c r="OIG34" s="51"/>
      <c r="OII34" s="51"/>
      <c r="OIL34" s="51"/>
      <c r="OIN34" s="51"/>
      <c r="OIO34" s="51"/>
      <c r="OIQ34" s="51"/>
      <c r="OIT34" s="51"/>
      <c r="OIV34" s="51"/>
      <c r="OIW34" s="51"/>
      <c r="OIY34" s="51"/>
      <c r="OJB34" s="51"/>
      <c r="OJD34" s="51"/>
      <c r="OJE34" s="51"/>
      <c r="OJG34" s="51"/>
      <c r="OJJ34" s="51"/>
      <c r="OJL34" s="51"/>
      <c r="OJM34" s="51"/>
      <c r="OJO34" s="51"/>
      <c r="OJR34" s="51"/>
      <c r="OJT34" s="51"/>
      <c r="OJU34" s="51"/>
      <c r="OJW34" s="51"/>
      <c r="OJZ34" s="51"/>
      <c r="OKB34" s="51"/>
      <c r="OKC34" s="51"/>
      <c r="OKE34" s="51"/>
      <c r="OKH34" s="51"/>
      <c r="OKJ34" s="51"/>
      <c r="OKK34" s="51"/>
      <c r="OKM34" s="51"/>
      <c r="OKP34" s="51"/>
      <c r="OKR34" s="51"/>
      <c r="OKS34" s="51"/>
      <c r="OKU34" s="51"/>
      <c r="OKX34" s="51"/>
      <c r="OKZ34" s="51"/>
      <c r="OLA34" s="51"/>
      <c r="OLC34" s="51"/>
      <c r="OLF34" s="51"/>
      <c r="OLH34" s="51"/>
      <c r="OLI34" s="51"/>
      <c r="OLK34" s="51"/>
      <c r="OLN34" s="51"/>
      <c r="OLP34" s="51"/>
      <c r="OLQ34" s="51"/>
      <c r="OLS34" s="51"/>
      <c r="OLV34" s="51"/>
      <c r="OLX34" s="51"/>
      <c r="OLY34" s="51"/>
      <c r="OMA34" s="51"/>
      <c r="OMD34" s="51"/>
      <c r="OMF34" s="51"/>
      <c r="OMG34" s="51"/>
      <c r="OMI34" s="51"/>
      <c r="OML34" s="51"/>
      <c r="OMN34" s="51"/>
      <c r="OMO34" s="51"/>
      <c r="OMQ34" s="51"/>
      <c r="OMT34" s="51"/>
      <c r="OMV34" s="51"/>
      <c r="OMW34" s="51"/>
      <c r="OMY34" s="51"/>
      <c r="ONB34" s="51"/>
      <c r="OND34" s="51"/>
      <c r="ONE34" s="51"/>
      <c r="ONG34" s="51"/>
      <c r="ONJ34" s="51"/>
      <c r="ONL34" s="51"/>
      <c r="ONM34" s="51"/>
      <c r="ONO34" s="51"/>
      <c r="ONR34" s="51"/>
      <c r="ONT34" s="51"/>
      <c r="ONU34" s="51"/>
      <c r="ONW34" s="51"/>
      <c r="ONZ34" s="51"/>
      <c r="OOB34" s="51"/>
      <c r="OOC34" s="51"/>
      <c r="OOE34" s="51"/>
      <c r="OOH34" s="51"/>
      <c r="OOJ34" s="51"/>
      <c r="OOK34" s="51"/>
      <c r="OOM34" s="51"/>
      <c r="OOP34" s="51"/>
      <c r="OOR34" s="51"/>
      <c r="OOS34" s="51"/>
      <c r="OOU34" s="51"/>
      <c r="OOX34" s="51"/>
      <c r="OOZ34" s="51"/>
      <c r="OPA34" s="51"/>
      <c r="OPC34" s="51"/>
      <c r="OPF34" s="51"/>
      <c r="OPH34" s="51"/>
      <c r="OPI34" s="51"/>
      <c r="OPK34" s="51"/>
      <c r="OPN34" s="51"/>
      <c r="OPP34" s="51"/>
      <c r="OPQ34" s="51"/>
      <c r="OPS34" s="51"/>
      <c r="OPV34" s="51"/>
      <c r="OPX34" s="51"/>
      <c r="OPY34" s="51"/>
      <c r="OQA34" s="51"/>
      <c r="OQD34" s="51"/>
      <c r="OQF34" s="51"/>
      <c r="OQG34" s="51"/>
      <c r="OQI34" s="51"/>
      <c r="OQL34" s="51"/>
      <c r="OQN34" s="51"/>
      <c r="OQO34" s="51"/>
      <c r="OQQ34" s="51"/>
      <c r="OQT34" s="51"/>
      <c r="OQV34" s="51"/>
      <c r="OQW34" s="51"/>
      <c r="OQY34" s="51"/>
      <c r="ORB34" s="51"/>
      <c r="ORD34" s="51"/>
      <c r="ORE34" s="51"/>
      <c r="ORG34" s="51"/>
      <c r="ORJ34" s="51"/>
      <c r="ORL34" s="51"/>
      <c r="ORM34" s="51"/>
      <c r="ORO34" s="51"/>
      <c r="ORR34" s="51"/>
      <c r="ORT34" s="51"/>
      <c r="ORU34" s="51"/>
      <c r="ORW34" s="51"/>
      <c r="ORZ34" s="51"/>
      <c r="OSB34" s="51"/>
      <c r="OSC34" s="51"/>
      <c r="OSE34" s="51"/>
      <c r="OSH34" s="51"/>
      <c r="OSJ34" s="51"/>
      <c r="OSK34" s="51"/>
      <c r="OSM34" s="51"/>
      <c r="OSP34" s="51"/>
      <c r="OSR34" s="51"/>
      <c r="OSS34" s="51"/>
      <c r="OSU34" s="51"/>
      <c r="OSX34" s="51"/>
      <c r="OSZ34" s="51"/>
      <c r="OTA34" s="51"/>
      <c r="OTC34" s="51"/>
      <c r="OTF34" s="51"/>
      <c r="OTH34" s="51"/>
      <c r="OTI34" s="51"/>
      <c r="OTK34" s="51"/>
      <c r="OTN34" s="51"/>
      <c r="OTP34" s="51"/>
      <c r="OTQ34" s="51"/>
      <c r="OTS34" s="51"/>
      <c r="OTV34" s="51"/>
      <c r="OTX34" s="51"/>
      <c r="OTY34" s="51"/>
      <c r="OUA34" s="51"/>
      <c r="OUD34" s="51"/>
      <c r="OUF34" s="51"/>
      <c r="OUG34" s="51"/>
      <c r="OUI34" s="51"/>
      <c r="OUL34" s="51"/>
      <c r="OUN34" s="51"/>
      <c r="OUO34" s="51"/>
      <c r="OUQ34" s="51"/>
      <c r="OUT34" s="51"/>
      <c r="OUV34" s="51"/>
      <c r="OUW34" s="51"/>
      <c r="OUY34" s="51"/>
      <c r="OVB34" s="51"/>
      <c r="OVD34" s="51"/>
      <c r="OVE34" s="51"/>
      <c r="OVG34" s="51"/>
      <c r="OVJ34" s="51"/>
      <c r="OVL34" s="51"/>
      <c r="OVM34" s="51"/>
      <c r="OVO34" s="51"/>
      <c r="OVR34" s="51"/>
      <c r="OVT34" s="51"/>
      <c r="OVU34" s="51"/>
      <c r="OVW34" s="51"/>
      <c r="OVZ34" s="51"/>
      <c r="OWB34" s="51"/>
      <c r="OWC34" s="51"/>
      <c r="OWE34" s="51"/>
      <c r="OWH34" s="51"/>
      <c r="OWJ34" s="51"/>
      <c r="OWK34" s="51"/>
      <c r="OWM34" s="51"/>
      <c r="OWP34" s="51"/>
      <c r="OWR34" s="51"/>
      <c r="OWS34" s="51"/>
      <c r="OWU34" s="51"/>
      <c r="OWX34" s="51"/>
      <c r="OWZ34" s="51"/>
      <c r="OXA34" s="51"/>
      <c r="OXC34" s="51"/>
      <c r="OXF34" s="51"/>
      <c r="OXH34" s="51"/>
      <c r="OXI34" s="51"/>
      <c r="OXK34" s="51"/>
      <c r="OXN34" s="51"/>
      <c r="OXP34" s="51"/>
      <c r="OXQ34" s="51"/>
      <c r="OXS34" s="51"/>
      <c r="OXV34" s="51"/>
      <c r="OXX34" s="51"/>
      <c r="OXY34" s="51"/>
      <c r="OYA34" s="51"/>
      <c r="OYD34" s="51"/>
      <c r="OYF34" s="51"/>
      <c r="OYG34" s="51"/>
      <c r="OYI34" s="51"/>
      <c r="OYL34" s="51"/>
      <c r="OYN34" s="51"/>
      <c r="OYO34" s="51"/>
      <c r="OYQ34" s="51"/>
      <c r="OYT34" s="51"/>
      <c r="OYV34" s="51"/>
      <c r="OYW34" s="51"/>
      <c r="OYY34" s="51"/>
      <c r="OZB34" s="51"/>
      <c r="OZD34" s="51"/>
      <c r="OZE34" s="51"/>
      <c r="OZG34" s="51"/>
      <c r="OZJ34" s="51"/>
      <c r="OZL34" s="51"/>
      <c r="OZM34" s="51"/>
      <c r="OZO34" s="51"/>
      <c r="OZR34" s="51"/>
      <c r="OZT34" s="51"/>
      <c r="OZU34" s="51"/>
      <c r="OZW34" s="51"/>
      <c r="OZZ34" s="51"/>
      <c r="PAB34" s="51"/>
      <c r="PAC34" s="51"/>
      <c r="PAE34" s="51"/>
      <c r="PAH34" s="51"/>
      <c r="PAJ34" s="51"/>
      <c r="PAK34" s="51"/>
      <c r="PAM34" s="51"/>
      <c r="PAP34" s="51"/>
      <c r="PAR34" s="51"/>
      <c r="PAS34" s="51"/>
      <c r="PAU34" s="51"/>
      <c r="PAX34" s="51"/>
      <c r="PAZ34" s="51"/>
      <c r="PBA34" s="51"/>
      <c r="PBC34" s="51"/>
      <c r="PBF34" s="51"/>
      <c r="PBH34" s="51"/>
      <c r="PBI34" s="51"/>
      <c r="PBK34" s="51"/>
      <c r="PBN34" s="51"/>
      <c r="PBP34" s="51"/>
      <c r="PBQ34" s="51"/>
      <c r="PBS34" s="51"/>
      <c r="PBV34" s="51"/>
      <c r="PBX34" s="51"/>
      <c r="PBY34" s="51"/>
      <c r="PCA34" s="51"/>
      <c r="PCD34" s="51"/>
      <c r="PCF34" s="51"/>
      <c r="PCG34" s="51"/>
      <c r="PCI34" s="51"/>
      <c r="PCL34" s="51"/>
      <c r="PCN34" s="51"/>
      <c r="PCO34" s="51"/>
      <c r="PCQ34" s="51"/>
      <c r="PCT34" s="51"/>
      <c r="PCV34" s="51"/>
      <c r="PCW34" s="51"/>
      <c r="PCY34" s="51"/>
      <c r="PDB34" s="51"/>
      <c r="PDD34" s="51"/>
      <c r="PDE34" s="51"/>
      <c r="PDG34" s="51"/>
      <c r="PDJ34" s="51"/>
      <c r="PDL34" s="51"/>
      <c r="PDM34" s="51"/>
      <c r="PDO34" s="51"/>
      <c r="PDR34" s="51"/>
      <c r="PDT34" s="51"/>
      <c r="PDU34" s="51"/>
      <c r="PDW34" s="51"/>
      <c r="PDZ34" s="51"/>
      <c r="PEB34" s="51"/>
      <c r="PEC34" s="51"/>
      <c r="PEE34" s="51"/>
      <c r="PEH34" s="51"/>
      <c r="PEJ34" s="51"/>
      <c r="PEK34" s="51"/>
      <c r="PEM34" s="51"/>
      <c r="PEP34" s="51"/>
      <c r="PER34" s="51"/>
      <c r="PES34" s="51"/>
      <c r="PEU34" s="51"/>
      <c r="PEX34" s="51"/>
      <c r="PEZ34" s="51"/>
      <c r="PFA34" s="51"/>
      <c r="PFC34" s="51"/>
      <c r="PFF34" s="51"/>
      <c r="PFH34" s="51"/>
      <c r="PFI34" s="51"/>
      <c r="PFK34" s="51"/>
      <c r="PFN34" s="51"/>
      <c r="PFP34" s="51"/>
      <c r="PFQ34" s="51"/>
      <c r="PFS34" s="51"/>
      <c r="PFV34" s="51"/>
      <c r="PFX34" s="51"/>
      <c r="PFY34" s="51"/>
      <c r="PGA34" s="51"/>
      <c r="PGD34" s="51"/>
      <c r="PGF34" s="51"/>
      <c r="PGG34" s="51"/>
      <c r="PGI34" s="51"/>
      <c r="PGL34" s="51"/>
      <c r="PGN34" s="51"/>
      <c r="PGO34" s="51"/>
      <c r="PGQ34" s="51"/>
      <c r="PGT34" s="51"/>
      <c r="PGV34" s="51"/>
      <c r="PGW34" s="51"/>
      <c r="PGY34" s="51"/>
      <c r="PHB34" s="51"/>
      <c r="PHD34" s="51"/>
      <c r="PHE34" s="51"/>
      <c r="PHG34" s="51"/>
      <c r="PHJ34" s="51"/>
      <c r="PHL34" s="51"/>
      <c r="PHM34" s="51"/>
      <c r="PHO34" s="51"/>
      <c r="PHR34" s="51"/>
      <c r="PHT34" s="51"/>
      <c r="PHU34" s="51"/>
      <c r="PHW34" s="51"/>
      <c r="PHZ34" s="51"/>
      <c r="PIB34" s="51"/>
      <c r="PIC34" s="51"/>
      <c r="PIE34" s="51"/>
      <c r="PIH34" s="51"/>
      <c r="PIJ34" s="51"/>
      <c r="PIK34" s="51"/>
      <c r="PIM34" s="51"/>
      <c r="PIP34" s="51"/>
      <c r="PIR34" s="51"/>
      <c r="PIS34" s="51"/>
      <c r="PIU34" s="51"/>
      <c r="PIX34" s="51"/>
      <c r="PIZ34" s="51"/>
      <c r="PJA34" s="51"/>
      <c r="PJC34" s="51"/>
      <c r="PJF34" s="51"/>
      <c r="PJH34" s="51"/>
      <c r="PJI34" s="51"/>
      <c r="PJK34" s="51"/>
      <c r="PJN34" s="51"/>
      <c r="PJP34" s="51"/>
      <c r="PJQ34" s="51"/>
      <c r="PJS34" s="51"/>
      <c r="PJV34" s="51"/>
      <c r="PJX34" s="51"/>
      <c r="PJY34" s="51"/>
      <c r="PKA34" s="51"/>
      <c r="PKD34" s="51"/>
      <c r="PKF34" s="51"/>
      <c r="PKG34" s="51"/>
      <c r="PKI34" s="51"/>
      <c r="PKL34" s="51"/>
      <c r="PKN34" s="51"/>
      <c r="PKO34" s="51"/>
      <c r="PKQ34" s="51"/>
      <c r="PKT34" s="51"/>
      <c r="PKV34" s="51"/>
      <c r="PKW34" s="51"/>
      <c r="PKY34" s="51"/>
      <c r="PLB34" s="51"/>
      <c r="PLD34" s="51"/>
      <c r="PLE34" s="51"/>
      <c r="PLG34" s="51"/>
      <c r="PLJ34" s="51"/>
      <c r="PLL34" s="51"/>
      <c r="PLM34" s="51"/>
      <c r="PLO34" s="51"/>
      <c r="PLR34" s="51"/>
      <c r="PLT34" s="51"/>
      <c r="PLU34" s="51"/>
      <c r="PLW34" s="51"/>
      <c r="PLZ34" s="51"/>
      <c r="PMB34" s="51"/>
      <c r="PMC34" s="51"/>
      <c r="PME34" s="51"/>
      <c r="PMH34" s="51"/>
      <c r="PMJ34" s="51"/>
      <c r="PMK34" s="51"/>
      <c r="PMM34" s="51"/>
      <c r="PMP34" s="51"/>
      <c r="PMR34" s="51"/>
      <c r="PMS34" s="51"/>
      <c r="PMU34" s="51"/>
      <c r="PMX34" s="51"/>
      <c r="PMZ34" s="51"/>
      <c r="PNA34" s="51"/>
      <c r="PNC34" s="51"/>
      <c r="PNF34" s="51"/>
      <c r="PNH34" s="51"/>
      <c r="PNI34" s="51"/>
      <c r="PNK34" s="51"/>
      <c r="PNN34" s="51"/>
      <c r="PNP34" s="51"/>
      <c r="PNQ34" s="51"/>
      <c r="PNS34" s="51"/>
      <c r="PNV34" s="51"/>
      <c r="PNX34" s="51"/>
      <c r="PNY34" s="51"/>
      <c r="POA34" s="51"/>
      <c r="POD34" s="51"/>
      <c r="POF34" s="51"/>
      <c r="POG34" s="51"/>
      <c r="POI34" s="51"/>
      <c r="POL34" s="51"/>
      <c r="PON34" s="51"/>
      <c r="POO34" s="51"/>
      <c r="POQ34" s="51"/>
      <c r="POT34" s="51"/>
      <c r="POV34" s="51"/>
      <c r="POW34" s="51"/>
      <c r="POY34" s="51"/>
      <c r="PPB34" s="51"/>
      <c r="PPD34" s="51"/>
      <c r="PPE34" s="51"/>
      <c r="PPG34" s="51"/>
      <c r="PPJ34" s="51"/>
      <c r="PPL34" s="51"/>
      <c r="PPM34" s="51"/>
      <c r="PPO34" s="51"/>
      <c r="PPR34" s="51"/>
      <c r="PPT34" s="51"/>
      <c r="PPU34" s="51"/>
      <c r="PPW34" s="51"/>
      <c r="PPZ34" s="51"/>
      <c r="PQB34" s="51"/>
      <c r="PQC34" s="51"/>
      <c r="PQE34" s="51"/>
      <c r="PQH34" s="51"/>
      <c r="PQJ34" s="51"/>
      <c r="PQK34" s="51"/>
      <c r="PQM34" s="51"/>
      <c r="PQP34" s="51"/>
      <c r="PQR34" s="51"/>
      <c r="PQS34" s="51"/>
      <c r="PQU34" s="51"/>
      <c r="PQX34" s="51"/>
      <c r="PQZ34" s="51"/>
      <c r="PRA34" s="51"/>
      <c r="PRC34" s="51"/>
      <c r="PRF34" s="51"/>
      <c r="PRH34" s="51"/>
      <c r="PRI34" s="51"/>
      <c r="PRK34" s="51"/>
      <c r="PRN34" s="51"/>
      <c r="PRP34" s="51"/>
      <c r="PRQ34" s="51"/>
      <c r="PRS34" s="51"/>
      <c r="PRV34" s="51"/>
      <c r="PRX34" s="51"/>
      <c r="PRY34" s="51"/>
      <c r="PSA34" s="51"/>
      <c r="PSD34" s="51"/>
      <c r="PSF34" s="51"/>
      <c r="PSG34" s="51"/>
      <c r="PSI34" s="51"/>
      <c r="PSL34" s="51"/>
      <c r="PSN34" s="51"/>
      <c r="PSO34" s="51"/>
      <c r="PSQ34" s="51"/>
      <c r="PST34" s="51"/>
      <c r="PSV34" s="51"/>
      <c r="PSW34" s="51"/>
      <c r="PSY34" s="51"/>
      <c r="PTB34" s="51"/>
      <c r="PTD34" s="51"/>
      <c r="PTE34" s="51"/>
      <c r="PTG34" s="51"/>
      <c r="PTJ34" s="51"/>
      <c r="PTL34" s="51"/>
      <c r="PTM34" s="51"/>
      <c r="PTO34" s="51"/>
      <c r="PTR34" s="51"/>
      <c r="PTT34" s="51"/>
      <c r="PTU34" s="51"/>
      <c r="PTW34" s="51"/>
      <c r="PTZ34" s="51"/>
      <c r="PUB34" s="51"/>
      <c r="PUC34" s="51"/>
      <c r="PUE34" s="51"/>
      <c r="PUH34" s="51"/>
      <c r="PUJ34" s="51"/>
      <c r="PUK34" s="51"/>
      <c r="PUM34" s="51"/>
      <c r="PUP34" s="51"/>
      <c r="PUR34" s="51"/>
      <c r="PUS34" s="51"/>
      <c r="PUU34" s="51"/>
      <c r="PUX34" s="51"/>
      <c r="PUZ34" s="51"/>
      <c r="PVA34" s="51"/>
      <c r="PVC34" s="51"/>
      <c r="PVF34" s="51"/>
      <c r="PVH34" s="51"/>
      <c r="PVI34" s="51"/>
      <c r="PVK34" s="51"/>
      <c r="PVN34" s="51"/>
      <c r="PVP34" s="51"/>
      <c r="PVQ34" s="51"/>
      <c r="PVS34" s="51"/>
      <c r="PVV34" s="51"/>
      <c r="PVX34" s="51"/>
      <c r="PVY34" s="51"/>
      <c r="PWA34" s="51"/>
      <c r="PWD34" s="51"/>
      <c r="PWF34" s="51"/>
      <c r="PWG34" s="51"/>
      <c r="PWI34" s="51"/>
      <c r="PWL34" s="51"/>
      <c r="PWN34" s="51"/>
      <c r="PWO34" s="51"/>
      <c r="PWQ34" s="51"/>
      <c r="PWT34" s="51"/>
      <c r="PWV34" s="51"/>
      <c r="PWW34" s="51"/>
      <c r="PWY34" s="51"/>
      <c r="PXB34" s="51"/>
      <c r="PXD34" s="51"/>
      <c r="PXE34" s="51"/>
      <c r="PXG34" s="51"/>
      <c r="PXJ34" s="51"/>
      <c r="PXL34" s="51"/>
      <c r="PXM34" s="51"/>
      <c r="PXO34" s="51"/>
      <c r="PXR34" s="51"/>
      <c r="PXT34" s="51"/>
      <c r="PXU34" s="51"/>
      <c r="PXW34" s="51"/>
      <c r="PXZ34" s="51"/>
      <c r="PYB34" s="51"/>
      <c r="PYC34" s="51"/>
      <c r="PYE34" s="51"/>
      <c r="PYH34" s="51"/>
      <c r="PYJ34" s="51"/>
      <c r="PYK34" s="51"/>
      <c r="PYM34" s="51"/>
      <c r="PYP34" s="51"/>
      <c r="PYR34" s="51"/>
      <c r="PYS34" s="51"/>
      <c r="PYU34" s="51"/>
      <c r="PYX34" s="51"/>
      <c r="PYZ34" s="51"/>
      <c r="PZA34" s="51"/>
      <c r="PZC34" s="51"/>
      <c r="PZF34" s="51"/>
      <c r="PZH34" s="51"/>
      <c r="PZI34" s="51"/>
      <c r="PZK34" s="51"/>
      <c r="PZN34" s="51"/>
      <c r="PZP34" s="51"/>
      <c r="PZQ34" s="51"/>
      <c r="PZS34" s="51"/>
      <c r="PZV34" s="51"/>
      <c r="PZX34" s="51"/>
      <c r="PZY34" s="51"/>
      <c r="QAA34" s="51"/>
      <c r="QAD34" s="51"/>
      <c r="QAF34" s="51"/>
      <c r="QAG34" s="51"/>
      <c r="QAI34" s="51"/>
      <c r="QAL34" s="51"/>
      <c r="QAN34" s="51"/>
      <c r="QAO34" s="51"/>
      <c r="QAQ34" s="51"/>
      <c r="QAT34" s="51"/>
      <c r="QAV34" s="51"/>
      <c r="QAW34" s="51"/>
      <c r="QAY34" s="51"/>
      <c r="QBB34" s="51"/>
      <c r="QBD34" s="51"/>
      <c r="QBE34" s="51"/>
      <c r="QBG34" s="51"/>
      <c r="QBJ34" s="51"/>
      <c r="QBL34" s="51"/>
      <c r="QBM34" s="51"/>
      <c r="QBO34" s="51"/>
      <c r="QBR34" s="51"/>
      <c r="QBT34" s="51"/>
      <c r="QBU34" s="51"/>
      <c r="QBW34" s="51"/>
      <c r="QBZ34" s="51"/>
      <c r="QCB34" s="51"/>
      <c r="QCC34" s="51"/>
      <c r="QCE34" s="51"/>
      <c r="QCH34" s="51"/>
      <c r="QCJ34" s="51"/>
      <c r="QCK34" s="51"/>
      <c r="QCM34" s="51"/>
      <c r="QCP34" s="51"/>
      <c r="QCR34" s="51"/>
      <c r="QCS34" s="51"/>
      <c r="QCU34" s="51"/>
      <c r="QCX34" s="51"/>
      <c r="QCZ34" s="51"/>
      <c r="QDA34" s="51"/>
      <c r="QDC34" s="51"/>
      <c r="QDF34" s="51"/>
      <c r="QDH34" s="51"/>
      <c r="QDI34" s="51"/>
      <c r="QDK34" s="51"/>
      <c r="QDN34" s="51"/>
      <c r="QDP34" s="51"/>
      <c r="QDQ34" s="51"/>
      <c r="QDS34" s="51"/>
      <c r="QDV34" s="51"/>
      <c r="QDX34" s="51"/>
      <c r="QDY34" s="51"/>
      <c r="QEA34" s="51"/>
      <c r="QED34" s="51"/>
      <c r="QEF34" s="51"/>
      <c r="QEG34" s="51"/>
      <c r="QEI34" s="51"/>
      <c r="QEL34" s="51"/>
      <c r="QEN34" s="51"/>
      <c r="QEO34" s="51"/>
      <c r="QEQ34" s="51"/>
      <c r="QET34" s="51"/>
      <c r="QEV34" s="51"/>
      <c r="QEW34" s="51"/>
      <c r="QEY34" s="51"/>
      <c r="QFB34" s="51"/>
      <c r="QFD34" s="51"/>
      <c r="QFE34" s="51"/>
      <c r="QFG34" s="51"/>
      <c r="QFJ34" s="51"/>
      <c r="QFL34" s="51"/>
      <c r="QFM34" s="51"/>
      <c r="QFO34" s="51"/>
      <c r="QFR34" s="51"/>
      <c r="QFT34" s="51"/>
      <c r="QFU34" s="51"/>
      <c r="QFW34" s="51"/>
      <c r="QFZ34" s="51"/>
      <c r="QGB34" s="51"/>
      <c r="QGC34" s="51"/>
      <c r="QGE34" s="51"/>
      <c r="QGH34" s="51"/>
      <c r="QGJ34" s="51"/>
      <c r="QGK34" s="51"/>
      <c r="QGM34" s="51"/>
      <c r="QGP34" s="51"/>
      <c r="QGR34" s="51"/>
      <c r="QGS34" s="51"/>
      <c r="QGU34" s="51"/>
      <c r="QGX34" s="51"/>
      <c r="QGZ34" s="51"/>
      <c r="QHA34" s="51"/>
      <c r="QHC34" s="51"/>
      <c r="QHF34" s="51"/>
      <c r="QHH34" s="51"/>
      <c r="QHI34" s="51"/>
      <c r="QHK34" s="51"/>
      <c r="QHN34" s="51"/>
      <c r="QHP34" s="51"/>
      <c r="QHQ34" s="51"/>
      <c r="QHS34" s="51"/>
      <c r="QHV34" s="51"/>
      <c r="QHX34" s="51"/>
      <c r="QHY34" s="51"/>
      <c r="QIA34" s="51"/>
      <c r="QID34" s="51"/>
      <c r="QIF34" s="51"/>
      <c r="QIG34" s="51"/>
      <c r="QII34" s="51"/>
      <c r="QIL34" s="51"/>
      <c r="QIN34" s="51"/>
      <c r="QIO34" s="51"/>
      <c r="QIQ34" s="51"/>
      <c r="QIT34" s="51"/>
      <c r="QIV34" s="51"/>
      <c r="QIW34" s="51"/>
      <c r="QIY34" s="51"/>
      <c r="QJB34" s="51"/>
      <c r="QJD34" s="51"/>
      <c r="QJE34" s="51"/>
      <c r="QJG34" s="51"/>
      <c r="QJJ34" s="51"/>
      <c r="QJL34" s="51"/>
      <c r="QJM34" s="51"/>
      <c r="QJO34" s="51"/>
      <c r="QJR34" s="51"/>
      <c r="QJT34" s="51"/>
      <c r="QJU34" s="51"/>
      <c r="QJW34" s="51"/>
      <c r="QJZ34" s="51"/>
      <c r="QKB34" s="51"/>
      <c r="QKC34" s="51"/>
      <c r="QKE34" s="51"/>
      <c r="QKH34" s="51"/>
      <c r="QKJ34" s="51"/>
      <c r="QKK34" s="51"/>
      <c r="QKM34" s="51"/>
      <c r="QKP34" s="51"/>
      <c r="QKR34" s="51"/>
      <c r="QKS34" s="51"/>
      <c r="QKU34" s="51"/>
      <c r="QKX34" s="51"/>
      <c r="QKZ34" s="51"/>
      <c r="QLA34" s="51"/>
      <c r="QLC34" s="51"/>
      <c r="QLF34" s="51"/>
      <c r="QLH34" s="51"/>
      <c r="QLI34" s="51"/>
      <c r="QLK34" s="51"/>
      <c r="QLN34" s="51"/>
      <c r="QLP34" s="51"/>
      <c r="QLQ34" s="51"/>
      <c r="QLS34" s="51"/>
      <c r="QLV34" s="51"/>
      <c r="QLX34" s="51"/>
      <c r="QLY34" s="51"/>
      <c r="QMA34" s="51"/>
      <c r="QMD34" s="51"/>
      <c r="QMF34" s="51"/>
      <c r="QMG34" s="51"/>
      <c r="QMI34" s="51"/>
      <c r="QML34" s="51"/>
      <c r="QMN34" s="51"/>
      <c r="QMO34" s="51"/>
      <c r="QMQ34" s="51"/>
      <c r="QMT34" s="51"/>
      <c r="QMV34" s="51"/>
      <c r="QMW34" s="51"/>
      <c r="QMY34" s="51"/>
      <c r="QNB34" s="51"/>
      <c r="QND34" s="51"/>
      <c r="QNE34" s="51"/>
      <c r="QNG34" s="51"/>
      <c r="QNJ34" s="51"/>
      <c r="QNL34" s="51"/>
      <c r="QNM34" s="51"/>
      <c r="QNO34" s="51"/>
      <c r="QNR34" s="51"/>
      <c r="QNT34" s="51"/>
      <c r="QNU34" s="51"/>
      <c r="QNW34" s="51"/>
      <c r="QNZ34" s="51"/>
      <c r="QOB34" s="51"/>
      <c r="QOC34" s="51"/>
      <c r="QOE34" s="51"/>
      <c r="QOH34" s="51"/>
      <c r="QOJ34" s="51"/>
      <c r="QOK34" s="51"/>
      <c r="QOM34" s="51"/>
      <c r="QOP34" s="51"/>
      <c r="QOR34" s="51"/>
      <c r="QOS34" s="51"/>
      <c r="QOU34" s="51"/>
      <c r="QOX34" s="51"/>
      <c r="QOZ34" s="51"/>
      <c r="QPA34" s="51"/>
      <c r="QPC34" s="51"/>
      <c r="QPF34" s="51"/>
      <c r="QPH34" s="51"/>
      <c r="QPI34" s="51"/>
      <c r="QPK34" s="51"/>
      <c r="QPN34" s="51"/>
      <c r="QPP34" s="51"/>
      <c r="QPQ34" s="51"/>
      <c r="QPS34" s="51"/>
      <c r="QPV34" s="51"/>
      <c r="QPX34" s="51"/>
      <c r="QPY34" s="51"/>
      <c r="QQA34" s="51"/>
      <c r="QQD34" s="51"/>
      <c r="QQF34" s="51"/>
      <c r="QQG34" s="51"/>
      <c r="QQI34" s="51"/>
      <c r="QQL34" s="51"/>
      <c r="QQN34" s="51"/>
      <c r="QQO34" s="51"/>
      <c r="QQQ34" s="51"/>
      <c r="QQT34" s="51"/>
      <c r="QQV34" s="51"/>
      <c r="QQW34" s="51"/>
      <c r="QQY34" s="51"/>
      <c r="QRB34" s="51"/>
      <c r="QRD34" s="51"/>
      <c r="QRE34" s="51"/>
      <c r="QRG34" s="51"/>
      <c r="QRJ34" s="51"/>
      <c r="QRL34" s="51"/>
      <c r="QRM34" s="51"/>
      <c r="QRO34" s="51"/>
      <c r="QRR34" s="51"/>
      <c r="QRT34" s="51"/>
      <c r="QRU34" s="51"/>
      <c r="QRW34" s="51"/>
      <c r="QRZ34" s="51"/>
      <c r="QSB34" s="51"/>
      <c r="QSC34" s="51"/>
      <c r="QSE34" s="51"/>
      <c r="QSH34" s="51"/>
      <c r="QSJ34" s="51"/>
      <c r="QSK34" s="51"/>
      <c r="QSM34" s="51"/>
      <c r="QSP34" s="51"/>
      <c r="QSR34" s="51"/>
      <c r="QSS34" s="51"/>
      <c r="QSU34" s="51"/>
      <c r="QSX34" s="51"/>
      <c r="QSZ34" s="51"/>
      <c r="QTA34" s="51"/>
      <c r="QTC34" s="51"/>
      <c r="QTF34" s="51"/>
      <c r="QTH34" s="51"/>
      <c r="QTI34" s="51"/>
      <c r="QTK34" s="51"/>
      <c r="QTN34" s="51"/>
      <c r="QTP34" s="51"/>
      <c r="QTQ34" s="51"/>
      <c r="QTS34" s="51"/>
      <c r="QTV34" s="51"/>
      <c r="QTX34" s="51"/>
      <c r="QTY34" s="51"/>
      <c r="QUA34" s="51"/>
      <c r="QUD34" s="51"/>
      <c r="QUF34" s="51"/>
      <c r="QUG34" s="51"/>
      <c r="QUI34" s="51"/>
      <c r="QUL34" s="51"/>
      <c r="QUN34" s="51"/>
      <c r="QUO34" s="51"/>
      <c r="QUQ34" s="51"/>
      <c r="QUT34" s="51"/>
      <c r="QUV34" s="51"/>
      <c r="QUW34" s="51"/>
      <c r="QUY34" s="51"/>
      <c r="QVB34" s="51"/>
      <c r="QVD34" s="51"/>
      <c r="QVE34" s="51"/>
      <c r="QVG34" s="51"/>
      <c r="QVJ34" s="51"/>
      <c r="QVL34" s="51"/>
      <c r="QVM34" s="51"/>
      <c r="QVO34" s="51"/>
      <c r="QVR34" s="51"/>
      <c r="QVT34" s="51"/>
      <c r="QVU34" s="51"/>
      <c r="QVW34" s="51"/>
      <c r="QVZ34" s="51"/>
      <c r="QWB34" s="51"/>
      <c r="QWC34" s="51"/>
      <c r="QWE34" s="51"/>
      <c r="QWH34" s="51"/>
      <c r="QWJ34" s="51"/>
      <c r="QWK34" s="51"/>
      <c r="QWM34" s="51"/>
      <c r="QWP34" s="51"/>
      <c r="QWR34" s="51"/>
      <c r="QWS34" s="51"/>
      <c r="QWU34" s="51"/>
      <c r="QWX34" s="51"/>
      <c r="QWZ34" s="51"/>
      <c r="QXA34" s="51"/>
      <c r="QXC34" s="51"/>
      <c r="QXF34" s="51"/>
      <c r="QXH34" s="51"/>
      <c r="QXI34" s="51"/>
      <c r="QXK34" s="51"/>
      <c r="QXN34" s="51"/>
      <c r="QXP34" s="51"/>
      <c r="QXQ34" s="51"/>
      <c r="QXS34" s="51"/>
      <c r="QXV34" s="51"/>
      <c r="QXX34" s="51"/>
      <c r="QXY34" s="51"/>
      <c r="QYA34" s="51"/>
      <c r="QYD34" s="51"/>
      <c r="QYF34" s="51"/>
      <c r="QYG34" s="51"/>
      <c r="QYI34" s="51"/>
      <c r="QYL34" s="51"/>
      <c r="QYN34" s="51"/>
      <c r="QYO34" s="51"/>
      <c r="QYQ34" s="51"/>
      <c r="QYT34" s="51"/>
      <c r="QYV34" s="51"/>
      <c r="QYW34" s="51"/>
      <c r="QYY34" s="51"/>
      <c r="QZB34" s="51"/>
      <c r="QZD34" s="51"/>
      <c r="QZE34" s="51"/>
      <c r="QZG34" s="51"/>
      <c r="QZJ34" s="51"/>
      <c r="QZL34" s="51"/>
      <c r="QZM34" s="51"/>
      <c r="QZO34" s="51"/>
      <c r="QZR34" s="51"/>
      <c r="QZT34" s="51"/>
      <c r="QZU34" s="51"/>
      <c r="QZW34" s="51"/>
      <c r="QZZ34" s="51"/>
      <c r="RAB34" s="51"/>
      <c r="RAC34" s="51"/>
      <c r="RAE34" s="51"/>
      <c r="RAH34" s="51"/>
      <c r="RAJ34" s="51"/>
      <c r="RAK34" s="51"/>
      <c r="RAM34" s="51"/>
      <c r="RAP34" s="51"/>
      <c r="RAR34" s="51"/>
      <c r="RAS34" s="51"/>
      <c r="RAU34" s="51"/>
      <c r="RAX34" s="51"/>
      <c r="RAZ34" s="51"/>
      <c r="RBA34" s="51"/>
      <c r="RBC34" s="51"/>
      <c r="RBF34" s="51"/>
      <c r="RBH34" s="51"/>
      <c r="RBI34" s="51"/>
      <c r="RBK34" s="51"/>
      <c r="RBN34" s="51"/>
      <c r="RBP34" s="51"/>
      <c r="RBQ34" s="51"/>
      <c r="RBS34" s="51"/>
      <c r="RBV34" s="51"/>
      <c r="RBX34" s="51"/>
      <c r="RBY34" s="51"/>
      <c r="RCA34" s="51"/>
      <c r="RCD34" s="51"/>
      <c r="RCF34" s="51"/>
      <c r="RCG34" s="51"/>
      <c r="RCI34" s="51"/>
      <c r="RCL34" s="51"/>
      <c r="RCN34" s="51"/>
      <c r="RCO34" s="51"/>
      <c r="RCQ34" s="51"/>
      <c r="RCT34" s="51"/>
      <c r="RCV34" s="51"/>
      <c r="RCW34" s="51"/>
      <c r="RCY34" s="51"/>
      <c r="RDB34" s="51"/>
      <c r="RDD34" s="51"/>
      <c r="RDE34" s="51"/>
      <c r="RDG34" s="51"/>
      <c r="RDJ34" s="51"/>
      <c r="RDL34" s="51"/>
      <c r="RDM34" s="51"/>
      <c r="RDO34" s="51"/>
      <c r="RDR34" s="51"/>
      <c r="RDT34" s="51"/>
      <c r="RDU34" s="51"/>
      <c r="RDW34" s="51"/>
      <c r="RDZ34" s="51"/>
      <c r="REB34" s="51"/>
      <c r="REC34" s="51"/>
      <c r="REE34" s="51"/>
      <c r="REH34" s="51"/>
      <c r="REJ34" s="51"/>
      <c r="REK34" s="51"/>
      <c r="REM34" s="51"/>
      <c r="REP34" s="51"/>
      <c r="RER34" s="51"/>
      <c r="RES34" s="51"/>
      <c r="REU34" s="51"/>
      <c r="REX34" s="51"/>
      <c r="REZ34" s="51"/>
      <c r="RFA34" s="51"/>
      <c r="RFC34" s="51"/>
      <c r="RFF34" s="51"/>
      <c r="RFH34" s="51"/>
      <c r="RFI34" s="51"/>
      <c r="RFK34" s="51"/>
      <c r="RFN34" s="51"/>
      <c r="RFP34" s="51"/>
      <c r="RFQ34" s="51"/>
      <c r="RFS34" s="51"/>
      <c r="RFV34" s="51"/>
      <c r="RFX34" s="51"/>
      <c r="RFY34" s="51"/>
      <c r="RGA34" s="51"/>
      <c r="RGD34" s="51"/>
      <c r="RGF34" s="51"/>
      <c r="RGG34" s="51"/>
      <c r="RGI34" s="51"/>
      <c r="RGL34" s="51"/>
      <c r="RGN34" s="51"/>
      <c r="RGO34" s="51"/>
      <c r="RGQ34" s="51"/>
      <c r="RGT34" s="51"/>
      <c r="RGV34" s="51"/>
      <c r="RGW34" s="51"/>
      <c r="RGY34" s="51"/>
      <c r="RHB34" s="51"/>
      <c r="RHD34" s="51"/>
      <c r="RHE34" s="51"/>
      <c r="RHG34" s="51"/>
      <c r="RHJ34" s="51"/>
      <c r="RHL34" s="51"/>
      <c r="RHM34" s="51"/>
      <c r="RHO34" s="51"/>
      <c r="RHR34" s="51"/>
      <c r="RHT34" s="51"/>
      <c r="RHU34" s="51"/>
      <c r="RHW34" s="51"/>
      <c r="RHZ34" s="51"/>
      <c r="RIB34" s="51"/>
      <c r="RIC34" s="51"/>
      <c r="RIE34" s="51"/>
      <c r="RIH34" s="51"/>
      <c r="RIJ34" s="51"/>
      <c r="RIK34" s="51"/>
      <c r="RIM34" s="51"/>
      <c r="RIP34" s="51"/>
      <c r="RIR34" s="51"/>
      <c r="RIS34" s="51"/>
      <c r="RIU34" s="51"/>
      <c r="RIX34" s="51"/>
      <c r="RIZ34" s="51"/>
      <c r="RJA34" s="51"/>
      <c r="RJC34" s="51"/>
      <c r="RJF34" s="51"/>
      <c r="RJH34" s="51"/>
      <c r="RJI34" s="51"/>
      <c r="RJK34" s="51"/>
      <c r="RJN34" s="51"/>
      <c r="RJP34" s="51"/>
      <c r="RJQ34" s="51"/>
      <c r="RJS34" s="51"/>
      <c r="RJV34" s="51"/>
      <c r="RJX34" s="51"/>
      <c r="RJY34" s="51"/>
      <c r="RKA34" s="51"/>
      <c r="RKD34" s="51"/>
      <c r="RKF34" s="51"/>
      <c r="RKG34" s="51"/>
      <c r="RKI34" s="51"/>
      <c r="RKL34" s="51"/>
      <c r="RKN34" s="51"/>
      <c r="RKO34" s="51"/>
      <c r="RKQ34" s="51"/>
      <c r="RKT34" s="51"/>
      <c r="RKV34" s="51"/>
      <c r="RKW34" s="51"/>
      <c r="RKY34" s="51"/>
      <c r="RLB34" s="51"/>
      <c r="RLD34" s="51"/>
      <c r="RLE34" s="51"/>
      <c r="RLG34" s="51"/>
      <c r="RLJ34" s="51"/>
      <c r="RLL34" s="51"/>
      <c r="RLM34" s="51"/>
      <c r="RLO34" s="51"/>
      <c r="RLR34" s="51"/>
      <c r="RLT34" s="51"/>
      <c r="RLU34" s="51"/>
      <c r="RLW34" s="51"/>
      <c r="RLZ34" s="51"/>
      <c r="RMB34" s="51"/>
      <c r="RMC34" s="51"/>
      <c r="RME34" s="51"/>
      <c r="RMH34" s="51"/>
      <c r="RMJ34" s="51"/>
      <c r="RMK34" s="51"/>
      <c r="RMM34" s="51"/>
      <c r="RMP34" s="51"/>
      <c r="RMR34" s="51"/>
      <c r="RMS34" s="51"/>
      <c r="RMU34" s="51"/>
      <c r="RMX34" s="51"/>
      <c r="RMZ34" s="51"/>
      <c r="RNA34" s="51"/>
      <c r="RNC34" s="51"/>
      <c r="RNF34" s="51"/>
      <c r="RNH34" s="51"/>
      <c r="RNI34" s="51"/>
      <c r="RNK34" s="51"/>
      <c r="RNN34" s="51"/>
      <c r="RNP34" s="51"/>
      <c r="RNQ34" s="51"/>
      <c r="RNS34" s="51"/>
      <c r="RNV34" s="51"/>
      <c r="RNX34" s="51"/>
      <c r="RNY34" s="51"/>
      <c r="ROA34" s="51"/>
      <c r="ROD34" s="51"/>
      <c r="ROF34" s="51"/>
      <c r="ROG34" s="51"/>
      <c r="ROI34" s="51"/>
      <c r="ROL34" s="51"/>
      <c r="RON34" s="51"/>
      <c r="ROO34" s="51"/>
      <c r="ROQ34" s="51"/>
      <c r="ROT34" s="51"/>
      <c r="ROV34" s="51"/>
      <c r="ROW34" s="51"/>
      <c r="ROY34" s="51"/>
      <c r="RPB34" s="51"/>
      <c r="RPD34" s="51"/>
      <c r="RPE34" s="51"/>
      <c r="RPG34" s="51"/>
      <c r="RPJ34" s="51"/>
      <c r="RPL34" s="51"/>
      <c r="RPM34" s="51"/>
      <c r="RPO34" s="51"/>
      <c r="RPR34" s="51"/>
      <c r="RPT34" s="51"/>
      <c r="RPU34" s="51"/>
      <c r="RPW34" s="51"/>
      <c r="RPZ34" s="51"/>
      <c r="RQB34" s="51"/>
      <c r="RQC34" s="51"/>
      <c r="RQE34" s="51"/>
      <c r="RQH34" s="51"/>
      <c r="RQJ34" s="51"/>
      <c r="RQK34" s="51"/>
      <c r="RQM34" s="51"/>
      <c r="RQP34" s="51"/>
      <c r="RQR34" s="51"/>
      <c r="RQS34" s="51"/>
      <c r="RQU34" s="51"/>
      <c r="RQX34" s="51"/>
      <c r="RQZ34" s="51"/>
      <c r="RRA34" s="51"/>
      <c r="RRC34" s="51"/>
      <c r="RRF34" s="51"/>
      <c r="RRH34" s="51"/>
      <c r="RRI34" s="51"/>
      <c r="RRK34" s="51"/>
      <c r="RRN34" s="51"/>
      <c r="RRP34" s="51"/>
      <c r="RRQ34" s="51"/>
      <c r="RRS34" s="51"/>
      <c r="RRV34" s="51"/>
      <c r="RRX34" s="51"/>
      <c r="RRY34" s="51"/>
      <c r="RSA34" s="51"/>
      <c r="RSD34" s="51"/>
      <c r="RSF34" s="51"/>
      <c r="RSG34" s="51"/>
      <c r="RSI34" s="51"/>
      <c r="RSL34" s="51"/>
      <c r="RSN34" s="51"/>
      <c r="RSO34" s="51"/>
      <c r="RSQ34" s="51"/>
      <c r="RST34" s="51"/>
      <c r="RSV34" s="51"/>
      <c r="RSW34" s="51"/>
      <c r="RSY34" s="51"/>
      <c r="RTB34" s="51"/>
      <c r="RTD34" s="51"/>
      <c r="RTE34" s="51"/>
      <c r="RTG34" s="51"/>
      <c r="RTJ34" s="51"/>
      <c r="RTL34" s="51"/>
      <c r="RTM34" s="51"/>
      <c r="RTO34" s="51"/>
      <c r="RTR34" s="51"/>
      <c r="RTT34" s="51"/>
      <c r="RTU34" s="51"/>
      <c r="RTW34" s="51"/>
      <c r="RTZ34" s="51"/>
      <c r="RUB34" s="51"/>
      <c r="RUC34" s="51"/>
      <c r="RUE34" s="51"/>
      <c r="RUH34" s="51"/>
      <c r="RUJ34" s="51"/>
      <c r="RUK34" s="51"/>
      <c r="RUM34" s="51"/>
      <c r="RUP34" s="51"/>
      <c r="RUR34" s="51"/>
      <c r="RUS34" s="51"/>
      <c r="RUU34" s="51"/>
      <c r="RUX34" s="51"/>
      <c r="RUZ34" s="51"/>
      <c r="RVA34" s="51"/>
      <c r="RVC34" s="51"/>
      <c r="RVF34" s="51"/>
      <c r="RVH34" s="51"/>
      <c r="RVI34" s="51"/>
      <c r="RVK34" s="51"/>
      <c r="RVN34" s="51"/>
      <c r="RVP34" s="51"/>
      <c r="RVQ34" s="51"/>
      <c r="RVS34" s="51"/>
      <c r="RVV34" s="51"/>
      <c r="RVX34" s="51"/>
      <c r="RVY34" s="51"/>
      <c r="RWA34" s="51"/>
      <c r="RWD34" s="51"/>
      <c r="RWF34" s="51"/>
      <c r="RWG34" s="51"/>
      <c r="RWI34" s="51"/>
      <c r="RWL34" s="51"/>
      <c r="RWN34" s="51"/>
      <c r="RWO34" s="51"/>
      <c r="RWQ34" s="51"/>
      <c r="RWT34" s="51"/>
      <c r="RWV34" s="51"/>
      <c r="RWW34" s="51"/>
      <c r="RWY34" s="51"/>
      <c r="RXB34" s="51"/>
      <c r="RXD34" s="51"/>
      <c r="RXE34" s="51"/>
      <c r="RXG34" s="51"/>
      <c r="RXJ34" s="51"/>
      <c r="RXL34" s="51"/>
      <c r="RXM34" s="51"/>
      <c r="RXO34" s="51"/>
      <c r="RXR34" s="51"/>
      <c r="RXT34" s="51"/>
      <c r="RXU34" s="51"/>
      <c r="RXW34" s="51"/>
      <c r="RXZ34" s="51"/>
      <c r="RYB34" s="51"/>
      <c r="RYC34" s="51"/>
      <c r="RYE34" s="51"/>
      <c r="RYH34" s="51"/>
      <c r="RYJ34" s="51"/>
      <c r="RYK34" s="51"/>
      <c r="RYM34" s="51"/>
      <c r="RYP34" s="51"/>
      <c r="RYR34" s="51"/>
      <c r="RYS34" s="51"/>
      <c r="RYU34" s="51"/>
      <c r="RYX34" s="51"/>
      <c r="RYZ34" s="51"/>
      <c r="RZA34" s="51"/>
      <c r="RZC34" s="51"/>
      <c r="RZF34" s="51"/>
      <c r="RZH34" s="51"/>
      <c r="RZI34" s="51"/>
      <c r="RZK34" s="51"/>
      <c r="RZN34" s="51"/>
      <c r="RZP34" s="51"/>
      <c r="RZQ34" s="51"/>
      <c r="RZS34" s="51"/>
      <c r="RZV34" s="51"/>
      <c r="RZX34" s="51"/>
      <c r="RZY34" s="51"/>
      <c r="SAA34" s="51"/>
      <c r="SAD34" s="51"/>
      <c r="SAF34" s="51"/>
      <c r="SAG34" s="51"/>
      <c r="SAI34" s="51"/>
      <c r="SAL34" s="51"/>
      <c r="SAN34" s="51"/>
      <c r="SAO34" s="51"/>
      <c r="SAQ34" s="51"/>
      <c r="SAT34" s="51"/>
      <c r="SAV34" s="51"/>
      <c r="SAW34" s="51"/>
      <c r="SAY34" s="51"/>
      <c r="SBB34" s="51"/>
      <c r="SBD34" s="51"/>
      <c r="SBE34" s="51"/>
      <c r="SBG34" s="51"/>
      <c r="SBJ34" s="51"/>
      <c r="SBL34" s="51"/>
      <c r="SBM34" s="51"/>
      <c r="SBO34" s="51"/>
      <c r="SBR34" s="51"/>
      <c r="SBT34" s="51"/>
      <c r="SBU34" s="51"/>
      <c r="SBW34" s="51"/>
      <c r="SBZ34" s="51"/>
      <c r="SCB34" s="51"/>
      <c r="SCC34" s="51"/>
      <c r="SCE34" s="51"/>
      <c r="SCH34" s="51"/>
      <c r="SCJ34" s="51"/>
      <c r="SCK34" s="51"/>
      <c r="SCM34" s="51"/>
      <c r="SCP34" s="51"/>
      <c r="SCR34" s="51"/>
      <c r="SCS34" s="51"/>
      <c r="SCU34" s="51"/>
      <c r="SCX34" s="51"/>
      <c r="SCZ34" s="51"/>
      <c r="SDA34" s="51"/>
      <c r="SDC34" s="51"/>
      <c r="SDF34" s="51"/>
      <c r="SDH34" s="51"/>
      <c r="SDI34" s="51"/>
      <c r="SDK34" s="51"/>
      <c r="SDN34" s="51"/>
      <c r="SDP34" s="51"/>
      <c r="SDQ34" s="51"/>
      <c r="SDS34" s="51"/>
      <c r="SDV34" s="51"/>
      <c r="SDX34" s="51"/>
      <c r="SDY34" s="51"/>
      <c r="SEA34" s="51"/>
      <c r="SED34" s="51"/>
      <c r="SEF34" s="51"/>
      <c r="SEG34" s="51"/>
      <c r="SEI34" s="51"/>
      <c r="SEL34" s="51"/>
      <c r="SEN34" s="51"/>
      <c r="SEO34" s="51"/>
      <c r="SEQ34" s="51"/>
      <c r="SET34" s="51"/>
      <c r="SEV34" s="51"/>
      <c r="SEW34" s="51"/>
      <c r="SEY34" s="51"/>
      <c r="SFB34" s="51"/>
      <c r="SFD34" s="51"/>
      <c r="SFE34" s="51"/>
      <c r="SFG34" s="51"/>
      <c r="SFJ34" s="51"/>
      <c r="SFL34" s="51"/>
      <c r="SFM34" s="51"/>
      <c r="SFO34" s="51"/>
      <c r="SFR34" s="51"/>
      <c r="SFT34" s="51"/>
      <c r="SFU34" s="51"/>
      <c r="SFW34" s="51"/>
      <c r="SFZ34" s="51"/>
      <c r="SGB34" s="51"/>
      <c r="SGC34" s="51"/>
      <c r="SGE34" s="51"/>
      <c r="SGH34" s="51"/>
      <c r="SGJ34" s="51"/>
      <c r="SGK34" s="51"/>
      <c r="SGM34" s="51"/>
      <c r="SGP34" s="51"/>
      <c r="SGR34" s="51"/>
      <c r="SGS34" s="51"/>
      <c r="SGU34" s="51"/>
      <c r="SGX34" s="51"/>
      <c r="SGZ34" s="51"/>
      <c r="SHA34" s="51"/>
      <c r="SHC34" s="51"/>
      <c r="SHF34" s="51"/>
      <c r="SHH34" s="51"/>
      <c r="SHI34" s="51"/>
      <c r="SHK34" s="51"/>
      <c r="SHN34" s="51"/>
      <c r="SHP34" s="51"/>
      <c r="SHQ34" s="51"/>
      <c r="SHS34" s="51"/>
      <c r="SHV34" s="51"/>
      <c r="SHX34" s="51"/>
      <c r="SHY34" s="51"/>
      <c r="SIA34" s="51"/>
      <c r="SID34" s="51"/>
      <c r="SIF34" s="51"/>
      <c r="SIG34" s="51"/>
      <c r="SII34" s="51"/>
      <c r="SIL34" s="51"/>
      <c r="SIN34" s="51"/>
      <c r="SIO34" s="51"/>
      <c r="SIQ34" s="51"/>
      <c r="SIT34" s="51"/>
      <c r="SIV34" s="51"/>
      <c r="SIW34" s="51"/>
      <c r="SIY34" s="51"/>
      <c r="SJB34" s="51"/>
      <c r="SJD34" s="51"/>
      <c r="SJE34" s="51"/>
      <c r="SJG34" s="51"/>
      <c r="SJJ34" s="51"/>
      <c r="SJL34" s="51"/>
      <c r="SJM34" s="51"/>
      <c r="SJO34" s="51"/>
      <c r="SJR34" s="51"/>
      <c r="SJT34" s="51"/>
      <c r="SJU34" s="51"/>
      <c r="SJW34" s="51"/>
      <c r="SJZ34" s="51"/>
      <c r="SKB34" s="51"/>
      <c r="SKC34" s="51"/>
      <c r="SKE34" s="51"/>
      <c r="SKH34" s="51"/>
      <c r="SKJ34" s="51"/>
      <c r="SKK34" s="51"/>
      <c r="SKM34" s="51"/>
      <c r="SKP34" s="51"/>
      <c r="SKR34" s="51"/>
      <c r="SKS34" s="51"/>
      <c r="SKU34" s="51"/>
      <c r="SKX34" s="51"/>
      <c r="SKZ34" s="51"/>
      <c r="SLA34" s="51"/>
      <c r="SLC34" s="51"/>
      <c r="SLF34" s="51"/>
      <c r="SLH34" s="51"/>
      <c r="SLI34" s="51"/>
      <c r="SLK34" s="51"/>
      <c r="SLN34" s="51"/>
      <c r="SLP34" s="51"/>
      <c r="SLQ34" s="51"/>
      <c r="SLS34" s="51"/>
      <c r="SLV34" s="51"/>
      <c r="SLX34" s="51"/>
      <c r="SLY34" s="51"/>
      <c r="SMA34" s="51"/>
      <c r="SMD34" s="51"/>
      <c r="SMF34" s="51"/>
      <c r="SMG34" s="51"/>
      <c r="SMI34" s="51"/>
      <c r="SML34" s="51"/>
      <c r="SMN34" s="51"/>
      <c r="SMO34" s="51"/>
      <c r="SMQ34" s="51"/>
      <c r="SMT34" s="51"/>
      <c r="SMV34" s="51"/>
      <c r="SMW34" s="51"/>
      <c r="SMY34" s="51"/>
      <c r="SNB34" s="51"/>
      <c r="SND34" s="51"/>
      <c r="SNE34" s="51"/>
      <c r="SNG34" s="51"/>
      <c r="SNJ34" s="51"/>
      <c r="SNL34" s="51"/>
      <c r="SNM34" s="51"/>
      <c r="SNO34" s="51"/>
      <c r="SNR34" s="51"/>
      <c r="SNT34" s="51"/>
      <c r="SNU34" s="51"/>
      <c r="SNW34" s="51"/>
      <c r="SNZ34" s="51"/>
      <c r="SOB34" s="51"/>
      <c r="SOC34" s="51"/>
      <c r="SOE34" s="51"/>
      <c r="SOH34" s="51"/>
      <c r="SOJ34" s="51"/>
      <c r="SOK34" s="51"/>
      <c r="SOM34" s="51"/>
      <c r="SOP34" s="51"/>
      <c r="SOR34" s="51"/>
      <c r="SOS34" s="51"/>
      <c r="SOU34" s="51"/>
      <c r="SOX34" s="51"/>
      <c r="SOZ34" s="51"/>
      <c r="SPA34" s="51"/>
      <c r="SPC34" s="51"/>
      <c r="SPF34" s="51"/>
      <c r="SPH34" s="51"/>
      <c r="SPI34" s="51"/>
      <c r="SPK34" s="51"/>
      <c r="SPN34" s="51"/>
      <c r="SPP34" s="51"/>
      <c r="SPQ34" s="51"/>
      <c r="SPS34" s="51"/>
      <c r="SPV34" s="51"/>
      <c r="SPX34" s="51"/>
      <c r="SPY34" s="51"/>
      <c r="SQA34" s="51"/>
      <c r="SQD34" s="51"/>
      <c r="SQF34" s="51"/>
      <c r="SQG34" s="51"/>
      <c r="SQI34" s="51"/>
      <c r="SQL34" s="51"/>
      <c r="SQN34" s="51"/>
      <c r="SQO34" s="51"/>
      <c r="SQQ34" s="51"/>
      <c r="SQT34" s="51"/>
      <c r="SQV34" s="51"/>
      <c r="SQW34" s="51"/>
      <c r="SQY34" s="51"/>
      <c r="SRB34" s="51"/>
      <c r="SRD34" s="51"/>
      <c r="SRE34" s="51"/>
      <c r="SRG34" s="51"/>
      <c r="SRJ34" s="51"/>
      <c r="SRL34" s="51"/>
      <c r="SRM34" s="51"/>
      <c r="SRO34" s="51"/>
      <c r="SRR34" s="51"/>
      <c r="SRT34" s="51"/>
      <c r="SRU34" s="51"/>
      <c r="SRW34" s="51"/>
      <c r="SRZ34" s="51"/>
      <c r="SSB34" s="51"/>
      <c r="SSC34" s="51"/>
      <c r="SSE34" s="51"/>
      <c r="SSH34" s="51"/>
      <c r="SSJ34" s="51"/>
      <c r="SSK34" s="51"/>
      <c r="SSM34" s="51"/>
      <c r="SSP34" s="51"/>
      <c r="SSR34" s="51"/>
      <c r="SSS34" s="51"/>
      <c r="SSU34" s="51"/>
      <c r="SSX34" s="51"/>
      <c r="SSZ34" s="51"/>
      <c r="STA34" s="51"/>
      <c r="STC34" s="51"/>
      <c r="STF34" s="51"/>
      <c r="STH34" s="51"/>
      <c r="STI34" s="51"/>
      <c r="STK34" s="51"/>
      <c r="STN34" s="51"/>
      <c r="STP34" s="51"/>
      <c r="STQ34" s="51"/>
      <c r="STS34" s="51"/>
      <c r="STV34" s="51"/>
      <c r="STX34" s="51"/>
      <c r="STY34" s="51"/>
      <c r="SUA34" s="51"/>
      <c r="SUD34" s="51"/>
      <c r="SUF34" s="51"/>
      <c r="SUG34" s="51"/>
      <c r="SUI34" s="51"/>
      <c r="SUL34" s="51"/>
      <c r="SUN34" s="51"/>
      <c r="SUO34" s="51"/>
      <c r="SUQ34" s="51"/>
      <c r="SUT34" s="51"/>
      <c r="SUV34" s="51"/>
      <c r="SUW34" s="51"/>
      <c r="SUY34" s="51"/>
      <c r="SVB34" s="51"/>
      <c r="SVD34" s="51"/>
      <c r="SVE34" s="51"/>
      <c r="SVG34" s="51"/>
      <c r="SVJ34" s="51"/>
      <c r="SVL34" s="51"/>
      <c r="SVM34" s="51"/>
      <c r="SVO34" s="51"/>
      <c r="SVR34" s="51"/>
      <c r="SVT34" s="51"/>
      <c r="SVU34" s="51"/>
      <c r="SVW34" s="51"/>
      <c r="SVZ34" s="51"/>
      <c r="SWB34" s="51"/>
      <c r="SWC34" s="51"/>
      <c r="SWE34" s="51"/>
      <c r="SWH34" s="51"/>
      <c r="SWJ34" s="51"/>
      <c r="SWK34" s="51"/>
      <c r="SWM34" s="51"/>
      <c r="SWP34" s="51"/>
      <c r="SWR34" s="51"/>
      <c r="SWS34" s="51"/>
      <c r="SWU34" s="51"/>
      <c r="SWX34" s="51"/>
      <c r="SWZ34" s="51"/>
      <c r="SXA34" s="51"/>
      <c r="SXC34" s="51"/>
      <c r="SXF34" s="51"/>
      <c r="SXH34" s="51"/>
      <c r="SXI34" s="51"/>
      <c r="SXK34" s="51"/>
      <c r="SXN34" s="51"/>
      <c r="SXP34" s="51"/>
      <c r="SXQ34" s="51"/>
      <c r="SXS34" s="51"/>
      <c r="SXV34" s="51"/>
      <c r="SXX34" s="51"/>
      <c r="SXY34" s="51"/>
      <c r="SYA34" s="51"/>
      <c r="SYD34" s="51"/>
      <c r="SYF34" s="51"/>
      <c r="SYG34" s="51"/>
      <c r="SYI34" s="51"/>
      <c r="SYL34" s="51"/>
      <c r="SYN34" s="51"/>
      <c r="SYO34" s="51"/>
      <c r="SYQ34" s="51"/>
      <c r="SYT34" s="51"/>
      <c r="SYV34" s="51"/>
      <c r="SYW34" s="51"/>
      <c r="SYY34" s="51"/>
      <c r="SZB34" s="51"/>
      <c r="SZD34" s="51"/>
      <c r="SZE34" s="51"/>
      <c r="SZG34" s="51"/>
      <c r="SZJ34" s="51"/>
      <c r="SZL34" s="51"/>
      <c r="SZM34" s="51"/>
      <c r="SZO34" s="51"/>
      <c r="SZR34" s="51"/>
      <c r="SZT34" s="51"/>
      <c r="SZU34" s="51"/>
      <c r="SZW34" s="51"/>
      <c r="SZZ34" s="51"/>
      <c r="TAB34" s="51"/>
      <c r="TAC34" s="51"/>
      <c r="TAE34" s="51"/>
      <c r="TAH34" s="51"/>
      <c r="TAJ34" s="51"/>
      <c r="TAK34" s="51"/>
      <c r="TAM34" s="51"/>
      <c r="TAP34" s="51"/>
      <c r="TAR34" s="51"/>
      <c r="TAS34" s="51"/>
      <c r="TAU34" s="51"/>
      <c r="TAX34" s="51"/>
      <c r="TAZ34" s="51"/>
      <c r="TBA34" s="51"/>
      <c r="TBC34" s="51"/>
      <c r="TBF34" s="51"/>
      <c r="TBH34" s="51"/>
      <c r="TBI34" s="51"/>
      <c r="TBK34" s="51"/>
      <c r="TBN34" s="51"/>
      <c r="TBP34" s="51"/>
      <c r="TBQ34" s="51"/>
      <c r="TBS34" s="51"/>
      <c r="TBV34" s="51"/>
      <c r="TBX34" s="51"/>
      <c r="TBY34" s="51"/>
      <c r="TCA34" s="51"/>
      <c r="TCD34" s="51"/>
      <c r="TCF34" s="51"/>
      <c r="TCG34" s="51"/>
      <c r="TCI34" s="51"/>
      <c r="TCL34" s="51"/>
      <c r="TCN34" s="51"/>
      <c r="TCO34" s="51"/>
      <c r="TCQ34" s="51"/>
      <c r="TCT34" s="51"/>
      <c r="TCV34" s="51"/>
      <c r="TCW34" s="51"/>
      <c r="TCY34" s="51"/>
      <c r="TDB34" s="51"/>
      <c r="TDD34" s="51"/>
      <c r="TDE34" s="51"/>
      <c r="TDG34" s="51"/>
      <c r="TDJ34" s="51"/>
      <c r="TDL34" s="51"/>
      <c r="TDM34" s="51"/>
      <c r="TDO34" s="51"/>
      <c r="TDR34" s="51"/>
      <c r="TDT34" s="51"/>
      <c r="TDU34" s="51"/>
      <c r="TDW34" s="51"/>
      <c r="TDZ34" s="51"/>
      <c r="TEB34" s="51"/>
      <c r="TEC34" s="51"/>
      <c r="TEE34" s="51"/>
      <c r="TEH34" s="51"/>
      <c r="TEJ34" s="51"/>
      <c r="TEK34" s="51"/>
      <c r="TEM34" s="51"/>
      <c r="TEP34" s="51"/>
      <c r="TER34" s="51"/>
      <c r="TES34" s="51"/>
      <c r="TEU34" s="51"/>
      <c r="TEX34" s="51"/>
      <c r="TEZ34" s="51"/>
      <c r="TFA34" s="51"/>
      <c r="TFC34" s="51"/>
      <c r="TFF34" s="51"/>
      <c r="TFH34" s="51"/>
      <c r="TFI34" s="51"/>
      <c r="TFK34" s="51"/>
      <c r="TFN34" s="51"/>
      <c r="TFP34" s="51"/>
      <c r="TFQ34" s="51"/>
      <c r="TFS34" s="51"/>
      <c r="TFV34" s="51"/>
      <c r="TFX34" s="51"/>
      <c r="TFY34" s="51"/>
      <c r="TGA34" s="51"/>
      <c r="TGD34" s="51"/>
      <c r="TGF34" s="51"/>
      <c r="TGG34" s="51"/>
      <c r="TGI34" s="51"/>
      <c r="TGL34" s="51"/>
      <c r="TGN34" s="51"/>
      <c r="TGO34" s="51"/>
      <c r="TGQ34" s="51"/>
      <c r="TGT34" s="51"/>
      <c r="TGV34" s="51"/>
      <c r="TGW34" s="51"/>
      <c r="TGY34" s="51"/>
      <c r="THB34" s="51"/>
      <c r="THD34" s="51"/>
      <c r="THE34" s="51"/>
      <c r="THG34" s="51"/>
      <c r="THJ34" s="51"/>
      <c r="THL34" s="51"/>
      <c r="THM34" s="51"/>
      <c r="THO34" s="51"/>
      <c r="THR34" s="51"/>
      <c r="THT34" s="51"/>
      <c r="THU34" s="51"/>
      <c r="THW34" s="51"/>
      <c r="THZ34" s="51"/>
      <c r="TIB34" s="51"/>
      <c r="TIC34" s="51"/>
      <c r="TIE34" s="51"/>
      <c r="TIH34" s="51"/>
      <c r="TIJ34" s="51"/>
      <c r="TIK34" s="51"/>
      <c r="TIM34" s="51"/>
      <c r="TIP34" s="51"/>
      <c r="TIR34" s="51"/>
      <c r="TIS34" s="51"/>
      <c r="TIU34" s="51"/>
      <c r="TIX34" s="51"/>
      <c r="TIZ34" s="51"/>
      <c r="TJA34" s="51"/>
      <c r="TJC34" s="51"/>
      <c r="TJF34" s="51"/>
      <c r="TJH34" s="51"/>
      <c r="TJI34" s="51"/>
      <c r="TJK34" s="51"/>
      <c r="TJN34" s="51"/>
      <c r="TJP34" s="51"/>
      <c r="TJQ34" s="51"/>
      <c r="TJS34" s="51"/>
      <c r="TJV34" s="51"/>
      <c r="TJX34" s="51"/>
      <c r="TJY34" s="51"/>
      <c r="TKA34" s="51"/>
      <c r="TKD34" s="51"/>
      <c r="TKF34" s="51"/>
      <c r="TKG34" s="51"/>
      <c r="TKI34" s="51"/>
      <c r="TKL34" s="51"/>
      <c r="TKN34" s="51"/>
      <c r="TKO34" s="51"/>
      <c r="TKQ34" s="51"/>
      <c r="TKT34" s="51"/>
      <c r="TKV34" s="51"/>
      <c r="TKW34" s="51"/>
      <c r="TKY34" s="51"/>
      <c r="TLB34" s="51"/>
      <c r="TLD34" s="51"/>
      <c r="TLE34" s="51"/>
      <c r="TLG34" s="51"/>
      <c r="TLJ34" s="51"/>
      <c r="TLL34" s="51"/>
      <c r="TLM34" s="51"/>
      <c r="TLO34" s="51"/>
      <c r="TLR34" s="51"/>
      <c r="TLT34" s="51"/>
      <c r="TLU34" s="51"/>
      <c r="TLW34" s="51"/>
      <c r="TLZ34" s="51"/>
      <c r="TMB34" s="51"/>
      <c r="TMC34" s="51"/>
      <c r="TME34" s="51"/>
      <c r="TMH34" s="51"/>
      <c r="TMJ34" s="51"/>
      <c r="TMK34" s="51"/>
      <c r="TMM34" s="51"/>
      <c r="TMP34" s="51"/>
      <c r="TMR34" s="51"/>
      <c r="TMS34" s="51"/>
      <c r="TMU34" s="51"/>
      <c r="TMX34" s="51"/>
      <c r="TMZ34" s="51"/>
      <c r="TNA34" s="51"/>
      <c r="TNC34" s="51"/>
      <c r="TNF34" s="51"/>
      <c r="TNH34" s="51"/>
      <c r="TNI34" s="51"/>
      <c r="TNK34" s="51"/>
      <c r="TNN34" s="51"/>
      <c r="TNP34" s="51"/>
      <c r="TNQ34" s="51"/>
      <c r="TNS34" s="51"/>
      <c r="TNV34" s="51"/>
      <c r="TNX34" s="51"/>
      <c r="TNY34" s="51"/>
      <c r="TOA34" s="51"/>
      <c r="TOD34" s="51"/>
      <c r="TOF34" s="51"/>
      <c r="TOG34" s="51"/>
      <c r="TOI34" s="51"/>
      <c r="TOL34" s="51"/>
      <c r="TON34" s="51"/>
      <c r="TOO34" s="51"/>
      <c r="TOQ34" s="51"/>
      <c r="TOT34" s="51"/>
      <c r="TOV34" s="51"/>
      <c r="TOW34" s="51"/>
      <c r="TOY34" s="51"/>
      <c r="TPB34" s="51"/>
      <c r="TPD34" s="51"/>
      <c r="TPE34" s="51"/>
      <c r="TPG34" s="51"/>
      <c r="TPJ34" s="51"/>
      <c r="TPL34" s="51"/>
      <c r="TPM34" s="51"/>
      <c r="TPO34" s="51"/>
      <c r="TPR34" s="51"/>
      <c r="TPT34" s="51"/>
      <c r="TPU34" s="51"/>
      <c r="TPW34" s="51"/>
      <c r="TPZ34" s="51"/>
      <c r="TQB34" s="51"/>
      <c r="TQC34" s="51"/>
      <c r="TQE34" s="51"/>
      <c r="TQH34" s="51"/>
      <c r="TQJ34" s="51"/>
      <c r="TQK34" s="51"/>
      <c r="TQM34" s="51"/>
      <c r="TQP34" s="51"/>
      <c r="TQR34" s="51"/>
      <c r="TQS34" s="51"/>
      <c r="TQU34" s="51"/>
      <c r="TQX34" s="51"/>
      <c r="TQZ34" s="51"/>
      <c r="TRA34" s="51"/>
      <c r="TRC34" s="51"/>
      <c r="TRF34" s="51"/>
      <c r="TRH34" s="51"/>
      <c r="TRI34" s="51"/>
      <c r="TRK34" s="51"/>
      <c r="TRN34" s="51"/>
      <c r="TRP34" s="51"/>
      <c r="TRQ34" s="51"/>
      <c r="TRS34" s="51"/>
      <c r="TRV34" s="51"/>
      <c r="TRX34" s="51"/>
      <c r="TRY34" s="51"/>
      <c r="TSA34" s="51"/>
      <c r="TSD34" s="51"/>
      <c r="TSF34" s="51"/>
      <c r="TSG34" s="51"/>
      <c r="TSI34" s="51"/>
      <c r="TSL34" s="51"/>
      <c r="TSN34" s="51"/>
      <c r="TSO34" s="51"/>
      <c r="TSQ34" s="51"/>
      <c r="TST34" s="51"/>
      <c r="TSV34" s="51"/>
      <c r="TSW34" s="51"/>
      <c r="TSY34" s="51"/>
      <c r="TTB34" s="51"/>
      <c r="TTD34" s="51"/>
      <c r="TTE34" s="51"/>
      <c r="TTG34" s="51"/>
      <c r="TTJ34" s="51"/>
      <c r="TTL34" s="51"/>
      <c r="TTM34" s="51"/>
      <c r="TTO34" s="51"/>
      <c r="TTR34" s="51"/>
      <c r="TTT34" s="51"/>
      <c r="TTU34" s="51"/>
      <c r="TTW34" s="51"/>
      <c r="TTZ34" s="51"/>
      <c r="TUB34" s="51"/>
      <c r="TUC34" s="51"/>
      <c r="TUE34" s="51"/>
      <c r="TUH34" s="51"/>
      <c r="TUJ34" s="51"/>
      <c r="TUK34" s="51"/>
      <c r="TUM34" s="51"/>
      <c r="TUP34" s="51"/>
      <c r="TUR34" s="51"/>
      <c r="TUS34" s="51"/>
      <c r="TUU34" s="51"/>
      <c r="TUX34" s="51"/>
      <c r="TUZ34" s="51"/>
      <c r="TVA34" s="51"/>
      <c r="TVC34" s="51"/>
      <c r="TVF34" s="51"/>
      <c r="TVH34" s="51"/>
      <c r="TVI34" s="51"/>
      <c r="TVK34" s="51"/>
      <c r="TVN34" s="51"/>
      <c r="TVP34" s="51"/>
      <c r="TVQ34" s="51"/>
      <c r="TVS34" s="51"/>
      <c r="TVV34" s="51"/>
      <c r="TVX34" s="51"/>
      <c r="TVY34" s="51"/>
      <c r="TWA34" s="51"/>
      <c r="TWD34" s="51"/>
      <c r="TWF34" s="51"/>
      <c r="TWG34" s="51"/>
      <c r="TWI34" s="51"/>
      <c r="TWL34" s="51"/>
      <c r="TWN34" s="51"/>
      <c r="TWO34" s="51"/>
      <c r="TWQ34" s="51"/>
      <c r="TWT34" s="51"/>
      <c r="TWV34" s="51"/>
      <c r="TWW34" s="51"/>
      <c r="TWY34" s="51"/>
      <c r="TXB34" s="51"/>
      <c r="TXD34" s="51"/>
      <c r="TXE34" s="51"/>
      <c r="TXG34" s="51"/>
      <c r="TXJ34" s="51"/>
      <c r="TXL34" s="51"/>
      <c r="TXM34" s="51"/>
      <c r="TXO34" s="51"/>
      <c r="TXR34" s="51"/>
      <c r="TXT34" s="51"/>
      <c r="TXU34" s="51"/>
      <c r="TXW34" s="51"/>
      <c r="TXZ34" s="51"/>
      <c r="TYB34" s="51"/>
      <c r="TYC34" s="51"/>
      <c r="TYE34" s="51"/>
      <c r="TYH34" s="51"/>
      <c r="TYJ34" s="51"/>
      <c r="TYK34" s="51"/>
      <c r="TYM34" s="51"/>
      <c r="TYP34" s="51"/>
      <c r="TYR34" s="51"/>
      <c r="TYS34" s="51"/>
      <c r="TYU34" s="51"/>
      <c r="TYX34" s="51"/>
      <c r="TYZ34" s="51"/>
      <c r="TZA34" s="51"/>
      <c r="TZC34" s="51"/>
      <c r="TZF34" s="51"/>
      <c r="TZH34" s="51"/>
      <c r="TZI34" s="51"/>
      <c r="TZK34" s="51"/>
      <c r="TZN34" s="51"/>
      <c r="TZP34" s="51"/>
      <c r="TZQ34" s="51"/>
      <c r="TZS34" s="51"/>
      <c r="TZV34" s="51"/>
      <c r="TZX34" s="51"/>
      <c r="TZY34" s="51"/>
      <c r="UAA34" s="51"/>
      <c r="UAD34" s="51"/>
      <c r="UAF34" s="51"/>
      <c r="UAG34" s="51"/>
      <c r="UAI34" s="51"/>
      <c r="UAL34" s="51"/>
      <c r="UAN34" s="51"/>
      <c r="UAO34" s="51"/>
      <c r="UAQ34" s="51"/>
      <c r="UAT34" s="51"/>
      <c r="UAV34" s="51"/>
      <c r="UAW34" s="51"/>
      <c r="UAY34" s="51"/>
      <c r="UBB34" s="51"/>
      <c r="UBD34" s="51"/>
      <c r="UBE34" s="51"/>
      <c r="UBG34" s="51"/>
      <c r="UBJ34" s="51"/>
      <c r="UBL34" s="51"/>
      <c r="UBM34" s="51"/>
      <c r="UBO34" s="51"/>
      <c r="UBR34" s="51"/>
      <c r="UBT34" s="51"/>
      <c r="UBU34" s="51"/>
      <c r="UBW34" s="51"/>
      <c r="UBZ34" s="51"/>
      <c r="UCB34" s="51"/>
      <c r="UCC34" s="51"/>
      <c r="UCE34" s="51"/>
      <c r="UCH34" s="51"/>
      <c r="UCJ34" s="51"/>
      <c r="UCK34" s="51"/>
      <c r="UCM34" s="51"/>
      <c r="UCP34" s="51"/>
      <c r="UCR34" s="51"/>
      <c r="UCS34" s="51"/>
      <c r="UCU34" s="51"/>
      <c r="UCX34" s="51"/>
      <c r="UCZ34" s="51"/>
      <c r="UDA34" s="51"/>
      <c r="UDC34" s="51"/>
      <c r="UDF34" s="51"/>
      <c r="UDH34" s="51"/>
      <c r="UDI34" s="51"/>
      <c r="UDK34" s="51"/>
      <c r="UDN34" s="51"/>
      <c r="UDP34" s="51"/>
      <c r="UDQ34" s="51"/>
      <c r="UDS34" s="51"/>
      <c r="UDV34" s="51"/>
      <c r="UDX34" s="51"/>
      <c r="UDY34" s="51"/>
      <c r="UEA34" s="51"/>
      <c r="UED34" s="51"/>
      <c r="UEF34" s="51"/>
      <c r="UEG34" s="51"/>
      <c r="UEI34" s="51"/>
      <c r="UEL34" s="51"/>
      <c r="UEN34" s="51"/>
      <c r="UEO34" s="51"/>
      <c r="UEQ34" s="51"/>
      <c r="UET34" s="51"/>
      <c r="UEV34" s="51"/>
      <c r="UEW34" s="51"/>
      <c r="UEY34" s="51"/>
      <c r="UFB34" s="51"/>
      <c r="UFD34" s="51"/>
      <c r="UFE34" s="51"/>
      <c r="UFG34" s="51"/>
      <c r="UFJ34" s="51"/>
      <c r="UFL34" s="51"/>
      <c r="UFM34" s="51"/>
      <c r="UFO34" s="51"/>
      <c r="UFR34" s="51"/>
      <c r="UFT34" s="51"/>
      <c r="UFU34" s="51"/>
      <c r="UFW34" s="51"/>
      <c r="UFZ34" s="51"/>
      <c r="UGB34" s="51"/>
      <c r="UGC34" s="51"/>
      <c r="UGE34" s="51"/>
      <c r="UGH34" s="51"/>
      <c r="UGJ34" s="51"/>
      <c r="UGK34" s="51"/>
      <c r="UGM34" s="51"/>
      <c r="UGP34" s="51"/>
      <c r="UGR34" s="51"/>
      <c r="UGS34" s="51"/>
      <c r="UGU34" s="51"/>
      <c r="UGX34" s="51"/>
      <c r="UGZ34" s="51"/>
      <c r="UHA34" s="51"/>
      <c r="UHC34" s="51"/>
      <c r="UHF34" s="51"/>
      <c r="UHH34" s="51"/>
      <c r="UHI34" s="51"/>
      <c r="UHK34" s="51"/>
      <c r="UHN34" s="51"/>
      <c r="UHP34" s="51"/>
      <c r="UHQ34" s="51"/>
      <c r="UHS34" s="51"/>
      <c r="UHV34" s="51"/>
      <c r="UHX34" s="51"/>
      <c r="UHY34" s="51"/>
      <c r="UIA34" s="51"/>
      <c r="UID34" s="51"/>
      <c r="UIF34" s="51"/>
      <c r="UIG34" s="51"/>
      <c r="UII34" s="51"/>
      <c r="UIL34" s="51"/>
      <c r="UIN34" s="51"/>
      <c r="UIO34" s="51"/>
      <c r="UIQ34" s="51"/>
      <c r="UIT34" s="51"/>
      <c r="UIV34" s="51"/>
      <c r="UIW34" s="51"/>
      <c r="UIY34" s="51"/>
      <c r="UJB34" s="51"/>
      <c r="UJD34" s="51"/>
      <c r="UJE34" s="51"/>
      <c r="UJG34" s="51"/>
      <c r="UJJ34" s="51"/>
      <c r="UJL34" s="51"/>
      <c r="UJM34" s="51"/>
      <c r="UJO34" s="51"/>
      <c r="UJR34" s="51"/>
      <c r="UJT34" s="51"/>
      <c r="UJU34" s="51"/>
      <c r="UJW34" s="51"/>
      <c r="UJZ34" s="51"/>
      <c r="UKB34" s="51"/>
      <c r="UKC34" s="51"/>
      <c r="UKE34" s="51"/>
      <c r="UKH34" s="51"/>
      <c r="UKJ34" s="51"/>
      <c r="UKK34" s="51"/>
      <c r="UKM34" s="51"/>
      <c r="UKP34" s="51"/>
      <c r="UKR34" s="51"/>
      <c r="UKS34" s="51"/>
      <c r="UKU34" s="51"/>
      <c r="UKX34" s="51"/>
      <c r="UKZ34" s="51"/>
      <c r="ULA34" s="51"/>
      <c r="ULC34" s="51"/>
      <c r="ULF34" s="51"/>
      <c r="ULH34" s="51"/>
      <c r="ULI34" s="51"/>
      <c r="ULK34" s="51"/>
      <c r="ULN34" s="51"/>
      <c r="ULP34" s="51"/>
      <c r="ULQ34" s="51"/>
      <c r="ULS34" s="51"/>
      <c r="ULV34" s="51"/>
      <c r="ULX34" s="51"/>
      <c r="ULY34" s="51"/>
      <c r="UMA34" s="51"/>
      <c r="UMD34" s="51"/>
      <c r="UMF34" s="51"/>
      <c r="UMG34" s="51"/>
      <c r="UMI34" s="51"/>
      <c r="UML34" s="51"/>
      <c r="UMN34" s="51"/>
      <c r="UMO34" s="51"/>
      <c r="UMQ34" s="51"/>
      <c r="UMT34" s="51"/>
      <c r="UMV34" s="51"/>
      <c r="UMW34" s="51"/>
      <c r="UMY34" s="51"/>
      <c r="UNB34" s="51"/>
      <c r="UND34" s="51"/>
      <c r="UNE34" s="51"/>
      <c r="UNG34" s="51"/>
      <c r="UNJ34" s="51"/>
      <c r="UNL34" s="51"/>
      <c r="UNM34" s="51"/>
      <c r="UNO34" s="51"/>
      <c r="UNR34" s="51"/>
      <c r="UNT34" s="51"/>
      <c r="UNU34" s="51"/>
      <c r="UNW34" s="51"/>
      <c r="UNZ34" s="51"/>
      <c r="UOB34" s="51"/>
      <c r="UOC34" s="51"/>
      <c r="UOE34" s="51"/>
      <c r="UOH34" s="51"/>
      <c r="UOJ34" s="51"/>
      <c r="UOK34" s="51"/>
      <c r="UOM34" s="51"/>
      <c r="UOP34" s="51"/>
      <c r="UOR34" s="51"/>
      <c r="UOS34" s="51"/>
      <c r="UOU34" s="51"/>
      <c r="UOX34" s="51"/>
      <c r="UOZ34" s="51"/>
      <c r="UPA34" s="51"/>
      <c r="UPC34" s="51"/>
      <c r="UPF34" s="51"/>
      <c r="UPH34" s="51"/>
      <c r="UPI34" s="51"/>
      <c r="UPK34" s="51"/>
      <c r="UPN34" s="51"/>
      <c r="UPP34" s="51"/>
      <c r="UPQ34" s="51"/>
      <c r="UPS34" s="51"/>
      <c r="UPV34" s="51"/>
      <c r="UPX34" s="51"/>
      <c r="UPY34" s="51"/>
      <c r="UQA34" s="51"/>
      <c r="UQD34" s="51"/>
      <c r="UQF34" s="51"/>
      <c r="UQG34" s="51"/>
      <c r="UQI34" s="51"/>
      <c r="UQL34" s="51"/>
      <c r="UQN34" s="51"/>
      <c r="UQO34" s="51"/>
      <c r="UQQ34" s="51"/>
      <c r="UQT34" s="51"/>
      <c r="UQV34" s="51"/>
      <c r="UQW34" s="51"/>
      <c r="UQY34" s="51"/>
      <c r="URB34" s="51"/>
      <c r="URD34" s="51"/>
      <c r="URE34" s="51"/>
      <c r="URG34" s="51"/>
      <c r="URJ34" s="51"/>
      <c r="URL34" s="51"/>
      <c r="URM34" s="51"/>
      <c r="URO34" s="51"/>
      <c r="URR34" s="51"/>
      <c r="URT34" s="51"/>
      <c r="URU34" s="51"/>
      <c r="URW34" s="51"/>
      <c r="URZ34" s="51"/>
      <c r="USB34" s="51"/>
      <c r="USC34" s="51"/>
      <c r="USE34" s="51"/>
      <c r="USH34" s="51"/>
      <c r="USJ34" s="51"/>
      <c r="USK34" s="51"/>
      <c r="USM34" s="51"/>
      <c r="USP34" s="51"/>
      <c r="USR34" s="51"/>
      <c r="USS34" s="51"/>
      <c r="USU34" s="51"/>
      <c r="USX34" s="51"/>
      <c r="USZ34" s="51"/>
      <c r="UTA34" s="51"/>
      <c r="UTC34" s="51"/>
      <c r="UTF34" s="51"/>
      <c r="UTH34" s="51"/>
      <c r="UTI34" s="51"/>
      <c r="UTK34" s="51"/>
      <c r="UTN34" s="51"/>
      <c r="UTP34" s="51"/>
      <c r="UTQ34" s="51"/>
      <c r="UTS34" s="51"/>
      <c r="UTV34" s="51"/>
      <c r="UTX34" s="51"/>
      <c r="UTY34" s="51"/>
      <c r="UUA34" s="51"/>
      <c r="UUD34" s="51"/>
      <c r="UUF34" s="51"/>
      <c r="UUG34" s="51"/>
      <c r="UUI34" s="51"/>
      <c r="UUL34" s="51"/>
      <c r="UUN34" s="51"/>
      <c r="UUO34" s="51"/>
      <c r="UUQ34" s="51"/>
      <c r="UUT34" s="51"/>
      <c r="UUV34" s="51"/>
      <c r="UUW34" s="51"/>
      <c r="UUY34" s="51"/>
      <c r="UVB34" s="51"/>
      <c r="UVD34" s="51"/>
      <c r="UVE34" s="51"/>
      <c r="UVG34" s="51"/>
      <c r="UVJ34" s="51"/>
      <c r="UVL34" s="51"/>
      <c r="UVM34" s="51"/>
      <c r="UVO34" s="51"/>
      <c r="UVR34" s="51"/>
      <c r="UVT34" s="51"/>
      <c r="UVU34" s="51"/>
      <c r="UVW34" s="51"/>
      <c r="UVZ34" s="51"/>
      <c r="UWB34" s="51"/>
      <c r="UWC34" s="51"/>
      <c r="UWE34" s="51"/>
      <c r="UWH34" s="51"/>
      <c r="UWJ34" s="51"/>
      <c r="UWK34" s="51"/>
      <c r="UWM34" s="51"/>
      <c r="UWP34" s="51"/>
      <c r="UWR34" s="51"/>
      <c r="UWS34" s="51"/>
      <c r="UWU34" s="51"/>
      <c r="UWX34" s="51"/>
      <c r="UWZ34" s="51"/>
      <c r="UXA34" s="51"/>
      <c r="UXC34" s="51"/>
      <c r="UXF34" s="51"/>
      <c r="UXH34" s="51"/>
      <c r="UXI34" s="51"/>
      <c r="UXK34" s="51"/>
      <c r="UXN34" s="51"/>
      <c r="UXP34" s="51"/>
      <c r="UXQ34" s="51"/>
      <c r="UXS34" s="51"/>
      <c r="UXV34" s="51"/>
      <c r="UXX34" s="51"/>
      <c r="UXY34" s="51"/>
      <c r="UYA34" s="51"/>
      <c r="UYD34" s="51"/>
      <c r="UYF34" s="51"/>
      <c r="UYG34" s="51"/>
      <c r="UYI34" s="51"/>
      <c r="UYL34" s="51"/>
      <c r="UYN34" s="51"/>
      <c r="UYO34" s="51"/>
      <c r="UYQ34" s="51"/>
      <c r="UYT34" s="51"/>
      <c r="UYV34" s="51"/>
      <c r="UYW34" s="51"/>
      <c r="UYY34" s="51"/>
      <c r="UZB34" s="51"/>
      <c r="UZD34" s="51"/>
      <c r="UZE34" s="51"/>
      <c r="UZG34" s="51"/>
      <c r="UZJ34" s="51"/>
      <c r="UZL34" s="51"/>
      <c r="UZM34" s="51"/>
      <c r="UZO34" s="51"/>
      <c r="UZR34" s="51"/>
      <c r="UZT34" s="51"/>
      <c r="UZU34" s="51"/>
      <c r="UZW34" s="51"/>
      <c r="UZZ34" s="51"/>
      <c r="VAB34" s="51"/>
      <c r="VAC34" s="51"/>
      <c r="VAE34" s="51"/>
      <c r="VAH34" s="51"/>
      <c r="VAJ34" s="51"/>
      <c r="VAK34" s="51"/>
      <c r="VAM34" s="51"/>
      <c r="VAP34" s="51"/>
      <c r="VAR34" s="51"/>
      <c r="VAS34" s="51"/>
      <c r="VAU34" s="51"/>
      <c r="VAX34" s="51"/>
      <c r="VAZ34" s="51"/>
      <c r="VBA34" s="51"/>
      <c r="VBC34" s="51"/>
      <c r="VBF34" s="51"/>
      <c r="VBH34" s="51"/>
      <c r="VBI34" s="51"/>
      <c r="VBK34" s="51"/>
      <c r="VBN34" s="51"/>
      <c r="VBP34" s="51"/>
      <c r="VBQ34" s="51"/>
      <c r="VBS34" s="51"/>
      <c r="VBV34" s="51"/>
      <c r="VBX34" s="51"/>
      <c r="VBY34" s="51"/>
      <c r="VCA34" s="51"/>
      <c r="VCD34" s="51"/>
      <c r="VCF34" s="51"/>
      <c r="VCG34" s="51"/>
      <c r="VCI34" s="51"/>
      <c r="VCL34" s="51"/>
      <c r="VCN34" s="51"/>
      <c r="VCO34" s="51"/>
      <c r="VCQ34" s="51"/>
      <c r="VCT34" s="51"/>
      <c r="VCV34" s="51"/>
      <c r="VCW34" s="51"/>
      <c r="VCY34" s="51"/>
      <c r="VDB34" s="51"/>
      <c r="VDD34" s="51"/>
      <c r="VDE34" s="51"/>
      <c r="VDG34" s="51"/>
      <c r="VDJ34" s="51"/>
      <c r="VDL34" s="51"/>
      <c r="VDM34" s="51"/>
      <c r="VDO34" s="51"/>
      <c r="VDR34" s="51"/>
      <c r="VDT34" s="51"/>
      <c r="VDU34" s="51"/>
      <c r="VDW34" s="51"/>
      <c r="VDZ34" s="51"/>
      <c r="VEB34" s="51"/>
      <c r="VEC34" s="51"/>
      <c r="VEE34" s="51"/>
      <c r="VEH34" s="51"/>
      <c r="VEJ34" s="51"/>
      <c r="VEK34" s="51"/>
      <c r="VEM34" s="51"/>
      <c r="VEP34" s="51"/>
      <c r="VER34" s="51"/>
      <c r="VES34" s="51"/>
      <c r="VEU34" s="51"/>
      <c r="VEX34" s="51"/>
      <c r="VEZ34" s="51"/>
      <c r="VFA34" s="51"/>
      <c r="VFC34" s="51"/>
      <c r="VFF34" s="51"/>
      <c r="VFH34" s="51"/>
      <c r="VFI34" s="51"/>
      <c r="VFK34" s="51"/>
      <c r="VFN34" s="51"/>
      <c r="VFP34" s="51"/>
      <c r="VFQ34" s="51"/>
      <c r="VFS34" s="51"/>
      <c r="VFV34" s="51"/>
      <c r="VFX34" s="51"/>
      <c r="VFY34" s="51"/>
      <c r="VGA34" s="51"/>
      <c r="VGD34" s="51"/>
      <c r="VGF34" s="51"/>
      <c r="VGG34" s="51"/>
      <c r="VGI34" s="51"/>
      <c r="VGL34" s="51"/>
      <c r="VGN34" s="51"/>
      <c r="VGO34" s="51"/>
      <c r="VGQ34" s="51"/>
      <c r="VGT34" s="51"/>
      <c r="VGV34" s="51"/>
      <c r="VGW34" s="51"/>
      <c r="VGY34" s="51"/>
      <c r="VHB34" s="51"/>
      <c r="VHD34" s="51"/>
      <c r="VHE34" s="51"/>
      <c r="VHG34" s="51"/>
      <c r="VHJ34" s="51"/>
      <c r="VHL34" s="51"/>
      <c r="VHM34" s="51"/>
      <c r="VHO34" s="51"/>
      <c r="VHR34" s="51"/>
      <c r="VHT34" s="51"/>
      <c r="VHU34" s="51"/>
      <c r="VHW34" s="51"/>
      <c r="VHZ34" s="51"/>
      <c r="VIB34" s="51"/>
      <c r="VIC34" s="51"/>
      <c r="VIE34" s="51"/>
      <c r="VIH34" s="51"/>
      <c r="VIJ34" s="51"/>
      <c r="VIK34" s="51"/>
      <c r="VIM34" s="51"/>
      <c r="VIP34" s="51"/>
      <c r="VIR34" s="51"/>
      <c r="VIS34" s="51"/>
      <c r="VIU34" s="51"/>
      <c r="VIX34" s="51"/>
      <c r="VIZ34" s="51"/>
      <c r="VJA34" s="51"/>
      <c r="VJC34" s="51"/>
      <c r="VJF34" s="51"/>
      <c r="VJH34" s="51"/>
      <c r="VJI34" s="51"/>
      <c r="VJK34" s="51"/>
      <c r="VJN34" s="51"/>
      <c r="VJP34" s="51"/>
      <c r="VJQ34" s="51"/>
      <c r="VJS34" s="51"/>
      <c r="VJV34" s="51"/>
      <c r="VJX34" s="51"/>
      <c r="VJY34" s="51"/>
      <c r="VKA34" s="51"/>
      <c r="VKD34" s="51"/>
      <c r="VKF34" s="51"/>
      <c r="VKG34" s="51"/>
      <c r="VKI34" s="51"/>
      <c r="VKL34" s="51"/>
      <c r="VKN34" s="51"/>
      <c r="VKO34" s="51"/>
      <c r="VKQ34" s="51"/>
      <c r="VKT34" s="51"/>
      <c r="VKV34" s="51"/>
      <c r="VKW34" s="51"/>
      <c r="VKY34" s="51"/>
      <c r="VLB34" s="51"/>
      <c r="VLD34" s="51"/>
      <c r="VLE34" s="51"/>
      <c r="VLG34" s="51"/>
      <c r="VLJ34" s="51"/>
      <c r="VLL34" s="51"/>
      <c r="VLM34" s="51"/>
      <c r="VLO34" s="51"/>
      <c r="VLR34" s="51"/>
      <c r="VLT34" s="51"/>
      <c r="VLU34" s="51"/>
      <c r="VLW34" s="51"/>
      <c r="VLZ34" s="51"/>
      <c r="VMB34" s="51"/>
      <c r="VMC34" s="51"/>
      <c r="VME34" s="51"/>
      <c r="VMH34" s="51"/>
      <c r="VMJ34" s="51"/>
      <c r="VMK34" s="51"/>
      <c r="VMM34" s="51"/>
      <c r="VMP34" s="51"/>
      <c r="VMR34" s="51"/>
      <c r="VMS34" s="51"/>
      <c r="VMU34" s="51"/>
      <c r="VMX34" s="51"/>
      <c r="VMZ34" s="51"/>
      <c r="VNA34" s="51"/>
      <c r="VNC34" s="51"/>
      <c r="VNF34" s="51"/>
      <c r="VNH34" s="51"/>
      <c r="VNI34" s="51"/>
      <c r="VNK34" s="51"/>
      <c r="VNN34" s="51"/>
      <c r="VNP34" s="51"/>
      <c r="VNQ34" s="51"/>
      <c r="VNS34" s="51"/>
      <c r="VNV34" s="51"/>
      <c r="VNX34" s="51"/>
      <c r="VNY34" s="51"/>
      <c r="VOA34" s="51"/>
      <c r="VOD34" s="51"/>
      <c r="VOF34" s="51"/>
      <c r="VOG34" s="51"/>
      <c r="VOI34" s="51"/>
      <c r="VOL34" s="51"/>
      <c r="VON34" s="51"/>
      <c r="VOO34" s="51"/>
      <c r="VOQ34" s="51"/>
      <c r="VOT34" s="51"/>
      <c r="VOV34" s="51"/>
      <c r="VOW34" s="51"/>
      <c r="VOY34" s="51"/>
      <c r="VPB34" s="51"/>
      <c r="VPD34" s="51"/>
      <c r="VPE34" s="51"/>
      <c r="VPG34" s="51"/>
      <c r="VPJ34" s="51"/>
      <c r="VPL34" s="51"/>
      <c r="VPM34" s="51"/>
      <c r="VPO34" s="51"/>
      <c r="VPR34" s="51"/>
      <c r="VPT34" s="51"/>
      <c r="VPU34" s="51"/>
      <c r="VPW34" s="51"/>
      <c r="VPZ34" s="51"/>
      <c r="VQB34" s="51"/>
      <c r="VQC34" s="51"/>
      <c r="VQE34" s="51"/>
      <c r="VQH34" s="51"/>
      <c r="VQJ34" s="51"/>
      <c r="VQK34" s="51"/>
      <c r="VQM34" s="51"/>
      <c r="VQP34" s="51"/>
      <c r="VQR34" s="51"/>
      <c r="VQS34" s="51"/>
      <c r="VQU34" s="51"/>
      <c r="VQX34" s="51"/>
      <c r="VQZ34" s="51"/>
      <c r="VRA34" s="51"/>
      <c r="VRC34" s="51"/>
      <c r="VRF34" s="51"/>
      <c r="VRH34" s="51"/>
      <c r="VRI34" s="51"/>
      <c r="VRK34" s="51"/>
      <c r="VRN34" s="51"/>
      <c r="VRP34" s="51"/>
      <c r="VRQ34" s="51"/>
      <c r="VRS34" s="51"/>
      <c r="VRV34" s="51"/>
      <c r="VRX34" s="51"/>
      <c r="VRY34" s="51"/>
      <c r="VSA34" s="51"/>
      <c r="VSD34" s="51"/>
      <c r="VSF34" s="51"/>
      <c r="VSG34" s="51"/>
      <c r="VSI34" s="51"/>
      <c r="VSL34" s="51"/>
      <c r="VSN34" s="51"/>
      <c r="VSO34" s="51"/>
      <c r="VSQ34" s="51"/>
      <c r="VST34" s="51"/>
      <c r="VSV34" s="51"/>
      <c r="VSW34" s="51"/>
      <c r="VSY34" s="51"/>
      <c r="VTB34" s="51"/>
      <c r="VTD34" s="51"/>
      <c r="VTE34" s="51"/>
      <c r="VTG34" s="51"/>
      <c r="VTJ34" s="51"/>
      <c r="VTL34" s="51"/>
      <c r="VTM34" s="51"/>
      <c r="VTO34" s="51"/>
      <c r="VTR34" s="51"/>
      <c r="VTT34" s="51"/>
      <c r="VTU34" s="51"/>
      <c r="VTW34" s="51"/>
      <c r="VTZ34" s="51"/>
      <c r="VUB34" s="51"/>
      <c r="VUC34" s="51"/>
      <c r="VUE34" s="51"/>
      <c r="VUH34" s="51"/>
      <c r="VUJ34" s="51"/>
      <c r="VUK34" s="51"/>
      <c r="VUM34" s="51"/>
      <c r="VUP34" s="51"/>
      <c r="VUR34" s="51"/>
      <c r="VUS34" s="51"/>
      <c r="VUU34" s="51"/>
      <c r="VUX34" s="51"/>
      <c r="VUZ34" s="51"/>
      <c r="VVA34" s="51"/>
      <c r="VVC34" s="51"/>
      <c r="VVF34" s="51"/>
      <c r="VVH34" s="51"/>
      <c r="VVI34" s="51"/>
      <c r="VVK34" s="51"/>
      <c r="VVN34" s="51"/>
      <c r="VVP34" s="51"/>
      <c r="VVQ34" s="51"/>
      <c r="VVS34" s="51"/>
      <c r="VVV34" s="51"/>
      <c r="VVX34" s="51"/>
      <c r="VVY34" s="51"/>
      <c r="VWA34" s="51"/>
      <c r="VWD34" s="51"/>
      <c r="VWF34" s="51"/>
      <c r="VWG34" s="51"/>
      <c r="VWI34" s="51"/>
      <c r="VWL34" s="51"/>
      <c r="VWN34" s="51"/>
      <c r="VWO34" s="51"/>
      <c r="VWQ34" s="51"/>
      <c r="VWT34" s="51"/>
      <c r="VWV34" s="51"/>
      <c r="VWW34" s="51"/>
      <c r="VWY34" s="51"/>
      <c r="VXB34" s="51"/>
      <c r="VXD34" s="51"/>
      <c r="VXE34" s="51"/>
      <c r="VXG34" s="51"/>
      <c r="VXJ34" s="51"/>
      <c r="VXL34" s="51"/>
      <c r="VXM34" s="51"/>
      <c r="VXO34" s="51"/>
      <c r="VXR34" s="51"/>
      <c r="VXT34" s="51"/>
      <c r="VXU34" s="51"/>
      <c r="VXW34" s="51"/>
      <c r="VXZ34" s="51"/>
      <c r="VYB34" s="51"/>
      <c r="VYC34" s="51"/>
      <c r="VYE34" s="51"/>
      <c r="VYH34" s="51"/>
      <c r="VYJ34" s="51"/>
      <c r="VYK34" s="51"/>
      <c r="VYM34" s="51"/>
      <c r="VYP34" s="51"/>
      <c r="VYR34" s="51"/>
      <c r="VYS34" s="51"/>
      <c r="VYU34" s="51"/>
      <c r="VYX34" s="51"/>
      <c r="VYZ34" s="51"/>
      <c r="VZA34" s="51"/>
      <c r="VZC34" s="51"/>
      <c r="VZF34" s="51"/>
      <c r="VZH34" s="51"/>
      <c r="VZI34" s="51"/>
      <c r="VZK34" s="51"/>
      <c r="VZN34" s="51"/>
      <c r="VZP34" s="51"/>
      <c r="VZQ34" s="51"/>
      <c r="VZS34" s="51"/>
      <c r="VZV34" s="51"/>
      <c r="VZX34" s="51"/>
      <c r="VZY34" s="51"/>
      <c r="WAA34" s="51"/>
      <c r="WAD34" s="51"/>
      <c r="WAF34" s="51"/>
      <c r="WAG34" s="51"/>
      <c r="WAI34" s="51"/>
      <c r="WAL34" s="51"/>
      <c r="WAN34" s="51"/>
      <c r="WAO34" s="51"/>
      <c r="WAQ34" s="51"/>
      <c r="WAT34" s="51"/>
      <c r="WAV34" s="51"/>
      <c r="WAW34" s="51"/>
      <c r="WAY34" s="51"/>
      <c r="WBB34" s="51"/>
      <c r="WBD34" s="51"/>
      <c r="WBE34" s="51"/>
      <c r="WBG34" s="51"/>
      <c r="WBJ34" s="51"/>
      <c r="WBL34" s="51"/>
      <c r="WBM34" s="51"/>
      <c r="WBO34" s="51"/>
      <c r="WBR34" s="51"/>
      <c r="WBT34" s="51"/>
      <c r="WBU34" s="51"/>
      <c r="WBW34" s="51"/>
      <c r="WBZ34" s="51"/>
      <c r="WCB34" s="51"/>
      <c r="WCC34" s="51"/>
      <c r="WCE34" s="51"/>
      <c r="WCH34" s="51"/>
      <c r="WCJ34" s="51"/>
      <c r="WCK34" s="51"/>
      <c r="WCM34" s="51"/>
      <c r="WCP34" s="51"/>
      <c r="WCR34" s="51"/>
      <c r="WCS34" s="51"/>
      <c r="WCU34" s="51"/>
      <c r="WCX34" s="51"/>
      <c r="WCZ34" s="51"/>
      <c r="WDA34" s="51"/>
      <c r="WDC34" s="51"/>
      <c r="WDF34" s="51"/>
      <c r="WDH34" s="51"/>
      <c r="WDI34" s="51"/>
      <c r="WDK34" s="51"/>
      <c r="WDN34" s="51"/>
      <c r="WDP34" s="51"/>
      <c r="WDQ34" s="51"/>
      <c r="WDS34" s="51"/>
      <c r="WDV34" s="51"/>
      <c r="WDX34" s="51"/>
      <c r="WDY34" s="51"/>
      <c r="WEA34" s="51"/>
      <c r="WED34" s="51"/>
      <c r="WEF34" s="51"/>
      <c r="WEG34" s="51"/>
      <c r="WEI34" s="51"/>
      <c r="WEL34" s="51"/>
      <c r="WEN34" s="51"/>
      <c r="WEO34" s="51"/>
      <c r="WEQ34" s="51"/>
      <c r="WET34" s="51"/>
      <c r="WEV34" s="51"/>
      <c r="WEW34" s="51"/>
      <c r="WEY34" s="51"/>
      <c r="WFB34" s="51"/>
      <c r="WFD34" s="51"/>
      <c r="WFE34" s="51"/>
      <c r="WFG34" s="51"/>
      <c r="WFJ34" s="51"/>
      <c r="WFL34" s="51"/>
      <c r="WFM34" s="51"/>
      <c r="WFO34" s="51"/>
      <c r="WFR34" s="51"/>
      <c r="WFT34" s="51"/>
      <c r="WFU34" s="51"/>
      <c r="WFW34" s="51"/>
      <c r="WFZ34" s="51"/>
      <c r="WGB34" s="51"/>
      <c r="WGC34" s="51"/>
      <c r="WGE34" s="51"/>
      <c r="WGH34" s="51"/>
      <c r="WGJ34" s="51"/>
      <c r="WGK34" s="51"/>
      <c r="WGM34" s="51"/>
      <c r="WGP34" s="51"/>
      <c r="WGR34" s="51"/>
      <c r="WGS34" s="51"/>
      <c r="WGU34" s="51"/>
      <c r="WGX34" s="51"/>
      <c r="WGZ34" s="51"/>
      <c r="WHA34" s="51"/>
      <c r="WHC34" s="51"/>
      <c r="WHF34" s="51"/>
      <c r="WHH34" s="51"/>
      <c r="WHI34" s="51"/>
      <c r="WHK34" s="51"/>
      <c r="WHN34" s="51"/>
      <c r="WHP34" s="51"/>
      <c r="WHQ34" s="51"/>
      <c r="WHS34" s="51"/>
      <c r="WHV34" s="51"/>
      <c r="WHX34" s="51"/>
      <c r="WHY34" s="51"/>
      <c r="WIA34" s="51"/>
      <c r="WID34" s="51"/>
      <c r="WIF34" s="51"/>
      <c r="WIG34" s="51"/>
      <c r="WII34" s="51"/>
      <c r="WIL34" s="51"/>
      <c r="WIN34" s="51"/>
      <c r="WIO34" s="51"/>
      <c r="WIQ34" s="51"/>
      <c r="WIT34" s="51"/>
      <c r="WIV34" s="51"/>
      <c r="WIW34" s="51"/>
      <c r="WIY34" s="51"/>
      <c r="WJB34" s="51"/>
      <c r="WJD34" s="51"/>
      <c r="WJE34" s="51"/>
      <c r="WJG34" s="51"/>
      <c r="WJJ34" s="51"/>
      <c r="WJL34" s="51"/>
      <c r="WJM34" s="51"/>
      <c r="WJO34" s="51"/>
      <c r="WJR34" s="51"/>
      <c r="WJT34" s="51"/>
      <c r="WJU34" s="51"/>
      <c r="WJW34" s="51"/>
      <c r="WJZ34" s="51"/>
      <c r="WKB34" s="51"/>
      <c r="WKC34" s="51"/>
      <c r="WKE34" s="51"/>
      <c r="WKH34" s="51"/>
      <c r="WKJ34" s="51"/>
      <c r="WKK34" s="51"/>
      <c r="WKM34" s="51"/>
      <c r="WKP34" s="51"/>
      <c r="WKR34" s="51"/>
      <c r="WKS34" s="51"/>
      <c r="WKU34" s="51"/>
      <c r="WKX34" s="51"/>
      <c r="WKZ34" s="51"/>
      <c r="WLA34" s="51"/>
      <c r="WLC34" s="51"/>
      <c r="WLF34" s="51"/>
      <c r="WLH34" s="51"/>
      <c r="WLI34" s="51"/>
      <c r="WLK34" s="51"/>
      <c r="WLN34" s="51"/>
      <c r="WLP34" s="51"/>
      <c r="WLQ34" s="51"/>
      <c r="WLS34" s="51"/>
      <c r="WLV34" s="51"/>
      <c r="WLX34" s="51"/>
      <c r="WLY34" s="51"/>
      <c r="WMA34" s="51"/>
      <c r="WMD34" s="51"/>
      <c r="WMF34" s="51"/>
      <c r="WMG34" s="51"/>
      <c r="WMI34" s="51"/>
      <c r="WML34" s="51"/>
      <c r="WMN34" s="51"/>
      <c r="WMO34" s="51"/>
      <c r="WMQ34" s="51"/>
      <c r="WMT34" s="51"/>
      <c r="WMV34" s="51"/>
      <c r="WMW34" s="51"/>
      <c r="WMY34" s="51"/>
      <c r="WNB34" s="51"/>
      <c r="WND34" s="51"/>
      <c r="WNE34" s="51"/>
      <c r="WNG34" s="51"/>
      <c r="WNJ34" s="51"/>
      <c r="WNL34" s="51"/>
      <c r="WNM34" s="51"/>
      <c r="WNO34" s="51"/>
      <c r="WNR34" s="51"/>
      <c r="WNT34" s="51"/>
      <c r="WNU34" s="51"/>
      <c r="WNW34" s="51"/>
      <c r="WNZ34" s="51"/>
      <c r="WOB34" s="51"/>
      <c r="WOC34" s="51"/>
      <c r="WOE34" s="51"/>
      <c r="WOH34" s="51"/>
      <c r="WOJ34" s="51"/>
      <c r="WOK34" s="51"/>
      <c r="WOM34" s="51"/>
      <c r="WOP34" s="51"/>
      <c r="WOR34" s="51"/>
      <c r="WOS34" s="51"/>
      <c r="WOU34" s="51"/>
      <c r="WOX34" s="51"/>
      <c r="WOZ34" s="51"/>
      <c r="WPA34" s="51"/>
      <c r="WPC34" s="51"/>
      <c r="WPF34" s="51"/>
      <c r="WPH34" s="51"/>
      <c r="WPI34" s="51"/>
      <c r="WPK34" s="51"/>
      <c r="WPN34" s="51"/>
      <c r="WPP34" s="51"/>
      <c r="WPQ34" s="51"/>
      <c r="WPS34" s="51"/>
      <c r="WPV34" s="51"/>
      <c r="WPX34" s="51"/>
      <c r="WPY34" s="51"/>
      <c r="WQA34" s="51"/>
      <c r="WQD34" s="51"/>
      <c r="WQF34" s="51"/>
      <c r="WQG34" s="51"/>
      <c r="WQI34" s="51"/>
      <c r="WQL34" s="51"/>
      <c r="WQN34" s="51"/>
      <c r="WQO34" s="51"/>
      <c r="WQQ34" s="51"/>
      <c r="WQT34" s="51"/>
      <c r="WQV34" s="51"/>
      <c r="WQW34" s="51"/>
      <c r="WQY34" s="51"/>
      <c r="WRB34" s="51"/>
      <c r="WRD34" s="51"/>
      <c r="WRE34" s="51"/>
      <c r="WRG34" s="51"/>
      <c r="WRJ34" s="51"/>
      <c r="WRL34" s="51"/>
      <c r="WRM34" s="51"/>
      <c r="WRO34" s="51"/>
      <c r="WRR34" s="51"/>
      <c r="WRT34" s="51"/>
      <c r="WRU34" s="51"/>
      <c r="WRW34" s="51"/>
      <c r="WRZ34" s="51"/>
      <c r="WSB34" s="51"/>
      <c r="WSC34" s="51"/>
      <c r="WSE34" s="51"/>
      <c r="WSH34" s="51"/>
      <c r="WSJ34" s="51"/>
      <c r="WSK34" s="51"/>
      <c r="WSM34" s="51"/>
      <c r="WSP34" s="51"/>
      <c r="WSR34" s="51"/>
      <c r="WSS34" s="51"/>
      <c r="WSU34" s="51"/>
      <c r="WSX34" s="51"/>
      <c r="WSZ34" s="51"/>
      <c r="WTA34" s="51"/>
      <c r="WTC34" s="51"/>
      <c r="WTF34" s="51"/>
      <c r="WTH34" s="51"/>
      <c r="WTI34" s="51"/>
      <c r="WTK34" s="51"/>
      <c r="WTN34" s="51"/>
      <c r="WTP34" s="51"/>
      <c r="WTQ34" s="51"/>
      <c r="WTS34" s="51"/>
      <c r="WTV34" s="51"/>
      <c r="WTX34" s="51"/>
      <c r="WTY34" s="51"/>
      <c r="WUA34" s="51"/>
      <c r="WUD34" s="51"/>
      <c r="WUF34" s="51"/>
      <c r="WUG34" s="51"/>
      <c r="WUI34" s="51"/>
      <c r="WUL34" s="51"/>
      <c r="WUN34" s="51"/>
      <c r="WUO34" s="51"/>
      <c r="WUQ34" s="51"/>
      <c r="WUT34" s="51"/>
      <c r="WUV34" s="51"/>
      <c r="WUW34" s="51"/>
      <c r="WUY34" s="51"/>
      <c r="WVB34" s="51"/>
      <c r="WVD34" s="51"/>
      <c r="WVE34" s="51"/>
      <c r="WVG34" s="51"/>
      <c r="WVJ34" s="51"/>
      <c r="WVL34" s="51"/>
      <c r="WVM34" s="51"/>
      <c r="WVO34" s="51"/>
      <c r="WVR34" s="51"/>
      <c r="WVT34" s="51"/>
      <c r="WVU34" s="51"/>
      <c r="WVW34" s="51"/>
      <c r="WVZ34" s="51"/>
      <c r="WWB34" s="51"/>
      <c r="WWC34" s="51"/>
      <c r="WWE34" s="51"/>
      <c r="WWH34" s="51"/>
      <c r="WWJ34" s="51"/>
      <c r="WWK34" s="51"/>
      <c r="WWM34" s="51"/>
      <c r="WWP34" s="51"/>
      <c r="WWR34" s="51"/>
      <c r="WWS34" s="51"/>
      <c r="WWU34" s="51"/>
      <c r="WWX34" s="51"/>
      <c r="WWZ34" s="51"/>
      <c r="WXA34" s="51"/>
      <c r="WXC34" s="51"/>
      <c r="WXF34" s="51"/>
      <c r="WXH34" s="51"/>
      <c r="WXI34" s="51"/>
      <c r="WXK34" s="51"/>
      <c r="WXN34" s="51"/>
      <c r="WXP34" s="51"/>
      <c r="WXQ34" s="51"/>
      <c r="WXS34" s="51"/>
      <c r="WXV34" s="51"/>
      <c r="WXX34" s="51"/>
      <c r="WXY34" s="51"/>
      <c r="WYA34" s="51"/>
      <c r="WYD34" s="51"/>
      <c r="WYF34" s="51"/>
      <c r="WYG34" s="51"/>
      <c r="WYI34" s="51"/>
      <c r="WYL34" s="51"/>
      <c r="WYN34" s="51"/>
      <c r="WYO34" s="51"/>
      <c r="WYQ34" s="51"/>
      <c r="WYT34" s="51"/>
      <c r="WYV34" s="51"/>
      <c r="WYW34" s="51"/>
      <c r="WYY34" s="51"/>
      <c r="WZB34" s="51"/>
      <c r="WZD34" s="51"/>
      <c r="WZE34" s="51"/>
      <c r="WZG34" s="51"/>
      <c r="WZJ34" s="51"/>
      <c r="WZL34" s="51"/>
      <c r="WZM34" s="51"/>
      <c r="WZO34" s="51"/>
      <c r="WZR34" s="51"/>
      <c r="WZT34" s="51"/>
      <c r="WZU34" s="51"/>
      <c r="WZW34" s="51"/>
      <c r="WZZ34" s="51"/>
      <c r="XAB34" s="51"/>
      <c r="XAC34" s="51"/>
      <c r="XAE34" s="51"/>
      <c r="XAH34" s="51"/>
      <c r="XAJ34" s="51"/>
      <c r="XAK34" s="51"/>
      <c r="XAM34" s="51"/>
      <c r="XAP34" s="51"/>
      <c r="XAR34" s="51"/>
      <c r="XAS34" s="51"/>
      <c r="XAU34" s="51"/>
      <c r="XAX34" s="51"/>
      <c r="XAZ34" s="51"/>
      <c r="XBA34" s="51"/>
      <c r="XBC34" s="51"/>
      <c r="XBF34" s="51"/>
      <c r="XBH34" s="51"/>
      <c r="XBI34" s="51"/>
      <c r="XBK34" s="51"/>
      <c r="XBN34" s="51"/>
      <c r="XBP34" s="51"/>
      <c r="XBQ34" s="51"/>
      <c r="XBS34" s="51"/>
      <c r="XBV34" s="51"/>
      <c r="XBX34" s="51"/>
      <c r="XBY34" s="51"/>
      <c r="XCA34" s="51"/>
      <c r="XCD34" s="51"/>
      <c r="XCF34" s="51"/>
      <c r="XCG34" s="51"/>
      <c r="XCI34" s="51"/>
      <c r="XCL34" s="51"/>
      <c r="XCN34" s="51"/>
      <c r="XCO34" s="51"/>
      <c r="XCQ34" s="51"/>
      <c r="XCT34" s="51"/>
      <c r="XCV34" s="51"/>
      <c r="XCW34" s="51"/>
      <c r="XCY34" s="51"/>
      <c r="XDB34" s="51"/>
      <c r="XDD34" s="51"/>
      <c r="XDE34" s="51"/>
      <c r="XDG34" s="51"/>
      <c r="XDJ34" s="51"/>
      <c r="XDL34" s="51"/>
      <c r="XDM34" s="51"/>
      <c r="XDO34" s="51"/>
      <c r="XDR34" s="51"/>
      <c r="XDT34" s="51"/>
      <c r="XDU34" s="51"/>
      <c r="XDW34" s="51"/>
      <c r="XDZ34" s="51"/>
      <c r="XEB34" s="51"/>
      <c r="XEC34" s="51"/>
      <c r="XEE34" s="51"/>
      <c r="XEH34" s="51"/>
      <c r="XEJ34" s="51"/>
      <c r="XEK34" s="51"/>
      <c r="XEM34" s="51"/>
      <c r="XEP34" s="51"/>
      <c r="XER34" s="51"/>
      <c r="XES34" s="51"/>
      <c r="XEU34" s="51"/>
      <c r="XEX34" s="51"/>
      <c r="XEZ34" s="51"/>
      <c r="XFA34" s="51"/>
      <c r="XFC34" s="51"/>
    </row>
    <row r="35" spans="1:1023 1026:2047 2050:3071 3074:4095 4098:5119 5122:6143 6146:7167 7170:8191 8194:9215 9218:10239 10242:11263 11266:12287 12290:13311 13314:14335 14338:15359 15362:16383" x14ac:dyDescent="0.25">
      <c r="A35" s="51" t="s">
        <v>493</v>
      </c>
      <c r="E35" s="51"/>
      <c r="F35" s="51"/>
      <c r="I35" s="51"/>
      <c r="L35" s="51"/>
    </row>
    <row r="36" spans="1:1023 1026:2047 2050:3071 3074:4095 4098:5119 5122:6143 6146:7167 7170:8191 8194:9215 9218:10239 10242:11263 11266:12287 12290:13311 13314:14335 14338:15359 15362:16383" x14ac:dyDescent="0.25">
      <c r="A36" t="s">
        <v>475</v>
      </c>
      <c r="B36" s="425" t="s">
        <v>476</v>
      </c>
      <c r="C36" s="425"/>
      <c r="D36" s="425"/>
      <c r="E36" s="425" t="s">
        <v>477</v>
      </c>
      <c r="F36" s="423" t="s">
        <v>478</v>
      </c>
      <c r="G36" s="425" t="s">
        <v>479</v>
      </c>
      <c r="H36" s="425" t="s">
        <v>480</v>
      </c>
      <c r="I36" s="425" t="s">
        <v>481</v>
      </c>
      <c r="J36" s="425" t="s">
        <v>482</v>
      </c>
      <c r="K36" s="425"/>
      <c r="L36" s="425" t="s">
        <v>483</v>
      </c>
      <c r="M36" s="425" t="s">
        <v>486</v>
      </c>
      <c r="N36" s="425" t="s">
        <v>487</v>
      </c>
      <c r="O36" s="425" t="s">
        <v>488</v>
      </c>
      <c r="P36" s="425" t="s">
        <v>489</v>
      </c>
      <c r="Q36" s="425" t="s">
        <v>490</v>
      </c>
    </row>
    <row r="37" spans="1:1023 1026:2047 2050:3071 3074:4095 4098:5119 5122:6143 6146:7167 7170:8191 8194:9215 9218:10239 10242:11263 11266:12287 12290:13311 13314:14335 14338:15359 15362:16383" x14ac:dyDescent="0.25">
      <c r="A37" s="51">
        <v>0</v>
      </c>
      <c r="E37" s="51"/>
      <c r="F37" s="51"/>
      <c r="I37" s="51"/>
      <c r="L37" s="51"/>
    </row>
    <row r="38" spans="1:1023 1026:2047 2050:3071 3074:4095 4098:5119 5122:6143 6146:7167 7170:8191 8194:9215 9218:10239 10242:11263 11266:12287 12290:13311 13314:14335 14338:15359 15362:16383" x14ac:dyDescent="0.25">
      <c r="A38" s="51">
        <v>6000</v>
      </c>
      <c r="E38" s="51"/>
      <c r="F38" s="51"/>
      <c r="I38" s="51"/>
      <c r="L38" s="51"/>
    </row>
    <row r="39" spans="1:1023 1026:2047 2050:3071 3074:4095 4098:5119 5122:6143 6146:7167 7170:8191 8194:9215 9218:10239 10242:11263 11266:12287 12290:13311 13314:14335 14338:15359 15362:16383" x14ac:dyDescent="0.25">
      <c r="A39" s="51">
        <v>120000</v>
      </c>
      <c r="B39" s="57">
        <f t="shared" ref="B39:L39" si="5">(B26+B27)/2</f>
        <v>6326.9375</v>
      </c>
      <c r="C39" s="57"/>
      <c r="D39" s="57"/>
      <c r="E39" s="57">
        <f t="shared" si="5"/>
        <v>6603.9750000000004</v>
      </c>
      <c r="F39" s="57">
        <f t="shared" si="5"/>
        <v>6371.8624999999993</v>
      </c>
      <c r="G39" s="57">
        <f t="shared" si="5"/>
        <v>5376.0249999999996</v>
      </c>
      <c r="H39" s="57">
        <f t="shared" si="5"/>
        <v>5458.3874999999998</v>
      </c>
      <c r="I39" s="57">
        <f t="shared" si="5"/>
        <v>5256.2250000000004</v>
      </c>
      <c r="J39" s="57">
        <f t="shared" si="5"/>
        <v>6229.6</v>
      </c>
      <c r="K39" s="57"/>
      <c r="L39" s="57">
        <f t="shared" si="5"/>
        <v>6416.7875000000004</v>
      </c>
      <c r="P39" s="56"/>
      <c r="R39" s="421"/>
    </row>
    <row r="40" spans="1:1023 1026:2047 2050:3071 3074:4095 4098:5119 5122:6143 6146:7167 7170:8191 8194:9215 9218:10239 10242:11263 11266:12287 12290:13311 13314:14335 14338:15359 15362:16383" x14ac:dyDescent="0.25">
      <c r="A40" s="51">
        <v>30000</v>
      </c>
      <c r="B40" s="58">
        <f t="shared" ref="B40:L40" si="6">(B22+B23)/2</f>
        <v>3331.9375</v>
      </c>
      <c r="C40" s="58"/>
      <c r="D40" s="58"/>
      <c r="E40" s="58">
        <f t="shared" si="6"/>
        <v>3272.0374999999999</v>
      </c>
      <c r="F40" s="58">
        <f t="shared" si="6"/>
        <v>2935.1</v>
      </c>
      <c r="G40" s="58">
        <f t="shared" si="6"/>
        <v>2665.55</v>
      </c>
      <c r="H40" s="58">
        <f t="shared" si="6"/>
        <v>2620.625</v>
      </c>
      <c r="I40" s="58">
        <f t="shared" si="6"/>
        <v>1744.5874999999999</v>
      </c>
      <c r="J40" s="58">
        <f t="shared" si="6"/>
        <v>2321.125</v>
      </c>
      <c r="K40" s="58"/>
      <c r="L40" s="58">
        <f t="shared" si="6"/>
        <v>3234.6</v>
      </c>
    </row>
    <row r="41" spans="1:1023 1026:2047 2050:3071 3074:4095 4098:5119 5122:6143 6146:7167 7170:8191 8194:9215 9218:10239 10242:11263 11266:12287 12290:13311 13314:14335 14338:15359 15362:16383" x14ac:dyDescent="0.25">
      <c r="A41" s="56">
        <v>90000</v>
      </c>
      <c r="B41" s="58">
        <f t="shared" ref="B41:L41" si="7">(B25+B26)/2</f>
        <v>5316.125</v>
      </c>
      <c r="C41" s="58"/>
      <c r="D41" s="58"/>
      <c r="E41" s="58">
        <f t="shared" si="7"/>
        <v>5376.0249999999996</v>
      </c>
      <c r="F41" s="58">
        <f t="shared" si="7"/>
        <v>5188.8374999999996</v>
      </c>
      <c r="G41" s="58">
        <f t="shared" si="7"/>
        <v>4582.3500000000004</v>
      </c>
      <c r="H41" s="58">
        <f t="shared" si="7"/>
        <v>4597.3249999999998</v>
      </c>
      <c r="I41" s="58">
        <f t="shared" si="7"/>
        <v>4140.5874999999996</v>
      </c>
      <c r="J41" s="58">
        <f t="shared" si="7"/>
        <v>4934.2624999999998</v>
      </c>
      <c r="K41" s="58"/>
      <c r="L41" s="58">
        <f t="shared" si="7"/>
        <v>5405.9750000000004</v>
      </c>
    </row>
    <row r="42" spans="1:1023 1026:2047 2050:3071 3074:4095 4098:5119 5122:6143 6146:7167 7170:8191 8194:9215 9218:10239 10242:11263 11266:12287 12290:13311 13314:14335 14338:15359 15362:16383" x14ac:dyDescent="0.25">
      <c r="A42" s="56">
        <v>15000</v>
      </c>
      <c r="B42" s="58"/>
      <c r="C42" s="58"/>
      <c r="D42" s="58"/>
      <c r="E42" s="58"/>
      <c r="F42" s="58"/>
      <c r="G42" s="58"/>
      <c r="H42" s="58"/>
      <c r="I42" s="58"/>
      <c r="J42" s="58"/>
      <c r="K42" s="58"/>
      <c r="L42" s="58"/>
    </row>
    <row r="43" spans="1:1023 1026:2047 2050:3071 3074:4095 4098:5119 5122:6143 6146:7167 7170:8191 8194:9215 9218:10239 10242:11263 11266:12287 12290:13311 13314:14335 14338:15359 15362:16383" x14ac:dyDescent="0.25">
      <c r="A43" s="56">
        <v>22500</v>
      </c>
      <c r="B43" s="56"/>
      <c r="C43" s="56"/>
      <c r="D43" s="56"/>
      <c r="E43" s="56"/>
      <c r="F43" s="56"/>
      <c r="G43" s="56"/>
      <c r="H43" s="56"/>
      <c r="I43" s="56"/>
      <c r="J43" s="56"/>
      <c r="K43" s="56"/>
      <c r="L43" s="56"/>
      <c r="P43" s="56">
        <f>(L22+I22)/2</f>
        <v>2051.5749999999998</v>
      </c>
    </row>
    <row r="44" spans="1:1023 1026:2047 2050:3071 3074:4095 4098:5119 5122:6143 6146:7167 7170:8191 8194:9215 9218:10239 10242:11263 11266:12287 12290:13311 13314:14335 14338:15359 15362:16383" x14ac:dyDescent="0.25">
      <c r="A44" s="56" t="s">
        <v>494</v>
      </c>
    </row>
    <row r="45" spans="1:1023 1026:2047 2050:3071 3074:4095 4098:5119 5122:6143 6146:7167 7170:8191 8194:9215 9218:10239 10242:11263 11266:12287 12290:13311 13314:14335 14338:15359 15362:16383" x14ac:dyDescent="0.25">
      <c r="A45" s="17" t="s">
        <v>475</v>
      </c>
      <c r="B45" s="425" t="s">
        <v>476</v>
      </c>
      <c r="C45" s="110" t="s">
        <v>495</v>
      </c>
      <c r="D45" s="110" t="s">
        <v>496</v>
      </c>
      <c r="E45" s="425" t="s">
        <v>477</v>
      </c>
      <c r="F45" s="423" t="s">
        <v>478</v>
      </c>
      <c r="G45" s="425" t="s">
        <v>479</v>
      </c>
      <c r="H45" s="425" t="s">
        <v>480</v>
      </c>
      <c r="I45" s="425" t="s">
        <v>481</v>
      </c>
      <c r="J45" s="425" t="s">
        <v>482</v>
      </c>
      <c r="K45" s="225" t="s">
        <v>497</v>
      </c>
      <c r="L45" s="226" t="s">
        <v>483</v>
      </c>
      <c r="M45" s="425" t="s">
        <v>486</v>
      </c>
      <c r="N45" s="425" t="s">
        <v>487</v>
      </c>
      <c r="O45" s="425" t="s">
        <v>488</v>
      </c>
      <c r="P45" s="425" t="s">
        <v>489</v>
      </c>
      <c r="Q45" s="425" t="s">
        <v>490</v>
      </c>
      <c r="LE45" s="56">
        <v>22500</v>
      </c>
      <c r="LM45" s="56">
        <v>22500</v>
      </c>
    </row>
    <row r="46" spans="1:1023 1026:2047 2050:3071 3074:4095 4098:5119 5122:6143 6146:7167 7170:8191 8194:9215 9218:10239 10242:11263 11266:12287 12290:13311 13314:14335 14338:15359 15362:16383" s="17" customFormat="1" x14ac:dyDescent="0.25">
      <c r="A46" s="58">
        <v>0</v>
      </c>
      <c r="B46" s="57">
        <f>B$98+B$97*$A46</f>
        <v>2426.5259615384621</v>
      </c>
      <c r="C46" s="57"/>
      <c r="D46" s="57"/>
      <c r="E46" s="57">
        <f t="shared" ref="E46:J47" si="8">E$98+E$97*$A46</f>
        <v>2215.148076923077</v>
      </c>
      <c r="F46" s="57">
        <f t="shared" si="8"/>
        <v>1930.0471153846156</v>
      </c>
      <c r="G46" s="57">
        <f t="shared" si="8"/>
        <v>2113.2028846153835</v>
      </c>
      <c r="H46" s="57">
        <f t="shared" si="8"/>
        <v>2033.7201923076923</v>
      </c>
      <c r="I46" s="57">
        <f t="shared" si="8"/>
        <v>909.44326923076915</v>
      </c>
      <c r="J46" s="57">
        <f t="shared" si="8"/>
        <v>1312.040384615384</v>
      </c>
      <c r="K46" s="57">
        <f>L46/J46*(I46)</f>
        <v>1696.3232883940029</v>
      </c>
      <c r="L46" s="57">
        <f t="shared" ref="L46:L55" si="9">L$98+L$97*$A46</f>
        <v>2447.2605769230763</v>
      </c>
      <c r="M46" s="57">
        <f>I98</f>
        <v>909.44326923076915</v>
      </c>
      <c r="N46" s="57">
        <f>F98</f>
        <v>1930.0471153846156</v>
      </c>
      <c r="O46" s="57"/>
      <c r="P46" s="57"/>
    </row>
    <row r="47" spans="1:1023 1026:2047 2050:3071 3074:4095 4098:5119 5122:6143 6146:7167 7170:8191 8194:9215 9218:10239 10242:11263 11266:12287 12290:13311 13314:14335 14338:15359 15362:16383" x14ac:dyDescent="0.25">
      <c r="A47" s="51">
        <v>6000</v>
      </c>
      <c r="B47" s="56">
        <f>B$98+B$97*$A47</f>
        <v>2613.6532071005922</v>
      </c>
      <c r="C47" s="56"/>
      <c r="D47" s="56"/>
      <c r="E47" s="56">
        <f t="shared" si="8"/>
        <v>2424.5038934911245</v>
      </c>
      <c r="F47" s="56">
        <f t="shared" si="8"/>
        <v>2141.0989171597635</v>
      </c>
      <c r="G47" s="56">
        <f t="shared" si="8"/>
        <v>2261.1363905325434</v>
      </c>
      <c r="H47" s="56">
        <f t="shared" si="8"/>
        <v>2188.4482721893492</v>
      </c>
      <c r="I47" s="56">
        <f t="shared" si="8"/>
        <v>1110.4148579881655</v>
      </c>
      <c r="J47" s="56">
        <f t="shared" si="8"/>
        <v>1542.2903136094669</v>
      </c>
      <c r="K47" s="56">
        <f t="shared" ref="K47:K96" si="10">L47/J47*(I47)</f>
        <v>1896.9305387861455</v>
      </c>
      <c r="L47" s="56">
        <f t="shared" si="9"/>
        <v>2634.7068165680466</v>
      </c>
      <c r="O47" s="56">
        <f>I98+A47*I97</f>
        <v>1110.4148579881655</v>
      </c>
      <c r="P47" s="38"/>
      <c r="Q47" s="38">
        <f>(A47+3736)*I97+I98</f>
        <v>1235.5531672544378</v>
      </c>
    </row>
    <row r="48" spans="1:1023 1026:2047 2050:3071 3074:4095 4098:5119 5122:6143 6146:7167 7170:8191 8194:9215 9218:10239 10242:11263 11266:12287 12290:13311 13314:14335 14338:15359 15362:16383" x14ac:dyDescent="0.25">
      <c r="A48" s="51">
        <f>'Taxes consommation- sommaire'!E7</f>
        <v>7743.6465805934249</v>
      </c>
      <c r="B48" s="56"/>
      <c r="C48" s="56"/>
      <c r="D48" s="56"/>
      <c r="E48" s="56"/>
      <c r="F48" s="56"/>
      <c r="G48" s="56"/>
      <c r="H48" s="56"/>
      <c r="I48" s="72">
        <f t="shared" ref="I48:J51" si="11">I$98+I$97*$A48</f>
        <v>1168.818761910376</v>
      </c>
      <c r="J48" s="72">
        <f t="shared" si="11"/>
        <v>1609.2027305048689</v>
      </c>
      <c r="K48" s="72">
        <f t="shared" si="10"/>
        <v>1953.2431512609858</v>
      </c>
      <c r="L48" s="72">
        <f t="shared" si="9"/>
        <v>2689.1801490350549</v>
      </c>
      <c r="O48" s="224">
        <f>I98+A48*I97</f>
        <v>1168.818761910376</v>
      </c>
      <c r="P48" s="38"/>
      <c r="Q48" s="38"/>
    </row>
    <row r="49" spans="1:17" x14ac:dyDescent="0.25">
      <c r="A49" s="58">
        <v>15000</v>
      </c>
      <c r="B49" s="57">
        <f>B$98+B$97*$A49</f>
        <v>2894.3440754437875</v>
      </c>
      <c r="C49" s="57"/>
      <c r="D49" s="57"/>
      <c r="E49" s="57">
        <f t="shared" ref="E49:H51" si="12">E$98+E$97*$A49</f>
        <v>2738.5376183431954</v>
      </c>
      <c r="F49" s="57">
        <f t="shared" si="12"/>
        <v>2457.6766198224855</v>
      </c>
      <c r="G49" s="57">
        <f t="shared" si="12"/>
        <v>2483.0366494082832</v>
      </c>
      <c r="H49" s="57">
        <f t="shared" si="12"/>
        <v>2420.5403920118342</v>
      </c>
      <c r="I49" s="57">
        <f t="shared" si="11"/>
        <v>1411.8722411242602</v>
      </c>
      <c r="J49" s="57">
        <f t="shared" si="11"/>
        <v>1887.6652071005913</v>
      </c>
      <c r="K49" s="57">
        <f t="shared" si="10"/>
        <v>2180.9188493882652</v>
      </c>
      <c r="L49" s="57">
        <f t="shared" si="9"/>
        <v>2915.8761760355023</v>
      </c>
      <c r="P49" s="38">
        <f>($I$97/$J$97)*($L$97*$A49)+($I$98/$J$98)*$L$98</f>
        <v>2105.3502178769813</v>
      </c>
      <c r="Q49" s="38"/>
    </row>
    <row r="50" spans="1:17" s="17" customFormat="1" x14ac:dyDescent="0.25">
      <c r="A50" s="58">
        <v>20000</v>
      </c>
      <c r="B50" s="57">
        <f>B$98+B$97*$A50</f>
        <v>3050.2834467455627</v>
      </c>
      <c r="C50" s="57"/>
      <c r="D50" s="57"/>
      <c r="E50" s="57">
        <f t="shared" si="12"/>
        <v>2913.000798816568</v>
      </c>
      <c r="F50" s="57">
        <f t="shared" si="12"/>
        <v>2633.5531213017753</v>
      </c>
      <c r="G50" s="57">
        <f t="shared" si="12"/>
        <v>2606.3145710059162</v>
      </c>
      <c r="H50" s="57">
        <f t="shared" si="12"/>
        <v>2549.4804585798815</v>
      </c>
      <c r="I50" s="57">
        <f t="shared" si="11"/>
        <v>1579.3485650887574</v>
      </c>
      <c r="J50" s="57">
        <f t="shared" si="11"/>
        <v>2079.5401479289935</v>
      </c>
      <c r="K50" s="57">
        <f t="shared" si="10"/>
        <v>2333.1539510993716</v>
      </c>
      <c r="L50" s="57">
        <f t="shared" si="9"/>
        <v>3072.0813757396445</v>
      </c>
      <c r="P50" s="223"/>
      <c r="Q50" s="223"/>
    </row>
    <row r="51" spans="1:17" x14ac:dyDescent="0.25">
      <c r="A51" s="51">
        <v>22500</v>
      </c>
      <c r="B51" s="56">
        <f>B$98+B$97*$A51</f>
        <v>3128.2531323964504</v>
      </c>
      <c r="C51" s="56"/>
      <c r="D51" s="56"/>
      <c r="E51" s="56">
        <f t="shared" si="12"/>
        <v>3000.2323890532543</v>
      </c>
      <c r="F51" s="56">
        <f t="shared" si="12"/>
        <v>2721.4913720414202</v>
      </c>
      <c r="G51" s="56">
        <f t="shared" si="12"/>
        <v>2667.9535318047328</v>
      </c>
      <c r="H51" s="56">
        <f t="shared" si="12"/>
        <v>2613.9504918639054</v>
      </c>
      <c r="I51" s="56">
        <f t="shared" si="11"/>
        <v>1663.086727071006</v>
      </c>
      <c r="J51" s="56">
        <f t="shared" si="11"/>
        <v>2175.477618343195</v>
      </c>
      <c r="K51" s="56">
        <f t="shared" si="10"/>
        <v>2408.2202057442018</v>
      </c>
      <c r="L51" s="56">
        <f t="shared" si="9"/>
        <v>3150.1839755917154</v>
      </c>
      <c r="P51" s="38">
        <f>($I$97/$J$97)*($L$97*$A51)+($I$98/$J$98)*$L$98</f>
        <v>2309.8636826184702</v>
      </c>
      <c r="Q51" s="38"/>
    </row>
    <row r="52" spans="1:17" x14ac:dyDescent="0.25">
      <c r="A52" s="51">
        <f>'Taxes consommation- sommaire'!BO68</f>
        <v>38158.117087310195</v>
      </c>
      <c r="B52" s="56"/>
      <c r="C52" s="56"/>
      <c r="D52" s="56"/>
      <c r="E52" s="56"/>
      <c r="F52" s="56"/>
      <c r="G52" s="56"/>
      <c r="H52" s="56"/>
      <c r="I52" s="56">
        <f t="shared" ref="I52:I73" si="13">I$98+I$97*$A52</f>
        <v>2187.5595050686834</v>
      </c>
      <c r="J52" s="56">
        <f t="shared" ref="J52:J53" si="14">J$98+J$97*$A52</f>
        <v>2776.357676265563</v>
      </c>
      <c r="K52" s="56">
        <f t="shared" si="10"/>
        <v>2867.5398244495159</v>
      </c>
      <c r="L52" s="56">
        <f t="shared" si="9"/>
        <v>3639.3598369145411</v>
      </c>
      <c r="P52" s="38"/>
      <c r="Q52" s="38"/>
    </row>
    <row r="53" spans="1:17" x14ac:dyDescent="0.25">
      <c r="A53" s="51">
        <f>'Taxes consommation- sommaire'!BK68</f>
        <v>57619.086003700992</v>
      </c>
      <c r="B53" s="56"/>
      <c r="C53" s="56"/>
      <c r="D53" s="56"/>
      <c r="E53" s="56"/>
      <c r="F53" s="56"/>
      <c r="G53" s="56"/>
      <c r="H53" s="72"/>
      <c r="I53" s="56">
        <f t="shared" si="13"/>
        <v>2839.4098120495782</v>
      </c>
      <c r="J53" s="56">
        <f t="shared" si="14"/>
        <v>3523.1721281247355</v>
      </c>
      <c r="K53" s="56">
        <f t="shared" si="10"/>
        <v>3423.0348519439967</v>
      </c>
      <c r="L53" s="56">
        <f t="shared" si="9"/>
        <v>4247.3407441187264</v>
      </c>
    </row>
    <row r="54" spans="1:17" s="17" customFormat="1" x14ac:dyDescent="0.25">
      <c r="A54" s="58">
        <v>30000</v>
      </c>
      <c r="B54" s="57">
        <f>B$98+B$97*$A54</f>
        <v>3362.1621893491129</v>
      </c>
      <c r="C54" s="57"/>
      <c r="D54" s="57"/>
      <c r="E54" s="57">
        <f>E$98+E$97*$A54</f>
        <v>3261.9271597633137</v>
      </c>
      <c r="F54" s="57">
        <f>F$98+F$97*$A54</f>
        <v>2985.3061242603553</v>
      </c>
      <c r="G54" s="57">
        <f>G$98+G$97*$A54</f>
        <v>2852.8704142011825</v>
      </c>
      <c r="H54" s="57">
        <f>H$98+H$97*$A54</f>
        <v>2807.3605917159762</v>
      </c>
      <c r="I54" s="57">
        <f t="shared" si="13"/>
        <v>1914.3012130177515</v>
      </c>
      <c r="J54" s="57">
        <f>J$98+J$97*$A54</f>
        <v>2463.2900295857985</v>
      </c>
      <c r="K54" s="57">
        <f t="shared" si="10"/>
        <v>2630.196457907035</v>
      </c>
      <c r="L54" s="57">
        <f t="shared" si="9"/>
        <v>3384.4917751479284</v>
      </c>
    </row>
    <row r="55" spans="1:17" x14ac:dyDescent="0.25">
      <c r="A55" s="51">
        <f>'Taxes consommation- sommaire'!AX68</f>
        <v>60260.015054242656</v>
      </c>
      <c r="B55" s="56"/>
      <c r="C55" s="56"/>
      <c r="D55" s="56"/>
      <c r="E55" s="56"/>
      <c r="F55" s="56"/>
      <c r="G55" s="56"/>
      <c r="H55" s="72"/>
      <c r="I55" s="56">
        <f t="shared" si="13"/>
        <v>2927.8684298967319</v>
      </c>
      <c r="J55" s="56">
        <f t="shared" ref="J55:J60" si="15">J$98+J$97*$A55</f>
        <v>3624.5177491856734</v>
      </c>
      <c r="K55" s="56">
        <f t="shared" si="10"/>
        <v>3497.6293733249781</v>
      </c>
      <c r="L55" s="56">
        <f t="shared" si="9"/>
        <v>4329.8461140675918</v>
      </c>
    </row>
    <row r="56" spans="1:17" x14ac:dyDescent="0.25">
      <c r="A56" s="51">
        <f>'Taxes consommation- sommaire'!F7</f>
        <v>27461.092982239996</v>
      </c>
      <c r="B56" s="56"/>
      <c r="C56" s="56"/>
      <c r="D56" s="56"/>
      <c r="E56" s="56"/>
      <c r="F56" s="56"/>
      <c r="G56" s="56"/>
      <c r="H56" s="56"/>
      <c r="I56" s="72">
        <f t="shared" si="13"/>
        <v>1829.2598501733296</v>
      </c>
      <c r="J56" s="56">
        <f t="shared" si="15"/>
        <v>2365.8595028254949</v>
      </c>
      <c r="K56" s="56">
        <f t="shared" si="10"/>
        <v>2555.5285521905953</v>
      </c>
      <c r="L56" s="56">
        <f t="shared" ref="L56:L60" si="16">L$98+L$97*$A56</f>
        <v>3305.1736796000387</v>
      </c>
    </row>
    <row r="57" spans="1:17" x14ac:dyDescent="0.25">
      <c r="A57" s="51">
        <f>'Taxes consommation- sommaire'!G7</f>
        <v>28113.673734519998</v>
      </c>
      <c r="B57" s="56"/>
      <c r="C57" s="56"/>
      <c r="D57" s="56"/>
      <c r="E57" s="56"/>
      <c r="F57" s="56"/>
      <c r="G57" s="56"/>
      <c r="H57" s="56"/>
      <c r="I57" s="72">
        <f t="shared" si="13"/>
        <v>1851.1182152696977</v>
      </c>
      <c r="J57" s="56">
        <f t="shared" si="15"/>
        <v>2390.9022814713912</v>
      </c>
      <c r="K57" s="56">
        <f t="shared" si="10"/>
        <v>2574.7629066763843</v>
      </c>
      <c r="L57" s="56">
        <f t="shared" si="16"/>
        <v>3325.5609809466341</v>
      </c>
    </row>
    <row r="58" spans="1:17" x14ac:dyDescent="0.25">
      <c r="A58" s="51">
        <f>'Taxes consommation- sommaire'!H7</f>
        <v>28927.350966440001</v>
      </c>
      <c r="B58" s="56"/>
      <c r="C58" s="56"/>
      <c r="D58" s="56"/>
      <c r="E58" s="56"/>
      <c r="F58" s="56"/>
      <c r="G58" s="56"/>
      <c r="H58" s="56"/>
      <c r="I58" s="72">
        <f t="shared" si="13"/>
        <v>1878.3725496088116</v>
      </c>
      <c r="J58" s="56">
        <f t="shared" si="15"/>
        <v>2422.127135617005</v>
      </c>
      <c r="K58" s="56">
        <f t="shared" si="10"/>
        <v>2598.7037704040604</v>
      </c>
      <c r="L58" s="56">
        <f t="shared" si="16"/>
        <v>3350.9811038479897</v>
      </c>
    </row>
    <row r="59" spans="1:17" x14ac:dyDescent="0.25">
      <c r="A59" s="51">
        <f>'Taxes consommation- sommaire'!AS7</f>
        <v>34375.025999999998</v>
      </c>
      <c r="B59" s="56"/>
      <c r="C59" s="56"/>
      <c r="D59" s="56"/>
      <c r="E59" s="56"/>
      <c r="F59" s="56"/>
      <c r="G59" s="56"/>
      <c r="H59" s="56"/>
      <c r="I59" s="72">
        <f t="shared" si="13"/>
        <v>2060.843867363571</v>
      </c>
      <c r="J59" s="56">
        <f t="shared" si="15"/>
        <v>2631.1816005603428</v>
      </c>
      <c r="K59" s="56">
        <f t="shared" si="10"/>
        <v>2757.9191049543024</v>
      </c>
      <c r="L59" s="56">
        <f t="shared" si="16"/>
        <v>3521.1721371560911</v>
      </c>
    </row>
    <row r="60" spans="1:17" x14ac:dyDescent="0.25">
      <c r="A60" s="51">
        <f>'Taxes consommation- sommaire'!I7</f>
        <v>29560.506084240002</v>
      </c>
      <c r="B60" s="56"/>
      <c r="C60" s="56"/>
      <c r="D60" s="56"/>
      <c r="E60" s="56"/>
      <c r="F60" s="56"/>
      <c r="G60" s="56"/>
      <c r="H60" s="56"/>
      <c r="I60" s="72">
        <f t="shared" si="13"/>
        <v>1899.580247934502</v>
      </c>
      <c r="J60" s="56">
        <f t="shared" si="15"/>
        <v>2446.4244557696202</v>
      </c>
      <c r="K60" s="56">
        <f t="shared" si="10"/>
        <v>2617.302162881856</v>
      </c>
      <c r="L60" s="56">
        <f t="shared" si="16"/>
        <v>3370.7615281719191</v>
      </c>
    </row>
    <row r="61" spans="1:17" s="17" customFormat="1" x14ac:dyDescent="0.25">
      <c r="A61" s="58">
        <f>+A50+20000</f>
        <v>40000</v>
      </c>
      <c r="B61" s="57">
        <f>B$98+B$97*$A61</f>
        <v>3674.0409319526634</v>
      </c>
      <c r="C61" s="57"/>
      <c r="D61" s="57"/>
      <c r="E61" s="57">
        <f>E$98+E$97*$A61</f>
        <v>3610.8535207100595</v>
      </c>
      <c r="F61" s="57">
        <f>F$98+F$97*$A61</f>
        <v>3337.0591272189349</v>
      </c>
      <c r="G61" s="57">
        <f>G$98+G$97*$A61</f>
        <v>3099.4262573964488</v>
      </c>
      <c r="H61" s="57">
        <f>H$98+H$97*$A61</f>
        <v>3065.2407248520713</v>
      </c>
      <c r="I61" s="57">
        <f t="shared" si="13"/>
        <v>2249.2538609467456</v>
      </c>
      <c r="J61" s="57">
        <f>J$98+J$97*$A61</f>
        <v>2847.039911242603</v>
      </c>
      <c r="K61" s="57">
        <f t="shared" si="10"/>
        <v>2920.6726104635973</v>
      </c>
      <c r="L61" s="57">
        <f>L$98+L$97*$A61</f>
        <v>3696.9021745562127</v>
      </c>
    </row>
    <row r="62" spans="1:17" x14ac:dyDescent="0.25">
      <c r="A62" s="51">
        <f>'Taxes consommation- sommaire'!J7</f>
        <v>30274.22368848</v>
      </c>
      <c r="B62" s="56"/>
      <c r="C62" s="56"/>
      <c r="D62" s="56"/>
      <c r="E62" s="56"/>
      <c r="F62" s="56"/>
      <c r="G62" s="56"/>
      <c r="H62" s="56"/>
      <c r="I62" s="72">
        <f t="shared" si="13"/>
        <v>1923.4864080758746</v>
      </c>
      <c r="J62" s="56">
        <f t="shared" ref="J62:J65" si="17">J$98+J$97*$A62</f>
        <v>2473.8133603859678</v>
      </c>
      <c r="K62" s="56">
        <f t="shared" si="10"/>
        <v>2638.2356099207882</v>
      </c>
      <c r="L62" s="56">
        <f t="shared" ref="L62:L65" si="18">L$98+L$97*$A62</f>
        <v>3393.0588083524535</v>
      </c>
    </row>
    <row r="63" spans="1:17" x14ac:dyDescent="0.25">
      <c r="A63" s="51">
        <f>'Taxes consommation- sommaire'!K7</f>
        <v>30899.198559480003</v>
      </c>
      <c r="B63" s="56"/>
      <c r="C63" s="56"/>
      <c r="D63" s="56"/>
      <c r="E63" s="56"/>
      <c r="F63" s="56"/>
      <c r="G63" s="56"/>
      <c r="H63" s="56"/>
      <c r="I63" s="72">
        <f t="shared" si="13"/>
        <v>1944.4201068689279</v>
      </c>
      <c r="J63" s="56">
        <f t="shared" si="17"/>
        <v>2497.7967636644407</v>
      </c>
      <c r="K63" s="56">
        <f t="shared" si="10"/>
        <v>2656.5397181968588</v>
      </c>
      <c r="L63" s="56">
        <f t="shared" si="18"/>
        <v>3412.5836732593789</v>
      </c>
    </row>
    <row r="64" spans="1:17" x14ac:dyDescent="0.25">
      <c r="A64" s="51">
        <f>'Taxes consommation- sommaire'!AX7</f>
        <v>37145.640660084035</v>
      </c>
      <c r="B64" s="56"/>
      <c r="C64" s="56"/>
      <c r="D64" s="56"/>
      <c r="E64" s="56"/>
      <c r="F64" s="56"/>
      <c r="G64" s="56"/>
      <c r="H64" s="56"/>
      <c r="I64" s="72">
        <f t="shared" si="13"/>
        <v>2153.646339042175</v>
      </c>
      <c r="J64" s="56">
        <f t="shared" si="17"/>
        <v>2737.5039053527289</v>
      </c>
      <c r="K64" s="56">
        <f t="shared" si="10"/>
        <v>2838.2689726487474</v>
      </c>
      <c r="L64" s="56">
        <f t="shared" si="18"/>
        <v>3607.7290204124211</v>
      </c>
    </row>
    <row r="65" spans="1:12" x14ac:dyDescent="0.25">
      <c r="A65" s="51">
        <f>'Taxes consommation- sommaire'!L7</f>
        <v>31660.451007680003</v>
      </c>
      <c r="B65" s="56"/>
      <c r="C65" s="56"/>
      <c r="D65" s="56"/>
      <c r="E65" s="56"/>
      <c r="F65" s="56"/>
      <c r="G65" s="56"/>
      <c r="H65" s="56"/>
      <c r="I65" s="72">
        <f t="shared" si="13"/>
        <v>1969.9184591956298</v>
      </c>
      <c r="J65" s="56">
        <f t="shared" si="17"/>
        <v>2527.0098173552105</v>
      </c>
      <c r="K65" s="56">
        <f t="shared" si="10"/>
        <v>2678.8027306095541</v>
      </c>
      <c r="L65" s="56">
        <f t="shared" si="18"/>
        <v>3436.3659913986485</v>
      </c>
    </row>
    <row r="66" spans="1:12" x14ac:dyDescent="0.25">
      <c r="A66" s="58">
        <v>45000</v>
      </c>
      <c r="B66" s="57">
        <f>B$98+B$97*$A66</f>
        <v>3829.9803032544387</v>
      </c>
      <c r="C66" s="57"/>
      <c r="D66" s="57"/>
      <c r="E66" s="57">
        <f>E$98+E$97*$A66</f>
        <v>3785.3167011834321</v>
      </c>
      <c r="F66" s="57">
        <f>F$98+F$97*$A66</f>
        <v>3512.9356286982247</v>
      </c>
      <c r="G66" s="57">
        <f>G$98+G$97*$A66</f>
        <v>3222.7041789940822</v>
      </c>
      <c r="H66" s="57">
        <f>H$98+H$97*$A66</f>
        <v>3194.1807914201181</v>
      </c>
      <c r="I66" s="57">
        <f t="shared" si="13"/>
        <v>2416.7301849112428</v>
      </c>
      <c r="J66" s="57">
        <f>J$98+J$97*$A66</f>
        <v>3038.914852071006</v>
      </c>
      <c r="K66" s="57">
        <f t="shared" si="10"/>
        <v>3064.2256694797061</v>
      </c>
      <c r="L66" s="57">
        <f>L$98+L$97*$A66</f>
        <v>3853.1073742603548</v>
      </c>
    </row>
    <row r="67" spans="1:12" x14ac:dyDescent="0.25">
      <c r="A67" s="51">
        <f>'Taxes consommation- sommaire'!M7</f>
        <v>32373.185202679997</v>
      </c>
      <c r="B67" s="56"/>
      <c r="C67" s="56"/>
      <c r="D67" s="56"/>
      <c r="E67" s="56"/>
      <c r="F67" s="56"/>
      <c r="G67" s="56"/>
      <c r="H67" s="56"/>
      <c r="I67" s="72">
        <f t="shared" si="13"/>
        <v>1993.7916797841085</v>
      </c>
      <c r="J67" s="56">
        <f t="shared" ref="J67:J72" si="19">J$98+J$97*$A67</f>
        <v>2554.3609836536116</v>
      </c>
      <c r="K67" s="56">
        <f t="shared" si="10"/>
        <v>2699.6156155924173</v>
      </c>
      <c r="L67" s="56">
        <f t="shared" ref="L67:L68" si="20">L$98+L$97*$A67</f>
        <v>3458.6325488518373</v>
      </c>
    </row>
    <row r="68" spans="1:12" x14ac:dyDescent="0.25">
      <c r="A68" s="51">
        <f>'Taxes consommation- sommaire'!N7</f>
        <v>33134.220650880001</v>
      </c>
      <c r="B68" s="56"/>
      <c r="C68" s="56"/>
      <c r="D68" s="56"/>
      <c r="E68" s="56"/>
      <c r="F68" s="56"/>
      <c r="G68" s="56"/>
      <c r="H68" s="56"/>
      <c r="I68" s="72">
        <f t="shared" si="13"/>
        <v>2019.2827636383506</v>
      </c>
      <c r="J68" s="56">
        <f t="shared" si="19"/>
        <v>2583.5657099719501</v>
      </c>
      <c r="K68" s="56">
        <f t="shared" si="10"/>
        <v>2721.8067650752128</v>
      </c>
      <c r="L68" s="56">
        <f t="shared" si="20"/>
        <v>3482.4080876854396</v>
      </c>
    </row>
    <row r="69" spans="1:12" x14ac:dyDescent="0.25">
      <c r="A69" s="51">
        <f>'Taxes consommation- sommaire'!AU68</f>
        <v>62624.744746742654</v>
      </c>
      <c r="B69" s="56"/>
      <c r="C69" s="56"/>
      <c r="D69" s="56"/>
      <c r="E69" s="56"/>
      <c r="F69" s="56"/>
      <c r="G69" s="56"/>
      <c r="H69" s="72"/>
      <c r="I69" s="72">
        <f t="shared" si="13"/>
        <v>3007.0756771106508</v>
      </c>
      <c r="J69" s="56">
        <f t="shared" si="19"/>
        <v>3715.2642231503942</v>
      </c>
      <c r="K69" s="56">
        <f t="shared" si="10"/>
        <v>3564.303024296315</v>
      </c>
      <c r="L69" s="56">
        <f>L$98+L$97*$A69</f>
        <v>4403.7227288402473</v>
      </c>
    </row>
    <row r="70" spans="1:12" x14ac:dyDescent="0.25">
      <c r="A70" s="51">
        <f>'Taxes consommation- sommaire'!O7</f>
        <v>33873.031563240002</v>
      </c>
      <c r="B70" s="56"/>
      <c r="C70" s="56"/>
      <c r="D70" s="56"/>
      <c r="E70" s="56"/>
      <c r="F70" s="56"/>
      <c r="G70" s="56"/>
      <c r="H70" s="56"/>
      <c r="I70" s="72">
        <f t="shared" si="13"/>
        <v>2044.0294307797324</v>
      </c>
      <c r="J70" s="56">
        <f t="shared" si="19"/>
        <v>2611.9175699904408</v>
      </c>
      <c r="K70" s="56">
        <f t="shared" si="10"/>
        <v>2743.3190844212754</v>
      </c>
      <c r="L70" s="56">
        <f t="shared" ref="L70:L72" si="21">L$98+L$97*$A70</f>
        <v>3505.4893089071984</v>
      </c>
    </row>
    <row r="71" spans="1:12" x14ac:dyDescent="0.25">
      <c r="A71" s="51">
        <f>'Taxes consommation- sommaire'!P7</f>
        <v>34690.480228799999</v>
      </c>
      <c r="B71" s="56"/>
      <c r="C71" s="56"/>
      <c r="D71" s="56"/>
      <c r="E71" s="56"/>
      <c r="F71" s="56"/>
      <c r="G71" s="56"/>
      <c r="H71" s="56"/>
      <c r="I71" s="72">
        <f t="shared" si="13"/>
        <v>2071.4100902872669</v>
      </c>
      <c r="J71" s="56">
        <f t="shared" si="19"/>
        <v>2643.2871528573569</v>
      </c>
      <c r="K71" s="56">
        <f t="shared" si="10"/>
        <v>2767.0869878202757</v>
      </c>
      <c r="L71" s="56">
        <f t="shared" si="21"/>
        <v>3531.0272553175355</v>
      </c>
    </row>
    <row r="72" spans="1:12" x14ac:dyDescent="0.25">
      <c r="A72" s="51">
        <f>'Taxes consommation- sommaire'!Q7</f>
        <v>35550.923549809988</v>
      </c>
      <c r="B72" s="56"/>
      <c r="C72" s="56"/>
      <c r="D72" s="56"/>
      <c r="E72" s="56"/>
      <c r="F72" s="56"/>
      <c r="G72" s="56"/>
      <c r="H72" s="72">
        <f>H$98+H$97*$A72</f>
        <v>2950.5078821213046</v>
      </c>
      <c r="I72" s="72">
        <f t="shared" si="13"/>
        <v>2100.2308671637784</v>
      </c>
      <c r="J72" s="56">
        <f t="shared" si="19"/>
        <v>2676.3066551183538</v>
      </c>
      <c r="K72" s="56">
        <f t="shared" si="10"/>
        <v>2792.067578963733</v>
      </c>
      <c r="L72" s="56">
        <f t="shared" si="21"/>
        <v>3557.9083994760276</v>
      </c>
    </row>
    <row r="73" spans="1:12" s="17" customFormat="1" x14ac:dyDescent="0.25">
      <c r="A73" s="58">
        <f>+A61+20000</f>
        <v>60000</v>
      </c>
      <c r="B73" s="57">
        <f>B$98+B$97*$A73</f>
        <v>4297.7984171597636</v>
      </c>
      <c r="C73" s="57"/>
      <c r="D73" s="57"/>
      <c r="E73" s="57">
        <f>E$98+E$97*$A73</f>
        <v>4308.70624260355</v>
      </c>
      <c r="F73" s="57">
        <f>F$98+F$97*$A73</f>
        <v>4040.5651331360946</v>
      </c>
      <c r="G73" s="57">
        <f>G$98+G$97*$A73</f>
        <v>3592.5379437869815</v>
      </c>
      <c r="H73" s="57">
        <f>H$98+H$97*$A73</f>
        <v>3581.0009911242605</v>
      </c>
      <c r="I73" s="57">
        <f t="shared" si="13"/>
        <v>2919.1591568047338</v>
      </c>
      <c r="J73" s="57">
        <f>J$98+J$97*$A73</f>
        <v>3614.539674556213</v>
      </c>
      <c r="K73" s="57">
        <f t="shared" si="10"/>
        <v>3490.2915244507531</v>
      </c>
      <c r="L73" s="57">
        <f t="shared" ref="L73:L78" si="22">L$98+L$97*$A73</f>
        <v>4321.7229733727809</v>
      </c>
    </row>
    <row r="74" spans="1:12" x14ac:dyDescent="0.25">
      <c r="A74" s="51">
        <f>'Taxes consommation- sommaire'!AS68</f>
        <v>50719.726099158623</v>
      </c>
      <c r="B74" s="56"/>
      <c r="C74" s="56"/>
      <c r="D74" s="56"/>
      <c r="E74" s="56"/>
      <c r="F74" s="56"/>
      <c r="G74" s="56"/>
      <c r="H74" s="72"/>
      <c r="I74" s="72">
        <f t="shared" ref="I74:I75" si="23">I$98+I$97*$A74</f>
        <v>2608.3139251454186</v>
      </c>
      <c r="J74" s="56">
        <f t="shared" ref="J74:J75" si="24">J$98+J$97*$A74</f>
        <v>3258.4092734371516</v>
      </c>
      <c r="K74" s="56">
        <f t="shared" si="10"/>
        <v>3227.4011186706025</v>
      </c>
      <c r="L74" s="56">
        <f t="shared" si="22"/>
        <v>4031.7975657747675</v>
      </c>
    </row>
    <row r="75" spans="1:12" x14ac:dyDescent="0.25">
      <c r="A75" s="51">
        <f>'Taxes consommation- sommaire'!N68+'Taxes consommation- sommaire'!N69</f>
        <v>96638.186269615413</v>
      </c>
      <c r="B75" s="56"/>
      <c r="C75" s="56"/>
      <c r="D75" s="56"/>
      <c r="E75" s="56"/>
      <c r="F75" s="72">
        <f>F$98+F$97*$A75</f>
        <v>5329.3243374653975</v>
      </c>
      <c r="G75" s="56"/>
      <c r="H75" s="56"/>
      <c r="I75" s="72">
        <f t="shared" si="23"/>
        <v>4146.3649074370733</v>
      </c>
      <c r="J75" s="56">
        <f t="shared" si="24"/>
        <v>5020.5296390647018</v>
      </c>
      <c r="K75" s="56">
        <f t="shared" si="10"/>
        <v>4514.5500062387791</v>
      </c>
      <c r="L75" s="56">
        <f t="shared" si="22"/>
        <v>5466.3380139813471</v>
      </c>
    </row>
    <row r="76" spans="1:12" s="17" customFormat="1" x14ac:dyDescent="0.25">
      <c r="A76" s="58">
        <f>+A73+20000</f>
        <v>80000</v>
      </c>
      <c r="B76" s="57">
        <f>B$98+B$97*$A76</f>
        <v>4921.5559023668648</v>
      </c>
      <c r="C76" s="57"/>
      <c r="D76" s="57"/>
      <c r="E76" s="57">
        <f>E$98+E$97*$A76</f>
        <v>5006.5589644970423</v>
      </c>
      <c r="F76" s="57">
        <f>F$98+F$97*$A76</f>
        <v>4744.0711390532542</v>
      </c>
      <c r="G76" s="57">
        <f>G$98+G$97*$A76</f>
        <v>4085.6496301775142</v>
      </c>
      <c r="H76" s="57">
        <f>H$98+H$97*$A76</f>
        <v>4096.7612573964498</v>
      </c>
      <c r="I76" s="57">
        <f>I$98+I$97*$A76</f>
        <v>3589.064452662722</v>
      </c>
      <c r="J76" s="57">
        <f>J$98+J$97*$A76</f>
        <v>4382.039437869822</v>
      </c>
      <c r="K76" s="57">
        <f t="shared" si="10"/>
        <v>4051.415937263951</v>
      </c>
      <c r="L76" s="57">
        <f t="shared" si="22"/>
        <v>4946.5437721893486</v>
      </c>
    </row>
    <row r="77" spans="1:12" x14ac:dyDescent="0.25">
      <c r="A77" s="51">
        <f>'Taxes consommation- sommaire'!P68+'Taxes consommation- sommaire'!P69</f>
        <v>102415.98415384619</v>
      </c>
      <c r="B77" s="72">
        <f>B$98+B$97*$A77</f>
        <v>5620.6627975791307</v>
      </c>
      <c r="C77" s="72"/>
      <c r="D77" s="72"/>
      <c r="E77" s="56"/>
      <c r="F77" s="56"/>
      <c r="G77" s="56"/>
      <c r="H77" s="56"/>
      <c r="I77" s="72">
        <f>I$98+I$97*$A77</f>
        <v>4339.8937774892374</v>
      </c>
      <c r="J77" s="56">
        <f>J$98+J$97*$A77</f>
        <v>5242.2525644957514</v>
      </c>
      <c r="K77" s="56">
        <f t="shared" si="10"/>
        <v>4674.8408277160315</v>
      </c>
      <c r="L77" s="56">
        <f t="shared" si="22"/>
        <v>5646.8424284526345</v>
      </c>
    </row>
    <row r="78" spans="1:12" x14ac:dyDescent="0.25">
      <c r="A78" s="58">
        <v>90000</v>
      </c>
      <c r="B78" s="57">
        <f>B$98+B$97*$A78</f>
        <v>5233.4346449704153</v>
      </c>
      <c r="C78" s="57"/>
      <c r="D78" s="57"/>
      <c r="E78" s="57">
        <f>E$98+E$97*$A78</f>
        <v>5355.4853254437876</v>
      </c>
      <c r="F78" s="57">
        <f>F$98+F$97*$A78</f>
        <v>5095.8241420118338</v>
      </c>
      <c r="G78" s="57">
        <f>G$98+G$97*$A78</f>
        <v>4332.20547337278</v>
      </c>
      <c r="H78" s="57">
        <f>H$98+H$97*$A78</f>
        <v>4354.6413905325444</v>
      </c>
      <c r="I78" s="57">
        <f>I$98+I$97*$A78</f>
        <v>3924.0171005917159</v>
      </c>
      <c r="J78" s="57">
        <f>J$98+J$97*$A78</f>
        <v>4765.7893195266279</v>
      </c>
      <c r="K78" s="57">
        <f t="shared" si="10"/>
        <v>4330.0751915376295</v>
      </c>
      <c r="L78" s="57">
        <f t="shared" si="22"/>
        <v>5258.9541715976329</v>
      </c>
    </row>
    <row r="79" spans="1:12" x14ac:dyDescent="0.25">
      <c r="A79" s="51">
        <f>'Taxes consommation- sommaire'!L68</f>
        <v>67170.661820000023</v>
      </c>
      <c r="B79" s="56"/>
      <c r="C79" s="56"/>
      <c r="D79" s="56"/>
      <c r="E79" s="56"/>
      <c r="F79" s="56"/>
      <c r="G79" s="56"/>
      <c r="H79" s="56"/>
      <c r="I79" s="72">
        <f t="shared" ref="I79:I80" si="25">I$98+I$97*$A79</f>
        <v>3159.3423732059687</v>
      </c>
      <c r="J79" s="72">
        <f>J$98+J$97*$A79</f>
        <v>3889.7137370388109</v>
      </c>
      <c r="K79" s="56">
        <f t="shared" si="10"/>
        <v>3692.1881637616416</v>
      </c>
      <c r="L79" s="56">
        <f t="shared" ref="L79:L80" si="26">L$98+L$97*$A79</f>
        <v>4545.7419056935742</v>
      </c>
    </row>
    <row r="80" spans="1:12" x14ac:dyDescent="0.25">
      <c r="A80" s="51">
        <f>'Taxes consommation- sommaire'!M68</f>
        <v>66336.389651830366</v>
      </c>
      <c r="B80" s="56"/>
      <c r="C80" s="56"/>
      <c r="D80" s="56"/>
      <c r="E80" s="56"/>
      <c r="F80" s="56"/>
      <c r="G80" s="56"/>
      <c r="H80" s="56"/>
      <c r="I80" s="72">
        <f t="shared" si="25"/>
        <v>3131.3982060237795</v>
      </c>
      <c r="J80" s="72">
        <f>J$98+J$97*$A80</f>
        <v>3857.6985524583433</v>
      </c>
      <c r="K80" s="56">
        <f t="shared" si="10"/>
        <v>3668.745124741185</v>
      </c>
      <c r="L80" s="56">
        <f t="shared" si="26"/>
        <v>4519.6783755662655</v>
      </c>
    </row>
    <row r="81" spans="1:325" s="17" customFormat="1" x14ac:dyDescent="0.25">
      <c r="A81" s="58">
        <f>+A76+20000</f>
        <v>100000</v>
      </c>
      <c r="B81" s="57">
        <f>B$98+B$97*$A81</f>
        <v>5545.313387573965</v>
      </c>
      <c r="C81" s="57">
        <f>(B$98+E$98)/2+(B$97+E$97)/2*$A81</f>
        <v>5624.8625369822485</v>
      </c>
      <c r="D81" s="57"/>
      <c r="E81" s="57">
        <f>E$98+E$97*$A81</f>
        <v>5704.4116863905329</v>
      </c>
      <c r="F81" s="57">
        <f>F$98+F$97*$A81</f>
        <v>5447.5771449704134</v>
      </c>
      <c r="G81" s="57">
        <f>G$98+G$97*$A81</f>
        <v>4578.7613165680468</v>
      </c>
      <c r="H81" s="57">
        <f>H$98+H$97*$A81</f>
        <v>4612.521523668639</v>
      </c>
      <c r="I81" s="57">
        <f>I$98+I$97*$A81</f>
        <v>4258.9697485207107</v>
      </c>
      <c r="J81" s="57">
        <f>J$98+J$97*$A81</f>
        <v>5149.5392011834319</v>
      </c>
      <c r="K81" s="57">
        <f t="shared" si="10"/>
        <v>4607.843971833674</v>
      </c>
      <c r="L81" s="57">
        <f>L$98+L$97*$A81</f>
        <v>5571.3645710059172</v>
      </c>
      <c r="LE81" s="57">
        <v>22500</v>
      </c>
      <c r="LM81" s="57">
        <v>22500</v>
      </c>
    </row>
    <row r="82" spans="1:325" x14ac:dyDescent="0.25">
      <c r="A82" s="51">
        <f>'Taxes consommation- sommaire'!O68</f>
        <v>70214.206401830379</v>
      </c>
      <c r="B82" s="56"/>
      <c r="C82" s="56"/>
      <c r="D82" s="56"/>
      <c r="E82" s="56"/>
      <c r="F82" s="72">
        <f>F$98+F$97*$A82</f>
        <v>4399.8529106043534</v>
      </c>
      <c r="G82" s="56"/>
      <c r="H82" s="56"/>
      <c r="I82" s="72">
        <f t="shared" ref="I82:I93" si="27">I$98+I$97*$A82</f>
        <v>3261.2867048833705</v>
      </c>
      <c r="J82" s="56">
        <f t="shared" ref="J82:J92" si="28">J$98+J$97*$A82</f>
        <v>4006.5097243482714</v>
      </c>
      <c r="K82" s="56">
        <f t="shared" si="10"/>
        <v>3777.6177345232045</v>
      </c>
      <c r="L82" s="56">
        <f t="shared" ref="L82:L93" si="29">L$98+L$97*$A82</f>
        <v>4640.8254035362288</v>
      </c>
    </row>
    <row r="83" spans="1:325" x14ac:dyDescent="0.25">
      <c r="A83" s="51">
        <f>'Taxes consommation- sommaire'!P91</f>
        <v>71480.476030000049</v>
      </c>
      <c r="B83" s="56"/>
      <c r="C83" s="56"/>
      <c r="D83" s="56"/>
      <c r="E83" s="56"/>
      <c r="F83" s="56">
        <f>F$98+F$97*$A83</f>
        <v>4444.3943250307457</v>
      </c>
      <c r="G83" s="56"/>
      <c r="H83" s="56"/>
      <c r="I83" s="72">
        <f t="shared" si="27"/>
        <v>3303.7007413781198</v>
      </c>
      <c r="J83" s="56">
        <f t="shared" si="28"/>
        <v>4055.1028063438434</v>
      </c>
      <c r="K83" s="56">
        <f t="shared" si="10"/>
        <v>3813.1194395247649</v>
      </c>
      <c r="L83" s="56">
        <f t="shared" si="29"/>
        <v>4680.3849835657347</v>
      </c>
      <c r="LE83" s="56"/>
      <c r="LM83" s="56"/>
    </row>
    <row r="84" spans="1:325" x14ac:dyDescent="0.25">
      <c r="A84" s="51">
        <f>'Taxes consommation- sommaire'!Q68</f>
        <v>75069.51769694376</v>
      </c>
      <c r="B84" s="72">
        <f>B$98+B$97*$A84</f>
        <v>4767.7846402562409</v>
      </c>
      <c r="C84" s="56"/>
      <c r="D84" s="56"/>
      <c r="E84" s="56"/>
      <c r="F84" s="56">
        <f>F$98+F$97*$A84</f>
        <v>4570.6399434398372</v>
      </c>
      <c r="G84" s="56"/>
      <c r="H84" s="56"/>
      <c r="I84" s="72">
        <f t="shared" si="27"/>
        <v>3423.9166423651486</v>
      </c>
      <c r="J84" s="56">
        <f t="shared" si="28"/>
        <v>4192.8322378389421</v>
      </c>
      <c r="K84" s="56">
        <f t="shared" si="10"/>
        <v>3913.6209392292599</v>
      </c>
      <c r="L84" s="56">
        <f t="shared" si="29"/>
        <v>4792.5103776320211</v>
      </c>
      <c r="LE84" s="56"/>
      <c r="LM84" s="56"/>
    </row>
    <row r="85" spans="1:325" x14ac:dyDescent="0.25">
      <c r="A85" s="51">
        <f>'Taxes consommation- sommaire'!R68</f>
        <v>75544.061129443784</v>
      </c>
      <c r="B85" s="72">
        <f>B$98+B$97*$A85</f>
        <v>4782.5846411601287</v>
      </c>
      <c r="C85" s="72"/>
      <c r="D85" s="72">
        <f t="shared" ref="D85:D91" si="30">(E$98+J$98)/2+(E$97+J$97)/2*$A85</f>
        <v>4531.0611737359204</v>
      </c>
      <c r="E85" s="56"/>
      <c r="F85" s="56">
        <f>F$98+F$97*$A85</f>
        <v>4587.3321511814538</v>
      </c>
      <c r="G85" s="56"/>
      <c r="H85" s="56"/>
      <c r="I85" s="72">
        <f t="shared" si="27"/>
        <v>3439.8116002924685</v>
      </c>
      <c r="J85" s="56">
        <f t="shared" si="28"/>
        <v>4211.0428364452328</v>
      </c>
      <c r="K85" s="56">
        <f t="shared" si="10"/>
        <v>3926.8963610734668</v>
      </c>
      <c r="L85" s="56">
        <f t="shared" si="29"/>
        <v>4807.3356079604127</v>
      </c>
      <c r="LE85" s="56"/>
      <c r="LM85" s="56"/>
    </row>
    <row r="86" spans="1:325" x14ac:dyDescent="0.25">
      <c r="A86" s="51">
        <f>'Taxes consommation- sommaire'!S68</f>
        <v>77173.366354443773</v>
      </c>
      <c r="B86" s="56"/>
      <c r="C86" s="72">
        <f>(B$98+E$98)/2+(B$97+E$97)/2*$A86</f>
        <v>4870.6647364894261</v>
      </c>
      <c r="D86" s="72">
        <f t="shared" si="30"/>
        <v>4590.7488352512864</v>
      </c>
      <c r="E86" s="56"/>
      <c r="F86" s="56"/>
      <c r="G86" s="56"/>
      <c r="H86" s="56"/>
      <c r="I86" s="72">
        <f t="shared" si="27"/>
        <v>3494.3856102322975</v>
      </c>
      <c r="J86" s="56">
        <f t="shared" si="28"/>
        <v>4273.5674051728874</v>
      </c>
      <c r="K86" s="56">
        <f t="shared" si="10"/>
        <v>3972.454660708549</v>
      </c>
      <c r="L86" s="56">
        <f t="shared" si="29"/>
        <v>4858.2367975704374</v>
      </c>
      <c r="LE86" s="56"/>
      <c r="LM86" s="56"/>
    </row>
    <row r="87" spans="1:325" x14ac:dyDescent="0.25">
      <c r="A87" s="51">
        <f>'Taxes consommation- sommaire'!T68</f>
        <v>76718.305761943746</v>
      </c>
      <c r="B87" s="56"/>
      <c r="C87" s="72">
        <f>(B$98+E$98)/2+(B$97+E$97)/2*$A87</f>
        <v>4855.6294183919945</v>
      </c>
      <c r="D87" s="72">
        <f t="shared" si="30"/>
        <v>4574.0782309977931</v>
      </c>
      <c r="E87" s="56"/>
      <c r="F87" s="56"/>
      <c r="G87" s="56"/>
      <c r="H87" s="56"/>
      <c r="I87" s="72">
        <f t="shared" si="27"/>
        <v>3479.1432351896956</v>
      </c>
      <c r="J87" s="56">
        <f t="shared" si="28"/>
        <v>4256.1044603210321</v>
      </c>
      <c r="K87" s="56">
        <f t="shared" si="10"/>
        <v>3959.7336899038146</v>
      </c>
      <c r="L87" s="56">
        <f t="shared" si="29"/>
        <v>4844.0202314246471</v>
      </c>
      <c r="LE87" s="56"/>
      <c r="LM87" s="56"/>
    </row>
    <row r="88" spans="1:325" x14ac:dyDescent="0.25">
      <c r="A88" s="51">
        <f>'Taxes consommation- sommaire'!U68</f>
        <v>79360.903969443738</v>
      </c>
      <c r="B88" s="56"/>
      <c r="C88" s="72"/>
      <c r="D88" s="72">
        <f t="shared" si="30"/>
        <v>4670.8866772668925</v>
      </c>
      <c r="E88" s="72">
        <f t="shared" ref="E88:E96" si="31">E$98+E$97*$A88</f>
        <v>4984.2592192732909</v>
      </c>
      <c r="F88" s="56"/>
      <c r="G88" s="56"/>
      <c r="H88" s="56"/>
      <c r="I88" s="72">
        <f t="shared" si="27"/>
        <v>3567.6577618911488</v>
      </c>
      <c r="J88" s="56">
        <f t="shared" si="28"/>
        <v>4357.5141352604933</v>
      </c>
      <c r="K88" s="56">
        <f t="shared" si="10"/>
        <v>4033.5711589464049</v>
      </c>
      <c r="L88" s="56">
        <f t="shared" si="29"/>
        <v>4926.5777475727155</v>
      </c>
      <c r="LE88" s="56"/>
      <c r="LM88" s="56"/>
    </row>
    <row r="89" spans="1:325" x14ac:dyDescent="0.25">
      <c r="A89" s="51">
        <f>'Taxes consommation- sommaire'!V68</f>
        <v>78871.695629443726</v>
      </c>
      <c r="B89" s="56"/>
      <c r="C89" s="56"/>
      <c r="D89" s="72">
        <f t="shared" si="30"/>
        <v>4652.9651108468161</v>
      </c>
      <c r="E89" s="72">
        <f t="shared" si="31"/>
        <v>4967.1894506911904</v>
      </c>
      <c r="F89" s="56"/>
      <c r="G89" s="56"/>
      <c r="H89" s="56"/>
      <c r="I89" s="72">
        <f t="shared" si="27"/>
        <v>3551.2715990039537</v>
      </c>
      <c r="J89" s="56">
        <f t="shared" si="28"/>
        <v>4338.7407710024399</v>
      </c>
      <c r="K89" s="56">
        <f t="shared" si="10"/>
        <v>4019.9083402499964</v>
      </c>
      <c r="L89" s="56">
        <f t="shared" si="29"/>
        <v>4911.2943702833891</v>
      </c>
      <c r="LE89" s="56"/>
      <c r="LM89" s="56"/>
    </row>
    <row r="90" spans="1:325" x14ac:dyDescent="0.25">
      <c r="A90" s="51">
        <f>'Taxes consommation- sommaire'!W68</f>
        <v>79042.237869117555</v>
      </c>
      <c r="B90" s="56"/>
      <c r="C90" s="56"/>
      <c r="D90" s="72">
        <f t="shared" si="30"/>
        <v>4659.2127232152861</v>
      </c>
      <c r="E90" s="72">
        <f t="shared" si="31"/>
        <v>4973.140118998901</v>
      </c>
      <c r="F90" s="56"/>
      <c r="G90" s="56"/>
      <c r="H90" s="56"/>
      <c r="I90" s="72">
        <f t="shared" si="27"/>
        <v>3556.9839564802028</v>
      </c>
      <c r="J90" s="56">
        <f t="shared" si="28"/>
        <v>4345.2853274316712</v>
      </c>
      <c r="K90" s="56">
        <f t="shared" si="10"/>
        <v>4024.6716332426836</v>
      </c>
      <c r="L90" s="56">
        <f t="shared" si="29"/>
        <v>4916.6222872046374</v>
      </c>
      <c r="LE90" s="56"/>
      <c r="LM90" s="56"/>
    </row>
    <row r="91" spans="1:325" x14ac:dyDescent="0.25">
      <c r="A91" s="51">
        <f>'Taxes consommation- sommaire'!X68</f>
        <v>79568.03662661757</v>
      </c>
      <c r="B91" s="56"/>
      <c r="C91" s="56"/>
      <c r="D91" s="72">
        <f t="shared" si="30"/>
        <v>4678.4747361158225</v>
      </c>
      <c r="E91" s="72">
        <f t="shared" si="31"/>
        <v>4991.4866237033802</v>
      </c>
      <c r="F91" s="56"/>
      <c r="G91" s="56"/>
      <c r="H91" s="56"/>
      <c r="I91" s="72">
        <f t="shared" si="27"/>
        <v>3574.5957250904435</v>
      </c>
      <c r="J91" s="56">
        <f t="shared" si="28"/>
        <v>4365.4628485282647</v>
      </c>
      <c r="K91" s="56">
        <f t="shared" si="10"/>
        <v>4039.3552111642848</v>
      </c>
      <c r="L91" s="56">
        <f t="shared" si="29"/>
        <v>4933.0487871885334</v>
      </c>
      <c r="LE91" s="56"/>
      <c r="LM91" s="56"/>
    </row>
    <row r="92" spans="1:325" x14ac:dyDescent="0.25">
      <c r="A92" s="51">
        <f>'Taxes consommation- sommaire'!Y68</f>
        <v>80094.818286617563</v>
      </c>
      <c r="B92" s="56"/>
      <c r="C92" s="56"/>
      <c r="D92" s="56"/>
      <c r="E92" s="72">
        <f t="shared" si="31"/>
        <v>5009.8674244671092</v>
      </c>
      <c r="F92" s="56"/>
      <c r="G92" s="56"/>
      <c r="H92" s="56"/>
      <c r="I92" s="72">
        <f t="shared" si="27"/>
        <v>3592.2404162801863</v>
      </c>
      <c r="J92" s="56">
        <f t="shared" si="28"/>
        <v>4385.6780884966611</v>
      </c>
      <c r="K92" s="56">
        <f t="shared" si="10"/>
        <v>4054.0630465217791</v>
      </c>
      <c r="L92" s="56">
        <f t="shared" si="29"/>
        <v>4949.5059940686897</v>
      </c>
      <c r="LE92" s="56"/>
      <c r="LM92" s="56"/>
    </row>
    <row r="93" spans="1:325" x14ac:dyDescent="0.25">
      <c r="A93" s="51">
        <f>'Taxes consommation- sommaire'!AE68</f>
        <v>83863.937439117537</v>
      </c>
      <c r="B93" s="56"/>
      <c r="C93" s="56"/>
      <c r="D93" s="72">
        <f>(E$98+J$98)/2+(E$97+J$97)/2*$A93</f>
        <v>4835.8499594108234</v>
      </c>
      <c r="E93" s="72">
        <f t="shared" si="31"/>
        <v>5141.3819274527586</v>
      </c>
      <c r="F93" s="72">
        <f>F$98+F$97*$A93</f>
        <v>4879.9862987986216</v>
      </c>
      <c r="G93" s="56"/>
      <c r="H93" s="56"/>
      <c r="I93" s="72">
        <f t="shared" si="27"/>
        <v>3718.4880603291613</v>
      </c>
      <c r="J93" s="56">
        <f>J$98+J$97*$A93</f>
        <v>4530.3179913688873</v>
      </c>
      <c r="K93" s="56">
        <f t="shared" si="10"/>
        <v>4159.2081213815973</v>
      </c>
      <c r="L93" s="56">
        <f t="shared" si="29"/>
        <v>5067.2571960536825</v>
      </c>
      <c r="LE93" s="56"/>
      <c r="LM93" s="56"/>
    </row>
    <row r="94" spans="1:325" s="17" customFormat="1" x14ac:dyDescent="0.25">
      <c r="A94" s="58">
        <v>120000</v>
      </c>
      <c r="B94" s="57">
        <f>B$98+B$97*$A94</f>
        <v>6169.0708727810652</v>
      </c>
      <c r="C94" s="57"/>
      <c r="D94" s="57"/>
      <c r="E94" s="57">
        <f t="shared" si="31"/>
        <v>6402.2644082840234</v>
      </c>
      <c r="F94" s="57">
        <f>F$98+F$97*$A94</f>
        <v>6151.0831508875735</v>
      </c>
      <c r="G94" s="57">
        <f>G$98+G$97*$A94</f>
        <v>5071.8730029585804</v>
      </c>
      <c r="H94" s="57">
        <f>H$98+H$97*$A94</f>
        <v>5128.2817899408283</v>
      </c>
      <c r="I94" s="57">
        <f>I$98+I$97*$A94</f>
        <v>4928.8750443786985</v>
      </c>
      <c r="J94" s="57">
        <f>J$98+J$97*$A94</f>
        <v>5917.0389644970419</v>
      </c>
      <c r="K94" s="57">
        <f t="shared" si="10"/>
        <v>5161.403131347879</v>
      </c>
      <c r="L94" s="57">
        <f>L$98+L$97*$A94</f>
        <v>6196.185369822485</v>
      </c>
    </row>
    <row r="95" spans="1:325" s="17" customFormat="1" x14ac:dyDescent="0.25">
      <c r="A95" s="58">
        <v>150000</v>
      </c>
      <c r="B95" s="57">
        <f>B$98+B$97*$A95</f>
        <v>7104.7071005917169</v>
      </c>
      <c r="C95" s="57"/>
      <c r="D95" s="57"/>
      <c r="E95" s="57">
        <f t="shared" si="31"/>
        <v>7449.043491124261</v>
      </c>
      <c r="F95" s="57">
        <f>F$98+F$97*$A95</f>
        <v>7206.3421597633132</v>
      </c>
      <c r="G95" s="57">
        <f t="shared" ref="G95:I96" si="32">G$98+G$97*$A95</f>
        <v>5811.5405325443789</v>
      </c>
      <c r="H95" s="57">
        <f t="shared" si="32"/>
        <v>5901.9221893491122</v>
      </c>
      <c r="I95" s="57">
        <f t="shared" si="32"/>
        <v>5933.7329881656806</v>
      </c>
      <c r="J95" s="57">
        <f>J$98+J$97*$A95</f>
        <v>7068.2886094674559</v>
      </c>
      <c r="K95" s="57">
        <f t="shared" si="10"/>
        <v>5988.4070312939866</v>
      </c>
      <c r="L95" s="57">
        <f>L$98+L$97*$A95</f>
        <v>7133.4165680473379</v>
      </c>
    </row>
    <row r="96" spans="1:325" s="17" customFormat="1" x14ac:dyDescent="0.25">
      <c r="A96" s="58">
        <v>200000</v>
      </c>
      <c r="B96" s="57">
        <f>B$98+B$97*$A96</f>
        <v>8664.1008136094679</v>
      </c>
      <c r="C96" s="57"/>
      <c r="D96" s="57"/>
      <c r="E96" s="57">
        <f t="shared" si="31"/>
        <v>9193.6752958579891</v>
      </c>
      <c r="F96" s="57">
        <f>F$98+F$97*$A96</f>
        <v>8965.1071745562112</v>
      </c>
      <c r="G96" s="57">
        <f t="shared" si="32"/>
        <v>7044.3197485207102</v>
      </c>
      <c r="H96" s="57">
        <f t="shared" si="32"/>
        <v>7191.3228550295862</v>
      </c>
      <c r="I96" s="57">
        <f t="shared" si="32"/>
        <v>7608.4962278106514</v>
      </c>
      <c r="J96" s="57">
        <f>J$98+J$97*$A96</f>
        <v>8987.0380177514817</v>
      </c>
      <c r="K96" s="57">
        <f t="shared" si="10"/>
        <v>7361.6512632798131</v>
      </c>
      <c r="L96" s="57">
        <f>L$98+L$97*$A96</f>
        <v>8695.4685650887568</v>
      </c>
    </row>
    <row r="97" spans="1:17" x14ac:dyDescent="0.25">
      <c r="A97" t="s">
        <v>498</v>
      </c>
      <c r="B97" s="59">
        <f>INDEX(LINEST(B22:B28,$A$22:$A$28),1)</f>
        <v>3.118787426035503E-2</v>
      </c>
      <c r="C97" s="59"/>
      <c r="D97" s="59"/>
      <c r="E97" s="59">
        <f t="shared" ref="E97:J97" si="33">INDEX(LINEST(E22:E28,$A$22:$A$28),1)</f>
        <v>3.4892636094674558E-2</v>
      </c>
      <c r="F97" s="59">
        <f t="shared" si="33"/>
        <v>3.5175300295857984E-2</v>
      </c>
      <c r="G97" s="59">
        <f t="shared" si="33"/>
        <v>2.4655584319526636E-2</v>
      </c>
      <c r="H97" s="59">
        <f t="shared" si="33"/>
        <v>2.5788013313609467E-2</v>
      </c>
      <c r="I97" s="59">
        <f t="shared" si="33"/>
        <v>3.349526479289941E-2</v>
      </c>
      <c r="J97" s="59">
        <f t="shared" si="33"/>
        <v>3.8374988165680482E-2</v>
      </c>
      <c r="K97" s="59"/>
      <c r="L97" s="59">
        <f>INDEX(LINEST(L22:L28,$A$22:$A$28),1)</f>
        <v>3.1241039940828406E-2</v>
      </c>
    </row>
    <row r="98" spans="1:17" x14ac:dyDescent="0.25">
      <c r="A98" s="46" t="s">
        <v>499</v>
      </c>
      <c r="B98" s="60">
        <f>INDEX(LINEST(B22:B28,$A$22:$A$28),2)</f>
        <v>2426.5259615384621</v>
      </c>
      <c r="C98" s="60"/>
      <c r="D98" s="60"/>
      <c r="E98" s="60">
        <f t="shared" ref="E98:J98" si="34">INDEX(LINEST(E22:E28,$A$22:$A$28),2)</f>
        <v>2215.148076923077</v>
      </c>
      <c r="F98" s="60">
        <f t="shared" si="34"/>
        <v>1930.0471153846156</v>
      </c>
      <c r="G98" s="60">
        <f t="shared" si="34"/>
        <v>2113.2028846153835</v>
      </c>
      <c r="H98" s="60">
        <f t="shared" si="34"/>
        <v>2033.7201923076923</v>
      </c>
      <c r="I98" s="60">
        <f t="shared" si="34"/>
        <v>909.44326923076915</v>
      </c>
      <c r="J98" s="60">
        <f t="shared" si="34"/>
        <v>1312.040384615384</v>
      </c>
      <c r="K98" s="60"/>
      <c r="L98" s="60">
        <f>INDEX(LINEST(L22:L28,$A$22:$A$28),2)</f>
        <v>2447.2605769230763</v>
      </c>
    </row>
    <row r="100" spans="1:17" x14ac:dyDescent="0.25">
      <c r="A100" s="17" t="s">
        <v>500</v>
      </c>
      <c r="B100" s="17"/>
      <c r="C100" s="17"/>
      <c r="D100" s="17"/>
    </row>
    <row r="101" spans="1:17" x14ac:dyDescent="0.25">
      <c r="A101" t="s">
        <v>475</v>
      </c>
      <c r="B101" s="425" t="s">
        <v>476</v>
      </c>
      <c r="C101" s="425"/>
      <c r="D101" s="425"/>
      <c r="E101" s="425" t="s">
        <v>477</v>
      </c>
      <c r="F101" s="423" t="s">
        <v>478</v>
      </c>
      <c r="G101" s="425" t="s">
        <v>479</v>
      </c>
      <c r="H101" s="425" t="s">
        <v>480</v>
      </c>
      <c r="I101" s="425" t="s">
        <v>481</v>
      </c>
      <c r="J101" s="425" t="s">
        <v>482</v>
      </c>
      <c r="K101" s="425"/>
      <c r="L101" s="425" t="s">
        <v>483</v>
      </c>
      <c r="M101" s="425" t="s">
        <v>486</v>
      </c>
      <c r="N101" s="425" t="s">
        <v>487</v>
      </c>
      <c r="O101" s="425" t="s">
        <v>488</v>
      </c>
      <c r="P101" s="425" t="s">
        <v>489</v>
      </c>
      <c r="Q101" s="425" t="s">
        <v>490</v>
      </c>
    </row>
    <row r="102" spans="1:17" x14ac:dyDescent="0.25">
      <c r="A102" s="51">
        <v>20000</v>
      </c>
      <c r="B102" s="2">
        <f t="shared" ref="B102:B108" si="35">B22/$A22</f>
        <v>0.14151374999999999</v>
      </c>
      <c r="C102" s="2"/>
      <c r="D102" s="2"/>
      <c r="E102" s="2">
        <f t="shared" ref="E102:L108" si="36">E22/$A22</f>
        <v>0.14600625</v>
      </c>
      <c r="F102" s="2">
        <f t="shared" si="36"/>
        <v>0.122795</v>
      </c>
      <c r="G102" s="18">
        <f t="shared" si="36"/>
        <v>0.11380999999999999</v>
      </c>
      <c r="H102" s="2">
        <f t="shared" si="36"/>
        <v>0.11306125</v>
      </c>
      <c r="I102" s="2">
        <f t="shared" si="36"/>
        <v>6.4392499999999991E-2</v>
      </c>
      <c r="J102" s="2">
        <f t="shared" si="36"/>
        <v>9.1347499999999998E-2</v>
      </c>
      <c r="K102" s="2"/>
      <c r="L102" s="2">
        <f t="shared" si="36"/>
        <v>0.14076499999999997</v>
      </c>
    </row>
    <row r="103" spans="1:17" x14ac:dyDescent="0.25">
      <c r="A103" s="51">
        <f>+A102+20000</f>
        <v>40000</v>
      </c>
      <c r="B103" s="18">
        <f t="shared" si="35"/>
        <v>9.5839999999999995E-2</v>
      </c>
      <c r="C103" s="18"/>
      <c r="D103" s="18"/>
      <c r="E103" s="18">
        <f t="shared" si="36"/>
        <v>9.0598749999999992E-2</v>
      </c>
      <c r="F103" s="2">
        <f t="shared" si="36"/>
        <v>8.5357499999999989E-2</v>
      </c>
      <c r="G103" s="18">
        <f t="shared" si="36"/>
        <v>7.6372499999999996E-2</v>
      </c>
      <c r="H103" s="2">
        <f t="shared" si="36"/>
        <v>7.4500625000000001E-2</v>
      </c>
      <c r="I103" s="2">
        <f t="shared" si="36"/>
        <v>5.5033124999999995E-2</v>
      </c>
      <c r="J103" s="2">
        <f t="shared" si="36"/>
        <v>7.0382499999999987E-2</v>
      </c>
      <c r="K103" s="2"/>
      <c r="L103" s="18">
        <f t="shared" si="36"/>
        <v>9.1347499999999998E-2</v>
      </c>
    </row>
    <row r="104" spans="1:17" x14ac:dyDescent="0.25">
      <c r="A104" s="51">
        <f t="shared" ref="A104:A106" si="37">+A103+20000</f>
        <v>60000</v>
      </c>
      <c r="B104" s="2">
        <f t="shared" si="35"/>
        <v>7.1879999999999999E-2</v>
      </c>
      <c r="C104" s="2"/>
      <c r="D104" s="2"/>
      <c r="E104" s="2">
        <f t="shared" si="36"/>
        <v>7.0632083333333331E-2</v>
      </c>
      <c r="F104" s="2">
        <f t="shared" si="36"/>
        <v>6.7387500000000003E-2</v>
      </c>
      <c r="G104" s="18">
        <f t="shared" si="36"/>
        <v>6.0898333333333332E-2</v>
      </c>
      <c r="H104" s="2">
        <f t="shared" si="36"/>
        <v>6.0399166666666664E-2</v>
      </c>
      <c r="I104" s="18">
        <f t="shared" si="36"/>
        <v>4.9667083333333334E-2</v>
      </c>
      <c r="J104" s="18">
        <f t="shared" si="36"/>
        <v>6.1397500000000001E-2</v>
      </c>
      <c r="K104" s="18"/>
      <c r="L104" s="18">
        <f t="shared" si="36"/>
        <v>7.4375833333333335E-2</v>
      </c>
    </row>
    <row r="105" spans="1:17" x14ac:dyDescent="0.25">
      <c r="A105" s="51">
        <f t="shared" si="37"/>
        <v>80000</v>
      </c>
      <c r="B105" s="18">
        <f t="shared" si="35"/>
        <v>6.214625E-2</v>
      </c>
      <c r="C105" s="18"/>
      <c r="D105" s="18"/>
      <c r="E105" s="18">
        <f t="shared" si="36"/>
        <v>6.2894999999999993E-2</v>
      </c>
      <c r="F105" s="2">
        <f t="shared" si="36"/>
        <v>6.0274374999999998E-2</v>
      </c>
      <c r="G105" s="2">
        <f t="shared" si="36"/>
        <v>5.3722812499999995E-2</v>
      </c>
      <c r="H105" s="2">
        <f t="shared" si="36"/>
        <v>5.391E-2</v>
      </c>
      <c r="I105" s="2">
        <f t="shared" si="36"/>
        <v>4.7358437499999996E-2</v>
      </c>
      <c r="J105" s="2">
        <f t="shared" si="36"/>
        <v>5.6904999999999997E-2</v>
      </c>
      <c r="K105" s="2"/>
      <c r="L105" s="2">
        <f t="shared" si="36"/>
        <v>6.4018124999999995E-2</v>
      </c>
      <c r="M105" s="450"/>
    </row>
    <row r="106" spans="1:17" x14ac:dyDescent="0.25">
      <c r="A106" s="51">
        <f t="shared" si="37"/>
        <v>100000</v>
      </c>
      <c r="B106" s="2">
        <f t="shared" si="35"/>
        <v>5.6605500000000003E-2</v>
      </c>
      <c r="C106" s="2"/>
      <c r="D106" s="2"/>
      <c r="E106" s="2">
        <f t="shared" si="36"/>
        <v>5.7204499999999998E-2</v>
      </c>
      <c r="F106" s="2">
        <f t="shared" si="36"/>
        <v>5.5557249999999996E-2</v>
      </c>
      <c r="G106" s="2">
        <f t="shared" si="36"/>
        <v>4.8668749999999997E-2</v>
      </c>
      <c r="H106" s="2">
        <f t="shared" si="36"/>
        <v>4.8818499999999994E-2</v>
      </c>
      <c r="I106" s="2">
        <f t="shared" si="36"/>
        <v>4.4925E-2</v>
      </c>
      <c r="J106" s="2">
        <f t="shared" si="36"/>
        <v>5.316125E-2</v>
      </c>
      <c r="K106" s="2"/>
      <c r="L106" s="2">
        <f t="shared" si="36"/>
        <v>5.6904999999999997E-2</v>
      </c>
      <c r="M106" s="450"/>
    </row>
    <row r="107" spans="1:17" x14ac:dyDescent="0.25">
      <c r="A107" s="51">
        <v>150000</v>
      </c>
      <c r="B107" s="2">
        <f t="shared" si="35"/>
        <v>4.6622166666666666E-2</v>
      </c>
      <c r="C107" s="2"/>
      <c r="D107" s="2"/>
      <c r="E107" s="2">
        <f t="shared" si="36"/>
        <v>4.9916666666666665E-2</v>
      </c>
      <c r="F107" s="2">
        <f t="shared" si="36"/>
        <v>4.7919999999999997E-2</v>
      </c>
      <c r="G107" s="2">
        <f t="shared" si="36"/>
        <v>3.9234499999999999E-2</v>
      </c>
      <c r="H107" s="2">
        <f t="shared" si="36"/>
        <v>4.0232833333333336E-2</v>
      </c>
      <c r="I107" s="2">
        <f t="shared" si="36"/>
        <v>4.0133000000000002E-2</v>
      </c>
      <c r="J107" s="2">
        <f t="shared" si="36"/>
        <v>4.7620499999999996E-2</v>
      </c>
      <c r="K107" s="2"/>
      <c r="L107" s="2">
        <f t="shared" si="36"/>
        <v>4.7620499999999996E-2</v>
      </c>
      <c r="M107" s="450"/>
    </row>
    <row r="108" spans="1:17" x14ac:dyDescent="0.25">
      <c r="A108" s="51">
        <v>200000</v>
      </c>
      <c r="B108" s="2">
        <f t="shared" si="35"/>
        <v>4.3277749999999997E-2</v>
      </c>
      <c r="C108" s="2"/>
      <c r="D108" s="2"/>
      <c r="E108" s="2">
        <f t="shared" si="36"/>
        <v>4.5823499999999996E-2</v>
      </c>
      <c r="F108" s="2">
        <f t="shared" si="36"/>
        <v>4.4475750000000001E-2</v>
      </c>
      <c r="G108" s="2">
        <f t="shared" si="36"/>
        <v>3.3918375000000001E-2</v>
      </c>
      <c r="H108" s="2">
        <f t="shared" si="36"/>
        <v>3.4517374999999996E-2</v>
      </c>
      <c r="I108" s="2">
        <f t="shared" si="36"/>
        <v>3.6838499999999996E-2</v>
      </c>
      <c r="J108" s="2">
        <f t="shared" si="36"/>
        <v>4.3951624999999994E-2</v>
      </c>
      <c r="K108" s="2"/>
      <c r="L108" s="2">
        <f t="shared" si="36"/>
        <v>4.2753625000000003E-2</v>
      </c>
    </row>
    <row r="110" spans="1:17" x14ac:dyDescent="0.25">
      <c r="A110" s="52" t="s">
        <v>484</v>
      </c>
      <c r="B110" s="53"/>
      <c r="C110" s="53"/>
      <c r="D110" s="53"/>
      <c r="E110" s="53"/>
      <c r="F110" s="53"/>
      <c r="G110" s="53"/>
      <c r="H110" s="53"/>
      <c r="I110" s="53"/>
      <c r="J110" s="53"/>
      <c r="K110" s="53"/>
      <c r="L110" s="53"/>
    </row>
    <row r="111" spans="1:17" x14ac:dyDescent="0.25">
      <c r="A111" s="51">
        <v>0</v>
      </c>
      <c r="E111" s="51"/>
      <c r="F111" s="51"/>
      <c r="G111" s="51"/>
      <c r="H111" s="51"/>
      <c r="I111" s="51"/>
      <c r="J111" s="51"/>
      <c r="K111" s="51"/>
      <c r="L111" s="51"/>
    </row>
    <row r="112" spans="1:17" x14ac:dyDescent="0.25">
      <c r="A112" s="54">
        <v>15000</v>
      </c>
      <c r="B112" s="46"/>
      <c r="E112" s="2">
        <f>E32/$A$112</f>
        <v>0.1797</v>
      </c>
      <c r="F112" s="2"/>
      <c r="G112" s="2"/>
      <c r="H112" s="2"/>
      <c r="I112" s="2">
        <f>I32/$A$112</f>
        <v>7.0881666666666662E-2</v>
      </c>
      <c r="J112" s="2"/>
      <c r="K112" s="2"/>
      <c r="L112" s="2">
        <f>L32/$A$112</f>
        <v>0.176705</v>
      </c>
    </row>
    <row r="113" spans="1:17" x14ac:dyDescent="0.25">
      <c r="A113" s="46"/>
      <c r="B113" s="46"/>
      <c r="C113" s="46"/>
      <c r="D113" s="46"/>
      <c r="E113" s="46"/>
      <c r="F113" s="46"/>
      <c r="G113" s="46"/>
      <c r="H113" s="46"/>
      <c r="I113" s="46"/>
      <c r="J113" s="46"/>
      <c r="K113" s="46"/>
      <c r="L113" s="46"/>
    </row>
    <row r="115" spans="1:17" x14ac:dyDescent="0.25">
      <c r="A115" s="17" t="s">
        <v>501</v>
      </c>
      <c r="B115" s="17"/>
      <c r="C115" s="17"/>
      <c r="D115" s="17"/>
    </row>
    <row r="116" spans="1:17" x14ac:dyDescent="0.25">
      <c r="A116" t="s">
        <v>475</v>
      </c>
      <c r="B116" s="425" t="s">
        <v>476</v>
      </c>
      <c r="C116" s="425"/>
      <c r="D116" s="425"/>
      <c r="E116" s="425" t="s">
        <v>477</v>
      </c>
      <c r="F116" s="423" t="s">
        <v>478</v>
      </c>
      <c r="G116" s="425" t="s">
        <v>479</v>
      </c>
      <c r="H116" s="425" t="s">
        <v>480</v>
      </c>
      <c r="I116" s="425" t="s">
        <v>481</v>
      </c>
      <c r="J116" s="425" t="s">
        <v>482</v>
      </c>
      <c r="K116" s="425"/>
      <c r="L116" s="425" t="s">
        <v>483</v>
      </c>
      <c r="M116" s="425" t="s">
        <v>486</v>
      </c>
      <c r="N116" s="425" t="s">
        <v>487</v>
      </c>
      <c r="O116" s="425" t="s">
        <v>488</v>
      </c>
      <c r="P116" s="425" t="s">
        <v>489</v>
      </c>
      <c r="Q116" s="425" t="s">
        <v>490</v>
      </c>
    </row>
    <row r="117" spans="1:17" x14ac:dyDescent="0.25">
      <c r="A117" s="51">
        <v>0</v>
      </c>
      <c r="B117" s="2"/>
      <c r="C117" s="2"/>
      <c r="D117" s="2"/>
      <c r="E117" s="2"/>
      <c r="F117" s="2"/>
      <c r="G117" s="2"/>
      <c r="H117" s="2"/>
      <c r="I117" s="2"/>
      <c r="J117" s="2"/>
      <c r="K117" s="2"/>
      <c r="L117" s="2"/>
      <c r="M117" s="2"/>
      <c r="N117" s="2"/>
      <c r="O117" s="2"/>
      <c r="P117" s="2"/>
    </row>
    <row r="118" spans="1:17" x14ac:dyDescent="0.25">
      <c r="A118" s="51">
        <v>6000</v>
      </c>
      <c r="B118" s="2">
        <f t="shared" ref="B118:B123" si="38">B38/$A38</f>
        <v>0</v>
      </c>
      <c r="C118" s="2"/>
      <c r="D118" s="2"/>
      <c r="E118" s="2">
        <f t="shared" ref="E118:J123" si="39">E38/$A38</f>
        <v>0</v>
      </c>
      <c r="F118" s="2">
        <f t="shared" si="39"/>
        <v>0</v>
      </c>
      <c r="G118" s="2">
        <f t="shared" si="39"/>
        <v>0</v>
      </c>
      <c r="H118" s="2">
        <f t="shared" si="39"/>
        <v>0</v>
      </c>
      <c r="I118" s="2">
        <f t="shared" si="39"/>
        <v>0</v>
      </c>
      <c r="J118" s="2">
        <f t="shared" si="39"/>
        <v>0</v>
      </c>
      <c r="K118" s="2"/>
      <c r="L118" s="2">
        <f t="shared" ref="L118:P123" si="40">L38/$A38</f>
        <v>0</v>
      </c>
      <c r="M118" s="2">
        <f t="shared" si="40"/>
        <v>0</v>
      </c>
      <c r="N118" s="2">
        <f t="shared" si="40"/>
        <v>0</v>
      </c>
      <c r="O118" s="2">
        <f t="shared" si="40"/>
        <v>0</v>
      </c>
      <c r="P118" s="2">
        <f t="shared" si="40"/>
        <v>0</v>
      </c>
    </row>
    <row r="119" spans="1:17" x14ac:dyDescent="0.25">
      <c r="A119" s="51">
        <v>120000</v>
      </c>
      <c r="B119" s="18">
        <f t="shared" si="38"/>
        <v>5.2724479166666664E-2</v>
      </c>
      <c r="C119" s="18"/>
      <c r="D119" s="18"/>
      <c r="E119" s="18">
        <f t="shared" si="39"/>
        <v>5.5033125000000002E-2</v>
      </c>
      <c r="F119" s="2">
        <f t="shared" si="39"/>
        <v>5.3098854166666661E-2</v>
      </c>
      <c r="G119" s="2">
        <f t="shared" si="39"/>
        <v>4.4800208333333327E-2</v>
      </c>
      <c r="H119" s="2">
        <f t="shared" si="39"/>
        <v>4.5486562500000001E-2</v>
      </c>
      <c r="I119" s="2">
        <f t="shared" si="39"/>
        <v>4.3801875000000004E-2</v>
      </c>
      <c r="J119" s="2">
        <f t="shared" si="39"/>
        <v>5.1913333333333339E-2</v>
      </c>
      <c r="K119" s="2"/>
      <c r="L119" s="2">
        <f t="shared" si="40"/>
        <v>5.3473229166666671E-2</v>
      </c>
      <c r="M119" s="2">
        <f t="shared" si="40"/>
        <v>0</v>
      </c>
      <c r="N119" s="2">
        <f t="shared" si="40"/>
        <v>0</v>
      </c>
      <c r="O119" s="2">
        <f t="shared" si="40"/>
        <v>0</v>
      </c>
      <c r="P119" s="2">
        <f t="shared" si="40"/>
        <v>0</v>
      </c>
    </row>
    <row r="120" spans="1:17" x14ac:dyDescent="0.25">
      <c r="A120" s="51">
        <v>30000</v>
      </c>
      <c r="B120" s="2">
        <f t="shared" si="38"/>
        <v>0.11106458333333333</v>
      </c>
      <c r="C120" s="2"/>
      <c r="D120" s="2"/>
      <c r="E120" s="2">
        <f t="shared" si="39"/>
        <v>0.10906791666666667</v>
      </c>
      <c r="F120" s="2">
        <f t="shared" si="39"/>
        <v>9.7836666666666669E-2</v>
      </c>
      <c r="G120" s="2">
        <f t="shared" si="39"/>
        <v>8.8851666666666676E-2</v>
      </c>
      <c r="H120" s="2">
        <f t="shared" si="39"/>
        <v>8.7354166666666663E-2</v>
      </c>
      <c r="I120" s="18">
        <f t="shared" si="39"/>
        <v>5.8152916666666665E-2</v>
      </c>
      <c r="J120" s="18">
        <f t="shared" si="39"/>
        <v>7.7370833333333333E-2</v>
      </c>
      <c r="K120" s="18"/>
      <c r="L120" s="2">
        <f t="shared" si="40"/>
        <v>0.10782</v>
      </c>
      <c r="M120" s="2">
        <f t="shared" si="40"/>
        <v>0</v>
      </c>
      <c r="N120" s="2">
        <f t="shared" si="40"/>
        <v>0</v>
      </c>
      <c r="O120" s="2">
        <f t="shared" si="40"/>
        <v>0</v>
      </c>
      <c r="P120" s="2">
        <f t="shared" si="40"/>
        <v>0</v>
      </c>
    </row>
    <row r="121" spans="1:17" x14ac:dyDescent="0.25">
      <c r="A121" s="51">
        <v>90000</v>
      </c>
      <c r="B121" s="2">
        <f t="shared" si="38"/>
        <v>5.9068055555555554E-2</v>
      </c>
      <c r="C121" s="2"/>
      <c r="D121" s="2"/>
      <c r="E121" s="2">
        <f t="shared" si="39"/>
        <v>5.9733611111111105E-2</v>
      </c>
      <c r="F121" s="2">
        <f t="shared" si="39"/>
        <v>5.7653749999999997E-2</v>
      </c>
      <c r="G121" s="2">
        <f t="shared" si="39"/>
        <v>5.0915000000000002E-2</v>
      </c>
      <c r="H121" s="2">
        <f t="shared" si="39"/>
        <v>5.1081388888888885E-2</v>
      </c>
      <c r="I121" s="2">
        <f t="shared" si="39"/>
        <v>4.6006527777777771E-2</v>
      </c>
      <c r="J121" s="18">
        <f t="shared" si="39"/>
        <v>5.4825138888888889E-2</v>
      </c>
      <c r="K121" s="18"/>
      <c r="L121" s="2">
        <f t="shared" si="40"/>
        <v>6.0066388888888891E-2</v>
      </c>
      <c r="M121" s="2">
        <f t="shared" si="40"/>
        <v>0</v>
      </c>
      <c r="N121" s="2">
        <f t="shared" si="40"/>
        <v>0</v>
      </c>
      <c r="O121" s="2">
        <f t="shared" si="40"/>
        <v>0</v>
      </c>
      <c r="P121" s="2">
        <f t="shared" si="40"/>
        <v>0</v>
      </c>
    </row>
    <row r="122" spans="1:17" x14ac:dyDescent="0.25">
      <c r="A122" s="51">
        <v>15000</v>
      </c>
      <c r="B122" s="2">
        <f t="shared" si="38"/>
        <v>0</v>
      </c>
      <c r="C122" s="2"/>
      <c r="D122" s="2"/>
      <c r="E122" s="2">
        <f t="shared" si="39"/>
        <v>0</v>
      </c>
      <c r="F122" s="2">
        <f t="shared" si="39"/>
        <v>0</v>
      </c>
      <c r="G122" s="2">
        <f t="shared" si="39"/>
        <v>0</v>
      </c>
      <c r="H122" s="2">
        <f t="shared" si="39"/>
        <v>0</v>
      </c>
      <c r="I122" s="2">
        <f t="shared" si="39"/>
        <v>0</v>
      </c>
      <c r="J122" s="2">
        <f t="shared" si="39"/>
        <v>0</v>
      </c>
      <c r="K122" s="2"/>
      <c r="L122" s="2">
        <f t="shared" si="40"/>
        <v>0</v>
      </c>
      <c r="M122" s="2">
        <f t="shared" si="40"/>
        <v>0</v>
      </c>
      <c r="N122" s="2">
        <f t="shared" si="40"/>
        <v>0</v>
      </c>
      <c r="O122" s="2">
        <f t="shared" si="40"/>
        <v>0</v>
      </c>
      <c r="P122" s="2">
        <f t="shared" si="40"/>
        <v>0</v>
      </c>
    </row>
    <row r="123" spans="1:17" x14ac:dyDescent="0.25">
      <c r="A123" s="51">
        <v>22500</v>
      </c>
      <c r="B123" s="2">
        <f t="shared" si="38"/>
        <v>0</v>
      </c>
      <c r="C123" s="2"/>
      <c r="D123" s="2"/>
      <c r="E123" s="2">
        <f t="shared" si="39"/>
        <v>0</v>
      </c>
      <c r="F123" s="2">
        <f t="shared" si="39"/>
        <v>0</v>
      </c>
      <c r="G123" s="2">
        <f t="shared" si="39"/>
        <v>0</v>
      </c>
      <c r="H123" s="2">
        <f t="shared" si="39"/>
        <v>0</v>
      </c>
      <c r="I123" s="2">
        <f t="shared" si="39"/>
        <v>0</v>
      </c>
      <c r="J123" s="2">
        <f t="shared" si="39"/>
        <v>0</v>
      </c>
      <c r="K123" s="2"/>
      <c r="L123" s="2">
        <f t="shared" si="40"/>
        <v>0</v>
      </c>
      <c r="M123" s="2">
        <f t="shared" si="40"/>
        <v>0</v>
      </c>
      <c r="N123" s="2">
        <f t="shared" si="40"/>
        <v>0</v>
      </c>
      <c r="O123" s="2">
        <f t="shared" si="40"/>
        <v>0</v>
      </c>
      <c r="P123" s="18">
        <f t="shared" si="40"/>
        <v>9.1181111111111102E-2</v>
      </c>
    </row>
    <row r="126" spans="1:17" x14ac:dyDescent="0.25">
      <c r="A126" s="17" t="s">
        <v>502</v>
      </c>
      <c r="B126" s="17"/>
      <c r="C126" s="17"/>
      <c r="D126" s="17"/>
    </row>
    <row r="127" spans="1:17" x14ac:dyDescent="0.25">
      <c r="A127" t="s">
        <v>475</v>
      </c>
      <c r="B127" s="425" t="s">
        <v>476</v>
      </c>
      <c r="C127" s="425"/>
      <c r="D127" s="425"/>
      <c r="E127" s="425" t="s">
        <v>477</v>
      </c>
      <c r="F127" s="423" t="s">
        <v>478</v>
      </c>
      <c r="G127" s="425" t="s">
        <v>479</v>
      </c>
      <c r="H127" s="425" t="s">
        <v>480</v>
      </c>
      <c r="I127" s="425" t="s">
        <v>481</v>
      </c>
      <c r="J127" s="425" t="s">
        <v>482</v>
      </c>
      <c r="K127" s="425"/>
      <c r="L127" s="425" t="s">
        <v>483</v>
      </c>
      <c r="M127" s="425" t="s">
        <v>486</v>
      </c>
      <c r="N127" s="425" t="s">
        <v>487</v>
      </c>
      <c r="O127" s="425" t="s">
        <v>488</v>
      </c>
      <c r="P127" s="425" t="s">
        <v>489</v>
      </c>
      <c r="Q127" s="425" t="s">
        <v>490</v>
      </c>
    </row>
    <row r="128" spans="1:17" x14ac:dyDescent="0.25">
      <c r="A128" s="51">
        <v>0</v>
      </c>
      <c r="B128" s="2"/>
      <c r="C128" s="2"/>
      <c r="D128" s="2"/>
      <c r="E128" s="2"/>
      <c r="F128" s="2"/>
      <c r="G128" s="2"/>
      <c r="H128" s="2"/>
      <c r="I128" s="2"/>
      <c r="J128" s="2"/>
      <c r="K128" s="2"/>
      <c r="L128" s="2"/>
      <c r="M128" s="2"/>
      <c r="N128" s="2"/>
      <c r="O128" s="2"/>
      <c r="P128" s="2"/>
    </row>
    <row r="129" spans="1:35" x14ac:dyDescent="0.25">
      <c r="A129" s="51">
        <v>6000</v>
      </c>
      <c r="B129" s="2">
        <f>B47/$A47</f>
        <v>0.43560886785009872</v>
      </c>
      <c r="C129" s="2"/>
      <c r="D129" s="2"/>
      <c r="E129" s="2">
        <f t="shared" ref="E129:J129" si="41">E47/$A47</f>
        <v>0.40408398224852077</v>
      </c>
      <c r="F129" s="2">
        <f t="shared" si="41"/>
        <v>0.35684981952662725</v>
      </c>
      <c r="G129" s="2">
        <f t="shared" si="41"/>
        <v>0.37685606508875724</v>
      </c>
      <c r="H129" s="2">
        <f t="shared" si="41"/>
        <v>0.36474137869822487</v>
      </c>
      <c r="I129" s="2">
        <f t="shared" si="41"/>
        <v>0.1850691429980276</v>
      </c>
      <c r="J129" s="2">
        <f t="shared" si="41"/>
        <v>0.25704838560157783</v>
      </c>
      <c r="K129" s="2"/>
      <c r="L129" s="2">
        <f t="shared" ref="L129:Q129" si="42">L47/$A47</f>
        <v>0.4391178027613411</v>
      </c>
      <c r="M129" s="2">
        <f t="shared" si="42"/>
        <v>0</v>
      </c>
      <c r="N129" s="2">
        <f t="shared" si="42"/>
        <v>0</v>
      </c>
      <c r="O129" s="18">
        <f t="shared" si="42"/>
        <v>0.1850691429980276</v>
      </c>
      <c r="P129" s="2">
        <f t="shared" si="42"/>
        <v>0</v>
      </c>
      <c r="Q129" s="18">
        <f t="shared" si="42"/>
        <v>0.20592552787573962</v>
      </c>
    </row>
    <row r="130" spans="1:35" x14ac:dyDescent="0.25">
      <c r="A130" s="51">
        <v>120000</v>
      </c>
      <c r="B130" s="18">
        <f>B94/$A94</f>
        <v>5.1408923939842213E-2</v>
      </c>
      <c r="C130" s="18"/>
      <c r="D130" s="18"/>
      <c r="E130" s="18">
        <f t="shared" ref="E130:J130" si="43">E94/$A94</f>
        <v>5.3352203402366863E-2</v>
      </c>
      <c r="F130" s="2">
        <f t="shared" si="43"/>
        <v>5.1259026257396444E-2</v>
      </c>
      <c r="G130" s="2">
        <f t="shared" si="43"/>
        <v>4.226560835798817E-2</v>
      </c>
      <c r="H130" s="2">
        <f t="shared" si="43"/>
        <v>4.2735681582840239E-2</v>
      </c>
      <c r="I130" s="2">
        <f t="shared" si="43"/>
        <v>4.1073958703155819E-2</v>
      </c>
      <c r="J130" s="2">
        <f t="shared" si="43"/>
        <v>4.9308658037475347E-2</v>
      </c>
      <c r="K130" s="2"/>
      <c r="L130" s="2">
        <f>L94/$A94</f>
        <v>5.163487808185404E-2</v>
      </c>
      <c r="M130" s="2">
        <f>M94/$A94</f>
        <v>0</v>
      </c>
      <c r="N130" s="2">
        <f>N94/$A94</f>
        <v>0</v>
      </c>
      <c r="O130" s="2">
        <f>O94/$A94</f>
        <v>0</v>
      </c>
      <c r="P130" s="2">
        <f>P94/$A94</f>
        <v>0</v>
      </c>
    </row>
    <row r="131" spans="1:35" x14ac:dyDescent="0.25">
      <c r="A131" s="51">
        <v>30000</v>
      </c>
      <c r="B131" s="2">
        <f>B54/$A54</f>
        <v>0.11207207297830377</v>
      </c>
      <c r="C131" s="2"/>
      <c r="D131" s="2"/>
      <c r="E131" s="2">
        <f t="shared" ref="E131:J131" si="44">E54/$A54</f>
        <v>0.10873090532544379</v>
      </c>
      <c r="F131" s="2">
        <f t="shared" si="44"/>
        <v>9.9510204142011838E-2</v>
      </c>
      <c r="G131" s="2">
        <f t="shared" si="44"/>
        <v>9.5095680473372746E-2</v>
      </c>
      <c r="H131" s="2">
        <f t="shared" si="44"/>
        <v>9.3578686390532545E-2</v>
      </c>
      <c r="I131" s="18">
        <f t="shared" si="44"/>
        <v>6.3810040433925047E-2</v>
      </c>
      <c r="J131" s="18">
        <f t="shared" si="44"/>
        <v>8.2109667652859944E-2</v>
      </c>
      <c r="K131" s="18"/>
      <c r="L131" s="18">
        <f>L54/$A54</f>
        <v>0.11281639250493095</v>
      </c>
      <c r="M131" s="2">
        <f>M54/$A54</f>
        <v>0</v>
      </c>
      <c r="N131" s="2">
        <f>N54/$A54</f>
        <v>0</v>
      </c>
      <c r="O131" s="2">
        <f>O54/$A54</f>
        <v>0</v>
      </c>
      <c r="P131" s="2">
        <f>P54/$A54</f>
        <v>0</v>
      </c>
    </row>
    <row r="132" spans="1:35" x14ac:dyDescent="0.25">
      <c r="A132" s="51">
        <v>45000</v>
      </c>
      <c r="B132" s="2">
        <f>B66/$A66</f>
        <v>8.5110673405654189E-2</v>
      </c>
      <c r="C132" s="2"/>
      <c r="D132" s="2"/>
      <c r="E132" s="2">
        <f t="shared" ref="E132:J132" si="45">E66/$A66</f>
        <v>8.4118148915187374E-2</v>
      </c>
      <c r="F132" s="2">
        <f t="shared" si="45"/>
        <v>7.8065236193293877E-2</v>
      </c>
      <c r="G132" s="2">
        <f t="shared" si="45"/>
        <v>7.1615648422090714E-2</v>
      </c>
      <c r="H132" s="2">
        <f t="shared" si="45"/>
        <v>7.098179536489152E-2</v>
      </c>
      <c r="I132" s="2">
        <f t="shared" si="45"/>
        <v>5.3705115220249837E-2</v>
      </c>
      <c r="J132" s="61">
        <f t="shared" si="45"/>
        <v>6.7531441157133471E-2</v>
      </c>
      <c r="K132" s="61"/>
      <c r="L132" s="18">
        <f>L66/$A66</f>
        <v>8.5624608316896778E-2</v>
      </c>
      <c r="M132" s="2">
        <f>M66/$A66</f>
        <v>0</v>
      </c>
      <c r="N132" s="2">
        <f>N66/$A66</f>
        <v>0</v>
      </c>
      <c r="O132" s="2">
        <f>O66/$A66</f>
        <v>0</v>
      </c>
      <c r="P132" s="2">
        <f>P66/$A66</f>
        <v>0</v>
      </c>
    </row>
    <row r="133" spans="1:35" x14ac:dyDescent="0.25">
      <c r="A133" s="51">
        <v>90000</v>
      </c>
      <c r="B133" s="2">
        <f>B78/$A78</f>
        <v>5.8149273833004618E-2</v>
      </c>
      <c r="C133" s="2"/>
      <c r="D133" s="2"/>
      <c r="E133" s="2">
        <f t="shared" ref="E133:P133" si="46">E78/$A78</f>
        <v>5.9505392504930976E-2</v>
      </c>
      <c r="F133" s="2">
        <f t="shared" si="46"/>
        <v>5.662026824457593E-2</v>
      </c>
      <c r="G133" s="2">
        <f t="shared" si="46"/>
        <v>4.8135616370808668E-2</v>
      </c>
      <c r="H133" s="2">
        <f t="shared" si="46"/>
        <v>4.8384904339250495E-2</v>
      </c>
      <c r="I133" s="2">
        <f t="shared" si="46"/>
        <v>4.360019000657462E-2</v>
      </c>
      <c r="J133" s="18">
        <f t="shared" si="46"/>
        <v>5.2953214661406976E-2</v>
      </c>
      <c r="K133" s="18"/>
      <c r="L133" s="2">
        <f t="shared" si="46"/>
        <v>5.8432824128862589E-2</v>
      </c>
      <c r="M133" s="2">
        <f t="shared" si="46"/>
        <v>0</v>
      </c>
      <c r="N133" s="2">
        <f t="shared" si="46"/>
        <v>0</v>
      </c>
      <c r="O133" s="2">
        <f t="shared" si="46"/>
        <v>0</v>
      </c>
      <c r="P133" s="2">
        <f t="shared" si="46"/>
        <v>0</v>
      </c>
    </row>
    <row r="134" spans="1:35" x14ac:dyDescent="0.25">
      <c r="A134" s="51">
        <v>15000</v>
      </c>
      <c r="B134" s="2">
        <f>B49/$A49</f>
        <v>0.19295627169625248</v>
      </c>
      <c r="C134" s="2"/>
      <c r="D134" s="2"/>
      <c r="E134" s="2">
        <f t="shared" ref="E134:J134" si="47">E49/$A49</f>
        <v>0.18256917455621302</v>
      </c>
      <c r="F134" s="2">
        <f t="shared" si="47"/>
        <v>0.16384510798816571</v>
      </c>
      <c r="G134" s="2">
        <f t="shared" si="47"/>
        <v>0.16553577662721888</v>
      </c>
      <c r="H134" s="2">
        <f t="shared" si="47"/>
        <v>0.16136935946745562</v>
      </c>
      <c r="I134" s="2">
        <f t="shared" si="47"/>
        <v>9.4124816074950685E-2</v>
      </c>
      <c r="J134" s="2">
        <f t="shared" si="47"/>
        <v>0.12584434714003942</v>
      </c>
      <c r="K134" s="2"/>
      <c r="L134" s="2">
        <f>L49/$A49</f>
        <v>0.19439174506903348</v>
      </c>
      <c r="M134" s="2">
        <f>M49/$A49</f>
        <v>0</v>
      </c>
      <c r="N134" s="2">
        <f>N49/$A49</f>
        <v>0</v>
      </c>
      <c r="O134" s="2">
        <f>O49/$A49</f>
        <v>0</v>
      </c>
      <c r="P134" s="18">
        <f>P49/$A49</f>
        <v>0.14035668119179875</v>
      </c>
    </row>
    <row r="135" spans="1:35" x14ac:dyDescent="0.25">
      <c r="A135" s="51">
        <v>22500</v>
      </c>
      <c r="B135" s="2">
        <f>B51/$A51</f>
        <v>0.13903347255095336</v>
      </c>
      <c r="C135" s="2"/>
      <c r="D135" s="2"/>
      <c r="E135" s="2">
        <f t="shared" ref="E135:J135" si="48">E51/$A51</f>
        <v>0.1333436617357002</v>
      </c>
      <c r="F135" s="2">
        <f t="shared" si="48"/>
        <v>0.12095517209072978</v>
      </c>
      <c r="G135" s="2">
        <f t="shared" si="48"/>
        <v>0.11857571252465479</v>
      </c>
      <c r="H135" s="2">
        <f t="shared" si="48"/>
        <v>0.11617557741617357</v>
      </c>
      <c r="I135" s="2">
        <f t="shared" si="48"/>
        <v>7.3914965647600264E-2</v>
      </c>
      <c r="J135" s="2">
        <f t="shared" si="48"/>
        <v>9.6687894148586445E-2</v>
      </c>
      <c r="K135" s="2"/>
      <c r="L135" s="2">
        <f>L51/$A51</f>
        <v>0.14000817669296511</v>
      </c>
      <c r="M135" s="2">
        <f>M51/$A51</f>
        <v>0</v>
      </c>
      <c r="N135" s="2">
        <f>N51/$A51</f>
        <v>0</v>
      </c>
      <c r="O135" s="2">
        <f>O51/$A51</f>
        <v>0</v>
      </c>
      <c r="P135" s="18">
        <f>P51/$A51</f>
        <v>0.10266060811637645</v>
      </c>
    </row>
    <row r="136" spans="1:35" s="2" customFormat="1" ht="28.7" customHeight="1" x14ac:dyDescent="0.25">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row>
    <row r="138" spans="1:35" x14ac:dyDescent="0.25">
      <c r="A138" s="17" t="s">
        <v>503</v>
      </c>
    </row>
    <row r="142" spans="1:35" ht="45" x14ac:dyDescent="0.25">
      <c r="A142" s="62"/>
      <c r="B142" s="62" t="s">
        <v>504</v>
      </c>
      <c r="C142" s="62"/>
      <c r="D142" s="62"/>
      <c r="E142" s="62" t="s">
        <v>505</v>
      </c>
      <c r="F142" s="62"/>
      <c r="G142" s="62" t="s">
        <v>506</v>
      </c>
      <c r="H142" s="62"/>
      <c r="I142" s="62"/>
      <c r="J142" s="62"/>
      <c r="K142" s="62"/>
      <c r="L142" s="62"/>
      <c r="M142" s="62"/>
      <c r="N142" s="62" t="s">
        <v>507</v>
      </c>
      <c r="O142" s="62"/>
      <c r="P142" s="62"/>
      <c r="Q142" s="62"/>
      <c r="R142" s="62"/>
      <c r="S142" s="62"/>
      <c r="T142" s="62" t="s">
        <v>508</v>
      </c>
      <c r="U142" s="62"/>
      <c r="V142" s="62"/>
      <c r="W142" s="62" t="s">
        <v>509</v>
      </c>
      <c r="X142" s="62"/>
      <c r="Y142" s="62"/>
      <c r="Z142" s="62" t="s">
        <v>510</v>
      </c>
      <c r="AA142" s="62"/>
      <c r="AB142" s="62" t="s">
        <v>511</v>
      </c>
      <c r="AC142" s="62"/>
      <c r="AD142" s="62"/>
      <c r="AE142" s="62"/>
      <c r="AF142" s="62"/>
      <c r="AG142" s="62"/>
    </row>
    <row r="143" spans="1:35" ht="60" x14ac:dyDescent="0.25">
      <c r="A143" s="62"/>
      <c r="B143" s="62"/>
      <c r="C143" s="62"/>
      <c r="D143" s="62"/>
      <c r="E143" s="62" t="s">
        <v>512</v>
      </c>
      <c r="F143" s="62" t="s">
        <v>513</v>
      </c>
      <c r="G143" s="462" t="s">
        <v>514</v>
      </c>
      <c r="H143" s="462"/>
      <c r="I143" s="462"/>
      <c r="J143" s="422" t="s">
        <v>515</v>
      </c>
      <c r="K143" s="422"/>
      <c r="L143" s="422"/>
      <c r="M143" s="422"/>
      <c r="N143" s="422" t="s">
        <v>516</v>
      </c>
      <c r="O143" s="422"/>
      <c r="P143" s="422"/>
      <c r="Q143" s="422" t="s">
        <v>517</v>
      </c>
      <c r="R143" s="422"/>
      <c r="S143" s="422"/>
      <c r="T143" s="62" t="s">
        <v>518</v>
      </c>
      <c r="U143" s="62"/>
      <c r="V143" s="62"/>
      <c r="W143" s="62"/>
      <c r="X143" s="62"/>
      <c r="Y143" s="62"/>
      <c r="Z143" s="62"/>
      <c r="AA143" s="62"/>
      <c r="AB143" s="62" t="s">
        <v>510</v>
      </c>
      <c r="AC143" s="62"/>
      <c r="AD143" s="62" t="s">
        <v>519</v>
      </c>
      <c r="AE143" s="62"/>
      <c r="AF143" s="62" t="s">
        <v>520</v>
      </c>
      <c r="AG143" s="62"/>
      <c r="AH143" s="2"/>
      <c r="AI143" s="2"/>
    </row>
    <row r="144" spans="1:35" x14ac:dyDescent="0.25">
      <c r="A144" s="17" t="s">
        <v>521</v>
      </c>
    </row>
    <row r="145" spans="1:33" x14ac:dyDescent="0.25">
      <c r="A145" t="s">
        <v>522</v>
      </c>
      <c r="B145" s="38">
        <v>6000</v>
      </c>
      <c r="C145" s="38"/>
      <c r="D145" s="38"/>
      <c r="E145" s="38">
        <v>0</v>
      </c>
      <c r="F145" s="38">
        <v>0</v>
      </c>
      <c r="G145" s="37">
        <v>40000</v>
      </c>
      <c r="H145" s="38">
        <v>80000</v>
      </c>
      <c r="I145" s="38">
        <v>120000</v>
      </c>
      <c r="J145" s="37">
        <v>40000</v>
      </c>
      <c r="K145" s="37"/>
      <c r="L145" s="38">
        <v>80000</v>
      </c>
      <c r="M145" s="38">
        <v>120000</v>
      </c>
      <c r="N145" s="38">
        <v>40000</v>
      </c>
      <c r="O145" s="37">
        <v>80000</v>
      </c>
      <c r="P145" s="38">
        <v>120000</v>
      </c>
      <c r="Q145" s="38">
        <v>40000</v>
      </c>
      <c r="R145" s="37">
        <v>80000</v>
      </c>
      <c r="S145" s="38">
        <v>120000</v>
      </c>
      <c r="T145" s="38">
        <v>20000</v>
      </c>
      <c r="U145" s="37">
        <v>40000</v>
      </c>
      <c r="V145" s="38">
        <v>60000</v>
      </c>
      <c r="W145" s="38">
        <v>30000</v>
      </c>
      <c r="X145" s="37">
        <v>60000</v>
      </c>
      <c r="Y145" s="38">
        <v>90000</v>
      </c>
      <c r="Z145" s="37">
        <v>30000</v>
      </c>
      <c r="AA145" s="38">
        <v>60000</v>
      </c>
      <c r="AB145" s="38">
        <v>0</v>
      </c>
      <c r="AC145" s="38">
        <v>0</v>
      </c>
      <c r="AD145" s="38">
        <v>0</v>
      </c>
      <c r="AE145" s="38">
        <v>0</v>
      </c>
      <c r="AF145" s="38">
        <v>0</v>
      </c>
      <c r="AG145" s="38">
        <v>0</v>
      </c>
    </row>
    <row r="146" spans="1:33" x14ac:dyDescent="0.25">
      <c r="A146" t="s">
        <v>523</v>
      </c>
      <c r="B146" s="38">
        <v>0</v>
      </c>
      <c r="C146" s="38"/>
      <c r="D146" s="38"/>
      <c r="E146" s="38">
        <v>0</v>
      </c>
      <c r="F146" s="38">
        <v>0</v>
      </c>
      <c r="G146" s="38">
        <v>0</v>
      </c>
      <c r="H146" s="38">
        <v>0</v>
      </c>
      <c r="I146" s="38">
        <v>0</v>
      </c>
      <c r="J146" s="38">
        <v>0</v>
      </c>
      <c r="K146" s="38"/>
      <c r="L146" s="38">
        <v>0</v>
      </c>
      <c r="M146" s="38">
        <v>0</v>
      </c>
      <c r="N146" s="38">
        <v>0</v>
      </c>
      <c r="O146" s="38">
        <v>0</v>
      </c>
      <c r="P146" s="38">
        <v>0</v>
      </c>
      <c r="Q146" s="38">
        <v>0</v>
      </c>
      <c r="R146" s="38">
        <v>0</v>
      </c>
      <c r="S146" s="38">
        <v>0</v>
      </c>
      <c r="T146" s="38">
        <v>0</v>
      </c>
      <c r="U146" s="38">
        <v>0</v>
      </c>
      <c r="V146" s="38">
        <v>0</v>
      </c>
      <c r="W146" s="38">
        <v>0</v>
      </c>
      <c r="X146" s="38">
        <v>0</v>
      </c>
      <c r="Y146" s="38">
        <v>0</v>
      </c>
      <c r="Z146" s="38">
        <v>0</v>
      </c>
      <c r="AA146" s="38">
        <v>0</v>
      </c>
      <c r="AB146" s="37">
        <v>15000</v>
      </c>
      <c r="AC146" s="38">
        <v>22500</v>
      </c>
      <c r="AD146" s="37">
        <v>30000</v>
      </c>
      <c r="AE146" s="38">
        <v>45000</v>
      </c>
      <c r="AF146" s="37">
        <v>40000</v>
      </c>
      <c r="AG146" s="38">
        <v>60000</v>
      </c>
    </row>
    <row r="148" spans="1:33" x14ac:dyDescent="0.25">
      <c r="A148" s="2" t="s">
        <v>524</v>
      </c>
      <c r="B148" s="2">
        <v>0.13779754696673191</v>
      </c>
      <c r="C148" s="2"/>
      <c r="D148" s="2"/>
      <c r="E148" s="2" t="e">
        <v>#DIV/0!</v>
      </c>
      <c r="F148" s="2" t="e">
        <v>#DIV/0!</v>
      </c>
      <c r="G148" s="2">
        <v>7.581055327516853E-2</v>
      </c>
      <c r="H148" s="2">
        <v>4.7214459012828877E-2</v>
      </c>
      <c r="I148" s="2">
        <v>3.3427560339204174E-2</v>
      </c>
      <c r="J148" s="2">
        <v>6.6917015065775173E-2</v>
      </c>
      <c r="K148" s="2"/>
      <c r="L148" s="2">
        <v>4.2173526908023486E-2</v>
      </c>
      <c r="M148" s="2">
        <v>3.1420555419656444E-2</v>
      </c>
      <c r="N148" s="2">
        <v>8.1253910420743633E-2</v>
      </c>
      <c r="O148" s="2">
        <v>4.9423002881061107E-2</v>
      </c>
      <c r="P148" s="2">
        <v>3.573697950641444E-2</v>
      </c>
      <c r="Q148" s="2">
        <v>7.1436339820069583E-2</v>
      </c>
      <c r="R148" s="2">
        <v>4.505541828114807E-2</v>
      </c>
      <c r="S148" s="2">
        <v>3.3363292223853015E-2</v>
      </c>
      <c r="T148" s="2">
        <v>9.2554526027397263E-2</v>
      </c>
      <c r="U148" s="2">
        <v>5.5157467318982391E-2</v>
      </c>
      <c r="V148" s="2">
        <v>4.2929153881278534E-2</v>
      </c>
      <c r="W148" s="2">
        <v>6.7080832144669145E-2</v>
      </c>
      <c r="X148" s="2">
        <v>4.9285326657969121E-2</v>
      </c>
      <c r="Y148" s="2">
        <v>4.4696823995554587E-2</v>
      </c>
      <c r="Z148" s="2">
        <v>5.6858528332246139E-2</v>
      </c>
      <c r="AA148" s="2">
        <v>4.3272841907661085E-2</v>
      </c>
      <c r="AB148" s="2">
        <v>0.11325867021218092</v>
      </c>
      <c r="AC148" s="2">
        <v>9.545115608155591E-2</v>
      </c>
      <c r="AD148" s="2">
        <v>9.386988146572009E-2</v>
      </c>
      <c r="AE148" s="2">
        <v>7.9584569814201145E-2</v>
      </c>
      <c r="AF148" s="2">
        <v>8.393739298161558E-2</v>
      </c>
      <c r="AG148" s="2">
        <v>7.7241548411241562E-2</v>
      </c>
    </row>
  </sheetData>
  <mergeCells count="3">
    <mergeCell ref="S30:S33"/>
    <mergeCell ref="M105:M107"/>
    <mergeCell ref="G143:I143"/>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107"/>
  <sheetViews>
    <sheetView topLeftCell="A60" zoomScale="80" zoomScaleNormal="80" workbookViewId="0">
      <selection activeCell="O48" sqref="O48"/>
    </sheetView>
  </sheetViews>
  <sheetFormatPr baseColWidth="10" defaultColWidth="9.140625" defaultRowHeight="15" x14ac:dyDescent="0.25"/>
  <cols>
    <col min="2" max="2" width="17.28515625" customWidth="1"/>
    <col min="3" max="3" width="26" customWidth="1"/>
    <col min="6" max="6" width="10.140625" customWidth="1"/>
    <col min="7" max="7" width="11.85546875" bestFit="1" customWidth="1"/>
    <col min="9" max="9" width="30" customWidth="1"/>
    <col min="10" max="10" width="15.140625" customWidth="1"/>
    <col min="11" max="11" width="18.140625" customWidth="1"/>
    <col min="12" max="12" width="16.7109375" customWidth="1"/>
    <col min="13" max="13" width="11.140625" customWidth="1"/>
  </cols>
  <sheetData>
    <row r="2" spans="2:11" x14ac:dyDescent="0.25">
      <c r="B2" t="s">
        <v>71</v>
      </c>
    </row>
    <row r="6" spans="2:11" x14ac:dyDescent="0.25">
      <c r="B6" t="s">
        <v>525</v>
      </c>
    </row>
    <row r="7" spans="2:11" x14ac:dyDescent="0.25">
      <c r="B7" s="26" t="s">
        <v>526</v>
      </c>
    </row>
    <row r="10" spans="2:11" x14ac:dyDescent="0.25">
      <c r="B10" s="17" t="s">
        <v>466</v>
      </c>
      <c r="C10" s="17" t="s">
        <v>527</v>
      </c>
      <c r="D10" s="17" t="s">
        <v>528</v>
      </c>
      <c r="E10" s="17" t="s">
        <v>529</v>
      </c>
      <c r="F10" s="17" t="s">
        <v>530</v>
      </c>
      <c r="G10" s="17" t="s">
        <v>531</v>
      </c>
      <c r="H10" s="24" t="s">
        <v>532</v>
      </c>
      <c r="I10" s="17"/>
      <c r="J10" s="17"/>
      <c r="K10" s="17"/>
    </row>
    <row r="11" spans="2:11" x14ac:dyDescent="0.25">
      <c r="B11" s="423" t="s">
        <v>533</v>
      </c>
      <c r="C11" s="423">
        <v>315999</v>
      </c>
      <c r="D11" s="423">
        <v>105316</v>
      </c>
      <c r="E11" s="423">
        <f>D11/C11</f>
        <v>0.33327953569473323</v>
      </c>
      <c r="F11" s="423">
        <v>249056</v>
      </c>
      <c r="G11" s="423">
        <f>F11/D11*1000</f>
        <v>2364.8448478863606</v>
      </c>
      <c r="H11" s="423">
        <f>F11/D11*1000/'Paramètres Indexation'!$F$26*100</f>
        <v>2449.8844410450779</v>
      </c>
      <c r="I11" s="423"/>
      <c r="J11" s="423"/>
      <c r="K11" s="423"/>
    </row>
    <row r="12" spans="2:11" x14ac:dyDescent="0.25">
      <c r="B12" s="423" t="s">
        <v>534</v>
      </c>
      <c r="C12" s="423">
        <v>305483</v>
      </c>
      <c r="D12" s="423">
        <v>118595</v>
      </c>
      <c r="E12" s="423">
        <f t="shared" ref="E12:E15" si="0">D12/C12</f>
        <v>0.3882212758156755</v>
      </c>
      <c r="F12" s="423">
        <v>310770</v>
      </c>
      <c r="G12" s="423">
        <f t="shared" ref="G12:G15" si="1">F12/D12*1000</f>
        <v>2620.4308781989121</v>
      </c>
      <c r="H12" s="423">
        <f>F12/D12*1000/'Paramètres Indexation'!$F$26*100</f>
        <v>2714.661320412381</v>
      </c>
      <c r="I12" s="423"/>
      <c r="J12" s="423"/>
      <c r="K12" s="423"/>
    </row>
    <row r="13" spans="2:11" x14ac:dyDescent="0.25">
      <c r="B13" s="423" t="s">
        <v>535</v>
      </c>
      <c r="C13" s="423">
        <v>257921</v>
      </c>
      <c r="D13" s="423">
        <v>113772</v>
      </c>
      <c r="E13" s="423">
        <f t="shared" si="0"/>
        <v>0.44111181330717547</v>
      </c>
      <c r="F13" s="423">
        <v>339882</v>
      </c>
      <c r="G13" s="423">
        <f t="shared" si="1"/>
        <v>2987.3958443202191</v>
      </c>
      <c r="H13" s="423">
        <f>F13/D13*1000/'Paramètres Indexation'!$F$26*100</f>
        <v>3094.8223114020216</v>
      </c>
      <c r="I13" s="423"/>
      <c r="J13" s="423"/>
      <c r="K13" s="423"/>
    </row>
    <row r="14" spans="2:11" ht="15.75" customHeight="1" x14ac:dyDescent="0.25">
      <c r="B14" s="423" t="s">
        <v>536</v>
      </c>
      <c r="C14" s="423">
        <v>422872</v>
      </c>
      <c r="D14" s="423">
        <v>209857</v>
      </c>
      <c r="E14" s="423">
        <f t="shared" si="0"/>
        <v>0.49626600957263661</v>
      </c>
      <c r="F14" s="423">
        <v>743097</v>
      </c>
      <c r="G14" s="423">
        <f t="shared" si="1"/>
        <v>3540.9683737020923</v>
      </c>
      <c r="H14" s="15">
        <f>F14/D14*1000/'Paramètres Indexation'!$F$26*100</f>
        <v>3668.301255669654</v>
      </c>
      <c r="I14" s="423"/>
      <c r="J14" s="423"/>
      <c r="K14" s="423"/>
    </row>
    <row r="15" spans="2:11" s="4" customFormat="1" ht="15.75" customHeight="1" x14ac:dyDescent="0.25">
      <c r="B15" s="185" t="s">
        <v>537</v>
      </c>
      <c r="C15" s="185">
        <v>319407</v>
      </c>
      <c r="D15" s="185">
        <v>176081</v>
      </c>
      <c r="E15" s="185">
        <f t="shared" si="0"/>
        <v>0.55127470593944405</v>
      </c>
      <c r="F15" s="185">
        <v>737404</v>
      </c>
      <c r="G15" s="185">
        <f t="shared" si="1"/>
        <v>4187.8680834388715</v>
      </c>
      <c r="H15" s="366">
        <f>F15/D15*1000/'Paramètres Indexation'!$F$26*100</f>
        <v>4338.4634167167915</v>
      </c>
      <c r="I15" s="185"/>
      <c r="J15" s="185"/>
      <c r="K15" s="185"/>
    </row>
    <row r="16" spans="2:11" s="4" customFormat="1" ht="15.75" customHeight="1" x14ac:dyDescent="0.25">
      <c r="B16" s="25"/>
      <c r="C16" s="25"/>
      <c r="D16" s="25"/>
      <c r="E16" s="25"/>
      <c r="F16" s="25"/>
      <c r="G16" s="25"/>
      <c r="H16" s="25"/>
      <c r="I16" s="25"/>
      <c r="J16" s="25"/>
      <c r="K16" s="25"/>
    </row>
    <row r="18" spans="2:12" hidden="1" x14ac:dyDescent="0.25">
      <c r="B18" s="70" t="s">
        <v>538</v>
      </c>
      <c r="C18" s="70"/>
      <c r="D18" s="70"/>
      <c r="E18" s="70"/>
      <c r="F18" s="70"/>
      <c r="G18" s="70"/>
      <c r="H18" s="70"/>
      <c r="I18" s="70"/>
      <c r="J18" s="70"/>
      <c r="K18" s="70"/>
      <c r="L18" s="67"/>
    </row>
    <row r="19" spans="2:12" hidden="1" x14ac:dyDescent="0.25">
      <c r="B19" s="67" t="s">
        <v>539</v>
      </c>
      <c r="C19" s="67"/>
      <c r="D19" s="67"/>
      <c r="E19" s="67"/>
      <c r="F19" s="67"/>
      <c r="G19" s="67"/>
      <c r="H19" s="67"/>
      <c r="I19" s="67"/>
      <c r="J19" s="67"/>
      <c r="K19" s="67"/>
      <c r="L19" s="67"/>
    </row>
    <row r="20" spans="2:12" hidden="1" x14ac:dyDescent="0.25">
      <c r="B20" s="67" t="s">
        <v>540</v>
      </c>
      <c r="C20" s="67"/>
      <c r="D20" s="67"/>
      <c r="E20" s="67"/>
      <c r="F20" s="67"/>
      <c r="G20" s="67"/>
      <c r="H20" s="67"/>
      <c r="I20" s="67"/>
      <c r="J20" s="67"/>
      <c r="K20" s="67"/>
      <c r="L20" s="67"/>
    </row>
    <row r="21" spans="2:12" hidden="1" x14ac:dyDescent="0.25">
      <c r="B21" s="67"/>
      <c r="C21" s="67"/>
      <c r="D21" s="67"/>
      <c r="E21" s="67"/>
      <c r="F21" s="67"/>
      <c r="G21" s="67"/>
      <c r="H21" s="67"/>
      <c r="I21" s="67"/>
      <c r="J21" s="67"/>
      <c r="K21" s="67"/>
      <c r="L21" s="67"/>
    </row>
    <row r="22" spans="2:12" hidden="1" x14ac:dyDescent="0.25">
      <c r="B22" s="67" t="s">
        <v>541</v>
      </c>
      <c r="C22" s="67"/>
      <c r="D22" s="67"/>
      <c r="E22" s="67"/>
      <c r="F22" s="67"/>
      <c r="G22" s="67"/>
      <c r="H22" s="67"/>
      <c r="I22" s="67">
        <v>68</v>
      </c>
      <c r="J22" s="67"/>
      <c r="K22" s="67"/>
      <c r="L22" s="67"/>
    </row>
    <row r="23" spans="2:12" hidden="1" x14ac:dyDescent="0.25">
      <c r="B23" s="67" t="s">
        <v>542</v>
      </c>
      <c r="C23" s="67"/>
      <c r="D23" s="67" t="s">
        <v>543</v>
      </c>
      <c r="E23" s="67"/>
      <c r="F23" s="67" t="s">
        <v>188</v>
      </c>
      <c r="G23" s="67" t="s">
        <v>14</v>
      </c>
      <c r="H23" s="67"/>
      <c r="I23" s="67"/>
      <c r="J23" s="67"/>
      <c r="K23" s="67"/>
      <c r="L23" s="67"/>
    </row>
    <row r="24" spans="2:12" hidden="1" x14ac:dyDescent="0.25">
      <c r="B24" s="67" t="s">
        <v>544</v>
      </c>
      <c r="C24" s="67"/>
      <c r="D24" s="67">
        <v>35057</v>
      </c>
      <c r="E24" s="67"/>
      <c r="F24" s="67"/>
      <c r="G24" s="67"/>
      <c r="H24" s="67"/>
      <c r="I24" s="67"/>
      <c r="J24" s="67"/>
      <c r="K24" s="67"/>
      <c r="L24" s="67"/>
    </row>
    <row r="25" spans="2:12" hidden="1" x14ac:dyDescent="0.25">
      <c r="B25" s="67" t="s">
        <v>545</v>
      </c>
      <c r="C25" s="67"/>
      <c r="D25" s="67">
        <v>9988</v>
      </c>
      <c r="E25" s="67"/>
      <c r="F25" s="67">
        <v>7160</v>
      </c>
      <c r="G25" s="70">
        <v>17910</v>
      </c>
      <c r="H25" s="67"/>
      <c r="I25" s="67" t="s">
        <v>546</v>
      </c>
      <c r="J25" s="67"/>
      <c r="K25" s="67"/>
      <c r="L25" s="67"/>
    </row>
    <row r="26" spans="2:12" hidden="1" x14ac:dyDescent="0.25">
      <c r="B26" s="67"/>
      <c r="C26" s="67"/>
      <c r="D26" s="67"/>
      <c r="E26" s="67"/>
      <c r="F26" s="67"/>
      <c r="G26" s="67"/>
      <c r="H26" s="67"/>
      <c r="I26" s="67"/>
      <c r="J26" s="67"/>
      <c r="K26" s="67"/>
      <c r="L26" s="67"/>
    </row>
    <row r="27" spans="2:12" x14ac:dyDescent="0.25">
      <c r="B27" t="s">
        <v>547</v>
      </c>
    </row>
    <row r="28" spans="2:12" x14ac:dyDescent="0.25">
      <c r="B28" t="s">
        <v>548</v>
      </c>
    </row>
    <row r="30" spans="2:12" x14ac:dyDescent="0.25">
      <c r="C30" s="166" t="s">
        <v>549</v>
      </c>
      <c r="D30" s="167"/>
      <c r="G30" s="166" t="s">
        <v>550</v>
      </c>
      <c r="H30" s="53" t="s">
        <v>551</v>
      </c>
      <c r="I30" s="53" t="s">
        <v>552</v>
      </c>
      <c r="J30" s="167" t="s">
        <v>553</v>
      </c>
    </row>
    <row r="31" spans="2:12" x14ac:dyDescent="0.25">
      <c r="C31" s="112" t="s">
        <v>554</v>
      </c>
      <c r="D31" s="168">
        <v>5.3999999999999999E-2</v>
      </c>
      <c r="E31" s="61"/>
      <c r="G31" s="112" t="s">
        <v>555</v>
      </c>
      <c r="H31" s="169">
        <v>0.05</v>
      </c>
      <c r="I31" s="169">
        <v>0.05</v>
      </c>
      <c r="J31" s="170">
        <v>0.05</v>
      </c>
    </row>
    <row r="32" spans="2:12" x14ac:dyDescent="0.25">
      <c r="C32" s="112" t="s">
        <v>556</v>
      </c>
      <c r="D32" s="180">
        <v>0.02</v>
      </c>
      <c r="E32" s="245"/>
      <c r="G32" s="112" t="s">
        <v>557</v>
      </c>
      <c r="H32" s="169">
        <v>0.7</v>
      </c>
      <c r="I32" s="169">
        <v>0.45</v>
      </c>
      <c r="J32" s="170">
        <v>0.2</v>
      </c>
    </row>
    <row r="33" spans="3:12" x14ac:dyDescent="0.25">
      <c r="C33" s="112" t="s">
        <v>558</v>
      </c>
      <c r="D33" s="168">
        <v>2.9000000000000001E-2</v>
      </c>
      <c r="E33" s="61"/>
      <c r="G33" s="112" t="s">
        <v>559</v>
      </c>
      <c r="H33" s="169">
        <v>0.25</v>
      </c>
      <c r="I33" s="169">
        <v>0.4</v>
      </c>
      <c r="J33" s="170">
        <v>0.35</v>
      </c>
    </row>
    <row r="34" spans="3:12" x14ac:dyDescent="0.25">
      <c r="C34" s="112" t="s">
        <v>560</v>
      </c>
      <c r="D34" s="168">
        <v>3.9E-2</v>
      </c>
      <c r="E34" s="61"/>
      <c r="G34" s="112" t="s">
        <v>561</v>
      </c>
      <c r="H34" s="169">
        <v>0</v>
      </c>
      <c r="I34" s="169">
        <v>0</v>
      </c>
      <c r="J34" s="170">
        <v>0.25</v>
      </c>
    </row>
    <row r="35" spans="3:12" x14ac:dyDescent="0.25">
      <c r="C35" s="112" t="s">
        <v>562</v>
      </c>
      <c r="D35" s="168">
        <v>6.4000000000000001E-2</v>
      </c>
      <c r="E35" s="61"/>
      <c r="G35" s="112" t="s">
        <v>563</v>
      </c>
      <c r="H35" s="169">
        <v>0</v>
      </c>
      <c r="I35" s="169">
        <v>0</v>
      </c>
      <c r="J35" s="170">
        <v>0.15</v>
      </c>
    </row>
    <row r="36" spans="3:12" x14ac:dyDescent="0.25">
      <c r="C36" s="112" t="s">
        <v>564</v>
      </c>
      <c r="D36" s="168">
        <v>6.7000000000000004E-2</v>
      </c>
      <c r="E36" s="61"/>
      <c r="G36" s="112" t="s">
        <v>565</v>
      </c>
      <c r="H36" s="169">
        <v>4.8000000000000001E-2</v>
      </c>
      <c r="I36" s="169">
        <v>5.1299999999999998E-2</v>
      </c>
      <c r="J36" s="170">
        <v>5.9499999999999997E-2</v>
      </c>
    </row>
    <row r="37" spans="3:12" x14ac:dyDescent="0.25">
      <c r="C37" s="112" t="s">
        <v>566</v>
      </c>
      <c r="D37" s="168">
        <v>7.3999999999999996E-2</v>
      </c>
      <c r="E37" s="61"/>
      <c r="G37" s="112" t="s">
        <v>567</v>
      </c>
      <c r="H37" s="169">
        <v>1.2500000000000001E-2</v>
      </c>
      <c r="I37" s="169">
        <v>1.2500000000000001E-2</v>
      </c>
      <c r="J37" s="170">
        <v>1.2500000000000001E-2</v>
      </c>
    </row>
    <row r="38" spans="3:12" x14ac:dyDescent="0.25">
      <c r="C38" s="112" t="s">
        <v>568</v>
      </c>
      <c r="D38" s="168">
        <v>4.9000000000000002E-2</v>
      </c>
      <c r="E38" s="61"/>
      <c r="G38" s="112" t="s">
        <v>569</v>
      </c>
      <c r="H38" s="169">
        <v>3.2300000000000002E-2</v>
      </c>
      <c r="I38" s="169">
        <v>3.8800000000000001E-2</v>
      </c>
      <c r="J38" s="170">
        <v>4.7E-2</v>
      </c>
    </row>
    <row r="39" spans="3:12" x14ac:dyDescent="0.25">
      <c r="C39" s="171" t="s">
        <v>570</v>
      </c>
      <c r="D39" s="172">
        <v>0.03</v>
      </c>
      <c r="E39" s="61"/>
      <c r="G39" s="171" t="s">
        <v>571</v>
      </c>
      <c r="H39" s="173">
        <v>3.2000000000000001E-2</v>
      </c>
      <c r="I39" s="173">
        <v>3.9E-2</v>
      </c>
      <c r="J39" s="174">
        <v>4.7E-2</v>
      </c>
    </row>
    <row r="43" spans="3:12" x14ac:dyDescent="0.25">
      <c r="C43" s="175" t="s">
        <v>572</v>
      </c>
      <c r="D43" s="175" t="s">
        <v>573</v>
      </c>
      <c r="E43" s="175"/>
      <c r="F43" s="175" t="s">
        <v>1</v>
      </c>
      <c r="G43" s="175" t="s">
        <v>574</v>
      </c>
      <c r="H43" s="175" t="s">
        <v>575</v>
      </c>
      <c r="I43" s="179" t="s">
        <v>576</v>
      </c>
      <c r="J43" s="175" t="s">
        <v>577</v>
      </c>
      <c r="K43" s="175" t="s">
        <v>578</v>
      </c>
      <c r="L43" s="175" t="s">
        <v>579</v>
      </c>
    </row>
    <row r="44" spans="3:12" x14ac:dyDescent="0.25">
      <c r="C44" s="176"/>
      <c r="D44" s="176"/>
      <c r="E44" s="176"/>
      <c r="F44" s="176"/>
      <c r="G44" s="176"/>
      <c r="H44" s="176"/>
      <c r="I44" s="176"/>
      <c r="J44" s="176"/>
      <c r="K44" s="176"/>
      <c r="L44" s="176"/>
    </row>
    <row r="45" spans="3:12" x14ac:dyDescent="0.25">
      <c r="C45" s="177">
        <f>'[2]Income data'!G28</f>
        <v>0</v>
      </c>
      <c r="D45" s="176" t="s">
        <v>553</v>
      </c>
      <c r="E45" s="176"/>
      <c r="F45" s="176">
        <v>22</v>
      </c>
      <c r="G45" s="177"/>
      <c r="H45" s="178">
        <f>IF(D45="Aggressive",J38,IF(D45="Balanced", I38, H38))</f>
        <v>4.7E-2</v>
      </c>
      <c r="I45" s="177">
        <f>(G45)*(H45-$D$32)</f>
        <v>0</v>
      </c>
      <c r="J45" s="177">
        <f>G45+I45</f>
        <v>0</v>
      </c>
      <c r="K45" s="177">
        <f>J45-L45</f>
        <v>0</v>
      </c>
      <c r="L45" s="177"/>
    </row>
    <row r="46" spans="3:12" x14ac:dyDescent="0.25">
      <c r="C46" s="177"/>
      <c r="D46" s="176" t="s">
        <v>553</v>
      </c>
      <c r="E46" s="176"/>
      <c r="F46" s="176">
        <v>23</v>
      </c>
      <c r="G46" s="177"/>
      <c r="H46" s="178">
        <f>IF(D46="Aggressive",J38,IF(D46="Balanced", I39, H39))</f>
        <v>4.7E-2</v>
      </c>
      <c r="I46" s="177">
        <f>(G46+K45)*(H46-$D$32)</f>
        <v>0</v>
      </c>
      <c r="J46" s="177">
        <f t="shared" ref="J46:J47" si="2">G46+I46</f>
        <v>0</v>
      </c>
      <c r="K46" s="177">
        <f>K45+J46-L46</f>
        <v>0</v>
      </c>
      <c r="L46" s="177"/>
    </row>
    <row r="47" spans="3:12" x14ac:dyDescent="0.25">
      <c r="C47" s="177"/>
      <c r="D47" s="176" t="s">
        <v>553</v>
      </c>
      <c r="E47" s="176"/>
      <c r="F47" s="176">
        <v>24</v>
      </c>
      <c r="G47" s="177"/>
      <c r="H47" s="178">
        <f>IF(D47="Aggressive",J38,IF(D47="Balanced", I40, H40))</f>
        <v>4.7E-2</v>
      </c>
      <c r="I47" s="177">
        <f t="shared" ref="I47:I107" si="3">(G47+K46)*(H47-$D$32)</f>
        <v>0</v>
      </c>
      <c r="J47" s="177">
        <f t="shared" si="2"/>
        <v>0</v>
      </c>
      <c r="K47" s="177">
        <f>K46+J47-L47</f>
        <v>0</v>
      </c>
      <c r="L47" s="177"/>
    </row>
    <row r="48" spans="3:12" x14ac:dyDescent="0.25">
      <c r="C48" s="177">
        <f>'[2]Income data'!G29</f>
        <v>0</v>
      </c>
      <c r="D48" s="176" t="s">
        <v>553</v>
      </c>
      <c r="E48" s="176"/>
      <c r="F48" s="176">
        <v>25</v>
      </c>
      <c r="G48" s="177"/>
      <c r="H48" s="178">
        <f>IF(D48="Aggressive",J39,IF(D48="Balanced", I39, H39))</f>
        <v>4.7E-2</v>
      </c>
      <c r="I48" s="177">
        <f t="shared" si="3"/>
        <v>0</v>
      </c>
      <c r="J48" s="177">
        <f t="shared" ref="J48:J107" si="4">G48+I48</f>
        <v>0</v>
      </c>
      <c r="K48" s="177">
        <f>K45+J48-L48</f>
        <v>0</v>
      </c>
      <c r="L48" s="177"/>
    </row>
    <row r="49" spans="3:14" x14ac:dyDescent="0.25">
      <c r="C49" s="177">
        <f>'[2]Income data'!G30</f>
        <v>0</v>
      </c>
      <c r="D49" s="176" t="s">
        <v>553</v>
      </c>
      <c r="E49" s="176"/>
      <c r="F49" s="176">
        <v>26</v>
      </c>
      <c r="G49" s="177"/>
      <c r="H49" s="178">
        <f>IF(D49="Aggressive",J38,IF(D49="Balanced", I38, H38))</f>
        <v>4.7E-2</v>
      </c>
      <c r="I49" s="177">
        <f t="shared" si="3"/>
        <v>0</v>
      </c>
      <c r="J49" s="177">
        <f t="shared" si="4"/>
        <v>0</v>
      </c>
      <c r="K49" s="177">
        <f t="shared" ref="K49:K107" si="5">K48+J49-L49</f>
        <v>0</v>
      </c>
      <c r="L49" s="177"/>
    </row>
    <row r="50" spans="3:14" x14ac:dyDescent="0.25">
      <c r="C50" s="177">
        <f>'[2]Income data'!G31</f>
        <v>0</v>
      </c>
      <c r="D50" s="176" t="s">
        <v>553</v>
      </c>
      <c r="E50" s="176"/>
      <c r="F50" s="176">
        <v>27</v>
      </c>
      <c r="G50" s="177"/>
      <c r="H50" s="178">
        <f>IF(D50="Aggressive",J38,IF(D50="Balanced", I38, H38))</f>
        <v>4.7E-2</v>
      </c>
      <c r="I50" s="177">
        <f t="shared" si="3"/>
        <v>0</v>
      </c>
      <c r="J50" s="177">
        <f t="shared" si="4"/>
        <v>0</v>
      </c>
      <c r="K50" s="177">
        <f t="shared" si="5"/>
        <v>0</v>
      </c>
      <c r="L50" s="177"/>
    </row>
    <row r="51" spans="3:14" x14ac:dyDescent="0.25">
      <c r="C51" s="177">
        <f>'[2]Income data'!G32</f>
        <v>0</v>
      </c>
      <c r="D51" s="176" t="s">
        <v>553</v>
      </c>
      <c r="E51" s="176"/>
      <c r="F51" s="176">
        <v>28</v>
      </c>
      <c r="G51" s="177"/>
      <c r="H51" s="178">
        <f>IF(D51="Aggressive",J38,IF(D51="Balanced", I38, H38))</f>
        <v>4.7E-2</v>
      </c>
      <c r="I51" s="177">
        <f t="shared" si="3"/>
        <v>0</v>
      </c>
      <c r="J51" s="177">
        <f t="shared" si="4"/>
        <v>0</v>
      </c>
      <c r="K51" s="177">
        <f t="shared" si="5"/>
        <v>0</v>
      </c>
      <c r="L51" s="177"/>
    </row>
    <row r="52" spans="3:14" x14ac:dyDescent="0.25">
      <c r="C52" s="177">
        <f>'[2]Income data'!G33</f>
        <v>0</v>
      </c>
      <c r="D52" s="176" t="s">
        <v>553</v>
      </c>
      <c r="E52" s="176"/>
      <c r="F52" s="176">
        <v>29</v>
      </c>
      <c r="G52" s="177"/>
      <c r="H52" s="178">
        <f>IF(D52="Aggressive",J38,IF(D52="Balanced", I38, H38))</f>
        <v>4.7E-2</v>
      </c>
      <c r="I52" s="177">
        <f t="shared" si="3"/>
        <v>0</v>
      </c>
      <c r="J52" s="177">
        <f t="shared" si="4"/>
        <v>0</v>
      </c>
      <c r="K52" s="177">
        <f t="shared" si="5"/>
        <v>0</v>
      </c>
      <c r="L52" s="177"/>
    </row>
    <row r="53" spans="3:14" x14ac:dyDescent="0.25">
      <c r="C53" s="177">
        <f>'[2]Income data'!G34</f>
        <v>0</v>
      </c>
      <c r="D53" s="176" t="s">
        <v>553</v>
      </c>
      <c r="E53" s="176"/>
      <c r="F53" s="176">
        <v>30</v>
      </c>
      <c r="G53" s="177"/>
      <c r="H53" s="178">
        <f>IF(D53="Aggressive",J38,IF(D53="Balanced", I38, H38))</f>
        <v>4.7E-2</v>
      </c>
      <c r="I53" s="177">
        <f t="shared" si="3"/>
        <v>0</v>
      </c>
      <c r="J53" s="177">
        <f t="shared" si="4"/>
        <v>0</v>
      </c>
      <c r="K53" s="177">
        <f t="shared" si="5"/>
        <v>0</v>
      </c>
      <c r="L53" s="177"/>
    </row>
    <row r="54" spans="3:14" x14ac:dyDescent="0.25">
      <c r="C54" s="177">
        <f>'[2]Income data'!G35</f>
        <v>0</v>
      </c>
      <c r="D54" s="176" t="s">
        <v>553</v>
      </c>
      <c r="E54" s="176"/>
      <c r="F54" s="176">
        <v>31</v>
      </c>
      <c r="G54" s="177">
        <f>H14</f>
        <v>3668.301255669654</v>
      </c>
      <c r="H54" s="178">
        <f>IF(D54="Aggressive",J38,IF(D54="Balanced", I38, H38))</f>
        <v>4.7E-2</v>
      </c>
      <c r="I54" s="177">
        <f t="shared" si="3"/>
        <v>99.044133903080663</v>
      </c>
      <c r="J54" s="177">
        <f t="shared" si="4"/>
        <v>3767.3453895727348</v>
      </c>
      <c r="K54" s="177">
        <f t="shared" si="5"/>
        <v>3767.3453895727348</v>
      </c>
      <c r="L54" s="177"/>
    </row>
    <row r="55" spans="3:14" x14ac:dyDescent="0.25">
      <c r="C55" s="177">
        <f>'[2]Income data'!G36</f>
        <v>0</v>
      </c>
      <c r="D55" s="176" t="s">
        <v>553</v>
      </c>
      <c r="E55" s="176"/>
      <c r="F55" s="176">
        <v>32</v>
      </c>
      <c r="G55" s="177"/>
      <c r="H55" s="178">
        <f>IF(D55="Aggressive",J38,IF(D55="Balanced", I38, H38))</f>
        <v>4.7E-2</v>
      </c>
      <c r="I55" s="177">
        <f t="shared" si="3"/>
        <v>101.71832551846384</v>
      </c>
      <c r="J55" s="177">
        <f t="shared" si="4"/>
        <v>101.71832551846384</v>
      </c>
      <c r="K55" s="177">
        <f t="shared" si="5"/>
        <v>3869.0637150911984</v>
      </c>
      <c r="L55" s="177"/>
    </row>
    <row r="56" spans="3:14" x14ac:dyDescent="0.25">
      <c r="C56" s="177">
        <f>'[2]Income data'!G37</f>
        <v>0</v>
      </c>
      <c r="D56" s="176" t="s">
        <v>553</v>
      </c>
      <c r="E56" s="176"/>
      <c r="F56" s="176">
        <v>33</v>
      </c>
      <c r="G56" s="177">
        <f>$H$14</f>
        <v>3668.301255669654</v>
      </c>
      <c r="H56" s="178">
        <f>IF(D56="Aggressive",J38,IF(D56="Balanced", I38, H38))</f>
        <v>4.7E-2</v>
      </c>
      <c r="I56" s="177">
        <f t="shared" si="3"/>
        <v>203.50885421054303</v>
      </c>
      <c r="J56" s="177">
        <f t="shared" si="4"/>
        <v>3871.8101098801972</v>
      </c>
      <c r="K56" s="177">
        <f t="shared" si="5"/>
        <v>7740.8738249713952</v>
      </c>
      <c r="L56" s="177"/>
    </row>
    <row r="57" spans="3:14" x14ac:dyDescent="0.25">
      <c r="C57" s="177">
        <f>'[2]Income data'!G38</f>
        <v>0</v>
      </c>
      <c r="D57" s="176" t="s">
        <v>553</v>
      </c>
      <c r="E57" s="176"/>
      <c r="F57" s="176">
        <v>34</v>
      </c>
      <c r="G57" s="177">
        <f>Sommaire!P126</f>
        <v>3668</v>
      </c>
      <c r="H57" s="178">
        <f>IF(D57="Aggressive",J38,IF(D57="Balanced", I38, H38))</f>
        <v>4.7E-2</v>
      </c>
      <c r="I57" s="177">
        <f t="shared" si="3"/>
        <v>308.03959327422768</v>
      </c>
      <c r="J57" s="177">
        <f t="shared" si="4"/>
        <v>3976.0395932742276</v>
      </c>
      <c r="K57" s="177">
        <f t="shared" si="5"/>
        <v>11716.913418245622</v>
      </c>
      <c r="L57" s="177"/>
      <c r="N57" t="s">
        <v>580</v>
      </c>
    </row>
    <row r="58" spans="3:14" x14ac:dyDescent="0.25">
      <c r="C58" s="177">
        <f>'[2]Income data'!G39</f>
        <v>0</v>
      </c>
      <c r="D58" s="176" t="s">
        <v>553</v>
      </c>
      <c r="E58" s="176"/>
      <c r="F58" s="176">
        <v>35</v>
      </c>
      <c r="G58" s="177">
        <f t="shared" ref="G58:G63" si="6">$H$14</f>
        <v>3668.301255669654</v>
      </c>
      <c r="H58" s="178">
        <f>IF(D58="Aggressive",J38,IF(D58="Balanced", I38, H38))</f>
        <v>4.7E-2</v>
      </c>
      <c r="I58" s="177">
        <f t="shared" si="3"/>
        <v>415.40079619571242</v>
      </c>
      <c r="J58" s="177">
        <f t="shared" si="4"/>
        <v>4083.7020518653662</v>
      </c>
      <c r="K58" s="177">
        <f t="shared" si="5"/>
        <v>15800.615470110988</v>
      </c>
      <c r="L58" s="177"/>
    </row>
    <row r="59" spans="3:14" x14ac:dyDescent="0.25">
      <c r="C59" s="177">
        <f>'[2]Income data'!G40</f>
        <v>0</v>
      </c>
      <c r="D59" s="176" t="s">
        <v>553</v>
      </c>
      <c r="E59" s="176"/>
      <c r="F59" s="176">
        <v>36</v>
      </c>
      <c r="G59" s="177">
        <f t="shared" si="6"/>
        <v>3668.301255669654</v>
      </c>
      <c r="H59" s="178">
        <f>IF(D59="Aggressive",J38,IF(D59="Balanced", I38, H38))</f>
        <v>4.7E-2</v>
      </c>
      <c r="I59" s="177">
        <f t="shared" si="3"/>
        <v>525.66075159607726</v>
      </c>
      <c r="J59" s="177">
        <f t="shared" si="4"/>
        <v>4193.9620072657308</v>
      </c>
      <c r="K59" s="177">
        <f t="shared" si="5"/>
        <v>19994.577477376719</v>
      </c>
      <c r="L59" s="177"/>
    </row>
    <row r="60" spans="3:14" x14ac:dyDescent="0.25">
      <c r="C60" s="177">
        <f>'[2]Income data'!G41</f>
        <v>0</v>
      </c>
      <c r="D60" s="176" t="s">
        <v>553</v>
      </c>
      <c r="E60" s="176"/>
      <c r="F60" s="176">
        <v>37</v>
      </c>
      <c r="G60" s="177">
        <f t="shared" si="6"/>
        <v>3668.301255669654</v>
      </c>
      <c r="H60" s="178">
        <f>IF(D60="Aggressive",J38,IF(D60="Balanced", I38, H38))</f>
        <v>4.7E-2</v>
      </c>
      <c r="I60" s="177">
        <f t="shared" si="3"/>
        <v>638.89772579225212</v>
      </c>
      <c r="J60" s="177">
        <f t="shared" si="4"/>
        <v>4307.1989814619064</v>
      </c>
      <c r="K60" s="177">
        <f t="shared" si="5"/>
        <v>24301.776458838627</v>
      </c>
      <c r="L60" s="177"/>
    </row>
    <row r="61" spans="3:14" x14ac:dyDescent="0.25">
      <c r="C61" s="177">
        <f>'[2]Income data'!G42</f>
        <v>0</v>
      </c>
      <c r="D61" s="176" t="s">
        <v>553</v>
      </c>
      <c r="E61" s="176"/>
      <c r="F61" s="176">
        <v>38</v>
      </c>
      <c r="G61" s="177">
        <f t="shared" si="6"/>
        <v>3668.301255669654</v>
      </c>
      <c r="H61" s="178">
        <f>IF(D61="Aggressive",J38,IF(D61="Balanced", I38, H38))</f>
        <v>4.7E-2</v>
      </c>
      <c r="I61" s="177">
        <f t="shared" si="3"/>
        <v>755.1920982917236</v>
      </c>
      <c r="J61" s="177">
        <f t="shared" si="4"/>
        <v>4423.4933539613776</v>
      </c>
      <c r="K61" s="177">
        <f t="shared" si="5"/>
        <v>28725.269812800005</v>
      </c>
      <c r="L61" s="177"/>
    </row>
    <row r="62" spans="3:14" x14ac:dyDescent="0.25">
      <c r="C62" s="177">
        <f>'[2]Income data'!G43</f>
        <v>0</v>
      </c>
      <c r="D62" s="176" t="s">
        <v>553</v>
      </c>
      <c r="E62" s="176"/>
      <c r="F62" s="176">
        <v>39</v>
      </c>
      <c r="G62" s="177">
        <f t="shared" si="6"/>
        <v>3668.301255669654</v>
      </c>
      <c r="H62" s="178">
        <f>IF(D62="Aggressive",J38,IF(D62="Balanced", I38, H38))</f>
        <v>4.7E-2</v>
      </c>
      <c r="I62" s="177">
        <f t="shared" si="3"/>
        <v>874.62641884868083</v>
      </c>
      <c r="J62" s="177">
        <f t="shared" si="4"/>
        <v>4542.9276745183352</v>
      </c>
      <c r="K62" s="177">
        <f t="shared" si="5"/>
        <v>33268.197487318343</v>
      </c>
      <c r="L62" s="177"/>
    </row>
    <row r="63" spans="3:14" x14ac:dyDescent="0.25">
      <c r="C63" s="177">
        <f>'[2]Income data'!G44</f>
        <v>0</v>
      </c>
      <c r="D63" s="176" t="s">
        <v>553</v>
      </c>
      <c r="E63" s="176"/>
      <c r="F63" s="176">
        <v>40</v>
      </c>
      <c r="G63" s="177">
        <f t="shared" si="6"/>
        <v>3668.301255669654</v>
      </c>
      <c r="H63" s="178">
        <f>IF(D63="Aggressive",J38,IF(D63="Balanced", I38, H38))</f>
        <v>4.7E-2</v>
      </c>
      <c r="I63" s="177">
        <f t="shared" si="3"/>
        <v>997.28546606067596</v>
      </c>
      <c r="J63" s="177">
        <f t="shared" si="4"/>
        <v>4665.5867217303303</v>
      </c>
      <c r="K63" s="177">
        <f t="shared" si="5"/>
        <v>37933.784209048674</v>
      </c>
      <c r="L63" s="177"/>
    </row>
    <row r="64" spans="3:14" x14ac:dyDescent="0.25">
      <c r="C64" s="177">
        <f>'[2]Income data'!G45</f>
        <v>0</v>
      </c>
      <c r="D64" s="176" t="s">
        <v>552</v>
      </c>
      <c r="E64" s="176"/>
      <c r="F64" s="176">
        <v>41</v>
      </c>
      <c r="G64" s="177">
        <f t="shared" ref="G64:G85" si="7">$H$15</f>
        <v>4338.4634167167915</v>
      </c>
      <c r="H64" s="178">
        <f>IF(D64="Aggressive",J38,IF(D64="Balanced", I38, H38))</f>
        <v>3.8800000000000001E-2</v>
      </c>
      <c r="I64" s="177">
        <f t="shared" si="3"/>
        <v>794.71825536439076</v>
      </c>
      <c r="J64" s="177">
        <f t="shared" si="4"/>
        <v>5133.1816720811821</v>
      </c>
      <c r="K64" s="177">
        <f t="shared" si="5"/>
        <v>43066.965881129858</v>
      </c>
      <c r="L64" s="177"/>
    </row>
    <row r="65" spans="3:12" x14ac:dyDescent="0.25">
      <c r="C65" s="177">
        <f>'[2]Income data'!G46</f>
        <v>0</v>
      </c>
      <c r="D65" s="176" t="s">
        <v>552</v>
      </c>
      <c r="E65" s="176"/>
      <c r="F65" s="176">
        <v>42</v>
      </c>
      <c r="G65" s="177">
        <f t="shared" si="7"/>
        <v>4338.4634167167915</v>
      </c>
      <c r="H65" s="178">
        <f>IF(D65="Aggressive",J38,IF(D65="Balanced", I38, H38))</f>
        <v>3.8800000000000001E-2</v>
      </c>
      <c r="I65" s="177">
        <f t="shared" si="3"/>
        <v>891.22207079951704</v>
      </c>
      <c r="J65" s="177">
        <f t="shared" si="4"/>
        <v>5229.6854875163081</v>
      </c>
      <c r="K65" s="177">
        <f t="shared" si="5"/>
        <v>48296.651368646169</v>
      </c>
      <c r="L65" s="177"/>
    </row>
    <row r="66" spans="3:12" x14ac:dyDescent="0.25">
      <c r="C66" s="177">
        <f>'[2]Income data'!G47</f>
        <v>0</v>
      </c>
      <c r="D66" s="176" t="s">
        <v>552</v>
      </c>
      <c r="E66" s="176"/>
      <c r="F66" s="176">
        <v>43</v>
      </c>
      <c r="G66" s="177">
        <f t="shared" si="7"/>
        <v>4338.4634167167915</v>
      </c>
      <c r="H66" s="178">
        <f>IF(D66="Aggressive",J38,IF(D66="Balanced", I38, H38))</f>
        <v>3.8800000000000001E-2</v>
      </c>
      <c r="I66" s="177">
        <f t="shared" si="3"/>
        <v>989.54015796482372</v>
      </c>
      <c r="J66" s="177">
        <f t="shared" si="4"/>
        <v>5328.0035746816156</v>
      </c>
      <c r="K66" s="177">
        <f t="shared" si="5"/>
        <v>53624.654943327783</v>
      </c>
      <c r="L66" s="177"/>
    </row>
    <row r="67" spans="3:12" x14ac:dyDescent="0.25">
      <c r="C67" s="177">
        <f>'[2]Income data'!G48</f>
        <v>0</v>
      </c>
      <c r="D67" s="176" t="s">
        <v>552</v>
      </c>
      <c r="E67" s="176"/>
      <c r="F67" s="176">
        <v>44</v>
      </c>
      <c r="G67" s="177">
        <f t="shared" si="7"/>
        <v>4338.4634167167915</v>
      </c>
      <c r="H67" s="178">
        <f>IF(D67="Aggressive",J38,IF(D67="Balanced", I38, H38))</f>
        <v>3.8800000000000001E-2</v>
      </c>
      <c r="I67" s="177">
        <f t="shared" si="3"/>
        <v>1089.7066251688379</v>
      </c>
      <c r="J67" s="177">
        <f t="shared" si="4"/>
        <v>5428.170041885629</v>
      </c>
      <c r="K67" s="177">
        <f t="shared" si="5"/>
        <v>59052.82498521341</v>
      </c>
      <c r="L67" s="177"/>
    </row>
    <row r="68" spans="3:12" x14ac:dyDescent="0.25">
      <c r="C68" s="177">
        <f>'[2]Income data'!G49</f>
        <v>0</v>
      </c>
      <c r="D68" s="176" t="s">
        <v>552</v>
      </c>
      <c r="E68" s="176"/>
      <c r="F68" s="176">
        <v>45</v>
      </c>
      <c r="G68" s="177">
        <f t="shared" si="7"/>
        <v>4338.4634167167915</v>
      </c>
      <c r="H68" s="178">
        <f>IF(D68="Aggressive",J38,IF(D68="Balanced", I38, H38))</f>
        <v>3.8800000000000001E-2</v>
      </c>
      <c r="I68" s="177">
        <f t="shared" si="3"/>
        <v>1191.7562219562878</v>
      </c>
      <c r="J68" s="177">
        <f t="shared" si="4"/>
        <v>5530.2196386730793</v>
      </c>
      <c r="K68" s="177">
        <f t="shared" si="5"/>
        <v>64583.04462388649</v>
      </c>
      <c r="L68" s="177"/>
    </row>
    <row r="69" spans="3:12" x14ac:dyDescent="0.25">
      <c r="C69" s="177">
        <f>'[2]Income data'!G50</f>
        <v>0</v>
      </c>
      <c r="D69" s="176" t="s">
        <v>552</v>
      </c>
      <c r="E69" s="176"/>
      <c r="F69" s="176">
        <v>46</v>
      </c>
      <c r="G69" s="177">
        <f t="shared" si="7"/>
        <v>4338.4634167167915</v>
      </c>
      <c r="H69" s="178">
        <f>IF(D69="Aggressive",J38,IF(D69="Balanced", I38, H38))</f>
        <v>3.8800000000000001E-2</v>
      </c>
      <c r="I69" s="177">
        <f t="shared" si="3"/>
        <v>1295.7243511633417</v>
      </c>
      <c r="J69" s="177">
        <f t="shared" si="4"/>
        <v>5634.1877678801329</v>
      </c>
      <c r="K69" s="177">
        <f t="shared" si="5"/>
        <v>70217.232391766622</v>
      </c>
      <c r="L69" s="177"/>
    </row>
    <row r="70" spans="3:12" x14ac:dyDescent="0.25">
      <c r="C70" s="177">
        <f>'[2]Income data'!G51</f>
        <v>0</v>
      </c>
      <c r="D70" s="176" t="s">
        <v>552</v>
      </c>
      <c r="E70" s="176"/>
      <c r="F70" s="176">
        <v>47</v>
      </c>
      <c r="G70" s="177">
        <f t="shared" si="7"/>
        <v>4338.4634167167915</v>
      </c>
      <c r="H70" s="178">
        <f>IF(D70="Aggressive",J38,IF(D70="Balanced", I38, H38))</f>
        <v>3.8800000000000001E-2</v>
      </c>
      <c r="I70" s="177">
        <f t="shared" si="3"/>
        <v>1401.6470811994884</v>
      </c>
      <c r="J70" s="177">
        <f t="shared" si="4"/>
        <v>5740.1104979162801</v>
      </c>
      <c r="K70" s="177">
        <f t="shared" si="5"/>
        <v>75957.342889682899</v>
      </c>
      <c r="L70" s="177"/>
    </row>
    <row r="71" spans="3:12" x14ac:dyDescent="0.25">
      <c r="C71" s="177">
        <f>'[2]Income data'!G52</f>
        <v>0</v>
      </c>
      <c r="D71" s="176" t="s">
        <v>552</v>
      </c>
      <c r="E71" s="176"/>
      <c r="F71" s="176">
        <v>48</v>
      </c>
      <c r="G71" s="177">
        <f t="shared" si="7"/>
        <v>4338.4634167167915</v>
      </c>
      <c r="H71" s="178">
        <f>IF(D71="Aggressive",J38,IF(D71="Balanced", I38, H38))</f>
        <v>3.8800000000000001E-2</v>
      </c>
      <c r="I71" s="177">
        <f t="shared" si="3"/>
        <v>1509.5611585603144</v>
      </c>
      <c r="J71" s="177">
        <f t="shared" si="4"/>
        <v>5848.0245752771061</v>
      </c>
      <c r="K71" s="177">
        <f t="shared" si="5"/>
        <v>81805.36746496</v>
      </c>
      <c r="L71" s="177"/>
    </row>
    <row r="72" spans="3:12" x14ac:dyDescent="0.25">
      <c r="C72" s="177">
        <f>'[2]Income data'!G53</f>
        <v>0</v>
      </c>
      <c r="D72" s="176" t="s">
        <v>552</v>
      </c>
      <c r="E72" s="176"/>
      <c r="F72" s="176">
        <v>49</v>
      </c>
      <c r="G72" s="177">
        <f t="shared" si="7"/>
        <v>4338.4634167167915</v>
      </c>
      <c r="H72" s="178">
        <f>IF(D72="Aggressive",J38,IF(D72="Balanced", I38, H38))</f>
        <v>3.8800000000000001E-2</v>
      </c>
      <c r="I72" s="177">
        <f t="shared" si="3"/>
        <v>1619.5040205755238</v>
      </c>
      <c r="J72" s="177">
        <f t="shared" si="4"/>
        <v>5957.9674372923155</v>
      </c>
      <c r="K72" s="177">
        <f t="shared" si="5"/>
        <v>87763.334902252318</v>
      </c>
      <c r="L72" s="177"/>
    </row>
    <row r="73" spans="3:12" x14ac:dyDescent="0.25">
      <c r="C73" s="177">
        <f>'[2]Income data'!G54</f>
        <v>0</v>
      </c>
      <c r="D73" s="176" t="s">
        <v>552</v>
      </c>
      <c r="E73" s="176"/>
      <c r="F73" s="176">
        <v>50</v>
      </c>
      <c r="G73" s="177">
        <f t="shared" si="7"/>
        <v>4338.4634167167915</v>
      </c>
      <c r="H73" s="178">
        <f>IF(D73="Aggressive",J38,IF(D73="Balanced", I38, H38))</f>
        <v>3.8800000000000001E-2</v>
      </c>
      <c r="I73" s="177">
        <f t="shared" si="3"/>
        <v>1731.5138083966194</v>
      </c>
      <c r="J73" s="177">
        <f t="shared" si="4"/>
        <v>6069.9772251134109</v>
      </c>
      <c r="K73" s="177">
        <f t="shared" si="5"/>
        <v>93833.312127365731</v>
      </c>
      <c r="L73" s="177"/>
    </row>
    <row r="74" spans="3:12" x14ac:dyDescent="0.25">
      <c r="C74" s="177">
        <f>'[2]Income data'!G55</f>
        <v>0</v>
      </c>
      <c r="D74" s="176" t="s">
        <v>552</v>
      </c>
      <c r="E74" s="176"/>
      <c r="F74" s="176">
        <v>51</v>
      </c>
      <c r="G74" s="177">
        <f t="shared" si="7"/>
        <v>4338.4634167167915</v>
      </c>
      <c r="H74" s="178">
        <f>IF(D74="Aggressive",J38,IF(D74="Balanced", I38, H38))</f>
        <v>3.8800000000000001E-2</v>
      </c>
      <c r="I74" s="177">
        <f t="shared" si="3"/>
        <v>1845.6293802287516</v>
      </c>
      <c r="J74" s="177">
        <f t="shared" si="4"/>
        <v>6184.0927969455433</v>
      </c>
      <c r="K74" s="177">
        <f t="shared" si="5"/>
        <v>100017.40492431127</v>
      </c>
      <c r="L74" s="177"/>
    </row>
    <row r="75" spans="3:12" x14ac:dyDescent="0.25">
      <c r="C75" s="177">
        <f>'[2]Income data'!G56</f>
        <v>0</v>
      </c>
      <c r="D75" s="176" t="s">
        <v>552</v>
      </c>
      <c r="E75" s="176"/>
      <c r="F75" s="176">
        <v>52</v>
      </c>
      <c r="G75" s="177">
        <f t="shared" si="7"/>
        <v>4338.4634167167915</v>
      </c>
      <c r="H75" s="178">
        <f>IF(D75="Aggressive",J38,IF(D75="Balanced", I38, H38))</f>
        <v>3.8800000000000001E-2</v>
      </c>
      <c r="I75" s="177">
        <f t="shared" si="3"/>
        <v>1961.8903248113277</v>
      </c>
      <c r="J75" s="177">
        <f t="shared" si="4"/>
        <v>6300.3537415281189</v>
      </c>
      <c r="K75" s="177">
        <f t="shared" si="5"/>
        <v>106317.75866583938</v>
      </c>
      <c r="L75" s="177"/>
    </row>
    <row r="76" spans="3:12" x14ac:dyDescent="0.25">
      <c r="C76" s="177">
        <f>'[2]Income data'!G57</f>
        <v>0</v>
      </c>
      <c r="D76" s="176" t="s">
        <v>552</v>
      </c>
      <c r="E76" s="176"/>
      <c r="F76" s="176">
        <v>53</v>
      </c>
      <c r="G76" s="177">
        <f t="shared" si="7"/>
        <v>4338.4634167167915</v>
      </c>
      <c r="H76" s="178">
        <f>IF(D76="Aggressive",J38,IF(D76="Balanced", I38, H38))</f>
        <v>3.8800000000000001E-2</v>
      </c>
      <c r="I76" s="177">
        <f t="shared" si="3"/>
        <v>2080.3369751520563</v>
      </c>
      <c r="J76" s="177">
        <f t="shared" si="4"/>
        <v>6418.8003918688482</v>
      </c>
      <c r="K76" s="177">
        <f t="shared" si="5"/>
        <v>112736.55905770823</v>
      </c>
      <c r="L76" s="177"/>
    </row>
    <row r="77" spans="3:12" x14ac:dyDescent="0.25">
      <c r="C77" s="177">
        <f>'[2]Income data'!G58</f>
        <v>0</v>
      </c>
      <c r="D77" s="176" t="s">
        <v>552</v>
      </c>
      <c r="E77" s="176"/>
      <c r="F77" s="176">
        <v>54</v>
      </c>
      <c r="G77" s="177">
        <f t="shared" si="7"/>
        <v>4338.4634167167915</v>
      </c>
      <c r="H77" s="178">
        <f>IF(D77="Aggressive",J38,IF(D77="Balanced", I38, H38))</f>
        <v>3.8800000000000001E-2</v>
      </c>
      <c r="I77" s="177">
        <f t="shared" si="3"/>
        <v>2201.0104225191908</v>
      </c>
      <c r="J77" s="177">
        <f t="shared" si="4"/>
        <v>6539.4738392359823</v>
      </c>
      <c r="K77" s="177">
        <f t="shared" si="5"/>
        <v>119276.03289694422</v>
      </c>
      <c r="L77" s="177"/>
    </row>
    <row r="78" spans="3:12" x14ac:dyDescent="0.25">
      <c r="C78" s="177">
        <f>'[2]Income data'!G59</f>
        <v>0</v>
      </c>
      <c r="D78" s="176" t="s">
        <v>581</v>
      </c>
      <c r="E78" s="176"/>
      <c r="F78" s="176">
        <v>55</v>
      </c>
      <c r="G78" s="177">
        <f t="shared" si="7"/>
        <v>4338.4634167167915</v>
      </c>
      <c r="H78" s="178">
        <f>IF(D78="Aggressive",J38,IF(D78="Balanced", I38, H38))</f>
        <v>3.2300000000000002E-2</v>
      </c>
      <c r="I78" s="177">
        <f t="shared" si="3"/>
        <v>1520.4583046580308</v>
      </c>
      <c r="J78" s="177">
        <f t="shared" si="4"/>
        <v>5858.9217213748225</v>
      </c>
      <c r="K78" s="177">
        <f t="shared" si="5"/>
        <v>125134.95461831904</v>
      </c>
      <c r="L78" s="177"/>
    </row>
    <row r="79" spans="3:12" x14ac:dyDescent="0.25">
      <c r="C79" s="177">
        <f>'[2]Income data'!G60</f>
        <v>0</v>
      </c>
      <c r="D79" s="176" t="s">
        <v>581</v>
      </c>
      <c r="E79" s="176"/>
      <c r="F79" s="176">
        <v>56</v>
      </c>
      <c r="G79" s="177">
        <f t="shared" si="7"/>
        <v>4338.4634167167915</v>
      </c>
      <c r="H79" s="178">
        <f>IF(D79="Aggressive",J38,IF(D79="Balanced", I38, H38))</f>
        <v>3.2300000000000002E-2</v>
      </c>
      <c r="I79" s="177">
        <f t="shared" si="3"/>
        <v>1592.5230418309411</v>
      </c>
      <c r="J79" s="177">
        <f t="shared" si="4"/>
        <v>5930.9864585477326</v>
      </c>
      <c r="K79" s="177">
        <f t="shared" si="5"/>
        <v>131065.94107686677</v>
      </c>
      <c r="L79" s="177"/>
    </row>
    <row r="80" spans="3:12" x14ac:dyDescent="0.25">
      <c r="C80" s="177">
        <f>'[2]Income data'!G61</f>
        <v>0</v>
      </c>
      <c r="D80" s="176" t="s">
        <v>581</v>
      </c>
      <c r="E80" s="176"/>
      <c r="F80" s="176">
        <v>57</v>
      </c>
      <c r="G80" s="177">
        <f t="shared" si="7"/>
        <v>4338.4634167167915</v>
      </c>
      <c r="H80" s="178">
        <f>IF(D80="Aggressive",J38,IF(D80="Balanced", I38, H38))</f>
        <v>3.2300000000000002E-2</v>
      </c>
      <c r="I80" s="177">
        <f t="shared" si="3"/>
        <v>1665.4741752710781</v>
      </c>
      <c r="J80" s="177">
        <f t="shared" si="4"/>
        <v>6003.9375919878694</v>
      </c>
      <c r="K80" s="177">
        <f t="shared" si="5"/>
        <v>137069.87866885465</v>
      </c>
      <c r="L80" s="177"/>
    </row>
    <row r="81" spans="3:17" x14ac:dyDescent="0.25">
      <c r="C81" s="177">
        <f>'[2]Income data'!G62</f>
        <v>0</v>
      </c>
      <c r="D81" s="176" t="s">
        <v>581</v>
      </c>
      <c r="E81" s="176"/>
      <c r="F81" s="176">
        <v>58</v>
      </c>
      <c r="G81" s="177">
        <f t="shared" si="7"/>
        <v>4338.4634167167915</v>
      </c>
      <c r="H81" s="178">
        <f>IF(D81="Aggressive",J38,IF(D81="Balanced", I38, H38))</f>
        <v>3.2300000000000002E-2</v>
      </c>
      <c r="I81" s="177">
        <f t="shared" si="3"/>
        <v>1739.3226076525289</v>
      </c>
      <c r="J81" s="177">
        <f t="shared" si="4"/>
        <v>6077.7860243693203</v>
      </c>
      <c r="K81" s="177">
        <f t="shared" si="5"/>
        <v>143147.66469322398</v>
      </c>
      <c r="L81" s="177"/>
    </row>
    <row r="82" spans="3:17" x14ac:dyDescent="0.25">
      <c r="C82" s="177">
        <f>'[2]Income data'!G63</f>
        <v>0</v>
      </c>
      <c r="D82" s="176" t="s">
        <v>581</v>
      </c>
      <c r="E82" s="176"/>
      <c r="F82" s="176">
        <v>59</v>
      </c>
      <c r="G82" s="177">
        <f t="shared" si="7"/>
        <v>4338.4634167167915</v>
      </c>
      <c r="H82" s="178">
        <f>IF(D82="Aggressive",J38,IF(D82="Balanced", I437, H38))</f>
        <v>3.2300000000000002E-2</v>
      </c>
      <c r="I82" s="177">
        <f t="shared" si="3"/>
        <v>1814.0793757522717</v>
      </c>
      <c r="J82" s="177">
        <f t="shared" si="4"/>
        <v>6152.542792469063</v>
      </c>
      <c r="K82" s="177">
        <f t="shared" si="5"/>
        <v>149300.20748569304</v>
      </c>
      <c r="L82" s="177"/>
    </row>
    <row r="83" spans="3:17" x14ac:dyDescent="0.25">
      <c r="C83" s="177">
        <f>'[2]Income data'!G64</f>
        <v>0</v>
      </c>
      <c r="D83" s="176" t="s">
        <v>581</v>
      </c>
      <c r="E83" s="176"/>
      <c r="F83" s="176">
        <v>60</v>
      </c>
      <c r="G83" s="177">
        <f t="shared" si="7"/>
        <v>4338.4634167167915</v>
      </c>
      <c r="H83" s="178">
        <f>IF(D83="Aggressive",J38,IF(D83="Balanced", I437, H38))</f>
        <v>3.2300000000000002E-2</v>
      </c>
      <c r="I83" s="177">
        <f t="shared" si="3"/>
        <v>1889.7556520996411</v>
      </c>
      <c r="J83" s="177">
        <f t="shared" si="4"/>
        <v>6228.2190688164328</v>
      </c>
      <c r="K83" s="177">
        <f t="shared" si="5"/>
        <v>155528.42655450947</v>
      </c>
      <c r="L83" s="177"/>
    </row>
    <row r="84" spans="3:17" x14ac:dyDescent="0.25">
      <c r="C84" s="177">
        <f>'[2]Income data'!G65</f>
        <v>0</v>
      </c>
      <c r="D84" s="176" t="s">
        <v>581</v>
      </c>
      <c r="E84" s="176"/>
      <c r="F84" s="176">
        <v>61</v>
      </c>
      <c r="G84" s="177">
        <f t="shared" si="7"/>
        <v>4338.4634167167915</v>
      </c>
      <c r="H84" s="178">
        <f>IF(D84="Aggressive",J38,IF(D84="Balanced", I38, H38))</f>
        <v>3.2300000000000002E-2</v>
      </c>
      <c r="I84" s="177">
        <f t="shared" si="3"/>
        <v>1966.3627466460832</v>
      </c>
      <c r="J84" s="177">
        <f t="shared" si="4"/>
        <v>6304.8261633628745</v>
      </c>
      <c r="K84" s="177">
        <f t="shared" si="5"/>
        <v>161833.25271787235</v>
      </c>
      <c r="L84" s="177"/>
    </row>
    <row r="85" spans="3:17" x14ac:dyDescent="0.25">
      <c r="C85" s="177">
        <f>'[2]Income data'!G66</f>
        <v>0</v>
      </c>
      <c r="D85" s="176" t="s">
        <v>581</v>
      </c>
      <c r="E85" s="176"/>
      <c r="F85" s="176">
        <v>62</v>
      </c>
      <c r="G85" s="177">
        <f t="shared" si="7"/>
        <v>4338.4634167167915</v>
      </c>
      <c r="H85" s="178">
        <f>IF(D85="Aggressive",J38,IF(D85="Balanced", I38, H38))</f>
        <v>3.2300000000000002E-2</v>
      </c>
      <c r="I85" s="177">
        <f t="shared" si="3"/>
        <v>2043.9121084554467</v>
      </c>
      <c r="J85" s="177">
        <f t="shared" si="4"/>
        <v>6382.3755251722378</v>
      </c>
      <c r="K85" s="177">
        <f t="shared" si="5"/>
        <v>168215.6282430446</v>
      </c>
      <c r="L85" s="177"/>
    </row>
    <row r="86" spans="3:17" x14ac:dyDescent="0.25">
      <c r="C86" s="177">
        <f>'[2]Income data'!G67</f>
        <v>0</v>
      </c>
      <c r="D86" s="176" t="s">
        <v>581</v>
      </c>
      <c r="E86" s="176"/>
      <c r="F86" s="176">
        <v>63</v>
      </c>
      <c r="G86" s="177">
        <f>D31*C86</f>
        <v>0</v>
      </c>
      <c r="H86" s="178">
        <f>IF(D86="Aggressive",J38,IF(D86="Balanced", I38, H38))</f>
        <v>3.2300000000000002E-2</v>
      </c>
      <c r="I86" s="177">
        <f t="shared" si="3"/>
        <v>2069.0522273894489</v>
      </c>
      <c r="J86" s="177">
        <f t="shared" si="4"/>
        <v>2069.0522273894489</v>
      </c>
      <c r="K86" s="177">
        <f t="shared" si="5"/>
        <v>161509.68047043405</v>
      </c>
      <c r="L86" s="177">
        <v>8775</v>
      </c>
    </row>
    <row r="87" spans="3:17" x14ac:dyDescent="0.25">
      <c r="C87" s="177">
        <f>'[2]Income data'!G68</f>
        <v>0</v>
      </c>
      <c r="D87" s="176" t="s">
        <v>581</v>
      </c>
      <c r="E87" s="176"/>
      <c r="F87" s="176">
        <v>64</v>
      </c>
      <c r="G87" s="177">
        <f>D31*C87</f>
        <v>0</v>
      </c>
      <c r="H87" s="178">
        <f>IF(D87="Aggressive",J38,IF(D87="Balanced", I38, H38))</f>
        <v>3.2300000000000002E-2</v>
      </c>
      <c r="I87" s="177">
        <f t="shared" si="3"/>
        <v>1986.569069786339</v>
      </c>
      <c r="J87" s="177">
        <f t="shared" si="4"/>
        <v>1986.569069786339</v>
      </c>
      <c r="K87" s="177">
        <f t="shared" si="5"/>
        <v>154721.24954022039</v>
      </c>
      <c r="L87" s="177">
        <v>8775</v>
      </c>
    </row>
    <row r="88" spans="3:17" x14ac:dyDescent="0.25">
      <c r="C88" s="177">
        <f>'[2]Income data'!G69</f>
        <v>0</v>
      </c>
      <c r="D88" s="176" t="s">
        <v>581</v>
      </c>
      <c r="E88" s="176"/>
      <c r="F88" s="176">
        <v>65</v>
      </c>
      <c r="G88" s="177">
        <f>D31*C88</f>
        <v>0</v>
      </c>
      <c r="H88" s="178">
        <f>IF(D88="Aggressive",J38,IF(D88="Balanced", I38, H38))</f>
        <v>3.2300000000000002E-2</v>
      </c>
      <c r="I88" s="177">
        <f t="shared" si="3"/>
        <v>1903.0713693447112</v>
      </c>
      <c r="J88" s="177">
        <f t="shared" si="4"/>
        <v>1903.0713693447112</v>
      </c>
      <c r="K88" s="177">
        <f t="shared" si="5"/>
        <v>147849.32090956511</v>
      </c>
      <c r="L88" s="177">
        <v>8775</v>
      </c>
    </row>
    <row r="89" spans="3:17" x14ac:dyDescent="0.25">
      <c r="C89" s="177">
        <f>'[2]Income data'!G70</f>
        <v>0</v>
      </c>
      <c r="D89" s="176" t="s">
        <v>581</v>
      </c>
      <c r="E89" s="176"/>
      <c r="F89" s="176">
        <v>66</v>
      </c>
      <c r="G89" s="177">
        <f>D31*C89</f>
        <v>0</v>
      </c>
      <c r="H89" s="178">
        <f>IF(D89="Aggressive",J38,IF(D89="Balanced", I38, H38))</f>
        <v>3.2300000000000002E-2</v>
      </c>
      <c r="I89" s="177">
        <f t="shared" si="3"/>
        <v>1818.5466471876512</v>
      </c>
      <c r="J89" s="177">
        <f t="shared" si="4"/>
        <v>1818.5466471876512</v>
      </c>
      <c r="K89" s="177">
        <f t="shared" si="5"/>
        <v>140892.86755675275</v>
      </c>
      <c r="L89" s="177">
        <v>8775</v>
      </c>
    </row>
    <row r="90" spans="3:17" x14ac:dyDescent="0.25">
      <c r="C90" s="177">
        <f>'[2]Income data'!G71</f>
        <v>0</v>
      </c>
      <c r="D90" s="176" t="s">
        <v>581</v>
      </c>
      <c r="E90" s="176"/>
      <c r="F90" s="176">
        <v>67</v>
      </c>
      <c r="G90" s="177">
        <f>D31*C90</f>
        <v>0</v>
      </c>
      <c r="H90" s="178">
        <f>IF(D90="Aggressive",J38,IF(D90="Balanced", I38, H38))</f>
        <v>3.2300000000000002E-2</v>
      </c>
      <c r="I90" s="177">
        <f t="shared" si="3"/>
        <v>1732.9822709480591</v>
      </c>
      <c r="J90" s="177">
        <f t="shared" si="4"/>
        <v>1732.9822709480591</v>
      </c>
      <c r="K90" s="177">
        <f t="shared" si="5"/>
        <v>133850.84982770082</v>
      </c>
      <c r="L90" s="177">
        <v>8775</v>
      </c>
    </row>
    <row r="91" spans="3:17" x14ac:dyDescent="0.25">
      <c r="C91" s="177">
        <f>'[2]Income data'!G72</f>
        <v>0</v>
      </c>
      <c r="D91" s="176" t="s">
        <v>581</v>
      </c>
      <c r="E91" s="176"/>
      <c r="F91" s="176">
        <v>68</v>
      </c>
      <c r="G91" s="177">
        <f>D31*C91</f>
        <v>0</v>
      </c>
      <c r="H91" s="178">
        <f>IF(D91="Aggressive",J38,IF(D91="Balanced", I38, H38))</f>
        <v>3.2300000000000002E-2</v>
      </c>
      <c r="I91" s="177">
        <f t="shared" si="3"/>
        <v>1646.3654528807203</v>
      </c>
      <c r="J91" s="177">
        <f t="shared" si="4"/>
        <v>1646.3654528807203</v>
      </c>
      <c r="K91" s="177">
        <f t="shared" si="5"/>
        <v>126722.21528058153</v>
      </c>
      <c r="L91" s="177">
        <v>8775</v>
      </c>
      <c r="Q91" t="s">
        <v>582</v>
      </c>
    </row>
    <row r="92" spans="3:17" x14ac:dyDescent="0.25">
      <c r="C92" s="177">
        <f>'[2]Income data'!G73</f>
        <v>0</v>
      </c>
      <c r="D92" s="176" t="s">
        <v>581</v>
      </c>
      <c r="E92" s="176"/>
      <c r="F92" s="176">
        <v>69</v>
      </c>
      <c r="G92" s="177">
        <f>D31*C92</f>
        <v>0</v>
      </c>
      <c r="H92" s="178">
        <f>IF(D92="Aggressive",J38,IF(D92="Balanced", I38, H38))</f>
        <v>3.2300000000000002E-2</v>
      </c>
      <c r="I92" s="177">
        <f t="shared" si="3"/>
        <v>1558.6832479511531</v>
      </c>
      <c r="J92" s="177">
        <f t="shared" si="4"/>
        <v>1558.6832479511531</v>
      </c>
      <c r="K92" s="177">
        <f t="shared" si="5"/>
        <v>119505.89852853268</v>
      </c>
      <c r="L92" s="177">
        <v>8775</v>
      </c>
      <c r="M92" t="s">
        <v>583</v>
      </c>
      <c r="N92" t="s">
        <v>584</v>
      </c>
      <c r="Q92" t="s">
        <v>585</v>
      </c>
    </row>
    <row r="93" spans="3:17" x14ac:dyDescent="0.25">
      <c r="C93" s="177">
        <f>'[2]Income data'!G74</f>
        <v>0</v>
      </c>
      <c r="D93" s="176" t="s">
        <v>581</v>
      </c>
      <c r="E93" s="176"/>
      <c r="F93" s="176">
        <v>70</v>
      </c>
      <c r="G93" s="177">
        <f>D31*C93</f>
        <v>0</v>
      </c>
      <c r="H93" s="178">
        <f>IF(D93="Aggressive",J38,IF(D93="Balanced", I38, H38))</f>
        <v>3.2300000000000002E-2</v>
      </c>
      <c r="I93" s="177">
        <f t="shared" si="3"/>
        <v>1469.9225519009522</v>
      </c>
      <c r="J93" s="177">
        <f t="shared" si="4"/>
        <v>1469.9225519009522</v>
      </c>
      <c r="K93" s="177">
        <f t="shared" si="5"/>
        <v>112200.82108043363</v>
      </c>
      <c r="L93" s="177">
        <v>8775</v>
      </c>
      <c r="N93" t="s">
        <v>586</v>
      </c>
    </row>
    <row r="94" spans="3:17" x14ac:dyDescent="0.25">
      <c r="C94" s="177">
        <f>'[2]Income data'!G75</f>
        <v>0</v>
      </c>
      <c r="D94" s="176" t="s">
        <v>581</v>
      </c>
      <c r="E94" s="176"/>
      <c r="F94" s="176">
        <v>71</v>
      </c>
      <c r="G94" s="177">
        <f>D31*C94</f>
        <v>0</v>
      </c>
      <c r="H94" s="178">
        <f>IF(D94="Aggressive",J38,IF(D94="Balanced", I38, H38))</f>
        <v>3.2300000000000002E-2</v>
      </c>
      <c r="I94" s="177">
        <f t="shared" si="3"/>
        <v>1380.0700992893337</v>
      </c>
      <c r="J94" s="177">
        <f t="shared" si="4"/>
        <v>1380.0700992893337</v>
      </c>
      <c r="K94" s="177">
        <f t="shared" si="5"/>
        <v>104805.89117972297</v>
      </c>
      <c r="L94" s="177">
        <v>8775</v>
      </c>
      <c r="M94" s="44">
        <f t="shared" ref="M94:M105" si="8">L94/K93</f>
        <v>7.8207983823125937E-2</v>
      </c>
      <c r="N94" s="44">
        <v>5.28E-2</v>
      </c>
    </row>
    <row r="95" spans="3:17" x14ac:dyDescent="0.25">
      <c r="C95" s="177">
        <f>'[2]Income data'!G76</f>
        <v>0</v>
      </c>
      <c r="D95" s="176" t="s">
        <v>581</v>
      </c>
      <c r="E95" s="176"/>
      <c r="F95" s="176">
        <v>72</v>
      </c>
      <c r="G95" s="177">
        <f>D31*C95</f>
        <v>0</v>
      </c>
      <c r="H95" s="178">
        <f>IF(D95="Aggressive",J38,IF(D95="Balanced", I38, H38))</f>
        <v>3.2300000000000002E-2</v>
      </c>
      <c r="I95" s="177">
        <f t="shared" si="3"/>
        <v>1289.1124615105928</v>
      </c>
      <c r="J95" s="177">
        <f t="shared" si="4"/>
        <v>1289.1124615105928</v>
      </c>
      <c r="K95" s="177">
        <f t="shared" si="5"/>
        <v>97320.003641233561</v>
      </c>
      <c r="L95" s="177">
        <v>8775</v>
      </c>
      <c r="M95" s="44">
        <f t="shared" si="8"/>
        <v>8.3726209483324529E-2</v>
      </c>
      <c r="N95" s="44">
        <v>5.3999999999999999E-2</v>
      </c>
    </row>
    <row r="96" spans="3:17" x14ac:dyDescent="0.25">
      <c r="C96" s="177">
        <f>'[2]Income data'!G77</f>
        <v>0</v>
      </c>
      <c r="D96" s="176" t="s">
        <v>581</v>
      </c>
      <c r="E96" s="176"/>
      <c r="F96" s="176">
        <v>73</v>
      </c>
      <c r="G96" s="177">
        <f>D31*C96</f>
        <v>0</v>
      </c>
      <c r="H96" s="178">
        <f>IF(D96="Aggressive",J38,IF(D96="Balanced", I38, H38))</f>
        <v>3.2300000000000002E-2</v>
      </c>
      <c r="I96" s="177">
        <f t="shared" si="3"/>
        <v>1197.0360447871731</v>
      </c>
      <c r="J96" s="177">
        <f t="shared" si="4"/>
        <v>1197.0360447871731</v>
      </c>
      <c r="K96" s="177">
        <f t="shared" si="5"/>
        <v>89742.03968602074</v>
      </c>
      <c r="L96" s="177">
        <v>8775</v>
      </c>
      <c r="M96" s="44">
        <f t="shared" si="8"/>
        <v>9.0166457785479534E-2</v>
      </c>
      <c r="N96" s="44">
        <v>5.5300000000000002E-2</v>
      </c>
    </row>
    <row r="97" spans="3:14" x14ac:dyDescent="0.25">
      <c r="C97" s="177">
        <f>'[2]Income data'!G78</f>
        <v>0</v>
      </c>
      <c r="D97" s="176" t="s">
        <v>581</v>
      </c>
      <c r="E97" s="176"/>
      <c r="F97" s="176">
        <v>74</v>
      </c>
      <c r="G97" s="177">
        <f>D31*C97</f>
        <v>0</v>
      </c>
      <c r="H97" s="178">
        <f>IF(D97="Aggressive",J38,IF(D97="Balanced", I38, H38))</f>
        <v>3.2300000000000002E-2</v>
      </c>
      <c r="I97" s="177">
        <f t="shared" si="3"/>
        <v>1103.8270881380554</v>
      </c>
      <c r="J97" s="177">
        <f t="shared" si="4"/>
        <v>1103.8270881380554</v>
      </c>
      <c r="K97" s="177">
        <f t="shared" si="5"/>
        <v>82070.8667741588</v>
      </c>
      <c r="L97" s="177">
        <v>8775</v>
      </c>
      <c r="M97" s="44">
        <f t="shared" si="8"/>
        <v>9.7780260296077226E-2</v>
      </c>
      <c r="N97" s="44">
        <v>5.67E-2</v>
      </c>
    </row>
    <row r="98" spans="3:14" x14ac:dyDescent="0.25">
      <c r="C98" s="177">
        <f>'[2]Income data'!G79</f>
        <v>0</v>
      </c>
      <c r="D98" s="176" t="s">
        <v>581</v>
      </c>
      <c r="E98" s="176"/>
      <c r="F98" s="176">
        <v>75</v>
      </c>
      <c r="G98" s="177">
        <f>D31*C98</f>
        <v>0</v>
      </c>
      <c r="H98" s="178">
        <f>IF(D98="Aggressive",J38,IF(D98="Balanced", I38, H38))</f>
        <v>3.2300000000000002E-2</v>
      </c>
      <c r="I98" s="177">
        <f t="shared" si="3"/>
        <v>1009.4716613221534</v>
      </c>
      <c r="J98" s="177">
        <f t="shared" si="4"/>
        <v>1009.4716613221534</v>
      </c>
      <c r="K98" s="177">
        <f t="shared" si="5"/>
        <v>74305.338435480953</v>
      </c>
      <c r="L98" s="177">
        <v>8775</v>
      </c>
      <c r="M98" s="44">
        <f t="shared" si="8"/>
        <v>0.10691979194208943</v>
      </c>
      <c r="N98" s="44">
        <v>5.8200000000000002E-2</v>
      </c>
    </row>
    <row r="99" spans="3:14" x14ac:dyDescent="0.25">
      <c r="C99" s="177">
        <f>'[2]Income data'!G80</f>
        <v>0</v>
      </c>
      <c r="D99" s="176" t="s">
        <v>581</v>
      </c>
      <c r="E99" s="176"/>
      <c r="F99" s="176">
        <v>76</v>
      </c>
      <c r="G99" s="177">
        <f>D31*C99</f>
        <v>0</v>
      </c>
      <c r="H99" s="178">
        <f>IF(D99="Aggressive",J38,IF(D99="Balanced", I38, H38))</f>
        <v>3.2300000000000002E-2</v>
      </c>
      <c r="I99" s="177">
        <f t="shared" si="3"/>
        <v>913.9556627564159</v>
      </c>
      <c r="J99" s="177">
        <f t="shared" si="4"/>
        <v>913.9556627564159</v>
      </c>
      <c r="K99" s="177">
        <f t="shared" si="5"/>
        <v>66444.294098237369</v>
      </c>
      <c r="L99" s="177">
        <v>8775</v>
      </c>
      <c r="M99" s="44">
        <f t="shared" si="8"/>
        <v>0.11809380301281179</v>
      </c>
      <c r="N99" s="44">
        <v>5.9799999999999999E-2</v>
      </c>
    </row>
    <row r="100" spans="3:14" x14ac:dyDescent="0.25">
      <c r="C100" s="177">
        <f>'[2]Income data'!G81</f>
        <v>0</v>
      </c>
      <c r="D100" s="176" t="s">
        <v>581</v>
      </c>
      <c r="E100" s="176"/>
      <c r="F100" s="176">
        <v>77</v>
      </c>
      <c r="G100" s="177">
        <f>D31*C100</f>
        <v>0</v>
      </c>
      <c r="H100" s="178">
        <f>IF(D100="Aggressive",J38,IF(D100="Balanced", I38, H38))</f>
        <v>3.2300000000000002E-2</v>
      </c>
      <c r="I100" s="177">
        <f t="shared" si="3"/>
        <v>817.2648174083198</v>
      </c>
      <c r="J100" s="177">
        <f t="shared" si="4"/>
        <v>817.2648174083198</v>
      </c>
      <c r="K100" s="177">
        <f t="shared" si="5"/>
        <v>58486.558915645684</v>
      </c>
      <c r="L100" s="177">
        <v>8775</v>
      </c>
      <c r="M100" s="44">
        <f t="shared" si="8"/>
        <v>0.13206551622064389</v>
      </c>
      <c r="N100" s="44">
        <v>6.1699999999999998E-2</v>
      </c>
    </row>
    <row r="101" spans="3:14" x14ac:dyDescent="0.25">
      <c r="C101" s="177">
        <f>'[2]Income data'!G82</f>
        <v>0</v>
      </c>
      <c r="D101" s="176" t="s">
        <v>581</v>
      </c>
      <c r="E101" s="176"/>
      <c r="F101" s="176">
        <v>78</v>
      </c>
      <c r="G101" s="177">
        <f>D31*C101</f>
        <v>0</v>
      </c>
      <c r="H101" s="178">
        <f>IF(D101="Aggressive",J38,IF(D101="Balanced", I38, H38))</f>
        <v>3.2300000000000002E-2</v>
      </c>
      <c r="I101" s="177">
        <f t="shared" si="3"/>
        <v>719.38467466244208</v>
      </c>
      <c r="J101" s="177">
        <f t="shared" si="4"/>
        <v>719.38467466244208</v>
      </c>
      <c r="K101" s="177">
        <f t="shared" si="5"/>
        <v>50430.943590308125</v>
      </c>
      <c r="L101" s="177">
        <v>8775</v>
      </c>
      <c r="M101" s="44">
        <f t="shared" si="8"/>
        <v>0.15003447223927219</v>
      </c>
      <c r="N101" s="44">
        <v>6.3600000000000004E-2</v>
      </c>
    </row>
    <row r="102" spans="3:14" x14ac:dyDescent="0.25">
      <c r="C102" s="177">
        <f>'[2]Income data'!G83</f>
        <v>0</v>
      </c>
      <c r="D102" s="176" t="s">
        <v>581</v>
      </c>
      <c r="E102" s="176"/>
      <c r="F102" s="176">
        <v>79</v>
      </c>
      <c r="G102" s="177">
        <f>D31*C102</f>
        <v>0</v>
      </c>
      <c r="H102" s="178">
        <f>IF(D102="Aggressive",J38,IF(D102="Balanced", I38, H38))</f>
        <v>3.2300000000000002E-2</v>
      </c>
      <c r="I102" s="177">
        <f t="shared" si="3"/>
        <v>620.30060616079004</v>
      </c>
      <c r="J102" s="177">
        <f t="shared" si="4"/>
        <v>620.30060616079004</v>
      </c>
      <c r="K102" s="177">
        <f t="shared" si="5"/>
        <v>42276.244196468913</v>
      </c>
      <c r="L102" s="177">
        <v>8775</v>
      </c>
      <c r="M102" s="44">
        <f t="shared" si="8"/>
        <v>0.17400031360282517</v>
      </c>
      <c r="N102" s="44">
        <v>6.5799999999999997E-2</v>
      </c>
    </row>
    <row r="103" spans="3:14" x14ac:dyDescent="0.25">
      <c r="C103" s="177">
        <f>'[2]Income data'!G84</f>
        <v>0</v>
      </c>
      <c r="D103" s="176" t="s">
        <v>581</v>
      </c>
      <c r="E103" s="176"/>
      <c r="F103" s="176">
        <v>80</v>
      </c>
      <c r="G103" s="177">
        <f>D31*C103</f>
        <v>0</v>
      </c>
      <c r="H103" s="178">
        <f>IF(D103="Aggressive",J38,IF(D103="Balanced", I38, H38))</f>
        <v>3.2300000000000002E-2</v>
      </c>
      <c r="I103" s="177">
        <f t="shared" si="3"/>
        <v>519.99780361656769</v>
      </c>
      <c r="J103" s="177">
        <f t="shared" si="4"/>
        <v>519.99780361656769</v>
      </c>
      <c r="K103" s="177">
        <f t="shared" si="5"/>
        <v>34021.242000085484</v>
      </c>
      <c r="L103" s="177">
        <v>8775</v>
      </c>
      <c r="M103" s="44">
        <f t="shared" si="8"/>
        <v>0.20756337670915725</v>
      </c>
      <c r="N103" s="44">
        <v>6.8199999999999997E-2</v>
      </c>
    </row>
    <row r="104" spans="3:14" x14ac:dyDescent="0.25">
      <c r="C104" s="177">
        <f>'[2]Income data'!G85</f>
        <v>0</v>
      </c>
      <c r="D104" s="176" t="s">
        <v>581</v>
      </c>
      <c r="E104" s="176"/>
      <c r="F104" s="176">
        <v>81</v>
      </c>
      <c r="G104" s="177">
        <f>D31*C104</f>
        <v>0</v>
      </c>
      <c r="H104" s="178">
        <f>IF(D104="Aggressive",J38,IF(D104="Balanced", I38, H38))</f>
        <v>3.2300000000000002E-2</v>
      </c>
      <c r="I104" s="177">
        <f t="shared" si="3"/>
        <v>418.46127660105151</v>
      </c>
      <c r="J104" s="177">
        <f t="shared" si="4"/>
        <v>418.46127660105151</v>
      </c>
      <c r="K104" s="177">
        <f t="shared" si="5"/>
        <v>25664.703276686538</v>
      </c>
      <c r="L104" s="177">
        <v>8775</v>
      </c>
      <c r="M104" s="44">
        <f t="shared" si="8"/>
        <v>0.25792709154997784</v>
      </c>
      <c r="N104" s="44">
        <v>7.0800000000000002E-2</v>
      </c>
    </row>
    <row r="105" spans="3:14" x14ac:dyDescent="0.25">
      <c r="C105" s="177">
        <f>'[2]Income data'!G86</f>
        <v>0</v>
      </c>
      <c r="D105" s="176" t="s">
        <v>581</v>
      </c>
      <c r="E105" s="176"/>
      <c r="F105" s="176">
        <v>82</v>
      </c>
      <c r="G105" s="177">
        <f>D31*C105</f>
        <v>0</v>
      </c>
      <c r="H105" s="178">
        <f>IF(D105="Aggressive",J38,IF(D105="Balanced", I38, H38))</f>
        <v>3.2300000000000002E-2</v>
      </c>
      <c r="I105" s="177">
        <f t="shared" si="3"/>
        <v>315.67585030324449</v>
      </c>
      <c r="J105" s="177">
        <f t="shared" si="4"/>
        <v>315.67585030324449</v>
      </c>
      <c r="K105" s="177">
        <f t="shared" si="5"/>
        <v>17205.379126989781</v>
      </c>
      <c r="L105" s="177">
        <v>8775</v>
      </c>
      <c r="M105" s="44">
        <f t="shared" si="8"/>
        <v>0.34190927147679473</v>
      </c>
      <c r="N105" s="44">
        <v>7.3800000000000004E-2</v>
      </c>
    </row>
    <row r="106" spans="3:14" x14ac:dyDescent="0.25">
      <c r="C106" s="177">
        <f>'[2]Income data'!G87</f>
        <v>0</v>
      </c>
      <c r="D106" s="176" t="s">
        <v>581</v>
      </c>
      <c r="E106" s="176"/>
      <c r="F106" s="176">
        <v>83</v>
      </c>
      <c r="G106" s="177">
        <f>D31*C106</f>
        <v>0</v>
      </c>
      <c r="H106" s="178">
        <f>IF(D106="Aggressive",J38,IF(D106="Balanced", I38, H38))</f>
        <v>3.2300000000000002E-2</v>
      </c>
      <c r="I106" s="177">
        <f t="shared" si="3"/>
        <v>211.62616326197434</v>
      </c>
      <c r="J106" s="177">
        <f t="shared" si="4"/>
        <v>211.62616326197434</v>
      </c>
      <c r="K106" s="177">
        <f t="shared" si="5"/>
        <v>8642.0052902517564</v>
      </c>
      <c r="L106" s="177">
        <v>8775</v>
      </c>
      <c r="M106" s="44">
        <f>L106/K105</f>
        <v>0.51001491656959819</v>
      </c>
      <c r="N106" s="44">
        <v>7.7100000000000002E-2</v>
      </c>
    </row>
    <row r="107" spans="3:14" x14ac:dyDescent="0.25">
      <c r="C107" s="177">
        <f>'[2]Income data'!G88</f>
        <v>0</v>
      </c>
      <c r="D107" s="176" t="s">
        <v>581</v>
      </c>
      <c r="E107" s="176"/>
      <c r="F107" s="176">
        <v>84</v>
      </c>
      <c r="G107" s="177">
        <f>D31*C107</f>
        <v>0</v>
      </c>
      <c r="H107" s="178">
        <f>IF(D107="Aggressive",J38,IF(D107="Balanced", I38, H38))</f>
        <v>3.2300000000000002E-2</v>
      </c>
      <c r="I107" s="177">
        <f t="shared" si="3"/>
        <v>106.29666507009662</v>
      </c>
      <c r="J107" s="177">
        <f t="shared" si="4"/>
        <v>106.29666507009662</v>
      </c>
      <c r="K107" s="177">
        <f t="shared" si="5"/>
        <v>1.9553218535293126E-3</v>
      </c>
      <c r="L107" s="177">
        <v>8748.2999999999993</v>
      </c>
      <c r="M107" s="44"/>
      <c r="N107" s="44">
        <v>8.0799999999999997E-2</v>
      </c>
    </row>
  </sheetData>
  <hyperlinks>
    <hyperlink ref="B7" r:id="rId1"/>
  </hyperlinks>
  <pageMargins left="0.7" right="0.7" top="0.75" bottom="0.75" header="0.3" footer="0.3"/>
  <pageSetup orientation="portrait" horizontalDpi="4294967295" verticalDpi="4294967295"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30FB0B94B39C4CBDD30D84E2B2F91D" ma:contentTypeVersion="9" ma:contentTypeDescription="Crée un document." ma:contentTypeScope="" ma:versionID="545266c2e4c6e5a908f615a27cee5f65">
  <xsd:schema xmlns:xsd="http://www.w3.org/2001/XMLSchema" xmlns:xs="http://www.w3.org/2001/XMLSchema" xmlns:p="http://schemas.microsoft.com/office/2006/metadata/properties" xmlns:ns2="ff121195-78c5-45bb-b09a-602aa6f49789" xmlns:ns3="683925e5-8f4f-4a1a-8437-dd89c3906af8" targetNamespace="http://schemas.microsoft.com/office/2006/metadata/properties" ma:root="true" ma:fieldsID="190626bbe0bcaeb72a99699fb0e922d7" ns2:_="" ns3:_="">
    <xsd:import namespace="ff121195-78c5-45bb-b09a-602aa6f49789"/>
    <xsd:import namespace="683925e5-8f4f-4a1a-8437-dd89c3906af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EventHashCode" minOccurs="0"/>
                <xsd:element ref="ns3:MediaServiceGenerationTime" minOccurs="0"/>
                <xsd:element ref="ns3:MediaServiceAutoTags" minOccurs="0"/>
                <xsd:element ref="ns3:MediaServiceOCR"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121195-78c5-45bb-b09a-602aa6f49789" elementFormDefault="qualified">
    <xsd:import namespace="http://schemas.microsoft.com/office/2006/documentManagement/types"/>
    <xsd:import namespace="http://schemas.microsoft.com/office/infopath/2007/PartnerControls"/>
    <xsd:element name="SharedWithUsers" ma:index="8"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83925e5-8f4f-4a1a-8437-dd89c3906af8"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495001-2A6E-4661-9216-BA3CD99D68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121195-78c5-45bb-b09a-602aa6f49789"/>
    <ds:schemaRef ds:uri="683925e5-8f4f-4a1a-8437-dd89c3906a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CF67E0E-49F8-4D79-97D9-30D1F9E58D96}">
  <ds:schemaRefs>
    <ds:schemaRef ds:uri="http://schemas.microsoft.com/office/infopath/2007/PartnerControls"/>
    <ds:schemaRef ds:uri="http://purl.org/dc/dcmitype/"/>
    <ds:schemaRef ds:uri="http://purl.org/dc/elements/1.1/"/>
    <ds:schemaRef ds:uri="http://purl.org/dc/terms/"/>
    <ds:schemaRef ds:uri="http://schemas.openxmlformats.org/package/2006/metadata/core-properties"/>
    <ds:schemaRef ds:uri="http://www.w3.org/XML/1998/namespace"/>
    <ds:schemaRef ds:uri="http://schemas.microsoft.com/office/2006/documentManagement/types"/>
    <ds:schemaRef ds:uri="683925e5-8f4f-4a1a-8437-dd89c3906af8"/>
    <ds:schemaRef ds:uri="ff121195-78c5-45bb-b09a-602aa6f49789"/>
    <ds:schemaRef ds:uri="http://schemas.microsoft.com/office/2006/metadata/properties"/>
  </ds:schemaRefs>
</ds:datastoreItem>
</file>

<file path=customXml/itemProps3.xml><?xml version="1.0" encoding="utf-8"?>
<ds:datastoreItem xmlns:ds="http://schemas.openxmlformats.org/officeDocument/2006/customXml" ds:itemID="{EA4C294B-3E2E-47A9-85D6-CFF5B4FAD98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25</vt:i4>
      </vt:variant>
    </vt:vector>
  </HeadingPairs>
  <TitlesOfParts>
    <vt:vector size="25" baseType="lpstr">
      <vt:lpstr>Sommaire</vt:lpstr>
      <vt:lpstr>Tableau prél-bén_tranche de vie</vt:lpstr>
      <vt:lpstr>Calculs source</vt:lpstr>
      <vt:lpstr>Attrributs fiscaux</vt:lpstr>
      <vt:lpstr>Détail impôt</vt:lpstr>
      <vt:lpstr>Allocation famille</vt:lpstr>
      <vt:lpstr>Taxes consommation- sommaire</vt:lpstr>
      <vt:lpstr>Taxes consommation - détail</vt:lpstr>
      <vt:lpstr>Calculs revenus retraite</vt:lpstr>
      <vt:lpstr>Crédit maintien à domicile</vt:lpstr>
      <vt:lpstr>Schéma</vt:lpstr>
      <vt:lpstr>Hypothèses de base</vt:lpstr>
      <vt:lpstr>Paramètres Indexation</vt:lpstr>
      <vt:lpstr>Questions soulevées</vt:lpstr>
      <vt:lpstr>Calcul pension alimentaire</vt:lpstr>
      <vt:lpstr>Hyp. revenus des conjoints</vt:lpstr>
      <vt:lpstr>B.P. Coût place garderie</vt:lpstr>
      <vt:lpstr>B.P. Cout ecole</vt:lpstr>
      <vt:lpstr>B.P. Soins de santé</vt:lpstr>
      <vt:lpstr>RQAP</vt:lpstr>
      <vt:lpstr>Valid. hyp. cons p. seule</vt:lpstr>
      <vt:lpstr>Valid. couple sans enfant</vt:lpstr>
      <vt:lpstr>Valid. hyp. cons. famille</vt:lpstr>
      <vt:lpstr>Valid. hyp. mono</vt:lpstr>
      <vt:lpstr>Valid. 3e quintile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Antoine Genest-Grégoire</dc:creator>
  <cp:keywords/>
  <dc:description/>
  <cp:lastModifiedBy>Faculté d'administration</cp:lastModifiedBy>
  <cp:revision/>
  <dcterms:created xsi:type="dcterms:W3CDTF">2017-08-22T14:02:10Z</dcterms:created>
  <dcterms:modified xsi:type="dcterms:W3CDTF">2019-12-23T14:54:48Z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0x0101000B30FB0B94B39C4CBDD30D84E2B2F91D</vt:lpwstr>
  </property>
  <property fmtid="{D5CDD505-2E9C-101B-9397-08002B2CF9AE}" pid="3" name="AuthorIds_UIVersion_512">
    <vt:lpwstr>35</vt:lpwstr>
  </property>
</Properties>
</file>