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iagarajana\Documents\CMods\Input_Data\"/>
    </mc:Choice>
  </mc:AlternateContent>
  <bookViews>
    <workbookView xWindow="0" yWindow="0" windowWidth="19200" windowHeight="10560" activeTab="1"/>
  </bookViews>
  <sheets>
    <sheet name="Ellerslie_Tillage" sheetId="1" r:id="rId1"/>
    <sheet name="Summary" sheetId="2" r:id="rId2"/>
    <sheet name="Models" sheetId="3" r:id="rId3"/>
    <sheet name="Study_Sites" sheetId="4" r:id="rId4"/>
    <sheet name="REcrop"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1" i="2" l="1"/>
  <c r="R132" i="2"/>
  <c r="P132" i="2"/>
  <c r="P131" i="2"/>
  <c r="N132" i="2"/>
  <c r="N131" i="2"/>
  <c r="L132" i="2"/>
  <c r="L131" i="2"/>
  <c r="U107" i="2"/>
  <c r="U106" i="2"/>
  <c r="R105" i="2"/>
  <c r="R103" i="2"/>
  <c r="P105" i="2"/>
  <c r="P103" i="2"/>
  <c r="N105" i="2"/>
  <c r="N103" i="2"/>
  <c r="L105" i="2"/>
  <c r="L103" i="2"/>
  <c r="L94" i="2"/>
  <c r="T105" i="2" l="1"/>
  <c r="T106" i="2"/>
  <c r="T93" i="2"/>
  <c r="T92" i="2"/>
  <c r="R79" i="2"/>
  <c r="R78" i="2"/>
  <c r="L92" i="2"/>
  <c r="L91" i="2"/>
  <c r="L90" i="2"/>
  <c r="L89" i="2"/>
  <c r="L88" i="2"/>
  <c r="L87" i="2"/>
  <c r="L86" i="2"/>
  <c r="L85" i="2"/>
  <c r="L84" i="2"/>
  <c r="L83" i="2"/>
  <c r="L82" i="2"/>
  <c r="L81" i="2"/>
  <c r="L80" i="2"/>
  <c r="L79" i="2"/>
  <c r="L78" i="2"/>
  <c r="L77" i="2"/>
  <c r="L76" i="2"/>
  <c r="L75" i="2"/>
  <c r="L74" i="2"/>
  <c r="L73" i="2"/>
  <c r="L72" i="2"/>
  <c r="N79" i="2"/>
  <c r="N78" i="2"/>
  <c r="P79" i="2"/>
  <c r="P78" i="2"/>
  <c r="R115" i="2"/>
  <c r="R107" i="2"/>
  <c r="R110" i="2"/>
  <c r="R112" i="2"/>
  <c r="R265" i="2" l="1"/>
  <c r="R264" i="2"/>
  <c r="P265" i="2"/>
  <c r="P264" i="2"/>
  <c r="N265" i="2"/>
  <c r="N264" i="2"/>
  <c r="L265" i="2"/>
  <c r="L264" i="2"/>
  <c r="R225" i="2"/>
  <c r="R224" i="2"/>
  <c r="R223" i="2"/>
  <c r="R222" i="2"/>
  <c r="R221" i="2"/>
  <c r="R220" i="2"/>
  <c r="R219" i="2"/>
  <c r="R218" i="2"/>
  <c r="R217" i="2"/>
  <c r="R216" i="2"/>
  <c r="R215" i="2"/>
  <c r="R214" i="2"/>
  <c r="R213" i="2"/>
  <c r="R212" i="2"/>
  <c r="R211" i="2"/>
  <c r="R210" i="2"/>
  <c r="R209" i="2"/>
  <c r="R208" i="2"/>
  <c r="R207" i="2"/>
  <c r="R206" i="2"/>
  <c r="R205" i="2"/>
  <c r="P205" i="2"/>
  <c r="P225" i="2"/>
  <c r="P224" i="2"/>
  <c r="P223" i="2"/>
  <c r="P222" i="2"/>
  <c r="P221" i="2"/>
  <c r="P220" i="2"/>
  <c r="P219" i="2"/>
  <c r="P218" i="2"/>
  <c r="P217" i="2"/>
  <c r="P216" i="2"/>
  <c r="P215" i="2"/>
  <c r="P214" i="2"/>
  <c r="P213" i="2"/>
  <c r="P212" i="2"/>
  <c r="P211" i="2"/>
  <c r="P210" i="2"/>
  <c r="P209" i="2"/>
  <c r="P208" i="2"/>
  <c r="P207" i="2"/>
  <c r="P206" i="2"/>
  <c r="N225" i="2"/>
  <c r="N224" i="2"/>
  <c r="N223" i="2"/>
  <c r="N222" i="2"/>
  <c r="N221" i="2"/>
  <c r="N220" i="2"/>
  <c r="N219" i="2"/>
  <c r="N218" i="2"/>
  <c r="N217" i="2"/>
  <c r="N216" i="2"/>
  <c r="N215" i="2"/>
  <c r="N214" i="2"/>
  <c r="N213" i="2"/>
  <c r="N212" i="2"/>
  <c r="N211" i="2"/>
  <c r="N210" i="2"/>
  <c r="N209" i="2"/>
  <c r="N208" i="2"/>
  <c r="N207" i="2"/>
  <c r="N206" i="2"/>
  <c r="N205" i="2"/>
  <c r="R238" i="2" l="1"/>
  <c r="R237" i="2"/>
  <c r="R236" i="2"/>
  <c r="R235" i="2"/>
  <c r="R234" i="2"/>
  <c r="R233" i="2"/>
  <c r="R232" i="2"/>
  <c r="R231" i="2"/>
  <c r="R230" i="2"/>
  <c r="R229" i="2"/>
  <c r="R228" i="2"/>
  <c r="R227" i="2"/>
  <c r="P238" i="2"/>
  <c r="P237" i="2"/>
  <c r="P236" i="2"/>
  <c r="P235" i="2"/>
  <c r="P234" i="2"/>
  <c r="P233" i="2"/>
  <c r="P232" i="2"/>
  <c r="P231" i="2"/>
  <c r="P230" i="2"/>
  <c r="P229" i="2"/>
  <c r="P228" i="2"/>
  <c r="P227" i="2"/>
  <c r="N238" i="2"/>
  <c r="N237" i="2"/>
  <c r="N236" i="2"/>
  <c r="N235" i="2"/>
  <c r="N234" i="2"/>
  <c r="N233" i="2"/>
  <c r="N232" i="2"/>
  <c r="N231" i="2"/>
  <c r="N230" i="2"/>
  <c r="N229" i="2"/>
  <c r="N228" i="2"/>
  <c r="N227" i="2"/>
  <c r="R249" i="2"/>
  <c r="R248" i="2"/>
  <c r="R247" i="2"/>
  <c r="P249" i="2"/>
  <c r="P248" i="2"/>
  <c r="P247" i="2"/>
  <c r="N249" i="2"/>
  <c r="N248" i="2"/>
  <c r="N247" i="2"/>
  <c r="P169" i="2"/>
  <c r="P168" i="2"/>
  <c r="P167" i="2"/>
  <c r="P166" i="2"/>
  <c r="P165" i="2"/>
  <c r="P164" i="2"/>
  <c r="P163" i="2"/>
  <c r="P162" i="2"/>
  <c r="P161" i="2"/>
  <c r="N169" i="2"/>
  <c r="N168" i="2"/>
  <c r="N167" i="2"/>
  <c r="N166" i="2"/>
  <c r="N165" i="2"/>
  <c r="N164" i="2"/>
  <c r="N163" i="2"/>
  <c r="N162" i="2"/>
  <c r="N161" i="2"/>
  <c r="R169" i="2"/>
  <c r="R168" i="2"/>
  <c r="R167" i="2"/>
  <c r="R166" i="2"/>
  <c r="R165" i="2"/>
  <c r="R164" i="2"/>
  <c r="R163" i="2"/>
  <c r="R162" i="2"/>
  <c r="R161" i="2"/>
  <c r="P159" i="2"/>
  <c r="P158" i="2"/>
  <c r="P157" i="2"/>
  <c r="P156" i="2"/>
  <c r="P155" i="2"/>
  <c r="P154" i="2"/>
  <c r="P153" i="2"/>
  <c r="P152" i="2"/>
  <c r="P151" i="2"/>
  <c r="P150" i="2"/>
  <c r="P149" i="2"/>
  <c r="P148" i="2"/>
  <c r="P147" i="2"/>
  <c r="P146" i="2"/>
  <c r="P145" i="2"/>
  <c r="P144" i="2"/>
  <c r="P143" i="2"/>
  <c r="P142" i="2"/>
  <c r="P141" i="2"/>
  <c r="P140" i="2"/>
  <c r="N159" i="2"/>
  <c r="N158" i="2"/>
  <c r="N157" i="2"/>
  <c r="N156" i="2"/>
  <c r="N155" i="2"/>
  <c r="N154" i="2"/>
  <c r="N153" i="2"/>
  <c r="N152" i="2"/>
  <c r="N151" i="2"/>
  <c r="N150" i="2"/>
  <c r="N149" i="2"/>
  <c r="N148" i="2"/>
  <c r="N147" i="2"/>
  <c r="N146" i="2"/>
  <c r="N145" i="2"/>
  <c r="N144" i="2"/>
  <c r="N143" i="2"/>
  <c r="N142" i="2"/>
  <c r="N141" i="2"/>
  <c r="N140" i="2"/>
  <c r="R159" i="2"/>
  <c r="R158" i="2"/>
  <c r="R157" i="2"/>
  <c r="R156" i="2"/>
  <c r="R155" i="2"/>
  <c r="R154" i="2"/>
  <c r="R153" i="2"/>
  <c r="R152" i="2"/>
  <c r="R151" i="2"/>
  <c r="R150" i="2"/>
  <c r="R149" i="2"/>
  <c r="R148" i="2"/>
  <c r="R147" i="2"/>
  <c r="R146" i="2"/>
  <c r="R145" i="2"/>
  <c r="R144" i="2"/>
  <c r="R143" i="2"/>
  <c r="R142" i="2"/>
  <c r="R141" i="2"/>
  <c r="R140" i="2"/>
  <c r="P245" i="2"/>
  <c r="P244" i="2"/>
  <c r="P243" i="2"/>
  <c r="P242" i="2"/>
  <c r="P241" i="2"/>
  <c r="P240" i="2"/>
  <c r="N245" i="2"/>
  <c r="N244" i="2"/>
  <c r="N243" i="2"/>
  <c r="N242" i="2"/>
  <c r="N241" i="2"/>
  <c r="N240" i="2"/>
  <c r="R245" i="2"/>
  <c r="R244" i="2"/>
  <c r="R243" i="2"/>
  <c r="R242" i="2"/>
  <c r="R241" i="2"/>
  <c r="R240" i="2"/>
  <c r="N261" i="2"/>
  <c r="N260" i="2"/>
  <c r="N259" i="2"/>
  <c r="N258" i="2"/>
  <c r="N257" i="2"/>
  <c r="N256" i="2"/>
  <c r="N255" i="2"/>
  <c r="N254" i="2"/>
  <c r="P261" i="2"/>
  <c r="P260" i="2"/>
  <c r="P259" i="2"/>
  <c r="P258" i="2"/>
  <c r="P257" i="2"/>
  <c r="P256" i="2"/>
  <c r="P255" i="2"/>
  <c r="P254" i="2"/>
  <c r="R261" i="2"/>
  <c r="R260" i="2"/>
  <c r="R259" i="2"/>
  <c r="R258" i="2"/>
  <c r="R257" i="2"/>
  <c r="R256" i="2"/>
  <c r="R255" i="2"/>
  <c r="R254" i="2"/>
  <c r="P252" i="2"/>
  <c r="P251" i="2"/>
  <c r="N252" i="2"/>
  <c r="N251" i="2"/>
  <c r="R252" i="2"/>
  <c r="R251" i="2"/>
  <c r="P203" i="2"/>
  <c r="P202" i="2"/>
  <c r="P201" i="2"/>
  <c r="P200" i="2"/>
  <c r="P199" i="2"/>
  <c r="P198" i="2"/>
  <c r="P197" i="2"/>
  <c r="P196" i="2"/>
  <c r="P195" i="2"/>
  <c r="P194" i="2"/>
  <c r="P193" i="2"/>
  <c r="P192" i="2"/>
  <c r="P191" i="2"/>
  <c r="P190" i="2"/>
  <c r="P189" i="2"/>
  <c r="P188" i="2"/>
  <c r="N203" i="2"/>
  <c r="N202" i="2"/>
  <c r="N201" i="2"/>
  <c r="N200" i="2"/>
  <c r="N199" i="2"/>
  <c r="N198" i="2"/>
  <c r="N197" i="2"/>
  <c r="N196" i="2"/>
  <c r="N195" i="2"/>
  <c r="N194" i="2"/>
  <c r="N193" i="2"/>
  <c r="N192" i="2"/>
  <c r="N191" i="2"/>
  <c r="N190" i="2"/>
  <c r="N189" i="2"/>
  <c r="N188" i="2"/>
  <c r="R203" i="2"/>
  <c r="R202" i="2"/>
  <c r="R201" i="2"/>
  <c r="R200" i="2"/>
  <c r="R199" i="2"/>
  <c r="R198" i="2"/>
  <c r="R197" i="2"/>
  <c r="R196" i="2"/>
  <c r="R195" i="2"/>
  <c r="R194" i="2"/>
  <c r="R193" i="2"/>
  <c r="R192" i="2"/>
  <c r="R191" i="2"/>
  <c r="R190" i="2"/>
  <c r="R189" i="2"/>
  <c r="R188" i="2"/>
  <c r="P186" i="2"/>
  <c r="P185" i="2"/>
  <c r="P184" i="2"/>
  <c r="P183" i="2"/>
  <c r="P182" i="2"/>
  <c r="P181" i="2"/>
  <c r="P180" i="2"/>
  <c r="P179" i="2"/>
  <c r="P178" i="2"/>
  <c r="P177" i="2"/>
  <c r="P176" i="2"/>
  <c r="P175" i="2"/>
  <c r="P174" i="2"/>
  <c r="P173" i="2"/>
  <c r="P172" i="2"/>
  <c r="P171" i="2"/>
  <c r="N186" i="2"/>
  <c r="N185" i="2"/>
  <c r="N184" i="2"/>
  <c r="N183" i="2"/>
  <c r="N182" i="2"/>
  <c r="N181" i="2"/>
  <c r="N180" i="2"/>
  <c r="N179" i="2"/>
  <c r="N178" i="2"/>
  <c r="N177" i="2"/>
  <c r="N176" i="2"/>
  <c r="N175" i="2"/>
  <c r="N174" i="2"/>
  <c r="N173" i="2"/>
  <c r="N172" i="2"/>
  <c r="N171" i="2"/>
  <c r="R186" i="2"/>
  <c r="R185" i="2"/>
  <c r="R184" i="2"/>
  <c r="R183" i="2"/>
  <c r="R182" i="2"/>
  <c r="R181" i="2"/>
  <c r="R180" i="2"/>
  <c r="R179" i="2"/>
  <c r="R178" i="2"/>
  <c r="R177" i="2"/>
  <c r="R176" i="2"/>
  <c r="R175" i="2"/>
  <c r="R174" i="2"/>
  <c r="R173" i="2"/>
  <c r="R172" i="2"/>
  <c r="R171" i="2"/>
  <c r="R80" i="2" l="1"/>
  <c r="P80" i="2"/>
  <c r="N80" i="2"/>
  <c r="L26" i="2" l="1"/>
  <c r="L25" i="2"/>
  <c r="L24" i="2"/>
  <c r="L23" i="2"/>
  <c r="L22" i="2"/>
  <c r="L21" i="2"/>
  <c r="L20" i="2"/>
  <c r="L19" i="2"/>
  <c r="L18" i="2"/>
  <c r="L17" i="2"/>
  <c r="L16" i="2"/>
  <c r="L15" i="2"/>
  <c r="L14" i="2"/>
  <c r="L13" i="2"/>
  <c r="L12" i="2"/>
  <c r="L11" i="2"/>
  <c r="L10" i="2"/>
  <c r="L9" i="2"/>
  <c r="L8" i="2"/>
  <c r="L7" i="2"/>
  <c r="L159" i="2" l="1"/>
  <c r="L158" i="2"/>
  <c r="L157" i="2"/>
  <c r="L156" i="2"/>
  <c r="L155" i="2"/>
  <c r="L154" i="2"/>
  <c r="L153" i="2"/>
  <c r="L152" i="2"/>
  <c r="L151" i="2"/>
  <c r="L150" i="2"/>
  <c r="L149" i="2"/>
  <c r="L148" i="2"/>
  <c r="L147" i="2"/>
  <c r="L146" i="2"/>
  <c r="L145" i="2"/>
  <c r="L144" i="2"/>
  <c r="L143" i="2"/>
  <c r="L142" i="2"/>
  <c r="L141" i="2"/>
  <c r="L140" i="2"/>
  <c r="L169" i="2" l="1"/>
  <c r="L168" i="2"/>
  <c r="L167" i="2"/>
  <c r="L166" i="2"/>
  <c r="L165" i="2"/>
  <c r="L164" i="2"/>
  <c r="L163" i="2"/>
  <c r="L162" i="2"/>
  <c r="L161" i="2"/>
  <c r="L225" i="2" l="1"/>
  <c r="L224" i="2"/>
  <c r="L223" i="2"/>
  <c r="L222" i="2"/>
  <c r="L221" i="2"/>
  <c r="L220" i="2"/>
  <c r="L219" i="2"/>
  <c r="L218" i="2"/>
  <c r="L217" i="2"/>
  <c r="L216" i="2"/>
  <c r="L215" i="2"/>
  <c r="L214" i="2"/>
  <c r="L213" i="2"/>
  <c r="L212" i="2"/>
  <c r="L211" i="2"/>
  <c r="L210" i="2"/>
  <c r="L209" i="2"/>
  <c r="L208" i="2"/>
  <c r="L207" i="2"/>
  <c r="L206" i="2"/>
  <c r="L205" i="2"/>
  <c r="L238" i="2" l="1"/>
  <c r="L237" i="2"/>
  <c r="L236" i="2"/>
  <c r="L235" i="2"/>
  <c r="L234" i="2"/>
  <c r="L233" i="2"/>
  <c r="L232" i="2"/>
  <c r="L231" i="2"/>
  <c r="L230" i="2"/>
  <c r="L229" i="2"/>
  <c r="L228" i="2"/>
  <c r="L227" i="2"/>
  <c r="L261" i="2" l="1"/>
  <c r="L260" i="2"/>
  <c r="L259" i="2"/>
  <c r="L258" i="2"/>
  <c r="L257" i="2"/>
  <c r="L256" i="2"/>
  <c r="L255" i="2"/>
  <c r="L254" i="2"/>
  <c r="L252" i="2" l="1"/>
  <c r="L251" i="2"/>
  <c r="L249" i="2" l="1"/>
  <c r="L248" i="2"/>
  <c r="L247" i="2"/>
  <c r="L245" i="2" l="1"/>
  <c r="L244" i="2"/>
  <c r="L243" i="2"/>
  <c r="L242" i="2"/>
  <c r="L241" i="2"/>
  <c r="L240" i="2"/>
  <c r="L203" i="2"/>
  <c r="L202" i="2"/>
  <c r="L201" i="2"/>
  <c r="L200" i="2"/>
  <c r="L199" i="2"/>
  <c r="L198" i="2"/>
  <c r="L197" i="2"/>
  <c r="L196" i="2"/>
  <c r="L195" i="2"/>
  <c r="L194" i="2"/>
  <c r="L193" i="2"/>
  <c r="L192" i="2"/>
  <c r="L191" i="2"/>
  <c r="L190" i="2"/>
  <c r="L189" i="2"/>
  <c r="L188" i="2"/>
  <c r="L186" i="2"/>
  <c r="L185" i="2"/>
  <c r="L184" i="2"/>
  <c r="L183" i="2"/>
  <c r="L182" i="2"/>
  <c r="L181" i="2"/>
  <c r="L180" i="2"/>
  <c r="L179" i="2"/>
  <c r="L178" i="2"/>
  <c r="L177" i="2"/>
  <c r="L176" i="2"/>
  <c r="L175" i="2"/>
  <c r="L174" i="2"/>
  <c r="L173" i="2"/>
  <c r="L172" i="2"/>
  <c r="L171" i="2"/>
  <c r="L112" i="2" l="1"/>
  <c r="L111" i="2"/>
  <c r="L110" i="2"/>
  <c r="L109" i="2"/>
  <c r="L108" i="2"/>
  <c r="L107" i="2"/>
  <c r="R128" i="2" l="1"/>
  <c r="P128" i="2"/>
  <c r="N128" i="2"/>
  <c r="R127" i="2"/>
  <c r="P127" i="2"/>
  <c r="N127" i="2"/>
  <c r="R126" i="2"/>
  <c r="P126" i="2"/>
  <c r="N126" i="2"/>
  <c r="R125" i="2"/>
  <c r="P125" i="2"/>
  <c r="N125" i="2"/>
  <c r="R124" i="2"/>
  <c r="P124" i="2"/>
  <c r="N124" i="2"/>
  <c r="R123" i="2"/>
  <c r="P123" i="2"/>
  <c r="N123" i="2"/>
  <c r="R122" i="2"/>
  <c r="P122" i="2"/>
  <c r="N122" i="2"/>
  <c r="R121" i="2"/>
  <c r="P121" i="2"/>
  <c r="N121" i="2"/>
  <c r="R119" i="2"/>
  <c r="P119" i="2"/>
  <c r="N119" i="2"/>
  <c r="R118" i="2"/>
  <c r="P118" i="2"/>
  <c r="N118" i="2"/>
  <c r="R116" i="2"/>
  <c r="P116" i="2"/>
  <c r="N116" i="2"/>
  <c r="P115" i="2"/>
  <c r="N115" i="2"/>
  <c r="R114" i="2"/>
  <c r="P114" i="2"/>
  <c r="N114" i="2"/>
  <c r="P112" i="2"/>
  <c r="N112" i="2"/>
  <c r="R111" i="2"/>
  <c r="P111" i="2"/>
  <c r="N111" i="2"/>
  <c r="P110" i="2"/>
  <c r="N110" i="2"/>
  <c r="R109" i="2"/>
  <c r="P109" i="2"/>
  <c r="N109" i="2"/>
  <c r="R108" i="2"/>
  <c r="P108" i="2"/>
  <c r="N108" i="2"/>
  <c r="P107" i="2"/>
  <c r="N107" i="2"/>
  <c r="R104" i="2"/>
  <c r="P104" i="2"/>
  <c r="N104" i="2"/>
  <c r="R102" i="2"/>
  <c r="P102" i="2"/>
  <c r="N102" i="2"/>
  <c r="R101" i="2"/>
  <c r="P101" i="2"/>
  <c r="N101" i="2"/>
  <c r="R100" i="2"/>
  <c r="P100" i="2"/>
  <c r="N100" i="2"/>
  <c r="R99" i="2"/>
  <c r="P99" i="2"/>
  <c r="N99" i="2"/>
  <c r="R98" i="2"/>
  <c r="P98" i="2"/>
  <c r="N98" i="2"/>
  <c r="R97" i="2"/>
  <c r="P97" i="2"/>
  <c r="N97" i="2"/>
  <c r="R96" i="2"/>
  <c r="P96" i="2"/>
  <c r="N96" i="2"/>
  <c r="R95" i="2"/>
  <c r="P95" i="2"/>
  <c r="N95" i="2"/>
  <c r="R94" i="2"/>
  <c r="P94" i="2"/>
  <c r="N94" i="2"/>
  <c r="R92" i="2"/>
  <c r="P92" i="2"/>
  <c r="N92" i="2"/>
  <c r="R91" i="2"/>
  <c r="P91" i="2"/>
  <c r="N91" i="2"/>
  <c r="R90" i="2"/>
  <c r="P90" i="2"/>
  <c r="N90" i="2"/>
  <c r="R89" i="2"/>
  <c r="P89" i="2"/>
  <c r="N89" i="2"/>
  <c r="R88" i="2"/>
  <c r="P88" i="2"/>
  <c r="N88" i="2"/>
  <c r="R87" i="2"/>
  <c r="P87" i="2"/>
  <c r="N87" i="2"/>
  <c r="R86" i="2"/>
  <c r="P86" i="2"/>
  <c r="N86" i="2"/>
  <c r="R85" i="2"/>
  <c r="P85" i="2"/>
  <c r="N85" i="2"/>
  <c r="R84" i="2"/>
  <c r="P84" i="2"/>
  <c r="N84" i="2"/>
  <c r="R83" i="2"/>
  <c r="P83" i="2"/>
  <c r="N83" i="2"/>
  <c r="R82" i="2"/>
  <c r="P82" i="2"/>
  <c r="N82" i="2"/>
  <c r="R81" i="2"/>
  <c r="P81" i="2"/>
  <c r="N81" i="2"/>
  <c r="R77" i="2"/>
  <c r="P77" i="2"/>
  <c r="N77" i="2"/>
  <c r="R76" i="2"/>
  <c r="P76" i="2"/>
  <c r="N76" i="2"/>
  <c r="R75" i="2"/>
  <c r="P75" i="2"/>
  <c r="N75" i="2"/>
  <c r="R74" i="2"/>
  <c r="P74" i="2"/>
  <c r="N74" i="2"/>
  <c r="R73" i="2"/>
  <c r="P73" i="2"/>
  <c r="N73" i="2"/>
  <c r="R72" i="2"/>
  <c r="P72" i="2"/>
  <c r="N72" i="2"/>
  <c r="R70" i="2"/>
  <c r="P70" i="2"/>
  <c r="N70" i="2"/>
  <c r="L70" i="2"/>
  <c r="R69" i="2"/>
  <c r="P69" i="2"/>
  <c r="N69" i="2"/>
  <c r="L69" i="2"/>
  <c r="R68" i="2"/>
  <c r="P68" i="2"/>
  <c r="N68" i="2"/>
  <c r="L68" i="2"/>
  <c r="R67" i="2"/>
  <c r="P67" i="2"/>
  <c r="N67" i="2"/>
  <c r="L67" i="2"/>
  <c r="R66" i="2"/>
  <c r="P66" i="2"/>
  <c r="N66" i="2"/>
  <c r="L66" i="2"/>
  <c r="R65" i="2"/>
  <c r="P65" i="2"/>
  <c r="N65" i="2"/>
  <c r="L65" i="2"/>
  <c r="R64" i="2"/>
  <c r="P64" i="2"/>
  <c r="N64" i="2"/>
  <c r="L64" i="2"/>
  <c r="R63" i="2"/>
  <c r="P63" i="2"/>
  <c r="N63" i="2"/>
  <c r="L63" i="2"/>
  <c r="R62" i="2"/>
  <c r="P62" i="2"/>
  <c r="N62" i="2"/>
  <c r="L62" i="2"/>
  <c r="R61" i="2"/>
  <c r="P61" i="2"/>
  <c r="N61" i="2"/>
  <c r="L61" i="2"/>
  <c r="R60" i="2"/>
  <c r="P60" i="2"/>
  <c r="N60" i="2"/>
  <c r="L60" i="2"/>
  <c r="R59" i="2"/>
  <c r="P59" i="2"/>
  <c r="N59" i="2"/>
  <c r="L59" i="2"/>
  <c r="R58" i="2"/>
  <c r="P58" i="2"/>
  <c r="N58" i="2"/>
  <c r="L58" i="2"/>
  <c r="R57" i="2"/>
  <c r="P57" i="2"/>
  <c r="N57" i="2"/>
  <c r="L57" i="2"/>
  <c r="R56" i="2"/>
  <c r="P56" i="2"/>
  <c r="N56" i="2"/>
  <c r="L56" i="2"/>
  <c r="R55" i="2"/>
  <c r="P55" i="2"/>
  <c r="N55" i="2"/>
  <c r="L55" i="2"/>
  <c r="R53" i="2"/>
  <c r="P53" i="2"/>
  <c r="N53" i="2"/>
  <c r="L53" i="2"/>
  <c r="R52" i="2"/>
  <c r="P52" i="2"/>
  <c r="N52" i="2"/>
  <c r="L52" i="2"/>
  <c r="R51" i="2"/>
  <c r="P51" i="2"/>
  <c r="N51" i="2"/>
  <c r="L51" i="2"/>
  <c r="R50" i="2"/>
  <c r="P50" i="2"/>
  <c r="N50" i="2"/>
  <c r="L50" i="2"/>
  <c r="R49" i="2"/>
  <c r="P49" i="2"/>
  <c r="N49" i="2"/>
  <c r="L49" i="2"/>
  <c r="R48" i="2"/>
  <c r="P48" i="2"/>
  <c r="N48" i="2"/>
  <c r="L48" i="2"/>
  <c r="R47" i="2"/>
  <c r="P47" i="2"/>
  <c r="N47" i="2"/>
  <c r="L47" i="2"/>
  <c r="R46" i="2"/>
  <c r="P46" i="2"/>
  <c r="N46" i="2"/>
  <c r="L46" i="2"/>
  <c r="R45" i="2"/>
  <c r="P45" i="2"/>
  <c r="N45" i="2"/>
  <c r="L45" i="2"/>
  <c r="R44" i="2"/>
  <c r="P44" i="2"/>
  <c r="N44" i="2"/>
  <c r="L44" i="2"/>
  <c r="R43" i="2"/>
  <c r="P43" i="2"/>
  <c r="N43" i="2"/>
  <c r="L43" i="2"/>
  <c r="R42" i="2"/>
  <c r="P42" i="2"/>
  <c r="N42" i="2"/>
  <c r="L42" i="2"/>
  <c r="R41" i="2"/>
  <c r="P41" i="2"/>
  <c r="N41" i="2"/>
  <c r="L41" i="2"/>
  <c r="R40" i="2"/>
  <c r="P40" i="2"/>
  <c r="N40" i="2"/>
  <c r="L40" i="2"/>
  <c r="R39" i="2"/>
  <c r="P39" i="2"/>
  <c r="N39" i="2"/>
  <c r="L39" i="2"/>
  <c r="R38" i="2"/>
  <c r="P38" i="2"/>
  <c r="N38" i="2"/>
  <c r="L38" i="2"/>
  <c r="R36" i="2"/>
  <c r="P36" i="2"/>
  <c r="N36" i="2"/>
  <c r="R35" i="2"/>
  <c r="P35" i="2"/>
  <c r="N35" i="2"/>
  <c r="R34" i="2"/>
  <c r="P34" i="2"/>
  <c r="N34" i="2"/>
  <c r="R33" i="2"/>
  <c r="P33" i="2"/>
  <c r="N33" i="2"/>
  <c r="R32" i="2"/>
  <c r="P32" i="2"/>
  <c r="N32" i="2"/>
  <c r="R31" i="2"/>
  <c r="P31" i="2"/>
  <c r="N31" i="2"/>
  <c r="R30" i="2"/>
  <c r="P30" i="2"/>
  <c r="N30" i="2"/>
  <c r="R29" i="2"/>
  <c r="P29" i="2"/>
  <c r="N29" i="2"/>
  <c r="R28" i="2"/>
  <c r="P28" i="2"/>
  <c r="N28" i="2"/>
  <c r="R26" i="2"/>
  <c r="P26" i="2"/>
  <c r="N26" i="2"/>
  <c r="R25" i="2"/>
  <c r="P25" i="2"/>
  <c r="N25" i="2"/>
  <c r="R24" i="2"/>
  <c r="P24" i="2"/>
  <c r="N24" i="2"/>
  <c r="R23" i="2"/>
  <c r="P23" i="2"/>
  <c r="N23" i="2"/>
  <c r="R22" i="2"/>
  <c r="P22" i="2"/>
  <c r="N22" i="2"/>
  <c r="R21" i="2"/>
  <c r="P21" i="2"/>
  <c r="N21" i="2"/>
  <c r="R20" i="2"/>
  <c r="P20" i="2"/>
  <c r="N20" i="2"/>
  <c r="R19" i="2"/>
  <c r="P19" i="2"/>
  <c r="N19" i="2"/>
  <c r="R18" i="2"/>
  <c r="P18" i="2"/>
  <c r="N18" i="2"/>
  <c r="R17" i="2"/>
  <c r="P17" i="2"/>
  <c r="N17" i="2"/>
  <c r="R16" i="2"/>
  <c r="P16" i="2"/>
  <c r="N16" i="2"/>
  <c r="R15" i="2"/>
  <c r="P15" i="2"/>
  <c r="N15" i="2"/>
  <c r="R14" i="2"/>
  <c r="P14" i="2"/>
  <c r="N14" i="2"/>
  <c r="R13" i="2"/>
  <c r="P13" i="2"/>
  <c r="N13" i="2"/>
  <c r="R12" i="2"/>
  <c r="P12" i="2"/>
  <c r="N12" i="2"/>
  <c r="R11" i="2"/>
  <c r="P11" i="2"/>
  <c r="N11" i="2"/>
  <c r="R10" i="2"/>
  <c r="P10" i="2"/>
  <c r="N10" i="2"/>
  <c r="R9" i="2"/>
  <c r="P9" i="2"/>
  <c r="N9" i="2"/>
  <c r="R8" i="2"/>
  <c r="P8" i="2"/>
  <c r="N8" i="2"/>
  <c r="R7" i="2"/>
  <c r="P7" i="2"/>
  <c r="N7" i="2"/>
  <c r="T27" i="2" l="1"/>
  <c r="T26" i="2"/>
  <c r="T37" i="2"/>
  <c r="T36" i="2"/>
  <c r="T117" i="2"/>
  <c r="T116" i="2"/>
  <c r="T128" i="2"/>
  <c r="T129" i="2"/>
  <c r="T113" i="2"/>
  <c r="T112" i="2"/>
  <c r="T119" i="2"/>
  <c r="T120" i="2"/>
  <c r="R144" i="1"/>
  <c r="R143" i="1"/>
  <c r="P144" i="1"/>
  <c r="P143" i="1"/>
  <c r="N144" i="1"/>
  <c r="N143" i="1"/>
  <c r="L144" i="1"/>
  <c r="L143" i="1"/>
  <c r="R69" i="1"/>
  <c r="R68" i="1"/>
  <c r="R67" i="1"/>
  <c r="R66" i="1"/>
  <c r="R65" i="1"/>
  <c r="R64" i="1"/>
  <c r="R63" i="1"/>
  <c r="R62" i="1"/>
  <c r="R61" i="1"/>
  <c r="R60" i="1"/>
  <c r="R59" i="1"/>
  <c r="R58" i="1"/>
  <c r="R57" i="1"/>
  <c r="R56" i="1"/>
  <c r="R55" i="1"/>
  <c r="R54" i="1"/>
  <c r="P69" i="1"/>
  <c r="P68" i="1"/>
  <c r="P67" i="1"/>
  <c r="P66" i="1"/>
  <c r="P65" i="1"/>
  <c r="P64" i="1"/>
  <c r="P63" i="1"/>
  <c r="P62" i="1"/>
  <c r="P61" i="1"/>
  <c r="P60" i="1"/>
  <c r="P59" i="1"/>
  <c r="P58" i="1"/>
  <c r="P57" i="1"/>
  <c r="P56" i="1"/>
  <c r="P55" i="1"/>
  <c r="P54" i="1"/>
  <c r="N69" i="1"/>
  <c r="N68" i="1"/>
  <c r="N67" i="1"/>
  <c r="N66" i="1"/>
  <c r="N65" i="1"/>
  <c r="N64" i="1"/>
  <c r="N63" i="1"/>
  <c r="N62" i="1"/>
  <c r="N61" i="1"/>
  <c r="N60" i="1"/>
  <c r="N59" i="1"/>
  <c r="N58" i="1"/>
  <c r="N57" i="1"/>
  <c r="N56" i="1"/>
  <c r="N55" i="1"/>
  <c r="N54" i="1"/>
  <c r="L69" i="1"/>
  <c r="L68" i="1"/>
  <c r="L67" i="1"/>
  <c r="L66" i="1"/>
  <c r="L65" i="1"/>
  <c r="L64" i="1"/>
  <c r="L63" i="1"/>
  <c r="L62" i="1"/>
  <c r="L61" i="1"/>
  <c r="L60" i="1"/>
  <c r="L59" i="1"/>
  <c r="L58" i="1"/>
  <c r="L57" i="1"/>
  <c r="L56" i="1"/>
  <c r="L55" i="1"/>
  <c r="L54" i="1"/>
  <c r="R117" i="1" l="1"/>
  <c r="P117" i="1"/>
  <c r="N117" i="1"/>
  <c r="R116" i="1"/>
  <c r="P116" i="1"/>
  <c r="N116" i="1"/>
  <c r="R115" i="1"/>
  <c r="P115" i="1"/>
  <c r="N115" i="1"/>
  <c r="R114" i="1"/>
  <c r="P114" i="1"/>
  <c r="N114" i="1"/>
  <c r="R113" i="1"/>
  <c r="P113" i="1"/>
  <c r="N113" i="1"/>
  <c r="R112" i="1"/>
  <c r="P112" i="1"/>
  <c r="N112" i="1"/>
  <c r="R111" i="1"/>
  <c r="P111" i="1"/>
  <c r="N111" i="1"/>
  <c r="R110" i="1"/>
  <c r="P110" i="1"/>
  <c r="N110" i="1"/>
  <c r="R109" i="1"/>
  <c r="P109" i="1"/>
  <c r="N109" i="1"/>
  <c r="R108" i="1"/>
  <c r="P108" i="1"/>
  <c r="N108" i="1"/>
  <c r="R107" i="1"/>
  <c r="P107" i="1"/>
  <c r="N107" i="1"/>
  <c r="R106" i="1"/>
  <c r="P106" i="1"/>
  <c r="N106" i="1"/>
  <c r="R104" i="1"/>
  <c r="P104" i="1"/>
  <c r="N104" i="1"/>
  <c r="R103" i="1"/>
  <c r="P103" i="1"/>
  <c r="N103" i="1"/>
  <c r="R102" i="1"/>
  <c r="P102" i="1"/>
  <c r="N102" i="1"/>
  <c r="R101" i="1"/>
  <c r="P101" i="1"/>
  <c r="N101" i="1"/>
  <c r="R100" i="1"/>
  <c r="P100" i="1"/>
  <c r="N100" i="1"/>
  <c r="R99" i="1"/>
  <c r="P99" i="1"/>
  <c r="N99" i="1"/>
  <c r="R98" i="1"/>
  <c r="P98" i="1"/>
  <c r="N98" i="1"/>
  <c r="R97" i="1"/>
  <c r="P97" i="1"/>
  <c r="N97" i="1"/>
  <c r="R96" i="1"/>
  <c r="P96" i="1"/>
  <c r="N96" i="1"/>
  <c r="R95" i="1"/>
  <c r="P95" i="1"/>
  <c r="N95" i="1"/>
  <c r="R94" i="1"/>
  <c r="P94" i="1"/>
  <c r="N94" i="1"/>
  <c r="R93" i="1"/>
  <c r="P93" i="1"/>
  <c r="N93" i="1"/>
  <c r="R92" i="1"/>
  <c r="P92" i="1"/>
  <c r="N92" i="1"/>
  <c r="R91" i="1"/>
  <c r="P91" i="1"/>
  <c r="N91" i="1"/>
  <c r="R90" i="1"/>
  <c r="P90" i="1"/>
  <c r="N90" i="1"/>
  <c r="R89" i="1"/>
  <c r="P89" i="1"/>
  <c r="N89" i="1"/>
  <c r="R88" i="1"/>
  <c r="P88" i="1"/>
  <c r="N88" i="1"/>
  <c r="R87" i="1"/>
  <c r="P87" i="1"/>
  <c r="N87" i="1"/>
  <c r="R86" i="1"/>
  <c r="P86" i="1"/>
  <c r="N86" i="1"/>
  <c r="R85" i="1"/>
  <c r="P85" i="1"/>
  <c r="N85" i="1"/>
  <c r="R84" i="1"/>
  <c r="P84" i="1"/>
  <c r="N84" i="1"/>
  <c r="R124" i="1"/>
  <c r="R123" i="1"/>
  <c r="R122" i="1"/>
  <c r="R121" i="1"/>
  <c r="R120" i="1"/>
  <c r="R119" i="1"/>
  <c r="P124" i="1"/>
  <c r="P123" i="1"/>
  <c r="P122" i="1"/>
  <c r="P121" i="1"/>
  <c r="P120" i="1"/>
  <c r="P119" i="1"/>
  <c r="N124" i="1"/>
  <c r="N123" i="1"/>
  <c r="N122" i="1"/>
  <c r="N121" i="1"/>
  <c r="N120" i="1"/>
  <c r="N119" i="1"/>
  <c r="R82" i="1"/>
  <c r="R81" i="1"/>
  <c r="R80" i="1"/>
  <c r="R79" i="1"/>
  <c r="R78" i="1"/>
  <c r="R77" i="1"/>
  <c r="R76" i="1"/>
  <c r="R75" i="1"/>
  <c r="R74" i="1"/>
  <c r="R73" i="1"/>
  <c r="R72" i="1"/>
  <c r="R71" i="1"/>
  <c r="P76" i="1"/>
  <c r="P78" i="1"/>
  <c r="P82" i="1"/>
  <c r="P81" i="1"/>
  <c r="P80" i="1"/>
  <c r="P79" i="1"/>
  <c r="P77" i="1"/>
  <c r="P75" i="1"/>
  <c r="P74" i="1"/>
  <c r="P73" i="1"/>
  <c r="P72" i="1"/>
  <c r="P71" i="1"/>
  <c r="N82" i="1"/>
  <c r="N81" i="1"/>
  <c r="N80" i="1"/>
  <c r="N79" i="1"/>
  <c r="N78" i="1"/>
  <c r="N77" i="1"/>
  <c r="N76" i="1"/>
  <c r="N75" i="1"/>
  <c r="N74" i="1"/>
  <c r="N73" i="1"/>
  <c r="N72" i="1"/>
  <c r="N71" i="1"/>
  <c r="R131" i="1"/>
  <c r="R130" i="1"/>
  <c r="P131" i="1"/>
  <c r="P130" i="1"/>
  <c r="N131" i="1"/>
  <c r="N130" i="1"/>
  <c r="R140" i="1"/>
  <c r="R139" i="1"/>
  <c r="R138" i="1"/>
  <c r="R137" i="1"/>
  <c r="R136" i="1"/>
  <c r="R135" i="1"/>
  <c r="R134" i="1"/>
  <c r="R133" i="1"/>
  <c r="P140" i="1"/>
  <c r="P139" i="1"/>
  <c r="P138" i="1"/>
  <c r="P137" i="1"/>
  <c r="P136" i="1"/>
  <c r="P135" i="1"/>
  <c r="P134" i="1"/>
  <c r="P133" i="1"/>
  <c r="N140" i="1"/>
  <c r="N139" i="1"/>
  <c r="N138" i="1"/>
  <c r="N137" i="1"/>
  <c r="N136" i="1"/>
  <c r="N135" i="1"/>
  <c r="N134" i="1"/>
  <c r="N133" i="1"/>
  <c r="R128" i="1"/>
  <c r="R127" i="1"/>
  <c r="R126" i="1"/>
  <c r="P128" i="1"/>
  <c r="P127" i="1"/>
  <c r="P126" i="1"/>
  <c r="N128" i="1"/>
  <c r="N127" i="1"/>
  <c r="N126" i="1"/>
  <c r="R35" i="1"/>
  <c r="R34" i="1"/>
  <c r="R33" i="1"/>
  <c r="R32" i="1"/>
  <c r="R31" i="1"/>
  <c r="R30" i="1"/>
  <c r="R29" i="1"/>
  <c r="R28" i="1"/>
  <c r="R27" i="1"/>
  <c r="P35" i="1"/>
  <c r="P34" i="1"/>
  <c r="P33" i="1"/>
  <c r="P32" i="1"/>
  <c r="P31" i="1"/>
  <c r="P30" i="1"/>
  <c r="P29" i="1"/>
  <c r="P28" i="1"/>
  <c r="P27" i="1"/>
  <c r="N35" i="1"/>
  <c r="N34" i="1"/>
  <c r="N33" i="1"/>
  <c r="N32" i="1"/>
  <c r="N31" i="1"/>
  <c r="N30" i="1"/>
  <c r="N29" i="1"/>
  <c r="N28" i="1"/>
  <c r="N27" i="1"/>
  <c r="R25" i="1"/>
  <c r="R24" i="1"/>
  <c r="R23" i="1"/>
  <c r="R22" i="1"/>
  <c r="R21" i="1"/>
  <c r="R20" i="1"/>
  <c r="R19" i="1"/>
  <c r="R18" i="1"/>
  <c r="R17" i="1"/>
  <c r="R16" i="1"/>
  <c r="R15" i="1"/>
  <c r="R14" i="1"/>
  <c r="R13" i="1"/>
  <c r="R12" i="1"/>
  <c r="R11" i="1"/>
  <c r="R10" i="1"/>
  <c r="R9" i="1"/>
  <c r="R8" i="1"/>
  <c r="R7" i="1"/>
  <c r="P25" i="1"/>
  <c r="P24" i="1"/>
  <c r="P23" i="1"/>
  <c r="P22" i="1"/>
  <c r="P21" i="1"/>
  <c r="P20" i="1"/>
  <c r="P19" i="1"/>
  <c r="P18" i="1"/>
  <c r="P17" i="1"/>
  <c r="P16" i="1"/>
  <c r="P15" i="1"/>
  <c r="P14" i="1"/>
  <c r="P13" i="1"/>
  <c r="P12" i="1"/>
  <c r="P11" i="1"/>
  <c r="P10" i="1"/>
  <c r="P9" i="1"/>
  <c r="P8" i="1"/>
  <c r="P7" i="1"/>
  <c r="N25" i="1"/>
  <c r="N24" i="1"/>
  <c r="N23" i="1"/>
  <c r="N22" i="1"/>
  <c r="N21" i="1"/>
  <c r="N20" i="1"/>
  <c r="N19" i="1"/>
  <c r="N18" i="1"/>
  <c r="N17" i="1"/>
  <c r="N16" i="1"/>
  <c r="N15" i="1"/>
  <c r="N14" i="1"/>
  <c r="N13" i="1"/>
  <c r="N12" i="1"/>
  <c r="N11" i="1"/>
  <c r="N10" i="1"/>
  <c r="N9" i="1"/>
  <c r="N8" i="1"/>
  <c r="N7" i="1"/>
  <c r="R6" i="1"/>
  <c r="P6" i="1"/>
  <c r="N6" i="1"/>
  <c r="R52" i="1"/>
  <c r="R51" i="1"/>
  <c r="R50" i="1"/>
  <c r="R49" i="1"/>
  <c r="R48" i="1"/>
  <c r="R47" i="1"/>
  <c r="R46" i="1"/>
  <c r="R45" i="1"/>
  <c r="R44" i="1"/>
  <c r="R43" i="1"/>
  <c r="R42" i="1"/>
  <c r="R41" i="1"/>
  <c r="R40" i="1"/>
  <c r="R39" i="1"/>
  <c r="R38" i="1"/>
  <c r="R37" i="1"/>
  <c r="P52" i="1"/>
  <c r="P51" i="1"/>
  <c r="P50" i="1"/>
  <c r="P49" i="1"/>
  <c r="P48" i="1"/>
  <c r="P47" i="1"/>
  <c r="P46" i="1"/>
  <c r="P45" i="1"/>
  <c r="P44" i="1"/>
  <c r="P43" i="1"/>
  <c r="P42" i="1"/>
  <c r="P41" i="1"/>
  <c r="P40" i="1"/>
  <c r="P39" i="1"/>
  <c r="P38" i="1"/>
  <c r="P37" i="1"/>
  <c r="N52" i="1"/>
  <c r="N51" i="1"/>
  <c r="N50" i="1"/>
  <c r="N49" i="1"/>
  <c r="N48" i="1"/>
  <c r="N47" i="1"/>
  <c r="N46" i="1"/>
  <c r="N45" i="1"/>
  <c r="N44" i="1"/>
  <c r="N43" i="1"/>
  <c r="N42" i="1"/>
  <c r="N41" i="1"/>
  <c r="N40" i="1"/>
  <c r="N39" i="1"/>
  <c r="N38" i="1"/>
  <c r="N37" i="1"/>
  <c r="L82" i="1" l="1"/>
  <c r="L81" i="1"/>
  <c r="L80" i="1"/>
  <c r="L79" i="1"/>
  <c r="L78" i="1"/>
  <c r="L77" i="1"/>
  <c r="L76" i="1"/>
  <c r="L75" i="1"/>
  <c r="L74" i="1"/>
  <c r="L73" i="1"/>
  <c r="L72" i="1"/>
  <c r="L71" i="1"/>
  <c r="L52" i="1" l="1"/>
  <c r="L51" i="1"/>
  <c r="L50" i="1"/>
  <c r="L49" i="1"/>
  <c r="L48" i="1"/>
  <c r="L47" i="1"/>
  <c r="L46" i="1"/>
  <c r="L45" i="1"/>
  <c r="L44" i="1"/>
  <c r="L43" i="1"/>
  <c r="L42" i="1"/>
  <c r="L41" i="1"/>
  <c r="L40" i="1"/>
  <c r="L39" i="1"/>
  <c r="L38" i="1"/>
  <c r="L37" i="1"/>
</calcChain>
</file>

<file path=xl/sharedStrings.xml><?xml version="1.0" encoding="utf-8"?>
<sst xmlns="http://schemas.openxmlformats.org/spreadsheetml/2006/main" count="1259" uniqueCount="477">
  <si>
    <t>Site</t>
  </si>
  <si>
    <t>Treatment</t>
  </si>
  <si>
    <t>Crop</t>
  </si>
  <si>
    <t>Time (year)</t>
  </si>
  <si>
    <t>Initial SOC</t>
  </si>
  <si>
    <t>Measured SOC</t>
  </si>
  <si>
    <t>Modeled SOC</t>
  </si>
  <si>
    <t>Difference</t>
  </si>
  <si>
    <t>%</t>
  </si>
  <si>
    <r>
      <t>Mg C ha</t>
    </r>
    <r>
      <rPr>
        <vertAlign val="superscript"/>
        <sz val="8"/>
        <color theme="1"/>
        <rFont val="Calibri"/>
        <family val="2"/>
        <scheme val="minor"/>
      </rPr>
      <t>-1</t>
    </r>
  </si>
  <si>
    <t>Study</t>
  </si>
  <si>
    <t>Lethbridge, Alberta</t>
  </si>
  <si>
    <t>Rotation ABC</t>
  </si>
  <si>
    <t>Latitude</t>
  </si>
  <si>
    <t>Longitude</t>
  </si>
  <si>
    <t>Wheat</t>
  </si>
  <si>
    <r>
      <t>112</t>
    </r>
    <r>
      <rPr>
        <vertAlign val="superscript"/>
        <sz val="10"/>
        <rFont val="Times New Roman"/>
        <family val="1"/>
      </rPr>
      <t>o</t>
    </r>
    <r>
      <rPr>
        <sz val="10"/>
        <rFont val="Times New Roman"/>
        <family val="1"/>
      </rPr>
      <t xml:space="preserve"> 46´W</t>
    </r>
  </si>
  <si>
    <r>
      <t>49</t>
    </r>
    <r>
      <rPr>
        <vertAlign val="superscript"/>
        <sz val="10"/>
        <rFont val="Times New Roman"/>
        <family val="1"/>
      </rPr>
      <t>o</t>
    </r>
    <r>
      <rPr>
        <sz val="10"/>
        <rFont val="Times New Roman"/>
        <family val="1"/>
      </rPr>
      <t xml:space="preserve"> 42´N</t>
    </r>
  </si>
  <si>
    <t>FW</t>
  </si>
  <si>
    <t>FWW</t>
  </si>
  <si>
    <t>Cont W</t>
  </si>
  <si>
    <t>Mean (standard deviation)</t>
  </si>
  <si>
    <r>
      <t>2.8 (</t>
    </r>
    <r>
      <rPr>
        <sz val="8"/>
        <color theme="1"/>
        <rFont val="Calibri"/>
        <family val="2"/>
      </rPr>
      <t>±10.7)</t>
    </r>
  </si>
  <si>
    <t>Rotation 120</t>
  </si>
  <si>
    <r>
      <t>7.0 (</t>
    </r>
    <r>
      <rPr>
        <sz val="8"/>
        <color theme="1"/>
        <rFont val="Calibri"/>
        <family val="2"/>
      </rPr>
      <t>±8.8)</t>
    </r>
  </si>
  <si>
    <r>
      <t>58.2 (</t>
    </r>
    <r>
      <rPr>
        <sz val="8"/>
        <color theme="1"/>
        <rFont val="Calibri"/>
        <family val="2"/>
      </rPr>
      <t>±5.0)</t>
    </r>
  </si>
  <si>
    <r>
      <t>50.3 (</t>
    </r>
    <r>
      <rPr>
        <sz val="8"/>
        <color theme="1"/>
        <rFont val="Calibri"/>
        <family val="2"/>
      </rPr>
      <t>±3.4)</t>
    </r>
  </si>
  <si>
    <r>
      <t>52.2 (</t>
    </r>
    <r>
      <rPr>
        <sz val="8"/>
        <color theme="1"/>
        <rFont val="Calibri"/>
        <family val="2"/>
      </rPr>
      <t>±3.2)</t>
    </r>
  </si>
  <si>
    <r>
      <t>55.3 (</t>
    </r>
    <r>
      <rPr>
        <sz val="8"/>
        <color theme="1"/>
        <rFont val="Calibri"/>
        <family val="2"/>
      </rPr>
      <t>±3.0)</t>
    </r>
  </si>
  <si>
    <r>
      <t>47.2 (</t>
    </r>
    <r>
      <rPr>
        <sz val="8"/>
        <color theme="1"/>
        <rFont val="Calibri"/>
        <family val="2"/>
      </rPr>
      <t>±1.3)</t>
    </r>
  </si>
  <si>
    <r>
      <t>48 (</t>
    </r>
    <r>
      <rPr>
        <sz val="8"/>
        <color theme="1"/>
        <rFont val="Calibri"/>
        <family val="2"/>
      </rPr>
      <t>±3.8)</t>
    </r>
  </si>
  <si>
    <r>
      <t>54.2 (</t>
    </r>
    <r>
      <rPr>
        <sz val="8"/>
        <color theme="1"/>
        <rFont val="Calibri"/>
        <family val="2"/>
      </rPr>
      <t>±2.3)</t>
    </r>
  </si>
  <si>
    <r>
      <t>57.2 (</t>
    </r>
    <r>
      <rPr>
        <sz val="8"/>
        <color theme="1"/>
        <rFont val="Calibri"/>
        <family val="2"/>
      </rPr>
      <t>±1.4)</t>
    </r>
  </si>
  <si>
    <r>
      <t>56.2 (</t>
    </r>
    <r>
      <rPr>
        <sz val="8"/>
        <color theme="1"/>
        <rFont val="Calibri"/>
        <family val="2"/>
      </rPr>
      <t>±3.4)</t>
    </r>
  </si>
  <si>
    <r>
      <t>58.4 (</t>
    </r>
    <r>
      <rPr>
        <sz val="8"/>
        <color theme="1"/>
        <rFont val="Calibri"/>
        <family val="2"/>
      </rPr>
      <t>±2.8)</t>
    </r>
  </si>
  <si>
    <t>Breton, Alberta</t>
  </si>
  <si>
    <t>Crop Residue Management</t>
  </si>
  <si>
    <t>Barly, Wheat, Canola, Triticale and Peas</t>
  </si>
  <si>
    <t>0N (Straw Removal)</t>
  </si>
  <si>
    <t>0N (Straw)</t>
  </si>
  <si>
    <t>25N (Straw)</t>
  </si>
  <si>
    <t>25N (Straw Removal)</t>
  </si>
  <si>
    <t>50N (Straw)</t>
  </si>
  <si>
    <t>50N (Straw Removal)</t>
  </si>
  <si>
    <t>75N (Straw)</t>
  </si>
  <si>
    <t>75N (Straw Removal)</t>
  </si>
  <si>
    <r>
      <t>6.2 (</t>
    </r>
    <r>
      <rPr>
        <sz val="8"/>
        <color theme="1"/>
        <rFont val="Calibri"/>
        <family val="2"/>
      </rPr>
      <t>±11.0)</t>
    </r>
  </si>
  <si>
    <t>Ellerslie, Alberta</t>
  </si>
  <si>
    <t>Tillage and Crop Residue Management</t>
  </si>
  <si>
    <t>NT (Straw)</t>
  </si>
  <si>
    <t>NT (Straw Removal)</t>
  </si>
  <si>
    <t>CT (Straw)</t>
  </si>
  <si>
    <t>CT (Straw Removal)</t>
  </si>
  <si>
    <r>
      <t>-17.3 (</t>
    </r>
    <r>
      <rPr>
        <sz val="8"/>
        <color theme="1"/>
        <rFont val="Calibri"/>
        <family val="2"/>
      </rPr>
      <t>±8.5)</t>
    </r>
  </si>
  <si>
    <t>Swift Current, Saskatchewan</t>
  </si>
  <si>
    <t>Old Crop Rotation</t>
  </si>
  <si>
    <r>
      <t>50</t>
    </r>
    <r>
      <rPr>
        <vertAlign val="superscript"/>
        <sz val="8"/>
        <rFont val="Times New Roman"/>
        <family val="1"/>
      </rPr>
      <t>o</t>
    </r>
    <r>
      <rPr>
        <sz val="8"/>
        <rFont val="Times New Roman"/>
        <family val="1"/>
      </rPr>
      <t xml:space="preserve"> 16´N</t>
    </r>
  </si>
  <si>
    <r>
      <t>107</t>
    </r>
    <r>
      <rPr>
        <vertAlign val="superscript"/>
        <sz val="8"/>
        <rFont val="Times New Roman"/>
        <family val="1"/>
      </rPr>
      <t>o</t>
    </r>
    <r>
      <rPr>
        <sz val="8"/>
        <rFont val="Times New Roman"/>
        <family val="1"/>
      </rPr>
      <t xml:space="preserve"> 44´W</t>
    </r>
  </si>
  <si>
    <t>FW (NP)</t>
  </si>
  <si>
    <t>FWW (NP)</t>
  </si>
  <si>
    <t>ContW (NP)</t>
  </si>
  <si>
    <r>
      <t>46.7 (</t>
    </r>
    <r>
      <rPr>
        <sz val="8"/>
        <color theme="1"/>
        <rFont val="Calibri"/>
        <family val="2"/>
      </rPr>
      <t>±4.9)</t>
    </r>
  </si>
  <si>
    <r>
      <t>49.5 (</t>
    </r>
    <r>
      <rPr>
        <sz val="8"/>
        <color theme="1"/>
        <rFont val="Calibri"/>
        <family val="2"/>
      </rPr>
      <t>±6.3)</t>
    </r>
  </si>
  <si>
    <r>
      <t>48.2 (</t>
    </r>
    <r>
      <rPr>
        <sz val="8"/>
        <color theme="1"/>
        <rFont val="Calibri"/>
        <family val="2"/>
      </rPr>
      <t>±5.6)</t>
    </r>
  </si>
  <si>
    <r>
      <t>50.1 (</t>
    </r>
    <r>
      <rPr>
        <sz val="8"/>
        <color theme="1"/>
        <rFont val="Calibri"/>
        <family val="2"/>
      </rPr>
      <t>±5.9)</t>
    </r>
  </si>
  <si>
    <r>
      <t>51.8 (</t>
    </r>
    <r>
      <rPr>
        <sz val="8"/>
        <color theme="1"/>
        <rFont val="Calibri"/>
        <family val="2"/>
      </rPr>
      <t>±5.8)</t>
    </r>
  </si>
  <si>
    <r>
      <t>51.6 (</t>
    </r>
    <r>
      <rPr>
        <sz val="8"/>
        <color theme="1"/>
        <rFont val="Calibri"/>
        <family val="2"/>
      </rPr>
      <t>±5.5)</t>
    </r>
  </si>
  <si>
    <r>
      <t>51.6 (</t>
    </r>
    <r>
      <rPr>
        <sz val="8"/>
        <color theme="1"/>
        <rFont val="Calibri"/>
        <family val="2"/>
      </rPr>
      <t>±6.1)</t>
    </r>
  </si>
  <si>
    <r>
      <t>54.1 (</t>
    </r>
    <r>
      <rPr>
        <sz val="8"/>
        <color theme="1"/>
        <rFont val="Calibri"/>
        <family val="2"/>
      </rPr>
      <t>±5.4)</t>
    </r>
  </si>
  <si>
    <r>
      <t>62.2 (</t>
    </r>
    <r>
      <rPr>
        <sz val="8"/>
        <color theme="1"/>
        <rFont val="Calibri"/>
        <family val="2"/>
      </rPr>
      <t>±5.3)</t>
    </r>
  </si>
  <si>
    <r>
      <t>59.6 (</t>
    </r>
    <r>
      <rPr>
        <sz val="8"/>
        <color theme="1"/>
        <rFont val="Calibri"/>
        <family val="2"/>
      </rPr>
      <t>±3.3)</t>
    </r>
  </si>
  <si>
    <r>
      <t>59.4 (</t>
    </r>
    <r>
      <rPr>
        <sz val="8"/>
        <color theme="1"/>
        <rFont val="Calibri"/>
        <family val="2"/>
      </rPr>
      <t>±3.2)</t>
    </r>
  </si>
  <si>
    <r>
      <t>54.3 (</t>
    </r>
    <r>
      <rPr>
        <sz val="8"/>
        <color theme="1"/>
        <rFont val="Calibri"/>
        <family val="2"/>
      </rPr>
      <t>±2.4)</t>
    </r>
  </si>
  <si>
    <r>
      <t>51.8 (</t>
    </r>
    <r>
      <rPr>
        <sz val="8"/>
        <color theme="1"/>
        <rFont val="Calibri"/>
        <family val="2"/>
      </rPr>
      <t>±2.2)</t>
    </r>
  </si>
  <si>
    <r>
      <t>51.0 (</t>
    </r>
    <r>
      <rPr>
        <sz val="8"/>
        <color theme="1"/>
        <rFont val="Calibri"/>
        <family val="2"/>
      </rPr>
      <t>±2.3)</t>
    </r>
  </si>
  <si>
    <r>
      <t>53.8 (</t>
    </r>
    <r>
      <rPr>
        <sz val="8"/>
        <color theme="1"/>
        <rFont val="Calibri"/>
        <family val="2"/>
      </rPr>
      <t>±1.7)</t>
    </r>
  </si>
  <si>
    <r>
      <t>45.8 (</t>
    </r>
    <r>
      <rPr>
        <sz val="8"/>
        <color theme="1"/>
        <rFont val="Calibri"/>
        <family val="2"/>
      </rPr>
      <t>±6.7)</t>
    </r>
  </si>
  <si>
    <r>
      <t>47.6 (</t>
    </r>
    <r>
      <rPr>
        <sz val="8"/>
        <color theme="1"/>
        <rFont val="Calibri"/>
        <family val="2"/>
      </rPr>
      <t>±5.4)</t>
    </r>
  </si>
  <si>
    <r>
      <t>54.1 (</t>
    </r>
    <r>
      <rPr>
        <sz val="8"/>
        <color theme="1"/>
        <rFont val="Calibri"/>
        <family val="2"/>
      </rPr>
      <t>±6.5)</t>
    </r>
  </si>
  <si>
    <r>
      <t>56.5 (</t>
    </r>
    <r>
      <rPr>
        <sz val="8"/>
        <color theme="1"/>
        <rFont val="Calibri"/>
        <family val="2"/>
      </rPr>
      <t>±5.9)</t>
    </r>
  </si>
  <si>
    <r>
      <t>54.9 (</t>
    </r>
    <r>
      <rPr>
        <sz val="8"/>
        <color theme="1"/>
        <rFont val="Calibri"/>
        <family val="2"/>
      </rPr>
      <t>±7.1)</t>
    </r>
  </si>
  <si>
    <r>
      <t>57.4 (</t>
    </r>
    <r>
      <rPr>
        <sz val="8"/>
        <color theme="1"/>
        <rFont val="Calibri"/>
        <family val="2"/>
      </rPr>
      <t>±5.7)</t>
    </r>
  </si>
  <si>
    <r>
      <t>58.2 (</t>
    </r>
    <r>
      <rPr>
        <sz val="8"/>
        <color theme="1"/>
        <rFont val="Calibri"/>
        <family val="2"/>
      </rPr>
      <t>±6.9)</t>
    </r>
  </si>
  <si>
    <r>
      <t>-3.6 (</t>
    </r>
    <r>
      <rPr>
        <sz val="8"/>
        <color theme="1"/>
        <rFont val="Calibri"/>
        <family val="2"/>
      </rPr>
      <t>±9.6)</t>
    </r>
  </si>
  <si>
    <t>New Crop Rotation</t>
  </si>
  <si>
    <t>FWWW</t>
  </si>
  <si>
    <t>50.3 (±4.3)</t>
  </si>
  <si>
    <r>
      <t>50.8 (</t>
    </r>
    <r>
      <rPr>
        <sz val="8"/>
        <color theme="1"/>
        <rFont val="Calibri"/>
        <family val="2"/>
      </rPr>
      <t>±3.7)</t>
    </r>
  </si>
  <si>
    <r>
      <t>53.7 (</t>
    </r>
    <r>
      <rPr>
        <sz val="8"/>
        <color theme="1"/>
        <rFont val="Calibri"/>
        <family val="2"/>
      </rPr>
      <t>±4.1)</t>
    </r>
  </si>
  <si>
    <r>
      <t>53.0 (</t>
    </r>
    <r>
      <rPr>
        <sz val="8"/>
        <color theme="1"/>
        <rFont val="Calibri"/>
        <family val="2"/>
      </rPr>
      <t>±3.1)</t>
    </r>
  </si>
  <si>
    <t>49.1 (±4.9)</t>
  </si>
  <si>
    <r>
      <t>51.0 (</t>
    </r>
    <r>
      <rPr>
        <sz val="8"/>
        <color theme="1"/>
        <rFont val="Calibri"/>
        <family val="2"/>
      </rPr>
      <t>±5.2)</t>
    </r>
  </si>
  <si>
    <r>
      <t>53.9 (</t>
    </r>
    <r>
      <rPr>
        <sz val="8"/>
        <color theme="1"/>
        <rFont val="Calibri"/>
        <family val="2"/>
      </rPr>
      <t>±5.8)</t>
    </r>
  </si>
  <si>
    <r>
      <t>56.2 (</t>
    </r>
    <r>
      <rPr>
        <sz val="8"/>
        <color theme="1"/>
        <rFont val="Calibri"/>
        <family val="2"/>
      </rPr>
      <t>±5.9)</t>
    </r>
  </si>
  <si>
    <t>54.4 (±4.2)</t>
  </si>
  <si>
    <r>
      <t>58.8 (</t>
    </r>
    <r>
      <rPr>
        <sz val="8"/>
        <color theme="1"/>
        <rFont val="Calibri"/>
        <family val="2"/>
      </rPr>
      <t>±6.7)</t>
    </r>
  </si>
  <si>
    <r>
      <t>59.0 (</t>
    </r>
    <r>
      <rPr>
        <sz val="8"/>
        <color theme="1"/>
        <rFont val="Calibri"/>
        <family val="2"/>
      </rPr>
      <t>±6.1)</t>
    </r>
  </si>
  <si>
    <r>
      <t>66.1 (</t>
    </r>
    <r>
      <rPr>
        <sz val="8"/>
        <color theme="1"/>
        <rFont val="Calibri"/>
        <family val="2"/>
      </rPr>
      <t>±13.6)</t>
    </r>
  </si>
  <si>
    <r>
      <t>2.6 (</t>
    </r>
    <r>
      <rPr>
        <sz val="8"/>
        <color theme="1"/>
        <rFont val="Calibri"/>
        <family val="2"/>
      </rPr>
      <t>±7.9)</t>
    </r>
  </si>
  <si>
    <t>Indian Head, Saskatchewan</t>
  </si>
  <si>
    <t>Crop Rotation</t>
  </si>
  <si>
    <t>FWW (NP - Straw)</t>
  </si>
  <si>
    <t>FWW (NP No Straw)</t>
  </si>
  <si>
    <r>
      <t>-2.0 (</t>
    </r>
    <r>
      <rPr>
        <sz val="8"/>
        <color theme="1"/>
        <rFont val="Calibri"/>
        <family val="2"/>
      </rPr>
      <t>±6.6)</t>
    </r>
  </si>
  <si>
    <t>Ottawa, Ontario</t>
  </si>
  <si>
    <r>
      <t>0 kg N ha</t>
    </r>
    <r>
      <rPr>
        <vertAlign val="superscript"/>
        <sz val="8"/>
        <color theme="1"/>
        <rFont val="Calibri"/>
        <family val="2"/>
        <scheme val="minor"/>
      </rPr>
      <t>-1</t>
    </r>
  </si>
  <si>
    <r>
      <t>100 kg N ha</t>
    </r>
    <r>
      <rPr>
        <vertAlign val="superscript"/>
        <sz val="8"/>
        <color theme="1"/>
        <rFont val="Calibri"/>
        <family val="2"/>
        <scheme val="minor"/>
      </rPr>
      <t>-1</t>
    </r>
  </si>
  <si>
    <r>
      <t>200 kg N ha</t>
    </r>
    <r>
      <rPr>
        <vertAlign val="superscript"/>
        <sz val="8"/>
        <color theme="1"/>
        <rFont val="Calibri"/>
        <family val="2"/>
        <scheme val="minor"/>
      </rPr>
      <t>-1</t>
    </r>
  </si>
  <si>
    <t>Corn</t>
  </si>
  <si>
    <r>
      <t>-5.1 (</t>
    </r>
    <r>
      <rPr>
        <sz val="8"/>
        <color theme="1"/>
        <rFont val="Calibri"/>
        <family val="2"/>
      </rPr>
      <t>±6.7)</t>
    </r>
  </si>
  <si>
    <t>Harrow, Ontario</t>
  </si>
  <si>
    <t>Soil Fertility</t>
  </si>
  <si>
    <t>Non-Fertiliered</t>
  </si>
  <si>
    <t>Fertilizered</t>
  </si>
  <si>
    <r>
      <t>-2.6 (</t>
    </r>
    <r>
      <rPr>
        <sz val="8"/>
        <color theme="1"/>
        <rFont val="Calibri"/>
        <family val="2"/>
      </rPr>
      <t>±1.8)</t>
    </r>
  </si>
  <si>
    <t>Manure</t>
  </si>
  <si>
    <t>Control</t>
  </si>
  <si>
    <t>0P</t>
  </si>
  <si>
    <t>1P</t>
  </si>
  <si>
    <t>2P</t>
  </si>
  <si>
    <r>
      <t>2.4 (</t>
    </r>
    <r>
      <rPr>
        <sz val="8"/>
        <color theme="1"/>
        <rFont val="Calibri"/>
        <family val="2"/>
      </rPr>
      <t>±10.6)</t>
    </r>
  </si>
  <si>
    <t>Overall</t>
  </si>
  <si>
    <t>Table 1. Summary of results from long-term crop rotation studies on soil organic C storage: comparison between measurement and modelling (CAMPBELL)</t>
  </si>
  <si>
    <r>
      <t>88.7 (</t>
    </r>
    <r>
      <rPr>
        <sz val="8"/>
        <color theme="1"/>
        <rFont val="Calibri"/>
        <family val="2"/>
      </rPr>
      <t>±4.4)</t>
    </r>
  </si>
  <si>
    <r>
      <t>78.3 (</t>
    </r>
    <r>
      <rPr>
        <sz val="8"/>
        <color theme="1"/>
        <rFont val="Calibri"/>
        <family val="2"/>
      </rPr>
      <t>±2.8)</t>
    </r>
  </si>
  <si>
    <r>
      <t>77.5 (</t>
    </r>
    <r>
      <rPr>
        <sz val="8"/>
        <color theme="1"/>
        <rFont val="Calibri"/>
        <family val="2"/>
      </rPr>
      <t>±5.8)</t>
    </r>
  </si>
  <si>
    <r>
      <t>104.3 (</t>
    </r>
    <r>
      <rPr>
        <sz val="8"/>
        <color theme="1"/>
        <rFont val="Calibri"/>
        <family val="2"/>
      </rPr>
      <t>±6.0)</t>
    </r>
  </si>
  <si>
    <r>
      <t>79.7 (</t>
    </r>
    <r>
      <rPr>
        <sz val="8"/>
        <color theme="1"/>
        <rFont val="Calibri"/>
        <family val="2"/>
      </rPr>
      <t>±10.2)</t>
    </r>
  </si>
  <si>
    <r>
      <t>92.0 (</t>
    </r>
    <r>
      <rPr>
        <sz val="8"/>
        <color theme="1"/>
        <rFont val="Calibri"/>
        <family val="2"/>
      </rPr>
      <t>±3.8)</t>
    </r>
  </si>
  <si>
    <r>
      <t>95.9 (</t>
    </r>
    <r>
      <rPr>
        <sz val="8"/>
        <color theme="1"/>
        <rFont val="Calibri"/>
        <family val="2"/>
      </rPr>
      <t>±5.1)</t>
    </r>
  </si>
  <si>
    <r>
      <t>101.4 (</t>
    </r>
    <r>
      <rPr>
        <sz val="8"/>
        <color theme="1"/>
        <rFont val="Calibri"/>
        <family val="2"/>
      </rPr>
      <t>±2.8)</t>
    </r>
  </si>
  <si>
    <r>
      <t>98.4 (</t>
    </r>
    <r>
      <rPr>
        <sz val="8"/>
        <color theme="1"/>
        <rFont val="Calibri"/>
        <family val="2"/>
      </rPr>
      <t>±10.9)</t>
    </r>
  </si>
  <si>
    <r>
      <t>84.9 (</t>
    </r>
    <r>
      <rPr>
        <sz val="8"/>
        <color theme="1"/>
        <rFont val="Calibri"/>
        <family val="2"/>
      </rPr>
      <t>±4.8)</t>
    </r>
  </si>
  <si>
    <r>
      <t>76.5 (</t>
    </r>
    <r>
      <rPr>
        <sz val="8"/>
        <color theme="1"/>
        <rFont val="Calibri"/>
        <family val="2"/>
      </rPr>
      <t>±5.5)</t>
    </r>
  </si>
  <si>
    <r>
      <t>80.2 (</t>
    </r>
    <r>
      <rPr>
        <sz val="8"/>
        <color theme="1"/>
        <rFont val="Calibri"/>
        <family val="2"/>
      </rPr>
      <t>±4.3)</t>
    </r>
  </si>
  <si>
    <r>
      <t>87.5 (</t>
    </r>
    <r>
      <rPr>
        <sz val="8"/>
        <color theme="1"/>
        <rFont val="Calibri"/>
        <family val="2"/>
      </rPr>
      <t>±3.3)</t>
    </r>
  </si>
  <si>
    <r>
      <t>45</t>
    </r>
    <r>
      <rPr>
        <vertAlign val="superscript"/>
        <sz val="8"/>
        <rFont val="Times New Roman"/>
        <family val="1"/>
      </rPr>
      <t>o</t>
    </r>
    <r>
      <rPr>
        <sz val="8"/>
        <rFont val="Times New Roman"/>
        <family val="1"/>
      </rPr>
      <t xml:space="preserve"> 3´N</t>
    </r>
  </si>
  <si>
    <r>
      <t>75</t>
    </r>
    <r>
      <rPr>
        <vertAlign val="superscript"/>
        <sz val="8"/>
        <rFont val="Times New Roman"/>
        <family val="1"/>
      </rPr>
      <t>o</t>
    </r>
    <r>
      <rPr>
        <sz val="8"/>
        <rFont val="Times New Roman"/>
        <family val="1"/>
      </rPr>
      <t xml:space="preserve"> 4´W</t>
    </r>
  </si>
  <si>
    <r>
      <t>50</t>
    </r>
    <r>
      <rPr>
        <vertAlign val="superscript"/>
        <sz val="8"/>
        <rFont val="Times New Roman"/>
        <family val="1"/>
      </rPr>
      <t>o</t>
    </r>
    <r>
      <rPr>
        <sz val="8"/>
        <rFont val="Times New Roman"/>
        <family val="1"/>
      </rPr>
      <t xml:space="preserve"> 32´N</t>
    </r>
  </si>
  <si>
    <r>
      <t>103</t>
    </r>
    <r>
      <rPr>
        <vertAlign val="superscript"/>
        <sz val="8"/>
        <rFont val="Times New Roman"/>
        <family val="1"/>
      </rPr>
      <t>o</t>
    </r>
    <r>
      <rPr>
        <sz val="8"/>
        <rFont val="Times New Roman"/>
        <family val="1"/>
      </rPr>
      <t xml:space="preserve"> 40´W</t>
    </r>
  </si>
  <si>
    <r>
      <t>42</t>
    </r>
    <r>
      <rPr>
        <vertAlign val="superscript"/>
        <sz val="8"/>
        <rFont val="Times New Roman"/>
        <family val="1"/>
      </rPr>
      <t>o</t>
    </r>
    <r>
      <rPr>
        <sz val="8"/>
        <rFont val="Times New Roman"/>
        <family val="1"/>
      </rPr>
      <t xml:space="preserve"> 13´N</t>
    </r>
  </si>
  <si>
    <r>
      <t>82</t>
    </r>
    <r>
      <rPr>
        <vertAlign val="superscript"/>
        <sz val="8"/>
        <rFont val="Times New Roman"/>
        <family val="1"/>
      </rPr>
      <t>o</t>
    </r>
    <r>
      <rPr>
        <sz val="8"/>
        <rFont val="Times New Roman"/>
        <family val="1"/>
      </rPr>
      <t xml:space="preserve"> 44´W</t>
    </r>
  </si>
  <si>
    <r>
      <t>84.1 (</t>
    </r>
    <r>
      <rPr>
        <sz val="8"/>
        <color theme="1"/>
        <rFont val="Calibri"/>
        <family val="2"/>
      </rPr>
      <t>±17.9)</t>
    </r>
  </si>
  <si>
    <r>
      <t>81.7 (</t>
    </r>
    <r>
      <rPr>
        <sz val="8"/>
        <color theme="1"/>
        <rFont val="Calibri"/>
        <family val="2"/>
      </rPr>
      <t>±11.1)</t>
    </r>
  </si>
  <si>
    <r>
      <t>80.6 (</t>
    </r>
    <r>
      <rPr>
        <sz val="8"/>
        <color theme="1"/>
        <rFont val="Calibri"/>
        <family val="2"/>
      </rPr>
      <t>±4.7)</t>
    </r>
  </si>
  <si>
    <r>
      <t>77.3 (</t>
    </r>
    <r>
      <rPr>
        <sz val="8"/>
        <color theme="1"/>
        <rFont val="Calibri"/>
        <family val="2"/>
      </rPr>
      <t>±7.3)</t>
    </r>
  </si>
  <si>
    <r>
      <t>95.2 (</t>
    </r>
    <r>
      <rPr>
        <sz val="8"/>
        <color theme="1"/>
        <rFont val="Calibri"/>
        <family val="2"/>
      </rPr>
      <t>±6.4)</t>
    </r>
  </si>
  <si>
    <r>
      <t>87.7 (</t>
    </r>
    <r>
      <rPr>
        <sz val="8"/>
        <color theme="1"/>
        <rFont val="Calibri"/>
        <family val="2"/>
      </rPr>
      <t>±12.4)</t>
    </r>
  </si>
  <si>
    <t>Soil organic carbon predicted by models and difference from the measured value</t>
  </si>
  <si>
    <t>Campbell</t>
  </si>
  <si>
    <t>ICBM</t>
  </si>
  <si>
    <t>IPCC Tier 2</t>
  </si>
  <si>
    <t>RothC</t>
  </si>
  <si>
    <r>
      <t>Ma C ha</t>
    </r>
    <r>
      <rPr>
        <vertAlign val="superscript"/>
        <sz val="8"/>
        <color theme="1"/>
        <rFont val="Calibri"/>
        <family val="2"/>
        <scheme val="minor"/>
      </rPr>
      <t>-1</t>
    </r>
  </si>
  <si>
    <r>
      <t>31.1 (</t>
    </r>
    <r>
      <rPr>
        <sz val="8"/>
        <color theme="1"/>
        <rFont val="Calibri"/>
        <family val="2"/>
      </rPr>
      <t>±13.4)</t>
    </r>
  </si>
  <si>
    <r>
      <t>6.8 (</t>
    </r>
    <r>
      <rPr>
        <sz val="8"/>
        <color theme="1"/>
        <rFont val="Calibri"/>
        <family val="2"/>
      </rPr>
      <t>±9.3)</t>
    </r>
  </si>
  <si>
    <r>
      <t>24.6 (</t>
    </r>
    <r>
      <rPr>
        <sz val="8"/>
        <color theme="1"/>
        <rFont val="Calibri"/>
        <family val="2"/>
      </rPr>
      <t>±13.3)</t>
    </r>
  </si>
  <si>
    <r>
      <t>-19.3 (</t>
    </r>
    <r>
      <rPr>
        <sz val="8"/>
        <color theme="1"/>
        <rFont val="Calibri"/>
        <family val="2"/>
      </rPr>
      <t>±11.7)</t>
    </r>
  </si>
  <si>
    <r>
      <t>1.5 (</t>
    </r>
    <r>
      <rPr>
        <sz val="8"/>
        <color theme="1"/>
        <rFont val="Calibri"/>
        <family val="2"/>
      </rPr>
      <t>±10.1)</t>
    </r>
  </si>
  <si>
    <r>
      <t>-4.2 (</t>
    </r>
    <r>
      <rPr>
        <sz val="8"/>
        <color theme="1"/>
        <rFont val="Calibri"/>
        <family val="2"/>
      </rPr>
      <t>±10.2)</t>
    </r>
  </si>
  <si>
    <r>
      <t>-3.3 (</t>
    </r>
    <r>
      <rPr>
        <sz val="8"/>
        <color theme="1"/>
        <rFont val="Calibri"/>
        <family val="2"/>
      </rPr>
      <t>±7.1)</t>
    </r>
  </si>
  <si>
    <r>
      <t>-1.3 (</t>
    </r>
    <r>
      <rPr>
        <sz val="8"/>
        <color theme="1"/>
        <rFont val="Calibri"/>
        <family val="2"/>
      </rPr>
      <t>±7.5)</t>
    </r>
  </si>
  <si>
    <r>
      <t>-17.0  (</t>
    </r>
    <r>
      <rPr>
        <sz val="8"/>
        <color theme="1"/>
        <rFont val="Calibri"/>
        <family val="2"/>
      </rPr>
      <t>±7.3)</t>
    </r>
  </si>
  <si>
    <r>
      <t>-24.9 (</t>
    </r>
    <r>
      <rPr>
        <sz val="8"/>
        <color theme="1"/>
        <rFont val="Calibri"/>
        <family val="2"/>
      </rPr>
      <t>±3.6)</t>
    </r>
  </si>
  <si>
    <r>
      <t>-16.9 (</t>
    </r>
    <r>
      <rPr>
        <sz val="8"/>
        <color theme="1"/>
        <rFont val="Calibri"/>
        <family val="2"/>
      </rPr>
      <t>±2.8)</t>
    </r>
  </si>
  <si>
    <r>
      <t>-23.0 (</t>
    </r>
    <r>
      <rPr>
        <sz val="8"/>
        <color theme="1"/>
        <rFont val="Calibri"/>
        <family val="2"/>
      </rPr>
      <t>±5.3)</t>
    </r>
  </si>
  <si>
    <r>
      <t>-18.1 (</t>
    </r>
    <r>
      <rPr>
        <sz val="8"/>
        <color theme="1"/>
        <rFont val="Calibri"/>
        <family val="2"/>
      </rPr>
      <t>±9.1)</t>
    </r>
  </si>
  <si>
    <r>
      <t>-11.0 (</t>
    </r>
    <r>
      <rPr>
        <sz val="8"/>
        <color theme="1"/>
        <rFont val="Calibri"/>
        <family val="2"/>
      </rPr>
      <t>±9.6)</t>
    </r>
  </si>
  <si>
    <r>
      <t>-12.5 (</t>
    </r>
    <r>
      <rPr>
        <sz val="8"/>
        <color theme="1"/>
        <rFont val="Calibri"/>
        <family val="2"/>
      </rPr>
      <t>±9.3)</t>
    </r>
  </si>
  <si>
    <r>
      <t>-12.1 (</t>
    </r>
    <r>
      <rPr>
        <sz val="8"/>
        <color theme="1"/>
        <rFont val="Calibri"/>
        <family val="2"/>
      </rPr>
      <t>±2.5)</t>
    </r>
  </si>
  <si>
    <r>
      <t>-1.4 (</t>
    </r>
    <r>
      <rPr>
        <sz val="8"/>
        <color theme="1"/>
        <rFont val="Calibri"/>
        <family val="2"/>
      </rPr>
      <t>±2.2)</t>
    </r>
  </si>
  <si>
    <r>
      <t>-18.5 (</t>
    </r>
    <r>
      <rPr>
        <sz val="8"/>
        <color theme="1"/>
        <rFont val="Calibri"/>
        <family val="2"/>
      </rPr>
      <t>±3.8)</t>
    </r>
  </si>
  <si>
    <r>
      <t>-14.2 (</t>
    </r>
    <r>
      <rPr>
        <sz val="8"/>
        <color theme="1"/>
        <rFont val="Calibri"/>
        <family val="2"/>
      </rPr>
      <t>±4.0)</t>
    </r>
  </si>
  <si>
    <r>
      <t>-27.0 (</t>
    </r>
    <r>
      <rPr>
        <sz val="8"/>
        <color theme="1"/>
        <rFont val="Calibri"/>
        <family val="2"/>
      </rPr>
      <t>±4.1)</t>
    </r>
  </si>
  <si>
    <r>
      <t>26.5 (</t>
    </r>
    <r>
      <rPr>
        <sz val="8"/>
        <color theme="1"/>
        <rFont val="Calibri"/>
        <family val="2"/>
      </rPr>
      <t>±5.7)</t>
    </r>
  </si>
  <si>
    <r>
      <t>2.9 (</t>
    </r>
    <r>
      <rPr>
        <sz val="8"/>
        <color theme="1"/>
        <rFont val="Calibri"/>
        <family val="2"/>
      </rPr>
      <t>±4.8)</t>
    </r>
  </si>
  <si>
    <r>
      <t>-10.8 (</t>
    </r>
    <r>
      <rPr>
        <sz val="8"/>
        <color theme="1"/>
        <rFont val="Calibri"/>
        <family val="2"/>
      </rPr>
      <t>±5.0)</t>
    </r>
  </si>
  <si>
    <r>
      <t>-18.1 (</t>
    </r>
    <r>
      <rPr>
        <sz val="8"/>
        <color theme="1"/>
        <rFont val="Calibri"/>
        <family val="2"/>
      </rPr>
      <t>±8.0)</t>
    </r>
  </si>
  <si>
    <r>
      <t>-4.1 (</t>
    </r>
    <r>
      <rPr>
        <sz val="8"/>
        <color theme="1"/>
        <rFont val="Calibri"/>
        <family val="2"/>
      </rPr>
      <t>±7.2)</t>
    </r>
  </si>
  <si>
    <r>
      <t>-5.5 (</t>
    </r>
    <r>
      <rPr>
        <sz val="8"/>
        <color theme="1"/>
        <rFont val="Calibri"/>
        <family val="2"/>
      </rPr>
      <t>±7.4)</t>
    </r>
  </si>
  <si>
    <r>
      <t>-11.9 (</t>
    </r>
    <r>
      <rPr>
        <sz val="8"/>
        <color theme="1"/>
        <rFont val="Calibri"/>
        <family val="2"/>
      </rPr>
      <t>±7.7)</t>
    </r>
  </si>
  <si>
    <r>
      <t>-1.5 (</t>
    </r>
    <r>
      <rPr>
        <sz val="8"/>
        <color theme="1"/>
        <rFont val="Calibri"/>
        <family val="2"/>
      </rPr>
      <t>±7.8)</t>
    </r>
  </si>
  <si>
    <r>
      <t>-2.8 (</t>
    </r>
    <r>
      <rPr>
        <sz val="8"/>
        <color theme="1"/>
        <rFont val="Calibri"/>
        <family val="2"/>
      </rPr>
      <t>±6.8)</t>
    </r>
  </si>
  <si>
    <r>
      <t>-12.7 (</t>
    </r>
    <r>
      <rPr>
        <sz val="8"/>
        <color theme="1"/>
        <rFont val="Calibri"/>
        <family val="2"/>
      </rPr>
      <t>±0.6)</t>
    </r>
  </si>
  <si>
    <t>Nitrogen Rates</t>
  </si>
  <si>
    <r>
      <t>-14.3 (</t>
    </r>
    <r>
      <rPr>
        <sz val="8"/>
        <color theme="1"/>
        <rFont val="Calibri"/>
        <family val="2"/>
      </rPr>
      <t>±1.6)</t>
    </r>
  </si>
  <si>
    <r>
      <t>-29.0 (</t>
    </r>
    <r>
      <rPr>
        <sz val="8"/>
        <color theme="1"/>
        <rFont val="Calibri"/>
        <family val="2"/>
      </rPr>
      <t>±1.3)</t>
    </r>
  </si>
  <si>
    <r>
      <t>-16.6 (</t>
    </r>
    <r>
      <rPr>
        <sz val="8"/>
        <color theme="1"/>
        <rFont val="Calibri"/>
        <family val="2"/>
      </rPr>
      <t>±2.1)</t>
    </r>
  </si>
  <si>
    <r>
      <t>-18.6 (</t>
    </r>
    <r>
      <rPr>
        <sz val="8"/>
        <color theme="1"/>
        <rFont val="Calibri"/>
        <family val="2"/>
      </rPr>
      <t>±3.1)</t>
    </r>
  </si>
  <si>
    <r>
      <t>-2.2 (</t>
    </r>
    <r>
      <rPr>
        <b/>
        <sz val="8"/>
        <color theme="1"/>
        <rFont val="Calibri"/>
        <family val="2"/>
      </rPr>
      <t>±7.4)</t>
    </r>
  </si>
  <si>
    <r>
      <t>-16.5 (</t>
    </r>
    <r>
      <rPr>
        <b/>
        <sz val="8"/>
        <color theme="1"/>
        <rFont val="Calibri"/>
        <family val="2"/>
      </rPr>
      <t>±9.3)</t>
    </r>
  </si>
  <si>
    <r>
      <t>-3.5 (</t>
    </r>
    <r>
      <rPr>
        <b/>
        <sz val="8"/>
        <color theme="1"/>
        <rFont val="Calibri"/>
        <family val="2"/>
      </rPr>
      <t>±11.2)</t>
    </r>
  </si>
  <si>
    <r>
      <t>-3.9 (</t>
    </r>
    <r>
      <rPr>
        <b/>
        <sz val="8"/>
        <color theme="1"/>
        <rFont val="Calibri"/>
        <family val="2"/>
      </rPr>
      <t>±16.8)</t>
    </r>
  </si>
  <si>
    <t>Name of Model</t>
  </si>
  <si>
    <t>General Model Description</t>
  </si>
  <si>
    <t>1. The Introductory Carbon Balance Model (ICBM)</t>
  </si>
  <si>
    <t>2. CAMPBELL model</t>
  </si>
  <si>
    <t xml:space="preserve">In the 2019 IPCC Guidelines (IPCC 2019) a simplified version of the Century model (Parton et al. 1987) has been proposed as the IPCC Tier 2 model based on the input of crop residue C to estimate water and temperature effects on decomposition; the amount of active, slow and passive SOC; and the change in total SOC.  The model is mainly proposed for reporting the change in SOC as influenced by management practices in Cropland Remaining Cropland for Annex I countries under the United Nations Framework Convention on Climate Change, and becomes mandatory if this source/sink category is a key in the National Inventory Report (NIR). This model is relatively new without extensive calibration/validation in Canada or worldwide.  </t>
  </si>
  <si>
    <t>4. Rothamsted carbon model (RothC)</t>
  </si>
  <si>
    <t>The Introductory Carbon Balance Model (ICBM) (Andrén and Kätterer 1997) is a two-compartment first-order kinetic model driven by annual carbon inputs, which is programmed to run in Microsoft Excel, and recently R. It was developed to calculate SOC stock changes in a 30-yr time frame and tested for Northern Europe climate-soil-cropping conditions (Andrén and Kätterer 1997; Kätterer and Andrén 1999). The ICBM uses few parameters for which information is usually readily available for Canadian agroecosystems. Advantages of ICBM include the simple interface within a Microsoft Excel or R, the ability to transparently observe how the model is performing, and the efficiency of changing input variables so the user can quickly see the response of the model output.  The IC BM has been widely used in Canada (Bolinder et al., 2006; Bolinder et al. 2008; Krobel et al. 2016).</t>
  </si>
  <si>
    <t>The CAMPBELL model is a simple empirical model which was developed primarily for spring wheat systems in Western Canada with the intent of describing the most important features of SOC dynamics using the fewest number of inputs. Using an empirical method proposed previously by Woodruff (1949), the model operates by using two independent functions to describe SOC change. One function describes C dynamics due to residue addition; it uses an equation derived by Voroney et al. (1989) to estimate the accumulation of SOC over time after residue input. The second equation describes the decomposition of the pre-existing SOC pool using exponential decay based on coefficients derived by Campbell et al. (2001, 2000). The cumulative result of these two equations determines the change in the total C pool (Liang et al., 2005). The CAMPBELL model has been widely used in Canada ( Campbell et al. 2001; 2000; Smith et al. 2012).</t>
  </si>
  <si>
    <t>Experiment Initiation</t>
  </si>
  <si>
    <t>Grain/straw Yield</t>
  </si>
  <si>
    <t>Soil Samples for SOC</t>
  </si>
  <si>
    <t>Fertilizer</t>
  </si>
  <si>
    <t>No N or P</t>
  </si>
  <si>
    <t>Annual grain</t>
  </si>
  <si>
    <t>Note</t>
  </si>
  <si>
    <t>FW, FWW, ContW</t>
  </si>
  <si>
    <t>1911, 1922, 1940, 1953, 1967, 1973, 1980, 1993</t>
  </si>
  <si>
    <r>
      <t>49</t>
    </r>
    <r>
      <rPr>
        <vertAlign val="superscript"/>
        <sz val="8"/>
        <rFont val="Arial"/>
        <family val="2"/>
      </rPr>
      <t>o</t>
    </r>
    <r>
      <rPr>
        <sz val="8"/>
        <rFont val="Arial"/>
        <family val="2"/>
      </rPr>
      <t xml:space="preserve"> 42´N</t>
    </r>
  </si>
  <si>
    <r>
      <t>112</t>
    </r>
    <r>
      <rPr>
        <vertAlign val="superscript"/>
        <sz val="8"/>
        <rFont val="Arial"/>
        <family val="2"/>
      </rPr>
      <t>o</t>
    </r>
    <r>
      <rPr>
        <sz val="8"/>
        <rFont val="Arial"/>
        <family val="2"/>
      </rPr>
      <t xml:space="preserve"> 46´W</t>
    </r>
  </si>
  <si>
    <t>1954, 1974, 1985, 1993</t>
  </si>
  <si>
    <t>0N, 25N, 50N, and 75N</t>
  </si>
  <si>
    <t>Annual grain/straw</t>
  </si>
  <si>
    <t>Non-replicated; SOC sampled and measured in the 0-30-cm soil</t>
  </si>
  <si>
    <t>SOC sampled and measured in the 0-30-cm soil</t>
  </si>
  <si>
    <t>1983, 1995, 2009</t>
  </si>
  <si>
    <t>For each N crop straw is either retained or removed; SOC sampled and measured in the 0-20-cm soil</t>
  </si>
  <si>
    <t>N &amp; P</t>
  </si>
  <si>
    <t>1976, 1981, 1984, 1990, 1993, 1996, 1999, 2003</t>
  </si>
  <si>
    <t>FWW, FWWW, ContW</t>
  </si>
  <si>
    <t>1987, 1990, 1993, 1996, 2003</t>
  </si>
  <si>
    <t>1960, 1987, 1996, 2006</t>
  </si>
  <si>
    <r>
      <t>0, 100, and 200 kg N ha</t>
    </r>
    <r>
      <rPr>
        <vertAlign val="superscript"/>
        <sz val="8"/>
        <color theme="1"/>
        <rFont val="Calibri"/>
        <family val="2"/>
        <scheme val="minor"/>
      </rPr>
      <t>-1</t>
    </r>
  </si>
  <si>
    <t>1992, 2013</t>
  </si>
  <si>
    <t>Fertilizered vs Non-fertilizered</t>
  </si>
  <si>
    <t>1990, 2008</t>
  </si>
  <si>
    <t>Corn - soybean</t>
  </si>
  <si>
    <t>2004, 2009, 2017</t>
  </si>
  <si>
    <t>Fertilizered vs rates of P</t>
  </si>
  <si>
    <t>Soil Texture</t>
  </si>
  <si>
    <t>Mean Annual Air Temperature</t>
  </si>
  <si>
    <t>Mean Annual Precipitation</t>
  </si>
  <si>
    <r>
      <t>5.7</t>
    </r>
    <r>
      <rPr>
        <vertAlign val="superscript"/>
        <sz val="8"/>
        <rFont val="Arial"/>
        <family val="2"/>
      </rPr>
      <t>o</t>
    </r>
    <r>
      <rPr>
        <sz val="8"/>
        <rFont val="Arial"/>
        <family val="2"/>
      </rPr>
      <t>C</t>
    </r>
  </si>
  <si>
    <t>380 mm</t>
  </si>
  <si>
    <r>
      <t>3.5</t>
    </r>
    <r>
      <rPr>
        <vertAlign val="superscript"/>
        <sz val="8"/>
        <rFont val="Arial"/>
        <family val="2"/>
      </rPr>
      <t>o</t>
    </r>
    <r>
      <rPr>
        <sz val="8"/>
        <rFont val="Arial"/>
        <family val="2"/>
      </rPr>
      <t>C</t>
    </r>
  </si>
  <si>
    <t>513 mm</t>
  </si>
  <si>
    <r>
      <t>3.2</t>
    </r>
    <r>
      <rPr>
        <vertAlign val="superscript"/>
        <sz val="8"/>
        <rFont val="Arial"/>
        <family val="2"/>
      </rPr>
      <t>o</t>
    </r>
    <r>
      <rPr>
        <sz val="8"/>
        <rFont val="Arial"/>
        <family val="2"/>
      </rPr>
      <t>C</t>
    </r>
  </si>
  <si>
    <t>448 mm</t>
  </si>
  <si>
    <r>
      <t>4.4</t>
    </r>
    <r>
      <rPr>
        <vertAlign val="superscript"/>
        <sz val="8"/>
        <rFont val="Arial"/>
        <family val="2"/>
      </rPr>
      <t>o</t>
    </r>
    <r>
      <rPr>
        <sz val="8"/>
        <rFont val="Arial"/>
        <family val="2"/>
      </rPr>
      <t>C</t>
    </r>
  </si>
  <si>
    <t>367 mm</t>
  </si>
  <si>
    <r>
      <t>2.7</t>
    </r>
    <r>
      <rPr>
        <vertAlign val="superscript"/>
        <sz val="8"/>
        <rFont val="Arial"/>
        <family val="2"/>
      </rPr>
      <t>o</t>
    </r>
    <r>
      <rPr>
        <sz val="8"/>
        <rFont val="Arial"/>
        <family val="2"/>
      </rPr>
      <t>C</t>
    </r>
  </si>
  <si>
    <t>425 mm</t>
  </si>
  <si>
    <r>
      <t>6.1</t>
    </r>
    <r>
      <rPr>
        <vertAlign val="superscript"/>
        <sz val="8"/>
        <rFont val="Arial"/>
        <family val="2"/>
      </rPr>
      <t>o</t>
    </r>
    <r>
      <rPr>
        <sz val="8"/>
        <rFont val="Arial"/>
        <family val="2"/>
      </rPr>
      <t>C</t>
    </r>
  </si>
  <si>
    <t>880 mm</t>
  </si>
  <si>
    <r>
      <t>53</t>
    </r>
    <r>
      <rPr>
        <vertAlign val="superscript"/>
        <sz val="8"/>
        <color theme="1"/>
        <rFont val="Arial"/>
        <family val="2"/>
      </rPr>
      <t xml:space="preserve">o </t>
    </r>
    <r>
      <rPr>
        <sz val="8"/>
        <color theme="1"/>
        <rFont val="Arial"/>
        <family val="2"/>
      </rPr>
      <t>07' N</t>
    </r>
  </si>
  <si>
    <r>
      <t>53</t>
    </r>
    <r>
      <rPr>
        <vertAlign val="superscript"/>
        <sz val="8"/>
        <color theme="1"/>
        <rFont val="Arial"/>
        <family val="2"/>
      </rPr>
      <t>o 25</t>
    </r>
    <r>
      <rPr>
        <sz val="8"/>
        <color theme="1"/>
        <rFont val="Arial"/>
        <family val="2"/>
      </rPr>
      <t>' N</t>
    </r>
  </si>
  <si>
    <r>
      <t>Mg C ha</t>
    </r>
    <r>
      <rPr>
        <vertAlign val="superscript"/>
        <sz val="8"/>
        <color theme="1"/>
        <rFont val="Arial"/>
        <family val="2"/>
      </rPr>
      <t>-1</t>
    </r>
  </si>
  <si>
    <r>
      <t>Ma C ha</t>
    </r>
    <r>
      <rPr>
        <vertAlign val="superscript"/>
        <sz val="8"/>
        <color theme="1"/>
        <rFont val="Arial"/>
        <family val="2"/>
      </rPr>
      <t>-1</t>
    </r>
  </si>
  <si>
    <t>58.2 (±5.0)</t>
  </si>
  <si>
    <t>50.3 (±3.4)</t>
  </si>
  <si>
    <t>52.2 (±3.2)</t>
  </si>
  <si>
    <t>55.3 (±3.0)</t>
  </si>
  <si>
    <t>47.2 (±1.3)</t>
  </si>
  <si>
    <t>48 (±3.8)</t>
  </si>
  <si>
    <t>54.2 (±2.3)</t>
  </si>
  <si>
    <t>57.2 (±1.4)</t>
  </si>
  <si>
    <t>56.2 (±3.4)</t>
  </si>
  <si>
    <t>58.4 (±2.8)</t>
  </si>
  <si>
    <t>7.0 (±8.8)</t>
  </si>
  <si>
    <r>
      <t>114</t>
    </r>
    <r>
      <rPr>
        <vertAlign val="superscript"/>
        <sz val="8"/>
        <color theme="1"/>
        <rFont val="Arial"/>
        <family val="2"/>
      </rPr>
      <t xml:space="preserve">o </t>
    </r>
    <r>
      <rPr>
        <sz val="8"/>
        <color theme="1"/>
        <rFont val="Arial"/>
        <family val="2"/>
      </rPr>
      <t>28' W</t>
    </r>
  </si>
  <si>
    <t>6.2 (±11.0)</t>
  </si>
  <si>
    <r>
      <t>113</t>
    </r>
    <r>
      <rPr>
        <vertAlign val="superscript"/>
        <sz val="8"/>
        <color theme="1"/>
        <rFont val="Arial"/>
        <family val="2"/>
      </rPr>
      <t>o 33</t>
    </r>
    <r>
      <rPr>
        <sz val="8"/>
        <color theme="1"/>
        <rFont val="Arial"/>
        <family val="2"/>
      </rPr>
      <t>' W</t>
    </r>
  </si>
  <si>
    <r>
      <t>50</t>
    </r>
    <r>
      <rPr>
        <vertAlign val="superscript"/>
        <sz val="8"/>
        <rFont val="Arial"/>
        <family val="2"/>
      </rPr>
      <t>o</t>
    </r>
    <r>
      <rPr>
        <sz val="8"/>
        <rFont val="Arial"/>
        <family val="2"/>
      </rPr>
      <t xml:space="preserve"> 16´N</t>
    </r>
  </si>
  <si>
    <r>
      <t>107</t>
    </r>
    <r>
      <rPr>
        <vertAlign val="superscript"/>
        <sz val="8"/>
        <rFont val="Arial"/>
        <family val="2"/>
      </rPr>
      <t>o</t>
    </r>
    <r>
      <rPr>
        <sz val="8"/>
        <rFont val="Arial"/>
        <family val="2"/>
      </rPr>
      <t xml:space="preserve"> 44´W</t>
    </r>
  </si>
  <si>
    <t>46.7 (±4.9)</t>
  </si>
  <si>
    <t>49.5 (±6.3)</t>
  </si>
  <si>
    <t>45.8 (±6.7)</t>
  </si>
  <si>
    <t>53.8 (±1.7)</t>
  </si>
  <si>
    <t>48.2 (±5.6)</t>
  </si>
  <si>
    <t>47.6 (±5.4)</t>
  </si>
  <si>
    <t>51.0 (±2.3)</t>
  </si>
  <si>
    <t>50.1 (±5.9)</t>
  </si>
  <si>
    <t>54.1 (±6.5)</t>
  </si>
  <si>
    <t>51.8 (±2.2)</t>
  </si>
  <si>
    <t>51.8 (±5.8)</t>
  </si>
  <si>
    <t>56.5 (±5.9)</t>
  </si>
  <si>
    <t>54.3 (±2.4)</t>
  </si>
  <si>
    <t>51.6 (±5.5)</t>
  </si>
  <si>
    <t>54.9 (±7.1)</t>
  </si>
  <si>
    <t>59.4 (±3.2)</t>
  </si>
  <si>
    <t>51.6 (±6.1)</t>
  </si>
  <si>
    <t>57.4 (±5.7)</t>
  </si>
  <si>
    <t>59.6 (±3.3)</t>
  </si>
  <si>
    <t>54.1 (±5.4)</t>
  </si>
  <si>
    <t>58.2 (±6.9)</t>
  </si>
  <si>
    <t>62.2 (±5.3)</t>
  </si>
  <si>
    <t>50.8 (±3.7)</t>
  </si>
  <si>
    <t>51.0 (±5.2)</t>
  </si>
  <si>
    <t>58.8 (±6.7)</t>
  </si>
  <si>
    <t>53.7 (±4.1)</t>
  </si>
  <si>
    <t>53.9 (±5.8)</t>
  </si>
  <si>
    <t>59.0 (±6.1)</t>
  </si>
  <si>
    <t>53.0 (±3.1)</t>
  </si>
  <si>
    <t>56.2 (±5.9)</t>
  </si>
  <si>
    <t>66.1 (±13.6)</t>
  </si>
  <si>
    <r>
      <t>50</t>
    </r>
    <r>
      <rPr>
        <vertAlign val="superscript"/>
        <sz val="8"/>
        <rFont val="Arial"/>
        <family val="2"/>
      </rPr>
      <t>o</t>
    </r>
    <r>
      <rPr>
        <sz val="8"/>
        <rFont val="Arial"/>
        <family val="2"/>
      </rPr>
      <t xml:space="preserve"> 32´N</t>
    </r>
  </si>
  <si>
    <r>
      <t>103</t>
    </r>
    <r>
      <rPr>
        <vertAlign val="superscript"/>
        <sz val="8"/>
        <rFont val="Arial"/>
        <family val="2"/>
      </rPr>
      <t>o</t>
    </r>
    <r>
      <rPr>
        <sz val="8"/>
        <rFont val="Arial"/>
        <family val="2"/>
      </rPr>
      <t xml:space="preserve"> 40´W</t>
    </r>
  </si>
  <si>
    <r>
      <t>45</t>
    </r>
    <r>
      <rPr>
        <vertAlign val="superscript"/>
        <sz val="8"/>
        <rFont val="Arial"/>
        <family val="2"/>
      </rPr>
      <t>o</t>
    </r>
    <r>
      <rPr>
        <sz val="8"/>
        <rFont val="Arial"/>
        <family val="2"/>
      </rPr>
      <t xml:space="preserve"> 3´N</t>
    </r>
  </si>
  <si>
    <r>
      <t>75</t>
    </r>
    <r>
      <rPr>
        <vertAlign val="superscript"/>
        <sz val="8"/>
        <rFont val="Arial"/>
        <family val="2"/>
      </rPr>
      <t>o</t>
    </r>
    <r>
      <rPr>
        <sz val="8"/>
        <rFont val="Arial"/>
        <family val="2"/>
      </rPr>
      <t xml:space="preserve"> 4´W</t>
    </r>
  </si>
  <si>
    <r>
      <t>0 kg N ha</t>
    </r>
    <r>
      <rPr>
        <vertAlign val="superscript"/>
        <sz val="8"/>
        <color theme="1"/>
        <rFont val="Arial"/>
        <family val="2"/>
      </rPr>
      <t>-1</t>
    </r>
  </si>
  <si>
    <t>84.1 (±17.9)</t>
  </si>
  <si>
    <t>77.3 (±7.3)</t>
  </si>
  <si>
    <r>
      <t>100 kg N ha</t>
    </r>
    <r>
      <rPr>
        <vertAlign val="superscript"/>
        <sz val="8"/>
        <color theme="1"/>
        <rFont val="Arial"/>
        <family val="2"/>
      </rPr>
      <t>-1</t>
    </r>
  </si>
  <si>
    <t>81.7 (±11.1)</t>
  </si>
  <si>
    <t>95.2 (±6.4)</t>
  </si>
  <si>
    <r>
      <t>200 kg N ha</t>
    </r>
    <r>
      <rPr>
        <vertAlign val="superscript"/>
        <sz val="8"/>
        <color theme="1"/>
        <rFont val="Arial"/>
        <family val="2"/>
      </rPr>
      <t>-1</t>
    </r>
  </si>
  <si>
    <t>80.6 (±4.7)</t>
  </si>
  <si>
    <t>87.7 (±12.4)</t>
  </si>
  <si>
    <t>-5.1 (±6.7)</t>
  </si>
  <si>
    <r>
      <t>42</t>
    </r>
    <r>
      <rPr>
        <vertAlign val="superscript"/>
        <sz val="8"/>
        <rFont val="Arial"/>
        <family val="2"/>
      </rPr>
      <t>o</t>
    </r>
    <r>
      <rPr>
        <sz val="8"/>
        <rFont val="Arial"/>
        <family val="2"/>
      </rPr>
      <t xml:space="preserve"> 13´N</t>
    </r>
  </si>
  <si>
    <r>
      <t>82</t>
    </r>
    <r>
      <rPr>
        <vertAlign val="superscript"/>
        <sz val="8"/>
        <rFont val="Arial"/>
        <family val="2"/>
      </rPr>
      <t>o</t>
    </r>
    <r>
      <rPr>
        <sz val="8"/>
        <rFont val="Arial"/>
        <family val="2"/>
      </rPr>
      <t xml:space="preserve"> 44´W</t>
    </r>
  </si>
  <si>
    <t>80.2 (±4.3)</t>
  </si>
  <si>
    <t>76.5 (±5.5)</t>
  </si>
  <si>
    <t>87.5 (±3.3)</t>
  </si>
  <si>
    <t>84.9 (±4.8)</t>
  </si>
  <si>
    <t>-2.6 (±1.8)</t>
  </si>
  <si>
    <t>-1.4 (±2.2)</t>
  </si>
  <si>
    <t>-12.1 (±2.5)</t>
  </si>
  <si>
    <t>88.7 (±4.4)</t>
  </si>
  <si>
    <t>78.3 (±2.8)</t>
  </si>
  <si>
    <t>77.5 (±5.8)</t>
  </si>
  <si>
    <t>104.3 (±6.0)</t>
  </si>
  <si>
    <t>79.7 (±10.2)</t>
  </si>
  <si>
    <t>92.0 (±3.8)</t>
  </si>
  <si>
    <t>95.9 (±5.1)</t>
  </si>
  <si>
    <t>101.4 (±2.8)</t>
  </si>
  <si>
    <t>98.4 (±10.9)</t>
  </si>
  <si>
    <t>2.4 (±10.6)</t>
  </si>
  <si>
    <t>Table 3. Summary of results from long-term crop rotation studies on soil organic C storage: comparison between measurement and modelling by four models</t>
  </si>
  <si>
    <t>CAMPBELL</t>
  </si>
  <si>
    <r>
      <t>51.7 (</t>
    </r>
    <r>
      <rPr>
        <sz val="8"/>
        <color theme="1"/>
        <rFont val="Calibri"/>
        <family val="2"/>
      </rPr>
      <t>±</t>
    </r>
    <r>
      <rPr>
        <sz val="8"/>
        <color theme="1"/>
        <rFont val="Arial"/>
        <family val="2"/>
      </rPr>
      <t>2.5)</t>
    </r>
  </si>
  <si>
    <r>
      <t>57.7 (</t>
    </r>
    <r>
      <rPr>
        <sz val="8"/>
        <color theme="1"/>
        <rFont val="Calibri"/>
        <family val="2"/>
      </rPr>
      <t>±</t>
    </r>
    <r>
      <rPr>
        <sz val="8"/>
        <color theme="1"/>
        <rFont val="Arial"/>
        <family val="2"/>
      </rPr>
      <t>3.0)</t>
    </r>
  </si>
  <si>
    <t>Table 2. Selection of models used for soil organic carbon validation against measurements</t>
  </si>
  <si>
    <t>3.    The Intergovernmental Panel on Climate Change Tier 2 Model (IPCC Tier 2 Model)</t>
  </si>
  <si>
    <r>
      <t>The RothC 26.3 model ( Coleman and Jenkinson 1996) partitions soil organic pools into decomposable plant material (DPM), resistant plant material (RPM), microbial biomass (BIO), humified organic matter (HUM), and inert organic matter (IOM). Inert organic matter is estimated from total SOC (Mg C ha</t>
    </r>
    <r>
      <rPr>
        <vertAlign val="superscript"/>
        <sz val="8"/>
        <color theme="1"/>
        <rFont val="Arial"/>
        <family val="2"/>
      </rPr>
      <t>−1</t>
    </r>
    <r>
      <rPr>
        <sz val="8"/>
        <color theme="1"/>
        <rFont val="Arial"/>
        <family val="2"/>
      </rPr>
      <t>) according to the findings of Falloon et al. (1998).  This model has been used worldwide, but with a limited application in Canada (Fan et al., 2018).</t>
    </r>
  </si>
  <si>
    <r>
      <rPr>
        <b/>
        <sz val="11"/>
        <color theme="1"/>
        <rFont val="Calibri"/>
        <family val="2"/>
        <scheme val="minor"/>
      </rPr>
      <t>Table 1.  Long-term crop rotation and soil organic carbon storage studies used for model validation in Canada</t>
    </r>
    <r>
      <rPr>
        <sz val="11"/>
        <color theme="1"/>
        <rFont val="Calibri"/>
        <family val="2"/>
        <scheme val="minor"/>
      </rPr>
      <t xml:space="preserve">  </t>
    </r>
  </si>
  <si>
    <t>46% sand and 31% clay</t>
  </si>
  <si>
    <t>45% sand and 25% clay</t>
  </si>
  <si>
    <t>33% sand and 22% clay</t>
  </si>
  <si>
    <t>17% sand and 39% clay</t>
  </si>
  <si>
    <t>30% sand and 20% clay</t>
  </si>
  <si>
    <t>16% sand and 63% clay</t>
  </si>
  <si>
    <t>42% sand and 28% clay</t>
  </si>
  <si>
    <t>28% sand and 37% clay</t>
  </si>
  <si>
    <r>
      <t>9.6</t>
    </r>
    <r>
      <rPr>
        <vertAlign val="superscript"/>
        <sz val="8"/>
        <rFont val="Times New Roman"/>
        <family val="1"/>
      </rPr>
      <t>o</t>
    </r>
    <r>
      <rPr>
        <sz val="8"/>
        <rFont val="Times New Roman"/>
        <family val="1"/>
      </rPr>
      <t>C</t>
    </r>
  </si>
  <si>
    <t>850 mm</t>
  </si>
  <si>
    <t>Crop Rotation/Treatment</t>
  </si>
  <si>
    <t>1.20 (1.15 - 1.24)</t>
  </si>
  <si>
    <t>1.20 (1.18 - 1.24)</t>
  </si>
  <si>
    <t>ContW</t>
  </si>
  <si>
    <t>1.22 (1.18 - 1.25)</t>
  </si>
  <si>
    <t>1.21 (1.19 - 1.25)</t>
  </si>
  <si>
    <t>1.19 (1.16 - 1.21)</t>
  </si>
  <si>
    <t>1.23 (1.22 - 1.24)</t>
  </si>
  <si>
    <t>Old Rotation</t>
  </si>
  <si>
    <t>New Rotation</t>
  </si>
  <si>
    <t>1.12 (1.10 - 1.17)</t>
  </si>
  <si>
    <t>1.13 (1.09 - 1.17)</t>
  </si>
  <si>
    <t>1.07 (1.04 - 1.12)</t>
  </si>
  <si>
    <t>1.06 (1.04 - 1.12)</t>
  </si>
  <si>
    <t>1.24 (1.16 - 1.32)</t>
  </si>
  <si>
    <t>1.60 (1.56 -1.67)</t>
  </si>
  <si>
    <t>2.08 (1.92 - 2.24)</t>
  </si>
  <si>
    <t>Continuous Corn</t>
  </si>
  <si>
    <t xml:space="preserve">Corn-soybean </t>
  </si>
  <si>
    <t>Mineral Fertilizers</t>
  </si>
  <si>
    <t>1.97 (1.83 - 2.11)</t>
  </si>
  <si>
    <r>
      <t>Table 4. Climatic, canopy cover and soil physical and chemical properties on soil organic C decomposition (RE</t>
    </r>
    <r>
      <rPr>
        <vertAlign val="subscript"/>
        <sz val="8"/>
        <color theme="1"/>
        <rFont val="Arial"/>
        <family val="2"/>
      </rPr>
      <t>crop</t>
    </r>
    <r>
      <rPr>
        <sz val="8"/>
        <color theme="1"/>
        <rFont val="Arial"/>
        <family val="2"/>
      </rPr>
      <t xml:space="preserve"> of ICBM)</t>
    </r>
  </si>
  <si>
    <r>
      <t>RE</t>
    </r>
    <r>
      <rPr>
        <vertAlign val="subscript"/>
        <sz val="8"/>
        <color theme="1"/>
        <rFont val="Arial"/>
        <family val="2"/>
      </rPr>
      <t>crop</t>
    </r>
    <r>
      <rPr>
        <vertAlign val="superscript"/>
        <sz val="8"/>
        <color theme="1"/>
        <rFont val="Arial"/>
        <family val="2"/>
      </rPr>
      <t>1</t>
    </r>
    <r>
      <rPr>
        <sz val="8"/>
        <color theme="1"/>
        <rFont val="Arial"/>
        <family val="2"/>
      </rPr>
      <t xml:space="preserve"> </t>
    </r>
  </si>
  <si>
    <r>
      <t>N Rate (0 - 75 kg N ha</t>
    </r>
    <r>
      <rPr>
        <vertAlign val="superscript"/>
        <sz val="8"/>
        <color theme="1"/>
        <rFont val="Arial"/>
        <family val="2"/>
      </rPr>
      <t>-1</t>
    </r>
    <r>
      <rPr>
        <sz val="8"/>
        <color theme="1"/>
        <rFont val="Arial"/>
        <family val="2"/>
      </rPr>
      <t>)</t>
    </r>
  </si>
  <si>
    <r>
      <t>N Rate (0 - 200 kg N ha</t>
    </r>
    <r>
      <rPr>
        <vertAlign val="superscript"/>
        <sz val="8"/>
        <color theme="1"/>
        <rFont val="Arial"/>
        <family val="2"/>
      </rPr>
      <t>-1</t>
    </r>
    <r>
      <rPr>
        <sz val="8"/>
        <color theme="1"/>
        <rFont val="Arial"/>
        <family val="2"/>
      </rPr>
      <t>)</t>
    </r>
  </si>
  <si>
    <r>
      <rPr>
        <vertAlign val="superscript"/>
        <sz val="8"/>
        <color theme="1"/>
        <rFont val="Arial"/>
        <family val="2"/>
      </rPr>
      <t>1</t>
    </r>
    <r>
      <rPr>
        <sz val="8"/>
        <color theme="1"/>
        <rFont val="Arial"/>
        <family val="2"/>
      </rPr>
      <t xml:space="preserve"> Numbers in bracket indicate a range of RE</t>
    </r>
    <r>
      <rPr>
        <vertAlign val="subscript"/>
        <sz val="8"/>
        <color theme="1"/>
        <rFont val="Arial"/>
        <family val="2"/>
      </rPr>
      <t>crop</t>
    </r>
    <r>
      <rPr>
        <sz val="8"/>
        <color theme="1"/>
        <rFont val="Arial"/>
        <family val="2"/>
      </rPr>
      <t xml:space="preserve"> among various phrase of crop rotation or rates of N fertilizers. </t>
    </r>
  </si>
  <si>
    <t>Corn-soybean</t>
  </si>
  <si>
    <t>Mean (S.D.)</t>
  </si>
  <si>
    <t>0N (S)</t>
  </si>
  <si>
    <t>0N (NS)</t>
  </si>
  <si>
    <t>25N (S)</t>
  </si>
  <si>
    <t>25N (NS)</t>
  </si>
  <si>
    <t>50N (S)</t>
  </si>
  <si>
    <t>50N (NS)</t>
  </si>
  <si>
    <t>75N (S)</t>
  </si>
  <si>
    <t>75N (NS)</t>
  </si>
  <si>
    <t>FWW (NP - S)</t>
  </si>
  <si>
    <t>FWW (NP-NS)</t>
  </si>
  <si>
    <t>-3.9 (±6.5)</t>
  </si>
  <si>
    <t>Calculation of crop residue C excluding root exsudates</t>
  </si>
  <si>
    <t>Calculation of crop residue C including root exsudates</t>
  </si>
  <si>
    <t>-0.2 (±6.5)</t>
  </si>
  <si>
    <t>-4.2 (±6.5)</t>
  </si>
  <si>
    <t>-1.7 (±1.3)</t>
  </si>
  <si>
    <t>5.2 (±10.4)</t>
  </si>
  <si>
    <t>3.1 (±7.8)</t>
  </si>
  <si>
    <t>-13.7 (±2.0)</t>
  </si>
  <si>
    <t>8.4 (±11.2)</t>
  </si>
  <si>
    <t>7.5 (±8.8)</t>
  </si>
  <si>
    <t>2.1 (±10.7)</t>
  </si>
  <si>
    <t>1.5 (±10.8)</t>
  </si>
  <si>
    <t>6.5 (±10.5)</t>
  </si>
  <si>
    <t>73.6 (±37.1)</t>
  </si>
  <si>
    <t>22.4 (±12.7)</t>
  </si>
  <si>
    <t>-22.3 (±1.6)</t>
  </si>
  <si>
    <t>4.0 (±10.0)</t>
  </si>
  <si>
    <t>-16.2 (±2.2)</t>
  </si>
  <si>
    <t>-24.0 (±2.9)</t>
  </si>
  <si>
    <t>15.7 (±15.9)</t>
  </si>
  <si>
    <t>-8.3 (±1.4)</t>
  </si>
  <si>
    <t>-21.6 (±11.9)</t>
  </si>
  <si>
    <t>-11.7 (±9.4)</t>
  </si>
  <si>
    <t>17.4 (±21.2)</t>
  </si>
  <si>
    <t>-22.9 (±6.1)</t>
  </si>
  <si>
    <t>126.6 (±21.7)</t>
  </si>
  <si>
    <t>3.5 (±4.7)</t>
  </si>
  <si>
    <t>-19.7 (±11.2)</t>
  </si>
  <si>
    <t>16.0 (±12.7)</t>
  </si>
  <si>
    <t>-4.6 (±9.3)</t>
  </si>
  <si>
    <t>-16.5 (±7.6)</t>
  </si>
  <si>
    <t>14.0  (±7.7)</t>
  </si>
  <si>
    <t>-4.5 (±7.0)</t>
  </si>
  <si>
    <t>26.1 (±22.5)</t>
  </si>
  <si>
    <t>-0.9 (±9.8)</t>
  </si>
  <si>
    <t>-17.0 (±7.7)</t>
  </si>
  <si>
    <t>-0.3 (±5.1)</t>
  </si>
  <si>
    <t>-10.9 (±6.7)</t>
  </si>
  <si>
    <t>-13.7 (±8.6)</t>
  </si>
  <si>
    <t>9.9 (±9.8)</t>
  </si>
  <si>
    <t>-11.2 (±7.1)</t>
  </si>
  <si>
    <t>-20.4 (±8.7)</t>
  </si>
  <si>
    <t>-2.6 (±9.8)</t>
  </si>
  <si>
    <t>0.4 (±6.2)</t>
  </si>
  <si>
    <t>30.3 (±37.5)</t>
  </si>
  <si>
    <t>-4.2 (±10.4)</t>
  </si>
  <si>
    <t>-17.2 (±8.5)</t>
  </si>
  <si>
    <t>7.5 (±11.3)</t>
  </si>
  <si>
    <t>7.0 (±11.8)</t>
  </si>
  <si>
    <t>3.5 (±11.8)</t>
  </si>
  <si>
    <t>-1.5 (±3.4)</t>
  </si>
  <si>
    <t>1.3 (±10.7)</t>
  </si>
  <si>
    <t>-4.7 (±11.8)</t>
  </si>
  <si>
    <t>-4.2 (±10.5)</t>
  </si>
  <si>
    <t>3.0 (±5.1)</t>
  </si>
  <si>
    <t>0.7 (±4.9)</t>
  </si>
  <si>
    <t>-7.7 (±5.1)</t>
  </si>
  <si>
    <t>-3.9 (±3.1)</t>
  </si>
  <si>
    <t>-10.1 (±1.1)</t>
  </si>
  <si>
    <t>-10.3 (±0.9)</t>
  </si>
  <si>
    <t>-8.8 (±12.2)</t>
  </si>
  <si>
    <t>0.1 (±9.9)</t>
  </si>
  <si>
    <t>-0.6 (±10.9)</t>
  </si>
  <si>
    <t>0.0  (±8.9)</t>
  </si>
  <si>
    <t>4.5 (±7.8)</t>
  </si>
  <si>
    <t>5.8 (±8.5)</t>
  </si>
  <si>
    <t>-3.6 (±9.6)</t>
  </si>
  <si>
    <t>-3.9 (±9.9)</t>
  </si>
  <si>
    <t>-2.2 (±8.1)</t>
  </si>
  <si>
    <t>-0.6 (±9.0)</t>
  </si>
  <si>
    <t>Overall Mean</t>
  </si>
  <si>
    <t>Standard Deviation</t>
  </si>
  <si>
    <t>±5.7%</t>
  </si>
  <si>
    <t>±6.7%</t>
  </si>
  <si>
    <t>±6.5%</t>
  </si>
  <si>
    <t>51.4 (±3.1)</t>
  </si>
  <si>
    <t>62.4 (±13.6)</t>
  </si>
  <si>
    <t>3.3 (±7.1)</t>
  </si>
  <si>
    <t>0.6 (±7.4)</t>
  </si>
  <si>
    <t>-1.7 (±6.8)</t>
  </si>
  <si>
    <t>0.5 (±7.3)</t>
  </si>
  <si>
    <t>14.3 (±2.1)</t>
  </si>
  <si>
    <t>11.4 (±2.0)</t>
  </si>
  <si>
    <t>11.1 (±3.1)</t>
  </si>
  <si>
    <t>13.5 (±2.6)</t>
  </si>
  <si>
    <t>1.9 (±5.5)</t>
  </si>
  <si>
    <t>2.3 (±5.1)</t>
  </si>
  <si>
    <t>0.3 (±5.8)</t>
  </si>
  <si>
    <t>-1.3 (±7.4)</t>
  </si>
  <si>
    <t>crop straw is either retained or removed; SOC sampled and measured in the 0-20-cm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</si>
</sst>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8"/>
      <color theme="1"/>
      <name val="Calibri"/>
      <family val="2"/>
      <scheme val="minor"/>
    </font>
    <font>
      <vertAlign val="superscript"/>
      <sz val="8"/>
      <color theme="1"/>
      <name val="Calibri"/>
      <family val="2"/>
      <scheme val="minor"/>
    </font>
    <font>
      <sz val="10"/>
      <name val="Arial"/>
      <family val="2"/>
    </font>
    <font>
      <sz val="10"/>
      <name val="Times New Roman"/>
      <family val="1"/>
    </font>
    <font>
      <vertAlign val="superscript"/>
      <sz val="10"/>
      <name val="Times New Roman"/>
      <family val="1"/>
    </font>
    <font>
      <sz val="8"/>
      <color theme="1"/>
      <name val="Calibri"/>
      <family val="2"/>
    </font>
    <font>
      <sz val="8"/>
      <name val="Times New Roman"/>
      <family val="1"/>
    </font>
    <font>
      <vertAlign val="superscript"/>
      <sz val="8"/>
      <name val="Times New Roman"/>
      <family val="1"/>
    </font>
    <font>
      <b/>
      <sz val="8"/>
      <color theme="1"/>
      <name val="Calibri"/>
      <family val="2"/>
      <scheme val="minor"/>
    </font>
    <font>
      <b/>
      <sz val="8"/>
      <color theme="1"/>
      <name val="Calibri"/>
      <family val="2"/>
    </font>
    <font>
      <sz val="11"/>
      <color theme="1"/>
      <name val="Arial"/>
      <family val="2"/>
    </font>
    <font>
      <sz val="8"/>
      <color theme="1"/>
      <name val="Arial"/>
      <family val="2"/>
    </font>
    <font>
      <sz val="8"/>
      <name val="Arial"/>
      <family val="2"/>
    </font>
    <font>
      <vertAlign val="superscript"/>
      <sz val="8"/>
      <name val="Arial"/>
      <family val="2"/>
    </font>
    <font>
      <vertAlign val="superscript"/>
      <sz val="8"/>
      <color theme="1"/>
      <name val="Arial"/>
      <family val="2"/>
    </font>
    <font>
      <b/>
      <sz val="8"/>
      <color theme="1"/>
      <name val="Arial"/>
      <family val="2"/>
    </font>
    <font>
      <b/>
      <sz val="11"/>
      <color theme="1"/>
      <name val="Calibri"/>
      <family val="2"/>
      <scheme val="minor"/>
    </font>
    <font>
      <vertAlign val="subscript"/>
      <sz val="8"/>
      <color theme="1"/>
      <name val="Arial"/>
      <family val="2"/>
    </font>
    <font>
      <sz val="11"/>
      <color theme="1"/>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style="medium">
        <color indexed="64"/>
      </top>
      <bottom/>
      <diagonal/>
    </border>
    <border>
      <left/>
      <right/>
      <top style="medium">
        <color indexed="64"/>
      </top>
      <bottom style="medium">
        <color indexed="64"/>
      </bottom>
      <diagonal/>
    </border>
  </borders>
  <cellStyleXfs count="2">
    <xf numFmtId="0" fontId="0" fillId="0" borderId="0"/>
    <xf numFmtId="0" fontId="3" fillId="0" borderId="0"/>
  </cellStyleXfs>
  <cellXfs count="167">
    <xf numFmtId="0" fontId="0" fillId="0" borderId="0" xfId="0"/>
    <xf numFmtId="0" fontId="1" fillId="0" borderId="0" xfId="0" applyFont="1"/>
    <xf numFmtId="0" fontId="1" fillId="0" borderId="0" xfId="0" applyFont="1" applyAlignment="1">
      <alignment horizontal="center"/>
    </xf>
    <xf numFmtId="0" fontId="4" fillId="0" borderId="0" xfId="0" applyFont="1" applyAlignment="1">
      <alignment horizontal="center" wrapText="1"/>
    </xf>
    <xf numFmtId="164" fontId="1" fillId="0" borderId="0" xfId="0" applyNumberFormat="1" applyFont="1" applyAlignment="1">
      <alignment horizontal="center"/>
    </xf>
    <xf numFmtId="1" fontId="1" fillId="0" borderId="0" xfId="0" applyNumberFormat="1" applyFont="1" applyAlignment="1">
      <alignment horizontal="center"/>
    </xf>
    <xf numFmtId="0" fontId="1" fillId="0" borderId="1" xfId="0" applyFont="1" applyBorder="1"/>
    <xf numFmtId="0" fontId="1" fillId="0" borderId="1" xfId="0" applyFont="1" applyBorder="1" applyAlignment="1">
      <alignment horizontal="center"/>
    </xf>
    <xf numFmtId="0" fontId="0" fillId="0" borderId="1" xfId="0" applyBorder="1"/>
    <xf numFmtId="0" fontId="1" fillId="0" borderId="1" xfId="0" quotePrefix="1" applyFont="1" applyBorder="1" applyAlignment="1">
      <alignment horizontal="center"/>
    </xf>
    <xf numFmtId="0" fontId="1" fillId="0" borderId="2" xfId="0" applyFont="1" applyBorder="1"/>
    <xf numFmtId="0" fontId="1" fillId="0" borderId="2" xfId="0" applyFont="1" applyBorder="1" applyAlignment="1">
      <alignment horizontal="center"/>
    </xf>
    <xf numFmtId="164" fontId="1" fillId="0" borderId="2" xfId="0" applyNumberFormat="1" applyFont="1" applyBorder="1" applyAlignment="1">
      <alignment horizontal="center"/>
    </xf>
    <xf numFmtId="0" fontId="1" fillId="0" borderId="0" xfId="0" applyFont="1" applyBorder="1"/>
    <xf numFmtId="0" fontId="1" fillId="0" borderId="0" xfId="0" applyFont="1" applyBorder="1" applyAlignment="1">
      <alignment horizontal="center"/>
    </xf>
    <xf numFmtId="164" fontId="1" fillId="0" borderId="0" xfId="0" applyNumberFormat="1" applyFont="1" applyBorder="1" applyAlignment="1">
      <alignment horizontal="center"/>
    </xf>
    <xf numFmtId="0" fontId="7" fillId="0" borderId="0" xfId="0" applyFont="1" applyAlignment="1">
      <alignment horizontal="center" wrapText="1"/>
    </xf>
    <xf numFmtId="0" fontId="1" fillId="0" borderId="0" xfId="0" applyFont="1" applyFill="1" applyBorder="1"/>
    <xf numFmtId="164" fontId="0" fillId="0" borderId="0" xfId="0" applyNumberFormat="1"/>
    <xf numFmtId="0" fontId="0" fillId="0" borderId="3" xfId="0" applyBorder="1"/>
    <xf numFmtId="0" fontId="1" fillId="0" borderId="3" xfId="0" applyFont="1" applyBorder="1"/>
    <xf numFmtId="0" fontId="1" fillId="0" borderId="3" xfId="0" quotePrefix="1" applyFont="1" applyBorder="1" applyAlignment="1">
      <alignment horizontal="center"/>
    </xf>
    <xf numFmtId="0" fontId="0" fillId="0" borderId="0" xfId="0" applyBorder="1"/>
    <xf numFmtId="0" fontId="9" fillId="0" borderId="0" xfId="0" applyFont="1"/>
    <xf numFmtId="0" fontId="9" fillId="0" borderId="0" xfId="0" quotePrefix="1" applyFont="1" applyAlignment="1">
      <alignment horizontal="center"/>
    </xf>
    <xf numFmtId="0" fontId="0" fillId="0" borderId="0" xfId="0" applyBorder="1" applyAlignment="1">
      <alignment vertical="top" wrapText="1"/>
    </xf>
    <xf numFmtId="2" fontId="1" fillId="0" borderId="0" xfId="0" applyNumberFormat="1" applyFont="1" applyAlignment="1">
      <alignment horizontal="center"/>
    </xf>
    <xf numFmtId="164" fontId="1" fillId="0" borderId="1" xfId="0" applyNumberFormat="1" applyFont="1" applyBorder="1" applyAlignment="1">
      <alignment horizontal="center"/>
    </xf>
    <xf numFmtId="164" fontId="0" fillId="0" borderId="1" xfId="0" applyNumberFormat="1" applyBorder="1"/>
    <xf numFmtId="164" fontId="1" fillId="0" borderId="0" xfId="0" applyNumberFormat="1" applyFont="1" applyFill="1" applyBorder="1" applyAlignment="1">
      <alignment horizontal="center"/>
    </xf>
    <xf numFmtId="164" fontId="1" fillId="0" borderId="3" xfId="0" applyNumberFormat="1" applyFont="1" applyBorder="1" applyAlignment="1">
      <alignment horizontal="center"/>
    </xf>
    <xf numFmtId="0" fontId="0" fillId="0" borderId="4" xfId="0" applyBorder="1"/>
    <xf numFmtId="0" fontId="1" fillId="0" borderId="3" xfId="0" applyFont="1" applyBorder="1" applyAlignment="1">
      <alignment horizontal="center"/>
    </xf>
    <xf numFmtId="0" fontId="1" fillId="0" borderId="5" xfId="0" applyFont="1" applyBorder="1"/>
    <xf numFmtId="0" fontId="1" fillId="0" borderId="0" xfId="0" applyFont="1" applyBorder="1" applyAlignment="1">
      <alignment vertical="top" wrapText="1"/>
    </xf>
    <xf numFmtId="0" fontId="1" fillId="2" borderId="0" xfId="0" applyFont="1" applyFill="1" applyBorder="1" applyAlignment="1">
      <alignment horizontal="center"/>
    </xf>
    <xf numFmtId="0" fontId="0" fillId="2" borderId="0" xfId="0" applyFill="1" applyAlignment="1">
      <alignment horizontal="center"/>
    </xf>
    <xf numFmtId="0" fontId="1" fillId="2" borderId="0" xfId="0" applyFont="1" applyFill="1"/>
    <xf numFmtId="0" fontId="1" fillId="2" borderId="0" xfId="0" applyFont="1" applyFill="1" applyAlignment="1">
      <alignment horizontal="center"/>
    </xf>
    <xf numFmtId="0" fontId="1" fillId="2" borderId="2" xfId="0" applyFont="1" applyFill="1" applyBorder="1" applyAlignment="1">
      <alignment horizontal="center"/>
    </xf>
    <xf numFmtId="164" fontId="1" fillId="2" borderId="0" xfId="0" applyNumberFormat="1" applyFont="1" applyFill="1" applyBorder="1" applyAlignment="1">
      <alignment horizontal="center"/>
    </xf>
    <xf numFmtId="0" fontId="1" fillId="0" borderId="0" xfId="0" applyFont="1" applyAlignment="1">
      <alignment vertical="top" wrapText="1"/>
    </xf>
    <xf numFmtId="0" fontId="1" fillId="0" borderId="0" xfId="0" applyFont="1" applyAlignment="1">
      <alignment horizontal="center" vertical="top" wrapText="1"/>
    </xf>
    <xf numFmtId="0" fontId="11" fillId="0" borderId="0" xfId="0" applyFont="1"/>
    <xf numFmtId="0" fontId="1" fillId="0" borderId="0" xfId="0" applyFont="1" applyAlignment="1">
      <alignment vertical="top"/>
    </xf>
    <xf numFmtId="0" fontId="1" fillId="0" borderId="0" xfId="0" applyFont="1" applyAlignment="1">
      <alignment horizontal="center" vertical="top"/>
    </xf>
    <xf numFmtId="0" fontId="12" fillId="0" borderId="0" xfId="0" applyFont="1" applyAlignment="1">
      <alignment vertical="top"/>
    </xf>
    <xf numFmtId="0" fontId="12" fillId="0" borderId="0" xfId="0" applyFont="1" applyAlignment="1">
      <alignment horizontal="center" vertical="top"/>
    </xf>
    <xf numFmtId="0" fontId="12" fillId="0" borderId="0" xfId="0" applyFont="1" applyAlignment="1">
      <alignment vertical="top" wrapText="1"/>
    </xf>
    <xf numFmtId="0" fontId="13" fillId="0" borderId="0" xfId="0" applyFont="1" applyAlignment="1">
      <alignment horizontal="center" vertical="top" wrapText="1"/>
    </xf>
    <xf numFmtId="0" fontId="7" fillId="0" borderId="0" xfId="0" applyFont="1" applyAlignment="1">
      <alignment horizontal="center" vertical="top" wrapText="1"/>
    </xf>
    <xf numFmtId="0" fontId="1" fillId="0" borderId="3" xfId="0" applyFont="1" applyBorder="1" applyAlignment="1">
      <alignment vertical="top" wrapText="1"/>
    </xf>
    <xf numFmtId="0" fontId="7" fillId="0" borderId="3" xfId="0" applyFont="1" applyBorder="1" applyAlignment="1">
      <alignment horizontal="center" vertical="top" wrapText="1"/>
    </xf>
    <xf numFmtId="0" fontId="1" fillId="0" borderId="3" xfId="0" applyFont="1" applyBorder="1" applyAlignment="1">
      <alignment horizontal="center" vertical="top" wrapText="1"/>
    </xf>
    <xf numFmtId="0" fontId="0" fillId="0" borderId="0" xfId="0"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horizontal="center" vertical="top"/>
    </xf>
    <xf numFmtId="0" fontId="12" fillId="0" borderId="0" xfId="0" applyFont="1"/>
    <xf numFmtId="0" fontId="12" fillId="0" borderId="5" xfId="0" applyFont="1" applyBorder="1"/>
    <xf numFmtId="0" fontId="12" fillId="0" borderId="1" xfId="0" applyFont="1" applyBorder="1"/>
    <xf numFmtId="0" fontId="12" fillId="0" borderId="3" xfId="0" applyFont="1" applyBorder="1" applyAlignment="1">
      <alignment horizontal="center"/>
    </xf>
    <xf numFmtId="0" fontId="12" fillId="0" borderId="0" xfId="0" applyFont="1" applyAlignment="1">
      <alignment horizontal="center"/>
    </xf>
    <xf numFmtId="164" fontId="12" fillId="0" borderId="0" xfId="0" applyNumberFormat="1" applyFont="1" applyAlignment="1">
      <alignment horizontal="center"/>
    </xf>
    <xf numFmtId="1" fontId="12" fillId="0" borderId="0" xfId="0" applyNumberFormat="1" applyFont="1" applyAlignment="1">
      <alignment horizontal="center"/>
    </xf>
    <xf numFmtId="0" fontId="12" fillId="0" borderId="1" xfId="0" applyFont="1" applyBorder="1" applyAlignment="1">
      <alignment horizontal="center"/>
    </xf>
    <xf numFmtId="0" fontId="12" fillId="2" borderId="2" xfId="0" applyFont="1" applyFill="1" applyBorder="1" applyAlignment="1">
      <alignment horizontal="center" vertical="top"/>
    </xf>
    <xf numFmtId="164" fontId="12" fillId="2" borderId="2" xfId="0" applyNumberFormat="1" applyFont="1" applyFill="1" applyBorder="1" applyAlignment="1">
      <alignment horizontal="center" vertical="top"/>
    </xf>
    <xf numFmtId="0" fontId="12" fillId="2" borderId="0" xfId="0" applyFont="1" applyFill="1" applyBorder="1" applyAlignment="1">
      <alignment horizontal="center" vertical="top"/>
    </xf>
    <xf numFmtId="164" fontId="12" fillId="2" borderId="0" xfId="0" applyNumberFormat="1" applyFont="1" applyFill="1" applyBorder="1" applyAlignment="1">
      <alignment horizontal="center" vertical="top"/>
    </xf>
    <xf numFmtId="0" fontId="12" fillId="0" borderId="1" xfId="0" applyFont="1" applyBorder="1" applyAlignment="1">
      <alignment vertical="top"/>
    </xf>
    <xf numFmtId="0" fontId="13" fillId="0" borderId="0" xfId="0" applyFont="1" applyAlignment="1">
      <alignment horizontal="center" wrapText="1"/>
    </xf>
    <xf numFmtId="0" fontId="12" fillId="0" borderId="0" xfId="0" applyFont="1" applyFill="1" applyBorder="1"/>
    <xf numFmtId="0" fontId="12" fillId="0" borderId="0" xfId="0" applyFont="1" applyBorder="1"/>
    <xf numFmtId="0" fontId="12" fillId="0" borderId="0" xfId="0" applyFont="1" applyBorder="1" applyAlignment="1">
      <alignment horizontal="center"/>
    </xf>
    <xf numFmtId="0" fontId="12" fillId="0" borderId="3" xfId="0" applyFont="1" applyBorder="1"/>
    <xf numFmtId="0" fontId="16" fillId="0" borderId="0" xfId="0" applyFont="1"/>
    <xf numFmtId="0" fontId="16" fillId="0" borderId="0" xfId="0" quotePrefix="1" applyFont="1" applyAlignment="1">
      <alignment horizontal="center"/>
    </xf>
    <xf numFmtId="0" fontId="12" fillId="0" borderId="0" xfId="0" applyFont="1" applyBorder="1" applyAlignment="1">
      <alignment vertical="top"/>
    </xf>
    <xf numFmtId="0" fontId="1" fillId="0" borderId="0" xfId="0" applyFont="1" applyAlignment="1">
      <alignment horizontal="center" vertical="top" wrapText="1"/>
    </xf>
    <xf numFmtId="0" fontId="1" fillId="0" borderId="0" xfId="0" applyFont="1" applyAlignment="1">
      <alignment vertical="top" wrapText="1"/>
    </xf>
    <xf numFmtId="0" fontId="12" fillId="0" borderId="0" xfId="0" applyFont="1" applyAlignment="1">
      <alignment horizontal="center" vertical="top" wrapText="1"/>
    </xf>
    <xf numFmtId="0" fontId="12" fillId="0" borderId="0" xfId="0" applyFont="1" applyAlignment="1">
      <alignment vertical="top" wrapText="1"/>
    </xf>
    <xf numFmtId="0" fontId="12" fillId="0" borderId="3" xfId="0" applyFont="1" applyBorder="1" applyAlignment="1">
      <alignment vertical="top" wrapText="1"/>
    </xf>
    <xf numFmtId="0" fontId="12" fillId="0" borderId="0" xfId="0" applyFont="1" applyFill="1" applyBorder="1" applyAlignment="1">
      <alignment vertical="top" wrapText="1"/>
    </xf>
    <xf numFmtId="0" fontId="12" fillId="0" borderId="6" xfId="0" applyFont="1" applyBorder="1"/>
    <xf numFmtId="2" fontId="12" fillId="0" borderId="0" xfId="0" applyNumberFormat="1" applyFont="1" applyAlignment="1">
      <alignment horizontal="left"/>
    </xf>
    <xf numFmtId="0" fontId="12" fillId="0" borderId="0" xfId="0" applyFont="1" applyAlignment="1">
      <alignment horizontal="left"/>
    </xf>
    <xf numFmtId="0" fontId="16" fillId="0" borderId="4" xfId="0" applyFont="1" applyBorder="1"/>
    <xf numFmtId="0" fontId="12" fillId="0" borderId="4" xfId="0" applyFont="1" applyBorder="1"/>
    <xf numFmtId="0" fontId="12" fillId="0" borderId="0" xfId="0" applyFont="1" applyAlignment="1">
      <alignment vertical="top"/>
    </xf>
    <xf numFmtId="0" fontId="17" fillId="0" borderId="0" xfId="0" applyFont="1"/>
    <xf numFmtId="164" fontId="12" fillId="2" borderId="0" xfId="0" applyNumberFormat="1" applyFont="1" applyFill="1" applyAlignment="1">
      <alignment horizontal="center"/>
    </xf>
    <xf numFmtId="0" fontId="12" fillId="2" borderId="0" xfId="0" applyFont="1" applyFill="1" applyAlignment="1">
      <alignment horizontal="center"/>
    </xf>
    <xf numFmtId="164" fontId="12" fillId="2" borderId="0" xfId="0" applyNumberFormat="1" applyFont="1" applyFill="1" applyBorder="1" applyAlignment="1">
      <alignment horizontal="center"/>
    </xf>
    <xf numFmtId="2" fontId="0" fillId="0" borderId="0" xfId="0" applyNumberFormat="1"/>
    <xf numFmtId="0" fontId="12" fillId="0" borderId="0" xfId="0" applyFont="1" applyAlignment="1">
      <alignment vertical="top"/>
    </xf>
    <xf numFmtId="0" fontId="12" fillId="2" borderId="1" xfId="0" applyFont="1" applyFill="1" applyBorder="1"/>
    <xf numFmtId="0" fontId="12" fillId="2" borderId="1" xfId="0" applyFont="1" applyFill="1" applyBorder="1" applyAlignment="1">
      <alignment horizontal="center"/>
    </xf>
    <xf numFmtId="0" fontId="12" fillId="2" borderId="1" xfId="0" quotePrefix="1" applyFont="1" applyFill="1" applyBorder="1" applyAlignment="1">
      <alignment horizontal="center"/>
    </xf>
    <xf numFmtId="2" fontId="12" fillId="2" borderId="0" xfId="0" applyNumberFormat="1" applyFont="1" applyFill="1" applyAlignment="1">
      <alignment horizontal="center"/>
    </xf>
    <xf numFmtId="0" fontId="12" fillId="2" borderId="0" xfId="0" quotePrefix="1" applyFont="1" applyFill="1" applyBorder="1" applyAlignment="1">
      <alignment horizontal="center"/>
    </xf>
    <xf numFmtId="0" fontId="12" fillId="2" borderId="1" xfId="0" applyFont="1" applyFill="1" applyBorder="1" applyAlignment="1">
      <alignment horizontal="center" vertical="top"/>
    </xf>
    <xf numFmtId="0" fontId="12" fillId="2" borderId="1" xfId="0" quotePrefix="1" applyFont="1" applyFill="1" applyBorder="1" applyAlignment="1">
      <alignment horizontal="center" vertical="top"/>
    </xf>
    <xf numFmtId="164" fontId="12" fillId="2" borderId="1" xfId="0" applyNumberFormat="1" applyFont="1" applyFill="1" applyBorder="1" applyAlignment="1">
      <alignment horizontal="center" vertical="top"/>
    </xf>
    <xf numFmtId="164" fontId="12" fillId="2" borderId="1" xfId="0" applyNumberFormat="1" applyFont="1" applyFill="1" applyBorder="1" applyAlignment="1">
      <alignment horizontal="center"/>
    </xf>
    <xf numFmtId="164" fontId="12" fillId="2" borderId="1" xfId="0" applyNumberFormat="1" applyFont="1" applyFill="1" applyBorder="1"/>
    <xf numFmtId="0" fontId="12" fillId="2" borderId="0" xfId="0" applyFont="1" applyFill="1" applyBorder="1" applyAlignment="1">
      <alignment horizontal="center"/>
    </xf>
    <xf numFmtId="0" fontId="12" fillId="2" borderId="3" xfId="0" applyFont="1" applyFill="1" applyBorder="1"/>
    <xf numFmtId="0" fontId="12" fillId="2" borderId="3" xfId="0" quotePrefix="1" applyFont="1" applyFill="1" applyBorder="1" applyAlignment="1">
      <alignment horizontal="center"/>
    </xf>
    <xf numFmtId="164" fontId="12" fillId="2" borderId="3" xfId="0" applyNumberFormat="1" applyFont="1" applyFill="1" applyBorder="1" applyAlignment="1">
      <alignment horizontal="center"/>
    </xf>
    <xf numFmtId="0" fontId="12" fillId="3" borderId="0" xfId="0" applyFont="1" applyFill="1" applyBorder="1" applyAlignment="1">
      <alignment horizontal="center" vertical="top"/>
    </xf>
    <xf numFmtId="0" fontId="12" fillId="3" borderId="2" xfId="0" applyFont="1" applyFill="1" applyBorder="1" applyAlignment="1">
      <alignment horizontal="center" vertical="top"/>
    </xf>
    <xf numFmtId="164" fontId="12" fillId="3" borderId="0" xfId="0" applyNumberFormat="1" applyFont="1" applyFill="1" applyBorder="1" applyAlignment="1">
      <alignment horizontal="center" vertical="top"/>
    </xf>
    <xf numFmtId="0" fontId="12" fillId="3" borderId="1" xfId="0" quotePrefix="1" applyFont="1" applyFill="1" applyBorder="1" applyAlignment="1">
      <alignment horizontal="center" vertical="top"/>
    </xf>
    <xf numFmtId="164" fontId="12" fillId="3" borderId="0" xfId="0" applyNumberFormat="1" applyFont="1" applyFill="1" applyAlignment="1">
      <alignment horizontal="center"/>
    </xf>
    <xf numFmtId="0" fontId="12" fillId="3" borderId="0" xfId="0" applyFont="1" applyFill="1" applyAlignment="1">
      <alignment horizontal="center"/>
    </xf>
    <xf numFmtId="0" fontId="12" fillId="3" borderId="1" xfId="0" quotePrefix="1" applyFont="1" applyFill="1" applyBorder="1" applyAlignment="1">
      <alignment horizontal="center"/>
    </xf>
    <xf numFmtId="0" fontId="0" fillId="0" borderId="0" xfId="0" applyAlignment="1">
      <alignment horizontal="center"/>
    </xf>
    <xf numFmtId="10" fontId="0" fillId="0" borderId="0" xfId="0" applyNumberFormat="1" applyAlignment="1">
      <alignment horizontal="center"/>
    </xf>
    <xf numFmtId="0" fontId="19" fillId="0" borderId="0" xfId="0" applyFont="1" applyAlignment="1">
      <alignment horizontal="center"/>
    </xf>
    <xf numFmtId="0" fontId="0" fillId="2" borderId="0" xfId="0" applyFill="1"/>
    <xf numFmtId="0" fontId="16" fillId="3" borderId="0" xfId="0" quotePrefix="1" applyFont="1" applyFill="1" applyAlignment="1">
      <alignment horizontal="center"/>
    </xf>
    <xf numFmtId="164" fontId="12" fillId="3" borderId="2" xfId="0" applyNumberFormat="1" applyFont="1" applyFill="1" applyBorder="1" applyAlignment="1">
      <alignment horizontal="center" vertical="top"/>
    </xf>
    <xf numFmtId="0" fontId="1" fillId="0" borderId="2"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horizontal="center" wrapText="1"/>
    </xf>
    <xf numFmtId="0" fontId="0" fillId="0" borderId="0" xfId="0" applyBorder="1" applyAlignment="1">
      <alignment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0" fillId="0" borderId="3" xfId="0" applyBorder="1" applyAlignment="1">
      <alignment vertical="top" wrapText="1"/>
    </xf>
    <xf numFmtId="0" fontId="1" fillId="0" borderId="5" xfId="0" applyFont="1" applyBorder="1" applyAlignment="1">
      <alignment horizontal="center" vertical="top"/>
    </xf>
    <xf numFmtId="0" fontId="0" fillId="0" borderId="0" xfId="0" applyAlignment="1">
      <alignment horizontal="center" vertical="top"/>
    </xf>
    <xf numFmtId="0" fontId="0" fillId="0" borderId="3" xfId="0" applyBorder="1" applyAlignment="1">
      <alignment horizontal="center" vertical="top"/>
    </xf>
    <xf numFmtId="0" fontId="0" fillId="0" borderId="0" xfId="0" applyAlignment="1">
      <alignment vertical="top"/>
    </xf>
    <xf numFmtId="0" fontId="0" fillId="0" borderId="3" xfId="0" applyBorder="1" applyAlignment="1">
      <alignment vertical="top"/>
    </xf>
    <xf numFmtId="0" fontId="7" fillId="0" borderId="5" xfId="1" applyFont="1" applyBorder="1" applyAlignment="1">
      <alignment horizontal="center" vertical="top"/>
    </xf>
    <xf numFmtId="0" fontId="1" fillId="0" borderId="5" xfId="0" applyFont="1" applyBorder="1" applyAlignment="1">
      <alignment vertical="top"/>
    </xf>
    <xf numFmtId="0" fontId="1" fillId="0" borderId="0" xfId="0" applyFont="1" applyAlignment="1">
      <alignment vertical="top" wrapText="1"/>
    </xf>
    <xf numFmtId="0" fontId="12"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2" fillId="0" borderId="0" xfId="0" applyFont="1" applyAlignment="1">
      <alignment vertical="top" wrapText="1"/>
    </xf>
    <xf numFmtId="0" fontId="12" fillId="0" borderId="1" xfId="0" applyFont="1" applyBorder="1" applyAlignment="1">
      <alignment vertical="top" wrapText="1"/>
    </xf>
    <xf numFmtId="0" fontId="12" fillId="0" borderId="5" xfId="0" applyFont="1" applyBorder="1" applyAlignment="1">
      <alignment horizontal="center" vertical="top"/>
    </xf>
    <xf numFmtId="0" fontId="12" fillId="0" borderId="0" xfId="0" applyFont="1" applyAlignment="1">
      <alignment vertical="top"/>
    </xf>
    <xf numFmtId="0" fontId="12" fillId="0" borderId="3" xfId="0" applyFont="1" applyBorder="1" applyAlignment="1">
      <alignment vertical="top"/>
    </xf>
    <xf numFmtId="0" fontId="12" fillId="0" borderId="5" xfId="0" applyFont="1" applyBorder="1" applyAlignment="1">
      <alignment vertical="top"/>
    </xf>
    <xf numFmtId="0" fontId="13" fillId="0" borderId="5" xfId="1" applyFont="1" applyBorder="1" applyAlignment="1">
      <alignment horizontal="center" vertical="top"/>
    </xf>
    <xf numFmtId="0" fontId="12" fillId="0" borderId="5" xfId="0" applyFont="1" applyBorder="1" applyAlignment="1">
      <alignment horizontal="center" vertical="top" wrapText="1"/>
    </xf>
    <xf numFmtId="0" fontId="12" fillId="0" borderId="0" xfId="0" applyFont="1" applyAlignment="1">
      <alignment horizontal="center" vertical="top" wrapText="1"/>
    </xf>
    <xf numFmtId="0" fontId="12" fillId="0" borderId="3" xfId="0" applyFont="1" applyBorder="1" applyAlignment="1">
      <alignment horizontal="center" vertical="top" wrapText="1"/>
    </xf>
    <xf numFmtId="0" fontId="12" fillId="0" borderId="1" xfId="0" applyFont="1" applyBorder="1" applyAlignment="1">
      <alignment horizontal="center" vertical="top" wrapText="1"/>
    </xf>
    <xf numFmtId="0" fontId="12" fillId="0" borderId="0" xfId="0" applyFont="1" applyAlignment="1">
      <alignment horizontal="center" wrapText="1"/>
    </xf>
    <xf numFmtId="0" fontId="12" fillId="0" borderId="2" xfId="0" applyFont="1" applyBorder="1" applyAlignment="1">
      <alignment horizontal="center" vertical="top" wrapText="1"/>
    </xf>
    <xf numFmtId="0" fontId="12" fillId="0" borderId="3" xfId="0" applyFont="1" applyBorder="1" applyAlignment="1">
      <alignment vertical="top" wrapText="1"/>
    </xf>
    <xf numFmtId="0" fontId="12" fillId="0" borderId="0" xfId="0" applyFont="1" applyBorder="1" applyAlignment="1">
      <alignment vertical="top" wrapText="1"/>
    </xf>
    <xf numFmtId="0" fontId="12" fillId="0" borderId="3" xfId="0" applyFont="1" applyBorder="1" applyAlignment="1">
      <alignment horizontal="justify" vertical="top" wrapText="1"/>
    </xf>
    <xf numFmtId="0" fontId="16" fillId="0" borderId="3" xfId="0" applyFont="1" applyBorder="1" applyAlignment="1">
      <alignment vertical="top" wrapText="1" shrinkToFit="1"/>
    </xf>
    <xf numFmtId="0" fontId="1" fillId="0" borderId="3" xfId="0" applyFont="1" applyBorder="1" applyAlignment="1">
      <alignment vertical="top" wrapText="1" shrinkToFit="1"/>
    </xf>
    <xf numFmtId="0" fontId="1" fillId="0" borderId="3" xfId="0" applyFont="1" applyBorder="1" applyAlignment="1">
      <alignment horizontal="center" vertical="top" wrapText="1"/>
    </xf>
    <xf numFmtId="0" fontId="12" fillId="0" borderId="0" xfId="0" applyFont="1" applyBorder="1" applyAlignment="1">
      <alignment horizontal="justify" vertical="top" wrapText="1"/>
    </xf>
    <xf numFmtId="0" fontId="12" fillId="0" borderId="0" xfId="0" applyFont="1" applyAlignment="1">
      <alignment horizontal="justify" vertical="top" wrapText="1"/>
    </xf>
    <xf numFmtId="0" fontId="12" fillId="0" borderId="0" xfId="0" applyFont="1" applyAlignment="1">
      <alignment wrapText="1"/>
    </xf>
    <xf numFmtId="0" fontId="12" fillId="0" borderId="5" xfId="0" applyFont="1" applyBorder="1" applyAlignment="1">
      <alignment vertical="top" wrapText="1"/>
    </xf>
    <xf numFmtId="0" fontId="12" fillId="0" borderId="5" xfId="0" applyFont="1" applyFill="1" applyBorder="1" applyAlignment="1">
      <alignment vertical="top" wrapText="1"/>
    </xf>
  </cellXfs>
  <cellStyles count="2">
    <cellStyle name="Normal" xfId="0" builtinId="0"/>
    <cellStyle name="Normal_E072 Cquest final"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4"/>
  <sheetViews>
    <sheetView topLeftCell="A106" workbookViewId="0">
      <selection activeCell="E14" sqref="E14"/>
    </sheetView>
  </sheetViews>
  <sheetFormatPr defaultRowHeight="15" x14ac:dyDescent="0.25"/>
  <cols>
    <col min="1" max="1" width="4.140625" customWidth="1"/>
    <col min="2" max="2" width="10.7109375" customWidth="1"/>
    <col min="3" max="3" width="12.7109375" customWidth="1"/>
    <col min="4" max="4" width="10" customWidth="1"/>
    <col min="5" max="5" width="10.85546875" customWidth="1"/>
    <col min="6" max="6" width="10.7109375" customWidth="1"/>
    <col min="7" max="7" width="14.7109375" customWidth="1"/>
    <col min="8" max="8" width="12.42578125" customWidth="1"/>
    <col min="9" max="9" width="13.28515625" customWidth="1"/>
    <col min="10" max="11" width="11.7109375" customWidth="1"/>
    <col min="12" max="12" width="9.85546875" customWidth="1"/>
    <col min="14" max="14" width="10.42578125" bestFit="1" customWidth="1"/>
    <col min="15" max="18" width="10" bestFit="1" customWidth="1"/>
  </cols>
  <sheetData>
    <row r="1" spans="1:19" ht="15.75" thickBot="1" x14ac:dyDescent="0.3">
      <c r="B1" s="31" t="s">
        <v>122</v>
      </c>
      <c r="C1" s="31"/>
      <c r="D1" s="31"/>
      <c r="E1" s="31"/>
      <c r="F1" s="31"/>
      <c r="G1" s="31"/>
      <c r="H1" s="31"/>
      <c r="I1" s="31"/>
      <c r="J1" s="31"/>
      <c r="K1" s="31"/>
      <c r="L1" s="31"/>
      <c r="M1" s="31"/>
      <c r="N1" s="31"/>
      <c r="O1" s="31"/>
      <c r="P1" s="31"/>
      <c r="Q1" s="31"/>
      <c r="R1" s="31"/>
    </row>
    <row r="2" spans="1:19" s="1" customFormat="1" ht="11.25" x14ac:dyDescent="0.2">
      <c r="B2" s="138" t="s">
        <v>0</v>
      </c>
      <c r="C2" s="138" t="s">
        <v>10</v>
      </c>
      <c r="D2" s="137" t="s">
        <v>13</v>
      </c>
      <c r="E2" s="137" t="s">
        <v>14</v>
      </c>
      <c r="F2" s="132" t="s">
        <v>2</v>
      </c>
      <c r="G2" s="132" t="s">
        <v>1</v>
      </c>
      <c r="H2" s="132" t="s">
        <v>3</v>
      </c>
      <c r="I2" s="33"/>
      <c r="J2" s="33"/>
      <c r="K2" s="129" t="s">
        <v>148</v>
      </c>
      <c r="L2" s="129"/>
      <c r="M2" s="129"/>
      <c r="N2" s="129"/>
      <c r="O2" s="129"/>
      <c r="P2" s="129"/>
      <c r="Q2" s="129"/>
      <c r="R2" s="129"/>
    </row>
    <row r="3" spans="1:19" s="1" customFormat="1" ht="11.25" x14ac:dyDescent="0.2">
      <c r="B3" s="135"/>
      <c r="C3" s="135"/>
      <c r="D3" s="135"/>
      <c r="E3" s="135"/>
      <c r="F3" s="135"/>
      <c r="G3" s="135"/>
      <c r="H3" s="133"/>
      <c r="I3" s="6"/>
      <c r="J3" s="6"/>
      <c r="K3" s="130" t="s">
        <v>149</v>
      </c>
      <c r="L3" s="130"/>
      <c r="M3" s="130" t="s">
        <v>150</v>
      </c>
      <c r="N3" s="130"/>
      <c r="O3" s="130" t="s">
        <v>151</v>
      </c>
      <c r="P3" s="130"/>
      <c r="Q3" s="130" t="s">
        <v>152</v>
      </c>
      <c r="R3" s="130"/>
    </row>
    <row r="4" spans="1:19" s="1" customFormat="1" ht="12" thickBot="1" x14ac:dyDescent="0.25">
      <c r="B4" s="136"/>
      <c r="C4" s="136"/>
      <c r="D4" s="136"/>
      <c r="E4" s="136"/>
      <c r="F4" s="136"/>
      <c r="G4" s="136"/>
      <c r="H4" s="134"/>
      <c r="I4" s="32" t="s">
        <v>4</v>
      </c>
      <c r="J4" s="32" t="s">
        <v>5</v>
      </c>
      <c r="K4" s="32" t="s">
        <v>6</v>
      </c>
      <c r="L4" s="32" t="s">
        <v>7</v>
      </c>
      <c r="M4" s="32" t="s">
        <v>6</v>
      </c>
      <c r="N4" s="32" t="s">
        <v>7</v>
      </c>
      <c r="O4" s="32" t="s">
        <v>6</v>
      </c>
      <c r="P4" s="32" t="s">
        <v>7</v>
      </c>
      <c r="Q4" s="32" t="s">
        <v>6</v>
      </c>
      <c r="R4" s="32" t="s">
        <v>7</v>
      </c>
    </row>
    <row r="5" spans="1:19" s="1" customFormat="1" ht="12.75" x14ac:dyDescent="0.2">
      <c r="I5" s="127" t="s">
        <v>9</v>
      </c>
      <c r="J5" s="127"/>
      <c r="K5" s="127"/>
      <c r="L5" s="2" t="s">
        <v>8</v>
      </c>
      <c r="M5" s="2" t="s">
        <v>153</v>
      </c>
      <c r="N5" s="2" t="s">
        <v>8</v>
      </c>
      <c r="O5" s="2" t="s">
        <v>153</v>
      </c>
      <c r="P5" s="2" t="s">
        <v>8</v>
      </c>
      <c r="Q5" s="2" t="s">
        <v>153</v>
      </c>
      <c r="R5" s="2" t="s">
        <v>8</v>
      </c>
    </row>
    <row r="6" spans="1:19" ht="12" customHeight="1" x14ac:dyDescent="0.25">
      <c r="A6" s="1"/>
      <c r="B6" s="139" t="s">
        <v>11</v>
      </c>
      <c r="C6" s="1" t="s">
        <v>12</v>
      </c>
      <c r="D6" s="3" t="s">
        <v>17</v>
      </c>
      <c r="E6" s="3" t="s">
        <v>16</v>
      </c>
      <c r="F6" s="2" t="s">
        <v>15</v>
      </c>
      <c r="G6" s="1" t="s">
        <v>18</v>
      </c>
      <c r="H6" s="2">
        <v>11</v>
      </c>
      <c r="I6" s="2" t="s">
        <v>25</v>
      </c>
      <c r="J6" s="2">
        <v>52.4</v>
      </c>
      <c r="K6" s="2">
        <v>57.6</v>
      </c>
      <c r="L6" s="4">
        <v>10</v>
      </c>
      <c r="M6" s="2">
        <v>50.1</v>
      </c>
      <c r="N6" s="4">
        <f>(M6-J6)/J6*100</f>
        <v>-4.3893129770992312</v>
      </c>
      <c r="O6" s="2">
        <v>55.5</v>
      </c>
      <c r="P6" s="4">
        <f>(O6-J6)/J6*100</f>
        <v>5.9160305343511483</v>
      </c>
      <c r="Q6" s="2">
        <v>54.4</v>
      </c>
      <c r="R6" s="4">
        <f>(Q6-J6)/J6*100</f>
        <v>3.8167938931297711</v>
      </c>
      <c r="S6" s="1"/>
    </row>
    <row r="7" spans="1:19" x14ac:dyDescent="0.25">
      <c r="A7" s="1"/>
      <c r="B7" s="125"/>
      <c r="C7" s="1"/>
      <c r="D7" s="1"/>
      <c r="E7" s="1"/>
      <c r="F7" s="1"/>
      <c r="G7" s="1" t="s">
        <v>19</v>
      </c>
      <c r="H7" s="2">
        <v>11</v>
      </c>
      <c r="I7" s="2" t="s">
        <v>25</v>
      </c>
      <c r="J7" s="2">
        <v>44.7</v>
      </c>
      <c r="K7" s="2">
        <v>57.2</v>
      </c>
      <c r="L7" s="4">
        <v>28</v>
      </c>
      <c r="M7" s="2">
        <v>50.1</v>
      </c>
      <c r="N7" s="4">
        <f t="shared" ref="N7:N25" si="0">(M7-J7)/J7*100</f>
        <v>12.080536912751674</v>
      </c>
      <c r="O7" s="2">
        <v>55.4</v>
      </c>
      <c r="P7" s="4">
        <f t="shared" ref="P7:P25" si="1">(O7-J7)/J7*100</f>
        <v>23.937360178970906</v>
      </c>
      <c r="Q7" s="2">
        <v>54.2</v>
      </c>
      <c r="R7" s="4">
        <f t="shared" ref="R7:R25" si="2">(Q7-J7)/J7*100</f>
        <v>21.252796420581653</v>
      </c>
      <c r="S7" s="1"/>
    </row>
    <row r="8" spans="1:19" x14ac:dyDescent="0.25">
      <c r="A8" s="1"/>
      <c r="B8" s="125"/>
      <c r="C8" s="1"/>
      <c r="D8" s="1"/>
      <c r="E8" s="1"/>
      <c r="F8" s="1"/>
      <c r="G8" s="1" t="s">
        <v>20</v>
      </c>
      <c r="H8" s="2">
        <v>11</v>
      </c>
      <c r="I8" s="2" t="s">
        <v>25</v>
      </c>
      <c r="J8" s="2">
        <v>63.4</v>
      </c>
      <c r="K8" s="2">
        <v>57.9</v>
      </c>
      <c r="L8" s="4">
        <v>-8.6</v>
      </c>
      <c r="M8" s="2">
        <v>50.1</v>
      </c>
      <c r="N8" s="4">
        <f t="shared" si="0"/>
        <v>-20.977917981072551</v>
      </c>
      <c r="O8" s="2">
        <v>55.6</v>
      </c>
      <c r="P8" s="4">
        <f t="shared" si="1"/>
        <v>-12.302839116719239</v>
      </c>
      <c r="Q8" s="2">
        <v>54.3</v>
      </c>
      <c r="R8" s="4">
        <f t="shared" si="2"/>
        <v>-14.35331230283912</v>
      </c>
      <c r="S8" s="1"/>
    </row>
    <row r="9" spans="1:19" x14ac:dyDescent="0.25">
      <c r="A9" s="1"/>
      <c r="B9" s="125"/>
      <c r="C9" s="1"/>
      <c r="D9" s="1"/>
      <c r="E9" s="1"/>
      <c r="F9" s="1"/>
      <c r="G9" s="1" t="s">
        <v>18</v>
      </c>
      <c r="H9" s="2">
        <v>29</v>
      </c>
      <c r="I9" s="2" t="s">
        <v>25</v>
      </c>
      <c r="J9" s="2">
        <v>54.7</v>
      </c>
      <c r="K9" s="2">
        <v>55.5</v>
      </c>
      <c r="L9" s="2">
        <v>1.4</v>
      </c>
      <c r="M9" s="2">
        <v>45.9</v>
      </c>
      <c r="N9" s="4">
        <f t="shared" si="0"/>
        <v>-16.087751371115182</v>
      </c>
      <c r="O9" s="2">
        <v>53.3</v>
      </c>
      <c r="P9" s="4">
        <f t="shared" si="1"/>
        <v>-2.5594149908592425</v>
      </c>
      <c r="Q9" s="2">
        <v>51.6</v>
      </c>
      <c r="R9" s="4">
        <f t="shared" si="2"/>
        <v>-5.6672760511883027</v>
      </c>
      <c r="S9" s="1"/>
    </row>
    <row r="10" spans="1:19" x14ac:dyDescent="0.25">
      <c r="A10" s="1"/>
      <c r="B10" s="125"/>
      <c r="C10" s="1"/>
      <c r="D10" s="1"/>
      <c r="E10" s="1"/>
      <c r="F10" s="1"/>
      <c r="G10" s="1" t="s">
        <v>19</v>
      </c>
      <c r="H10" s="2">
        <v>29</v>
      </c>
      <c r="I10" s="2" t="s">
        <v>25</v>
      </c>
      <c r="J10" s="2">
        <v>44.8</v>
      </c>
      <c r="K10" s="2">
        <v>55.3</v>
      </c>
      <c r="L10" s="2">
        <v>23.3</v>
      </c>
      <c r="M10" s="2">
        <v>45.7</v>
      </c>
      <c r="N10" s="4">
        <f t="shared" si="0"/>
        <v>2.0089285714285845</v>
      </c>
      <c r="O10" s="2">
        <v>53.3</v>
      </c>
      <c r="P10" s="4">
        <f t="shared" si="1"/>
        <v>18.973214285714288</v>
      </c>
      <c r="Q10" s="2">
        <v>51.2</v>
      </c>
      <c r="R10" s="4">
        <f t="shared" si="2"/>
        <v>14.285714285714299</v>
      </c>
      <c r="S10" s="1"/>
    </row>
    <row r="11" spans="1:19" x14ac:dyDescent="0.25">
      <c r="A11" s="1"/>
      <c r="B11" s="125"/>
      <c r="C11" s="1"/>
      <c r="D11" s="1"/>
      <c r="E11" s="1"/>
      <c r="F11" s="1"/>
      <c r="G11" s="1" t="s">
        <v>20</v>
      </c>
      <c r="H11" s="2">
        <v>29</v>
      </c>
      <c r="I11" s="2" t="s">
        <v>25</v>
      </c>
      <c r="J11" s="2">
        <v>62.1</v>
      </c>
      <c r="K11" s="2">
        <v>54.9</v>
      </c>
      <c r="L11" s="2">
        <v>-11.6</v>
      </c>
      <c r="M11" s="2">
        <v>45.8</v>
      </c>
      <c r="N11" s="4">
        <f t="shared" si="0"/>
        <v>-26.247987117552341</v>
      </c>
      <c r="O11" s="2">
        <v>53.3</v>
      </c>
      <c r="P11" s="4">
        <f t="shared" si="1"/>
        <v>-14.170692431562005</v>
      </c>
      <c r="Q11" s="2">
        <v>51.5</v>
      </c>
      <c r="R11" s="4">
        <f t="shared" si="2"/>
        <v>-17.069243156199679</v>
      </c>
      <c r="S11" s="1"/>
    </row>
    <row r="12" spans="1:19" x14ac:dyDescent="0.25">
      <c r="A12" s="1"/>
      <c r="B12" s="125"/>
      <c r="C12" s="1"/>
      <c r="D12" s="1"/>
      <c r="E12" s="1"/>
      <c r="F12" s="1"/>
      <c r="G12" s="1" t="s">
        <v>18</v>
      </c>
      <c r="H12" s="5">
        <v>42</v>
      </c>
      <c r="I12" s="2" t="s">
        <v>25</v>
      </c>
      <c r="J12" s="4">
        <v>51.8</v>
      </c>
      <c r="K12" s="4">
        <v>53.9</v>
      </c>
      <c r="L12" s="4">
        <v>4</v>
      </c>
      <c r="M12" s="2">
        <v>43.1</v>
      </c>
      <c r="N12" s="4">
        <f t="shared" si="0"/>
        <v>-16.795366795366785</v>
      </c>
      <c r="O12" s="2">
        <v>53.1</v>
      </c>
      <c r="P12" s="4">
        <f t="shared" si="1"/>
        <v>2.509652509652518</v>
      </c>
      <c r="Q12" s="2">
        <v>50.3</v>
      </c>
      <c r="R12" s="4">
        <f t="shared" si="2"/>
        <v>-2.8957528957528957</v>
      </c>
      <c r="S12" s="1"/>
    </row>
    <row r="13" spans="1:19" x14ac:dyDescent="0.25">
      <c r="A13" s="1"/>
      <c r="B13" s="125"/>
      <c r="C13" s="1"/>
      <c r="D13" s="1"/>
      <c r="E13" s="1"/>
      <c r="F13" s="1"/>
      <c r="G13" s="1" t="s">
        <v>19</v>
      </c>
      <c r="H13" s="5">
        <v>42</v>
      </c>
      <c r="I13" s="2" t="s">
        <v>25</v>
      </c>
      <c r="J13" s="4">
        <v>49.2</v>
      </c>
      <c r="K13" s="4">
        <v>53.7</v>
      </c>
      <c r="L13" s="4">
        <v>9.1</v>
      </c>
      <c r="M13" s="2">
        <v>42.8</v>
      </c>
      <c r="N13" s="4">
        <f t="shared" si="0"/>
        <v>-13.008130081300823</v>
      </c>
      <c r="O13" s="2">
        <v>53</v>
      </c>
      <c r="P13" s="4">
        <f t="shared" si="1"/>
        <v>7.7235772357723516</v>
      </c>
      <c r="Q13" s="2">
        <v>49.8</v>
      </c>
      <c r="R13" s="4">
        <f t="shared" si="2"/>
        <v>1.2195121951219396</v>
      </c>
      <c r="S13" s="1"/>
    </row>
    <row r="14" spans="1:19" x14ac:dyDescent="0.25">
      <c r="A14" s="1"/>
      <c r="B14" s="125"/>
      <c r="C14" s="1"/>
      <c r="D14" s="1"/>
      <c r="E14" s="1"/>
      <c r="F14" s="1"/>
      <c r="G14" s="1" t="s">
        <v>20</v>
      </c>
      <c r="H14" s="5">
        <v>42</v>
      </c>
      <c r="I14" s="2" t="s">
        <v>25</v>
      </c>
      <c r="J14" s="4">
        <v>54.8</v>
      </c>
      <c r="K14" s="4">
        <v>53.5</v>
      </c>
      <c r="L14" s="4">
        <v>-2.4</v>
      </c>
      <c r="M14" s="2">
        <v>43</v>
      </c>
      <c r="N14" s="4">
        <f t="shared" si="0"/>
        <v>-21.532846715328464</v>
      </c>
      <c r="O14" s="4">
        <v>53</v>
      </c>
      <c r="P14" s="4">
        <f t="shared" si="1"/>
        <v>-3.2846715328467107</v>
      </c>
      <c r="Q14" s="2">
        <v>50.1</v>
      </c>
      <c r="R14" s="4">
        <f t="shared" si="2"/>
        <v>-8.5766423357664152</v>
      </c>
      <c r="S14" s="1"/>
    </row>
    <row r="15" spans="1:19" x14ac:dyDescent="0.25">
      <c r="A15" s="1"/>
      <c r="B15" s="125"/>
      <c r="C15" s="1"/>
      <c r="D15" s="1"/>
      <c r="E15" s="1"/>
      <c r="F15" s="1"/>
      <c r="G15" s="1" t="s">
        <v>18</v>
      </c>
      <c r="H15" s="2">
        <v>56</v>
      </c>
      <c r="I15" s="2" t="s">
        <v>25</v>
      </c>
      <c r="J15" s="2">
        <v>53.6</v>
      </c>
      <c r="K15" s="2">
        <v>52.3</v>
      </c>
      <c r="L15" s="2">
        <v>-2.4</v>
      </c>
      <c r="M15" s="2">
        <v>40.299999999999997</v>
      </c>
      <c r="N15" s="4">
        <f t="shared" si="0"/>
        <v>-24.813432835820905</v>
      </c>
      <c r="O15" s="2">
        <v>52.2</v>
      </c>
      <c r="P15" s="4">
        <f t="shared" si="1"/>
        <v>-2.6119402985074598</v>
      </c>
      <c r="Q15" s="2">
        <v>49.1</v>
      </c>
      <c r="R15" s="4">
        <f t="shared" si="2"/>
        <v>-8.3955223880597014</v>
      </c>
      <c r="S15" s="1"/>
    </row>
    <row r="16" spans="1:19" x14ac:dyDescent="0.25">
      <c r="A16" s="1"/>
      <c r="B16" s="125"/>
      <c r="C16" s="1"/>
      <c r="D16" s="1"/>
      <c r="E16" s="1"/>
      <c r="F16" s="1"/>
      <c r="G16" s="1" t="s">
        <v>19</v>
      </c>
      <c r="H16" s="2">
        <v>56</v>
      </c>
      <c r="I16" s="2" t="s">
        <v>25</v>
      </c>
      <c r="J16" s="2">
        <v>51.3</v>
      </c>
      <c r="K16" s="2">
        <v>52.3</v>
      </c>
      <c r="L16" s="2">
        <v>1.9</v>
      </c>
      <c r="M16" s="2">
        <v>40</v>
      </c>
      <c r="N16" s="4">
        <f t="shared" si="0"/>
        <v>-22.027290448343077</v>
      </c>
      <c r="O16" s="2">
        <v>52.1</v>
      </c>
      <c r="P16" s="4">
        <f t="shared" si="1"/>
        <v>1.5594541910331468</v>
      </c>
      <c r="Q16" s="2">
        <v>48.6</v>
      </c>
      <c r="R16" s="4">
        <f t="shared" si="2"/>
        <v>-5.2631578947368345</v>
      </c>
      <c r="S16" s="1"/>
    </row>
    <row r="17" spans="1:19" x14ac:dyDescent="0.25">
      <c r="A17" s="1"/>
      <c r="B17" s="125"/>
      <c r="C17" s="1"/>
      <c r="D17" s="1"/>
      <c r="E17" s="1"/>
      <c r="F17" s="1"/>
      <c r="G17" s="1" t="s">
        <v>20</v>
      </c>
      <c r="H17" s="2">
        <v>56</v>
      </c>
      <c r="I17" s="2" t="s">
        <v>25</v>
      </c>
      <c r="J17" s="2">
        <v>56.5</v>
      </c>
      <c r="K17" s="2">
        <v>52.4</v>
      </c>
      <c r="L17" s="2">
        <v>-7.3</v>
      </c>
      <c r="M17" s="2">
        <v>40.200000000000003</v>
      </c>
      <c r="N17" s="4">
        <f t="shared" si="0"/>
        <v>-28.849557522123888</v>
      </c>
      <c r="O17" s="2">
        <v>52.2</v>
      </c>
      <c r="P17" s="4">
        <f t="shared" si="1"/>
        <v>-7.6106194690265427</v>
      </c>
      <c r="Q17" s="2">
        <v>48.9</v>
      </c>
      <c r="R17" s="4">
        <f t="shared" si="2"/>
        <v>-13.451327433628322</v>
      </c>
      <c r="S17" s="1"/>
    </row>
    <row r="18" spans="1:19" x14ac:dyDescent="0.25">
      <c r="A18" s="1"/>
      <c r="B18" s="125"/>
      <c r="C18" s="1"/>
      <c r="D18" s="1"/>
      <c r="E18" s="1"/>
      <c r="F18" s="1"/>
      <c r="G18" s="1" t="s">
        <v>18</v>
      </c>
      <c r="H18" s="2">
        <v>62</v>
      </c>
      <c r="I18" s="2" t="s">
        <v>25</v>
      </c>
      <c r="J18" s="2">
        <v>47.3</v>
      </c>
      <c r="K18" s="2">
        <v>52.1</v>
      </c>
      <c r="L18" s="2">
        <v>10.1</v>
      </c>
      <c r="M18" s="2">
        <v>39.200000000000003</v>
      </c>
      <c r="N18" s="4">
        <f t="shared" si="0"/>
        <v>-17.124735729386881</v>
      </c>
      <c r="O18" s="2">
        <v>52</v>
      </c>
      <c r="P18" s="4">
        <f t="shared" si="1"/>
        <v>9.9365750528541295</v>
      </c>
      <c r="Q18" s="2">
        <v>48.6</v>
      </c>
      <c r="R18" s="4">
        <f t="shared" si="2"/>
        <v>2.7484143763213624</v>
      </c>
      <c r="S18" s="1"/>
    </row>
    <row r="19" spans="1:19" x14ac:dyDescent="0.25">
      <c r="A19" s="1"/>
      <c r="B19" s="125"/>
      <c r="C19" s="1"/>
      <c r="D19" s="1"/>
      <c r="E19" s="1"/>
      <c r="F19" s="1"/>
      <c r="G19" s="1" t="s">
        <v>19</v>
      </c>
      <c r="H19" s="2">
        <v>62</v>
      </c>
      <c r="I19" s="2" t="s">
        <v>25</v>
      </c>
      <c r="J19" s="2">
        <v>45.6</v>
      </c>
      <c r="K19" s="2">
        <v>51.7</v>
      </c>
      <c r="L19" s="2">
        <v>13.5</v>
      </c>
      <c r="M19" s="2">
        <v>38.9</v>
      </c>
      <c r="N19" s="4">
        <f t="shared" si="0"/>
        <v>-14.692982456140358</v>
      </c>
      <c r="O19" s="2">
        <v>51.8</v>
      </c>
      <c r="P19" s="4">
        <f t="shared" si="1"/>
        <v>13.596491228070166</v>
      </c>
      <c r="Q19" s="2">
        <v>48.1</v>
      </c>
      <c r="R19" s="4">
        <f t="shared" si="2"/>
        <v>5.4824561403508767</v>
      </c>
      <c r="S19" s="1"/>
    </row>
    <row r="20" spans="1:19" x14ac:dyDescent="0.25">
      <c r="A20" s="1"/>
      <c r="B20" s="125"/>
      <c r="C20" s="1"/>
      <c r="D20" s="1"/>
      <c r="E20" s="1"/>
      <c r="F20" s="1"/>
      <c r="G20" s="1" t="s">
        <v>20</v>
      </c>
      <c r="H20" s="2">
        <v>62</v>
      </c>
      <c r="I20" s="2" t="s">
        <v>25</v>
      </c>
      <c r="J20" s="2">
        <v>45.7</v>
      </c>
      <c r="K20" s="2">
        <v>51.8</v>
      </c>
      <c r="L20" s="2">
        <v>13.4</v>
      </c>
      <c r="M20" s="2">
        <v>39.1</v>
      </c>
      <c r="N20" s="4">
        <f t="shared" si="0"/>
        <v>-14.442013129102845</v>
      </c>
      <c r="O20" s="2">
        <v>51.7</v>
      </c>
      <c r="P20" s="4">
        <f t="shared" si="1"/>
        <v>13.129102844638949</v>
      </c>
      <c r="Q20" s="2">
        <v>48.4</v>
      </c>
      <c r="R20" s="4">
        <f t="shared" si="2"/>
        <v>5.9080962800875181</v>
      </c>
      <c r="S20" s="1"/>
    </row>
    <row r="21" spans="1:19" x14ac:dyDescent="0.25">
      <c r="A21" s="1"/>
      <c r="B21" s="125"/>
      <c r="C21" s="1"/>
      <c r="D21" s="1"/>
      <c r="E21" s="1"/>
      <c r="F21" s="1"/>
      <c r="G21" s="1" t="s">
        <v>18</v>
      </c>
      <c r="H21" s="2">
        <v>69</v>
      </c>
      <c r="I21" s="2" t="s">
        <v>25</v>
      </c>
      <c r="J21" s="2">
        <v>54.6</v>
      </c>
      <c r="K21" s="2">
        <v>51.5</v>
      </c>
      <c r="L21" s="2">
        <v>-5.7</v>
      </c>
      <c r="M21" s="2">
        <v>38</v>
      </c>
      <c r="N21" s="4">
        <f t="shared" si="0"/>
        <v>-30.402930402930405</v>
      </c>
      <c r="O21" s="2">
        <v>51.9</v>
      </c>
      <c r="P21" s="4">
        <f t="shared" si="1"/>
        <v>-4.9450549450549506</v>
      </c>
      <c r="Q21" s="2">
        <v>48.1</v>
      </c>
      <c r="R21" s="4">
        <f t="shared" si="2"/>
        <v>-11.904761904761903</v>
      </c>
      <c r="S21" s="1"/>
    </row>
    <row r="22" spans="1:19" x14ac:dyDescent="0.25">
      <c r="A22" s="1"/>
      <c r="B22" s="125"/>
      <c r="C22" s="1"/>
      <c r="D22" s="1"/>
      <c r="E22" s="1"/>
      <c r="F22" s="1"/>
      <c r="G22" s="1" t="s">
        <v>19</v>
      </c>
      <c r="H22" s="2">
        <v>69</v>
      </c>
      <c r="I22" s="2" t="s">
        <v>25</v>
      </c>
      <c r="J22" s="2">
        <v>55.1</v>
      </c>
      <c r="K22" s="2">
        <v>51.2</v>
      </c>
      <c r="L22" s="2">
        <v>-7.1</v>
      </c>
      <c r="M22" s="2">
        <v>37.700000000000003</v>
      </c>
      <c r="N22" s="4">
        <f t="shared" si="0"/>
        <v>-31.578947368421051</v>
      </c>
      <c r="O22" s="2">
        <v>51.7</v>
      </c>
      <c r="P22" s="4">
        <f t="shared" si="1"/>
        <v>-6.170598911070778</v>
      </c>
      <c r="Q22" s="2">
        <v>47.5</v>
      </c>
      <c r="R22" s="4">
        <f t="shared" si="2"/>
        <v>-13.793103448275865</v>
      </c>
      <c r="S22" s="1"/>
    </row>
    <row r="23" spans="1:19" x14ac:dyDescent="0.25">
      <c r="A23" s="1"/>
      <c r="B23" s="125"/>
      <c r="C23" s="1"/>
      <c r="D23" s="1"/>
      <c r="E23" s="1"/>
      <c r="F23" s="1"/>
      <c r="G23" s="1" t="s">
        <v>20</v>
      </c>
      <c r="H23" s="2">
        <v>69</v>
      </c>
      <c r="I23" s="2" t="s">
        <v>25</v>
      </c>
      <c r="J23" s="2">
        <v>55.4</v>
      </c>
      <c r="K23" s="2">
        <v>51.5</v>
      </c>
      <c r="L23" s="4">
        <v>-7</v>
      </c>
      <c r="M23" s="2">
        <v>37.9</v>
      </c>
      <c r="N23" s="4">
        <f t="shared" si="0"/>
        <v>-31.588447653429601</v>
      </c>
      <c r="O23" s="2">
        <v>51.8</v>
      </c>
      <c r="P23" s="4">
        <f t="shared" si="1"/>
        <v>-6.4981949458483772</v>
      </c>
      <c r="Q23" s="2">
        <v>47.9</v>
      </c>
      <c r="R23" s="4">
        <f t="shared" si="2"/>
        <v>-13.537906137184116</v>
      </c>
      <c r="S23" s="1"/>
    </row>
    <row r="24" spans="1:19" x14ac:dyDescent="0.25">
      <c r="A24" s="1"/>
      <c r="B24" s="125"/>
      <c r="C24" s="1"/>
      <c r="D24" s="1"/>
      <c r="E24" s="1"/>
      <c r="F24" s="1"/>
      <c r="G24" s="1" t="s">
        <v>19</v>
      </c>
      <c r="H24" s="2">
        <v>83</v>
      </c>
      <c r="I24" s="2" t="s">
        <v>25</v>
      </c>
      <c r="J24" s="2">
        <v>51</v>
      </c>
      <c r="K24" s="2">
        <v>51</v>
      </c>
      <c r="L24" s="2">
        <v>0</v>
      </c>
      <c r="M24" s="2">
        <v>35.5</v>
      </c>
      <c r="N24" s="4">
        <f t="shared" si="0"/>
        <v>-30.392156862745097</v>
      </c>
      <c r="O24" s="2">
        <v>51.3</v>
      </c>
      <c r="P24" s="4">
        <f t="shared" si="1"/>
        <v>0.58823529411764153</v>
      </c>
      <c r="Q24" s="2">
        <v>46.6</v>
      </c>
      <c r="R24" s="4">
        <f t="shared" si="2"/>
        <v>-8.6274509803921546</v>
      </c>
      <c r="S24" s="1"/>
    </row>
    <row r="25" spans="1:19" x14ac:dyDescent="0.25">
      <c r="A25" s="1"/>
      <c r="B25" s="125"/>
      <c r="C25" s="1"/>
      <c r="D25" s="1"/>
      <c r="E25" s="1"/>
      <c r="F25" s="1"/>
      <c r="G25" s="1" t="s">
        <v>20</v>
      </c>
      <c r="H25" s="2">
        <v>83</v>
      </c>
      <c r="I25" s="2" t="s">
        <v>25</v>
      </c>
      <c r="J25" s="2">
        <v>55.3</v>
      </c>
      <c r="K25" s="2">
        <v>51.2</v>
      </c>
      <c r="L25" s="2">
        <v>-7.5</v>
      </c>
      <c r="M25" s="2">
        <v>35.700000000000003</v>
      </c>
      <c r="N25" s="4">
        <f t="shared" si="0"/>
        <v>-35.443037974683534</v>
      </c>
      <c r="O25" s="2">
        <v>51.4</v>
      </c>
      <c r="P25" s="4">
        <f t="shared" si="1"/>
        <v>-7.0524412296564174</v>
      </c>
      <c r="Q25" s="2">
        <v>47</v>
      </c>
      <c r="R25" s="4">
        <f t="shared" si="2"/>
        <v>-15.009041591320068</v>
      </c>
      <c r="S25" s="1"/>
    </row>
    <row r="26" spans="1:19" x14ac:dyDescent="0.25">
      <c r="A26" s="1"/>
      <c r="B26" s="126"/>
      <c r="C26" s="6"/>
      <c r="D26" s="6"/>
      <c r="E26" s="6"/>
      <c r="F26" s="6"/>
      <c r="G26" s="6" t="s">
        <v>21</v>
      </c>
      <c r="H26" s="6"/>
      <c r="I26" s="6"/>
      <c r="J26" s="6"/>
      <c r="K26" s="6"/>
      <c r="L26" s="7" t="s">
        <v>22</v>
      </c>
      <c r="M26" s="7"/>
      <c r="N26" s="9" t="s">
        <v>157</v>
      </c>
      <c r="O26" s="7"/>
      <c r="P26" s="9" t="s">
        <v>158</v>
      </c>
      <c r="Q26" s="7"/>
      <c r="R26" s="9" t="s">
        <v>159</v>
      </c>
      <c r="S26" s="1"/>
    </row>
    <row r="27" spans="1:19" ht="16.5" x14ac:dyDescent="0.25">
      <c r="A27" s="1"/>
      <c r="B27" s="124" t="s">
        <v>11</v>
      </c>
      <c r="C27" s="1" t="s">
        <v>23</v>
      </c>
      <c r="D27" s="3" t="s">
        <v>17</v>
      </c>
      <c r="E27" s="3" t="s">
        <v>16</v>
      </c>
      <c r="F27" s="2" t="s">
        <v>15</v>
      </c>
      <c r="G27" s="1" t="s">
        <v>18</v>
      </c>
      <c r="H27" s="2">
        <v>21</v>
      </c>
      <c r="I27" s="2">
        <v>60.8</v>
      </c>
      <c r="J27" s="2" t="s">
        <v>26</v>
      </c>
      <c r="K27" s="2">
        <v>57.9</v>
      </c>
      <c r="L27" s="2">
        <v>15.1</v>
      </c>
      <c r="M27" s="4">
        <v>45.5</v>
      </c>
      <c r="N27" s="4">
        <f>(M27-50.3)/50.3*100</f>
        <v>-9.5427435387673913</v>
      </c>
      <c r="O27" s="4">
        <v>52.7</v>
      </c>
      <c r="P27" s="4">
        <f>(O27-50.3)/50.3*100</f>
        <v>4.7713717693837099</v>
      </c>
      <c r="Q27" s="4">
        <v>51.2</v>
      </c>
      <c r="R27" s="4">
        <f>(Q27-50.3)/50.3*100</f>
        <v>1.789264413518898</v>
      </c>
      <c r="S27" s="1"/>
    </row>
    <row r="28" spans="1:19" x14ac:dyDescent="0.25">
      <c r="A28" s="1"/>
      <c r="B28" s="125"/>
      <c r="C28" s="1"/>
      <c r="D28" s="1"/>
      <c r="E28" s="1"/>
      <c r="F28" s="1"/>
      <c r="G28" s="1" t="s">
        <v>19</v>
      </c>
      <c r="H28" s="2">
        <v>21</v>
      </c>
      <c r="I28" s="2">
        <v>60.8</v>
      </c>
      <c r="J28" s="2" t="s">
        <v>27</v>
      </c>
      <c r="K28" s="2">
        <v>58.1</v>
      </c>
      <c r="L28" s="2">
        <v>11.3</v>
      </c>
      <c r="M28" s="4">
        <v>45.8</v>
      </c>
      <c r="N28" s="4">
        <f>(M28-52.2)/52.2*100</f>
        <v>-12.260536398467444</v>
      </c>
      <c r="O28" s="4">
        <v>52.9</v>
      </c>
      <c r="P28" s="4">
        <f>(O28-52.2)/52.2*100</f>
        <v>1.3409961685823673</v>
      </c>
      <c r="Q28" s="4">
        <v>52</v>
      </c>
      <c r="R28" s="4">
        <f>(Q28-52.2)/52.2*100</f>
        <v>-0.38314176245211273</v>
      </c>
      <c r="S28" s="1"/>
    </row>
    <row r="29" spans="1:19" x14ac:dyDescent="0.25">
      <c r="A29" s="1"/>
      <c r="B29" s="125"/>
      <c r="C29" s="1"/>
      <c r="D29" s="1"/>
      <c r="E29" s="1"/>
      <c r="F29" s="1"/>
      <c r="G29" s="1" t="s">
        <v>20</v>
      </c>
      <c r="H29" s="2">
        <v>21</v>
      </c>
      <c r="I29" s="2">
        <v>60.8</v>
      </c>
      <c r="J29" s="2" t="s">
        <v>28</v>
      </c>
      <c r="K29" s="4">
        <v>58</v>
      </c>
      <c r="L29" s="2">
        <v>4.8</v>
      </c>
      <c r="M29" s="4">
        <v>46</v>
      </c>
      <c r="N29" s="4">
        <f>(M29-55.3)/55.3*100</f>
        <v>-16.817359855334534</v>
      </c>
      <c r="O29" s="4">
        <v>52.8</v>
      </c>
      <c r="P29" s="4">
        <f>(O29-55.3)/55.3*100</f>
        <v>-4.5207956600361667</v>
      </c>
      <c r="Q29" s="4">
        <v>52.4</v>
      </c>
      <c r="R29" s="4">
        <f>(Q29-55.3)/55.3*100</f>
        <v>-5.2441229656419512</v>
      </c>
      <c r="S29" s="1"/>
    </row>
    <row r="30" spans="1:19" x14ac:dyDescent="0.25">
      <c r="A30" s="1"/>
      <c r="B30" s="125"/>
      <c r="C30" s="1"/>
      <c r="D30" s="1"/>
      <c r="E30" s="1"/>
      <c r="F30" s="1"/>
      <c r="G30" s="1" t="s">
        <v>18</v>
      </c>
      <c r="H30" s="2">
        <v>32</v>
      </c>
      <c r="I30" s="2">
        <v>60.8</v>
      </c>
      <c r="J30" s="2" t="s">
        <v>29</v>
      </c>
      <c r="K30" s="2">
        <v>56.3</v>
      </c>
      <c r="L30" s="2">
        <v>19.399999999999999</v>
      </c>
      <c r="M30" s="4">
        <v>43.3</v>
      </c>
      <c r="N30" s="4">
        <f>(M30-47.2)/47.2*100</f>
        <v>-8.262711864406791</v>
      </c>
      <c r="O30" s="4">
        <v>52</v>
      </c>
      <c r="P30" s="4">
        <f>(O30-47.2)/47.2*100</f>
        <v>10.169491525423723</v>
      </c>
      <c r="Q30" s="4">
        <v>50.3</v>
      </c>
      <c r="R30" s="4">
        <f>(Q30-47.2)/47.2*100</f>
        <v>6.5677966101694798</v>
      </c>
    </row>
    <row r="31" spans="1:19" x14ac:dyDescent="0.25">
      <c r="A31" s="1"/>
      <c r="B31" s="125"/>
      <c r="C31" s="1"/>
      <c r="D31" s="1"/>
      <c r="E31" s="1"/>
      <c r="F31" s="1"/>
      <c r="G31" s="1" t="s">
        <v>19</v>
      </c>
      <c r="H31" s="2">
        <v>32</v>
      </c>
      <c r="I31" s="2">
        <v>60.8</v>
      </c>
      <c r="J31" s="4" t="s">
        <v>30</v>
      </c>
      <c r="K31" s="2">
        <v>56.5</v>
      </c>
      <c r="L31" s="2">
        <v>17.8</v>
      </c>
      <c r="M31" s="4">
        <v>43.7</v>
      </c>
      <c r="N31" s="4">
        <f>(M31-48)/48*100</f>
        <v>-8.9583333333333286</v>
      </c>
      <c r="O31" s="4">
        <v>52.3</v>
      </c>
      <c r="P31" s="4">
        <f>(O31-48)/48*100</f>
        <v>8.9583333333333286</v>
      </c>
      <c r="Q31" s="4">
        <v>51.2</v>
      </c>
      <c r="R31" s="4">
        <f>(Q31-48)/48*100</f>
        <v>6.6666666666666723</v>
      </c>
    </row>
    <row r="32" spans="1:19" x14ac:dyDescent="0.25">
      <c r="A32" s="1"/>
      <c r="B32" s="125"/>
      <c r="C32" s="1"/>
      <c r="D32" s="1"/>
      <c r="E32" s="1"/>
      <c r="F32" s="1"/>
      <c r="G32" s="1" t="s">
        <v>20</v>
      </c>
      <c r="H32" s="2">
        <v>32</v>
      </c>
      <c r="I32" s="2">
        <v>60.8</v>
      </c>
      <c r="J32" s="2" t="s">
        <v>31</v>
      </c>
      <c r="K32" s="2">
        <v>56.4</v>
      </c>
      <c r="L32" s="4">
        <v>4</v>
      </c>
      <c r="M32" s="4">
        <v>44</v>
      </c>
      <c r="N32" s="4">
        <f>(M32-54.2)/54.2*100</f>
        <v>-18.819188191881921</v>
      </c>
      <c r="O32" s="4">
        <v>52.2</v>
      </c>
      <c r="P32" s="4">
        <f>(O32-54.2)/54.2*100</f>
        <v>-3.6900369003690034</v>
      </c>
      <c r="Q32" s="4">
        <v>51.8</v>
      </c>
      <c r="R32" s="4">
        <f>(Q32-54.2)/54.2*100</f>
        <v>-4.4280442804428146</v>
      </c>
    </row>
    <row r="33" spans="1:19" x14ac:dyDescent="0.25">
      <c r="A33" s="1"/>
      <c r="B33" s="125"/>
      <c r="C33" s="1"/>
      <c r="D33" s="1"/>
      <c r="E33" s="1"/>
      <c r="F33" s="1"/>
      <c r="G33" s="1" t="s">
        <v>18</v>
      </c>
      <c r="H33" s="2">
        <v>40</v>
      </c>
      <c r="I33" s="2">
        <v>60.8</v>
      </c>
      <c r="J33" s="2" t="s">
        <v>32</v>
      </c>
      <c r="K33" s="2">
        <v>55.2</v>
      </c>
      <c r="L33" s="2">
        <v>-3.6</v>
      </c>
      <c r="M33" s="4">
        <v>41.8</v>
      </c>
      <c r="N33" s="4">
        <f>(M33-57.2)/57.2*100</f>
        <v>-26.923076923076934</v>
      </c>
      <c r="O33" s="4">
        <v>51.8</v>
      </c>
      <c r="P33" s="4">
        <f>(O33-57.2)/57.2*100</f>
        <v>-9.4405594405594506</v>
      </c>
      <c r="Q33" s="4">
        <v>49.7</v>
      </c>
      <c r="R33" s="4">
        <f>(Q33-57.2)/57.2*100</f>
        <v>-13.111888111888112</v>
      </c>
    </row>
    <row r="34" spans="1:19" x14ac:dyDescent="0.25">
      <c r="A34" s="1"/>
      <c r="B34" s="125"/>
      <c r="C34" s="1"/>
      <c r="D34" s="1"/>
      <c r="E34" s="1"/>
      <c r="F34" s="1"/>
      <c r="G34" s="1" t="s">
        <v>19</v>
      </c>
      <c r="H34" s="2">
        <v>40</v>
      </c>
      <c r="I34" s="2">
        <v>60.8</v>
      </c>
      <c r="J34" s="2" t="s">
        <v>33</v>
      </c>
      <c r="K34" s="2">
        <v>55.4</v>
      </c>
      <c r="L34" s="2">
        <v>-1.3</v>
      </c>
      <c r="M34" s="4">
        <v>42.3</v>
      </c>
      <c r="N34" s="4">
        <f>(M34-56.2)/56.2*100</f>
        <v>-24.733096085409262</v>
      </c>
      <c r="O34" s="4">
        <v>51.2</v>
      </c>
      <c r="P34" s="4">
        <f>(O34-56.2)/56.2*100</f>
        <v>-8.8967971530249095</v>
      </c>
      <c r="Q34" s="4">
        <v>50.8</v>
      </c>
      <c r="R34" s="4">
        <f>(Q34-56.2)/56.2*100</f>
        <v>-9.6085409252669134</v>
      </c>
    </row>
    <row r="35" spans="1:19" x14ac:dyDescent="0.25">
      <c r="A35" s="1"/>
      <c r="B35" s="125"/>
      <c r="C35" s="1"/>
      <c r="D35" s="1"/>
      <c r="E35" s="1"/>
      <c r="F35" s="1"/>
      <c r="G35" s="1" t="s">
        <v>20</v>
      </c>
      <c r="H35" s="2">
        <v>40</v>
      </c>
      <c r="I35" s="2">
        <v>60.8</v>
      </c>
      <c r="J35" s="2" t="s">
        <v>34</v>
      </c>
      <c r="K35" s="2">
        <v>55.5</v>
      </c>
      <c r="L35" s="2">
        <v>-4.9000000000000004</v>
      </c>
      <c r="M35" s="4">
        <v>42.6</v>
      </c>
      <c r="N35" s="4">
        <f>(M35-58.4)/58.4*100</f>
        <v>-27.054794520547944</v>
      </c>
      <c r="O35" s="4">
        <v>52.3</v>
      </c>
      <c r="P35" s="4">
        <f>(O35-58.4)/58.4*100</f>
        <v>-10.445205479452058</v>
      </c>
      <c r="Q35" s="4">
        <v>51.4</v>
      </c>
      <c r="R35" s="4">
        <f>(Q35-58.4)/58.4*100</f>
        <v>-11.986301369863014</v>
      </c>
    </row>
    <row r="36" spans="1:19" x14ac:dyDescent="0.25">
      <c r="A36" s="1"/>
      <c r="B36" s="126"/>
      <c r="C36" s="6"/>
      <c r="D36" s="6"/>
      <c r="E36" s="6"/>
      <c r="F36" s="6"/>
      <c r="G36" s="6" t="s">
        <v>21</v>
      </c>
      <c r="H36" s="6"/>
      <c r="I36" s="6"/>
      <c r="J36" s="6"/>
      <c r="K36" s="6"/>
      <c r="L36" s="7" t="s">
        <v>24</v>
      </c>
      <c r="M36" s="6"/>
      <c r="N36" s="9" t="s">
        <v>162</v>
      </c>
      <c r="O36" s="8"/>
      <c r="P36" s="9" t="s">
        <v>161</v>
      </c>
      <c r="Q36" s="8"/>
      <c r="R36" s="9" t="s">
        <v>160</v>
      </c>
      <c r="S36" s="18"/>
    </row>
    <row r="37" spans="1:19" x14ac:dyDescent="0.25">
      <c r="A37" s="1"/>
      <c r="B37" s="124" t="s">
        <v>35</v>
      </c>
      <c r="C37" s="124" t="s">
        <v>36</v>
      </c>
      <c r="D37" s="1"/>
      <c r="E37" s="1"/>
      <c r="F37" s="124" t="s">
        <v>37</v>
      </c>
      <c r="G37" s="1" t="s">
        <v>39</v>
      </c>
      <c r="H37" s="2">
        <v>13</v>
      </c>
      <c r="I37" s="4">
        <v>35</v>
      </c>
      <c r="J37" s="4">
        <v>32.299999999999997</v>
      </c>
      <c r="K37" s="4">
        <v>34.4</v>
      </c>
      <c r="L37" s="4">
        <f>(K37-J37)/J37*100</f>
        <v>6.5015479876161031</v>
      </c>
      <c r="M37" s="2">
        <v>35.200000000000003</v>
      </c>
      <c r="N37" s="26">
        <f>(M37-J37)/J37*100</f>
        <v>8.9783281733746314</v>
      </c>
      <c r="O37" s="4">
        <v>39.6</v>
      </c>
      <c r="P37" s="4">
        <f>(O37-J37)/J37*100</f>
        <v>22.600619195046452</v>
      </c>
      <c r="Q37" s="4">
        <v>40.1</v>
      </c>
      <c r="R37" s="4">
        <f>(Q37-J37)/J37*100</f>
        <v>24.148606811145527</v>
      </c>
    </row>
    <row r="38" spans="1:19" x14ac:dyDescent="0.25">
      <c r="A38" s="1"/>
      <c r="B38" s="125"/>
      <c r="C38" s="125"/>
      <c r="D38" s="1"/>
      <c r="E38" s="1"/>
      <c r="F38" s="125"/>
      <c r="G38" s="1" t="s">
        <v>38</v>
      </c>
      <c r="H38" s="2">
        <v>13</v>
      </c>
      <c r="I38" s="4">
        <v>41.4</v>
      </c>
      <c r="J38" s="4">
        <v>34.5</v>
      </c>
      <c r="K38" s="4">
        <v>34</v>
      </c>
      <c r="L38" s="4">
        <f t="shared" ref="L38:L52" si="3">(K38-J38)/J38*100</f>
        <v>-1.4492753623188406</v>
      </c>
      <c r="M38" s="2">
        <v>34.6</v>
      </c>
      <c r="N38" s="26">
        <f t="shared" ref="N38:N52" si="4">(M38-J38)/J38*100</f>
        <v>0.28985507246377223</v>
      </c>
      <c r="O38" s="4">
        <v>39</v>
      </c>
      <c r="P38" s="4">
        <f t="shared" ref="P38:P52" si="5">(O38-J38)/J38*100</f>
        <v>13.043478260869565</v>
      </c>
      <c r="Q38" s="4">
        <v>38.9</v>
      </c>
      <c r="R38" s="4">
        <f t="shared" ref="R38:R52" si="6">(Q38-J38)/J38*100</f>
        <v>12.753623188405793</v>
      </c>
    </row>
    <row r="39" spans="1:19" x14ac:dyDescent="0.25">
      <c r="B39" s="125"/>
      <c r="C39" s="125"/>
      <c r="F39" s="125"/>
      <c r="G39" s="1" t="s">
        <v>40</v>
      </c>
      <c r="H39" s="2">
        <v>13</v>
      </c>
      <c r="I39" s="4">
        <v>35</v>
      </c>
      <c r="J39" s="4">
        <v>34.799999999999997</v>
      </c>
      <c r="K39" s="4">
        <v>35.4</v>
      </c>
      <c r="L39" s="4">
        <f t="shared" si="3"/>
        <v>1.7241379310344869</v>
      </c>
      <c r="M39" s="2">
        <v>36.6</v>
      </c>
      <c r="N39" s="26">
        <f t="shared" si="4"/>
        <v>5.1724137931034608</v>
      </c>
      <c r="O39" s="2">
        <v>41.3</v>
      </c>
      <c r="P39" s="4">
        <f t="shared" si="5"/>
        <v>18.678160919540232</v>
      </c>
      <c r="Q39" s="2">
        <v>43.4</v>
      </c>
      <c r="R39" s="4">
        <f t="shared" si="6"/>
        <v>24.712643678160926</v>
      </c>
    </row>
    <row r="40" spans="1:19" x14ac:dyDescent="0.25">
      <c r="B40" s="125"/>
      <c r="C40" s="125"/>
      <c r="F40" s="125"/>
      <c r="G40" s="1" t="s">
        <v>41</v>
      </c>
      <c r="H40" s="2">
        <v>13</v>
      </c>
      <c r="I40" s="4">
        <v>41.4</v>
      </c>
      <c r="J40" s="4">
        <v>32.5</v>
      </c>
      <c r="K40" s="4">
        <v>34.799999999999997</v>
      </c>
      <c r="L40" s="4">
        <f t="shared" si="3"/>
        <v>7.0769230769230678</v>
      </c>
      <c r="M40" s="2">
        <v>35.6</v>
      </c>
      <c r="N40" s="26">
        <f t="shared" si="4"/>
        <v>9.5384615384615437</v>
      </c>
      <c r="O40" s="2">
        <v>40.299999999999997</v>
      </c>
      <c r="P40" s="4">
        <f t="shared" si="5"/>
        <v>23.999999999999989</v>
      </c>
      <c r="Q40" s="2">
        <v>41</v>
      </c>
      <c r="R40" s="4">
        <f t="shared" si="6"/>
        <v>26.153846153846157</v>
      </c>
    </row>
    <row r="41" spans="1:19" x14ac:dyDescent="0.25">
      <c r="B41" s="125"/>
      <c r="C41" s="125"/>
      <c r="F41" s="125"/>
      <c r="G41" s="1" t="s">
        <v>42</v>
      </c>
      <c r="H41" s="2">
        <v>13</v>
      </c>
      <c r="I41" s="4">
        <v>35</v>
      </c>
      <c r="J41" s="4">
        <v>37.6</v>
      </c>
      <c r="K41" s="4">
        <v>36.5</v>
      </c>
      <c r="L41" s="4">
        <f t="shared" si="3"/>
        <v>-2.9255319148936207</v>
      </c>
      <c r="M41" s="2">
        <v>37.700000000000003</v>
      </c>
      <c r="N41" s="26">
        <f t="shared" si="4"/>
        <v>0.26595744680851441</v>
      </c>
      <c r="O41" s="2">
        <v>42.7</v>
      </c>
      <c r="P41" s="4">
        <f t="shared" si="5"/>
        <v>13.563829787234047</v>
      </c>
      <c r="Q41" s="2">
        <v>46</v>
      </c>
      <c r="R41" s="4">
        <f t="shared" si="6"/>
        <v>22.340425531914889</v>
      </c>
    </row>
    <row r="42" spans="1:19" x14ac:dyDescent="0.25">
      <c r="B42" s="125"/>
      <c r="C42" s="125"/>
      <c r="F42" s="125"/>
      <c r="G42" s="1" t="s">
        <v>43</v>
      </c>
      <c r="H42" s="2">
        <v>13</v>
      </c>
      <c r="I42" s="4">
        <v>41.4</v>
      </c>
      <c r="J42" s="4">
        <v>36.6</v>
      </c>
      <c r="K42" s="4">
        <v>35.700000000000003</v>
      </c>
      <c r="L42" s="4">
        <f t="shared" si="3"/>
        <v>-2.459016393442619</v>
      </c>
      <c r="M42" s="2">
        <v>36.4</v>
      </c>
      <c r="N42" s="26">
        <f t="shared" si="4"/>
        <v>-0.5464480874317017</v>
      </c>
      <c r="O42" s="2">
        <v>41.6</v>
      </c>
      <c r="P42" s="4">
        <f t="shared" si="5"/>
        <v>13.661202185792348</v>
      </c>
      <c r="Q42" s="2">
        <v>42.8</v>
      </c>
      <c r="R42" s="4">
        <f t="shared" si="6"/>
        <v>16.939890710382503</v>
      </c>
    </row>
    <row r="43" spans="1:19" x14ac:dyDescent="0.25">
      <c r="B43" s="125"/>
      <c r="C43" s="125"/>
      <c r="F43" s="125"/>
      <c r="G43" s="1" t="s">
        <v>44</v>
      </c>
      <c r="H43" s="2">
        <v>13</v>
      </c>
      <c r="I43" s="4">
        <v>35</v>
      </c>
      <c r="J43" s="4">
        <v>41.4</v>
      </c>
      <c r="K43" s="4">
        <v>37.200000000000003</v>
      </c>
      <c r="L43" s="4">
        <f t="shared" si="3"/>
        <v>-10.144927536231874</v>
      </c>
      <c r="M43" s="2">
        <v>38.4</v>
      </c>
      <c r="N43" s="26">
        <f t="shared" si="4"/>
        <v>-7.2463768115942031</v>
      </c>
      <c r="O43" s="2">
        <v>44.1</v>
      </c>
      <c r="P43" s="4">
        <f t="shared" si="5"/>
        <v>6.5217391304347894</v>
      </c>
      <c r="Q43" s="2">
        <v>47.6</v>
      </c>
      <c r="R43" s="4">
        <f t="shared" si="6"/>
        <v>14.975845410628027</v>
      </c>
    </row>
    <row r="44" spans="1:19" x14ac:dyDescent="0.25">
      <c r="B44" s="125"/>
      <c r="C44" s="125"/>
      <c r="F44" s="125"/>
      <c r="G44" s="1" t="s">
        <v>45</v>
      </c>
      <c r="H44" s="2">
        <v>13</v>
      </c>
      <c r="I44" s="4">
        <v>41.1</v>
      </c>
      <c r="J44" s="4">
        <v>39.700000000000003</v>
      </c>
      <c r="K44" s="4">
        <v>36.299999999999997</v>
      </c>
      <c r="L44" s="4">
        <f t="shared" si="3"/>
        <v>-8.5642317380352786</v>
      </c>
      <c r="M44" s="2">
        <v>37.1</v>
      </c>
      <c r="N44" s="26">
        <f t="shared" si="4"/>
        <v>-6.5491183879093224</v>
      </c>
      <c r="O44" s="2">
        <v>42.6</v>
      </c>
      <c r="P44" s="4">
        <f t="shared" si="5"/>
        <v>7.3047858942065442</v>
      </c>
      <c r="Q44" s="2">
        <v>44.5</v>
      </c>
      <c r="R44" s="4">
        <f t="shared" si="6"/>
        <v>12.090680100755659</v>
      </c>
    </row>
    <row r="45" spans="1:19" x14ac:dyDescent="0.25">
      <c r="B45" s="125"/>
      <c r="C45" s="125"/>
      <c r="F45" s="125"/>
      <c r="G45" s="1" t="s">
        <v>39</v>
      </c>
      <c r="H45" s="2">
        <v>27</v>
      </c>
      <c r="I45" s="4">
        <v>35</v>
      </c>
      <c r="J45" s="4">
        <v>28.3</v>
      </c>
      <c r="K45" s="4">
        <v>34.4</v>
      </c>
      <c r="L45" s="4">
        <f t="shared" si="3"/>
        <v>21.554770318021195</v>
      </c>
      <c r="M45" s="2">
        <v>33.6</v>
      </c>
      <c r="N45" s="26">
        <f t="shared" si="4"/>
        <v>18.727915194346291</v>
      </c>
      <c r="O45" s="2">
        <v>40.5</v>
      </c>
      <c r="P45" s="4">
        <f t="shared" si="5"/>
        <v>43.109540636042396</v>
      </c>
      <c r="Q45" s="2">
        <v>40.700000000000003</v>
      </c>
      <c r="R45" s="4">
        <f t="shared" si="6"/>
        <v>43.816254416961137</v>
      </c>
    </row>
    <row r="46" spans="1:19" x14ac:dyDescent="0.25">
      <c r="B46" s="125"/>
      <c r="C46" s="125"/>
      <c r="F46" s="125"/>
      <c r="G46" s="1" t="s">
        <v>38</v>
      </c>
      <c r="H46" s="2">
        <v>27</v>
      </c>
      <c r="I46" s="4">
        <v>41.4</v>
      </c>
      <c r="J46" s="4">
        <v>26.6</v>
      </c>
      <c r="K46" s="4">
        <v>33.6</v>
      </c>
      <c r="L46" s="4">
        <f t="shared" si="3"/>
        <v>26.315789473684209</v>
      </c>
      <c r="M46" s="4">
        <v>32.799999999999997</v>
      </c>
      <c r="N46" s="26">
        <f t="shared" si="4"/>
        <v>23.308270676691713</v>
      </c>
      <c r="O46" s="4">
        <v>39.4</v>
      </c>
      <c r="P46" s="4">
        <f t="shared" si="5"/>
        <v>48.120300751879682</v>
      </c>
      <c r="Q46" s="4">
        <v>38.700000000000003</v>
      </c>
      <c r="R46" s="4">
        <f t="shared" si="6"/>
        <v>45.488721804511279</v>
      </c>
    </row>
    <row r="47" spans="1:19" x14ac:dyDescent="0.25">
      <c r="B47" s="125"/>
      <c r="C47" s="125"/>
      <c r="F47" s="125"/>
      <c r="G47" s="1" t="s">
        <v>40</v>
      </c>
      <c r="H47" s="2">
        <v>27</v>
      </c>
      <c r="I47" s="4">
        <v>35</v>
      </c>
      <c r="J47" s="4">
        <v>29.5</v>
      </c>
      <c r="K47" s="4">
        <v>36.5</v>
      </c>
      <c r="L47" s="4">
        <f t="shared" si="3"/>
        <v>23.728813559322035</v>
      </c>
      <c r="M47" s="2">
        <v>36</v>
      </c>
      <c r="N47" s="26">
        <f t="shared" si="4"/>
        <v>22.033898305084744</v>
      </c>
      <c r="O47" s="2">
        <v>43.2</v>
      </c>
      <c r="P47" s="4">
        <f t="shared" si="5"/>
        <v>46.44067796610171</v>
      </c>
      <c r="Q47" s="2">
        <v>46.3</v>
      </c>
      <c r="R47" s="4">
        <f t="shared" si="6"/>
        <v>56.949152542372872</v>
      </c>
    </row>
    <row r="48" spans="1:19" x14ac:dyDescent="0.25">
      <c r="B48" s="125"/>
      <c r="C48" s="125"/>
      <c r="F48" s="125"/>
      <c r="G48" s="1" t="s">
        <v>41</v>
      </c>
      <c r="H48" s="2">
        <v>27</v>
      </c>
      <c r="I48" s="4">
        <v>41.4</v>
      </c>
      <c r="J48" s="4">
        <v>28.8</v>
      </c>
      <c r="K48" s="4">
        <v>34.9</v>
      </c>
      <c r="L48" s="4">
        <f t="shared" si="3"/>
        <v>21.180555555555546</v>
      </c>
      <c r="M48" s="2">
        <v>34.299999999999997</v>
      </c>
      <c r="N48" s="26">
        <f t="shared" si="4"/>
        <v>19.097222222222211</v>
      </c>
      <c r="O48" s="2">
        <v>41.2</v>
      </c>
      <c r="P48" s="4">
        <f t="shared" si="5"/>
        <v>43.055555555555564</v>
      </c>
      <c r="Q48" s="2">
        <v>42.3</v>
      </c>
      <c r="R48" s="4">
        <f t="shared" si="6"/>
        <v>46.874999999999986</v>
      </c>
    </row>
    <row r="49" spans="2:19" x14ac:dyDescent="0.25">
      <c r="B49" s="125"/>
      <c r="C49" s="125"/>
      <c r="F49" s="125"/>
      <c r="G49" s="1" t="s">
        <v>42</v>
      </c>
      <c r="H49" s="2">
        <v>27</v>
      </c>
      <c r="I49" s="4">
        <v>35</v>
      </c>
      <c r="J49" s="4">
        <v>35.700000000000003</v>
      </c>
      <c r="K49" s="4">
        <v>38</v>
      </c>
      <c r="L49" s="4">
        <f t="shared" si="3"/>
        <v>6.4425770308123163</v>
      </c>
      <c r="M49" s="2">
        <v>37.9</v>
      </c>
      <c r="N49" s="26">
        <f t="shared" si="4"/>
        <v>6.1624649859943856</v>
      </c>
      <c r="O49" s="2">
        <v>45.2</v>
      </c>
      <c r="P49" s="4">
        <f t="shared" si="5"/>
        <v>26.610644257703083</v>
      </c>
      <c r="Q49" s="2">
        <v>50.8</v>
      </c>
      <c r="R49" s="4">
        <f t="shared" si="6"/>
        <v>42.296918767506988</v>
      </c>
    </row>
    <row r="50" spans="2:19" x14ac:dyDescent="0.25">
      <c r="B50" s="125"/>
      <c r="C50" s="125"/>
      <c r="F50" s="125"/>
      <c r="G50" s="1" t="s">
        <v>43</v>
      </c>
      <c r="H50" s="2">
        <v>27</v>
      </c>
      <c r="I50" s="4">
        <v>41.4</v>
      </c>
      <c r="J50" s="4">
        <v>33.4</v>
      </c>
      <c r="K50" s="4">
        <v>35.799999999999997</v>
      </c>
      <c r="L50" s="4">
        <f t="shared" si="3"/>
        <v>7.1856287425149654</v>
      </c>
      <c r="M50" s="2">
        <v>35.6</v>
      </c>
      <c r="N50" s="26">
        <f t="shared" si="4"/>
        <v>6.5868263473053981</v>
      </c>
      <c r="O50" s="2">
        <v>42.3</v>
      </c>
      <c r="P50" s="4">
        <f t="shared" si="5"/>
        <v>26.646706586826348</v>
      </c>
      <c r="Q50" s="2">
        <v>45.4</v>
      </c>
      <c r="R50" s="4">
        <f t="shared" si="6"/>
        <v>35.928143712574851</v>
      </c>
    </row>
    <row r="51" spans="2:19" x14ac:dyDescent="0.25">
      <c r="B51" s="125"/>
      <c r="C51" s="125"/>
      <c r="F51" s="125"/>
      <c r="G51" s="1" t="s">
        <v>44</v>
      </c>
      <c r="H51" s="2">
        <v>27</v>
      </c>
      <c r="I51" s="4">
        <v>35</v>
      </c>
      <c r="J51" s="4">
        <v>37.799999999999997</v>
      </c>
      <c r="K51" s="4">
        <v>38.9</v>
      </c>
      <c r="L51" s="4">
        <f t="shared" si="3"/>
        <v>2.9100529100529142</v>
      </c>
      <c r="M51" s="2">
        <v>39</v>
      </c>
      <c r="N51" s="26">
        <f t="shared" si="4"/>
        <v>3.174603174603182</v>
      </c>
      <c r="O51" s="2">
        <v>46.3</v>
      </c>
      <c r="P51" s="4">
        <f t="shared" si="5"/>
        <v>22.486772486772487</v>
      </c>
      <c r="Q51" s="2">
        <v>53.5</v>
      </c>
      <c r="R51" s="4">
        <f t="shared" si="6"/>
        <v>41.534391534391546</v>
      </c>
    </row>
    <row r="52" spans="2:19" x14ac:dyDescent="0.25">
      <c r="B52" s="125"/>
      <c r="C52" s="125"/>
      <c r="F52" s="125"/>
      <c r="G52" s="1" t="s">
        <v>45</v>
      </c>
      <c r="H52" s="2">
        <v>27</v>
      </c>
      <c r="I52" s="4">
        <v>41.1</v>
      </c>
      <c r="J52" s="4">
        <v>37</v>
      </c>
      <c r="K52" s="4">
        <v>36.9</v>
      </c>
      <c r="L52" s="4">
        <f t="shared" si="3"/>
        <v>-0.27027027027027412</v>
      </c>
      <c r="M52" s="2">
        <v>36.799999999999997</v>
      </c>
      <c r="N52" s="26">
        <f t="shared" si="4"/>
        <v>-0.54054054054054823</v>
      </c>
      <c r="O52" s="2">
        <v>43.7</v>
      </c>
      <c r="P52" s="4">
        <f t="shared" si="5"/>
        <v>18.108108108108116</v>
      </c>
      <c r="Q52" s="2">
        <v>48.2</v>
      </c>
      <c r="R52" s="4">
        <f t="shared" si="6"/>
        <v>30.270270270270277</v>
      </c>
    </row>
    <row r="53" spans="2:19" x14ac:dyDescent="0.25">
      <c r="B53" s="126"/>
      <c r="C53" s="126"/>
      <c r="D53" s="8"/>
      <c r="E53" s="8"/>
      <c r="F53" s="126"/>
      <c r="G53" s="6" t="s">
        <v>21</v>
      </c>
      <c r="H53" s="8"/>
      <c r="I53" s="6"/>
      <c r="J53" s="6"/>
      <c r="K53" s="6"/>
      <c r="L53" s="7" t="s">
        <v>46</v>
      </c>
      <c r="M53" s="7"/>
      <c r="N53" s="7" t="s">
        <v>155</v>
      </c>
      <c r="O53" s="7"/>
      <c r="P53" s="7" t="s">
        <v>156</v>
      </c>
      <c r="Q53" s="7"/>
      <c r="R53" s="7" t="s">
        <v>154</v>
      </c>
      <c r="S53" s="18"/>
    </row>
    <row r="54" spans="2:19" x14ac:dyDescent="0.25">
      <c r="B54" s="124" t="s">
        <v>47</v>
      </c>
      <c r="C54" s="34" t="s">
        <v>184</v>
      </c>
      <c r="D54" s="22"/>
      <c r="E54" s="22"/>
      <c r="F54" s="25"/>
      <c r="G54" s="37" t="s">
        <v>39</v>
      </c>
      <c r="H54" s="38">
        <v>13</v>
      </c>
      <c r="I54" s="39">
        <v>110.2</v>
      </c>
      <c r="J54" s="35">
        <v>125.9</v>
      </c>
      <c r="K54" s="35">
        <v>108.2</v>
      </c>
      <c r="L54" s="40">
        <f>(K54-J54)/J54*100</f>
        <v>-14.058776806989675</v>
      </c>
      <c r="M54" s="35">
        <v>90.4</v>
      </c>
      <c r="N54" s="40">
        <f>(M54-J54)/J54*100</f>
        <v>-28.196981731532961</v>
      </c>
      <c r="O54" s="35">
        <v>104</v>
      </c>
      <c r="P54" s="40">
        <f>(O54-J54)/J54*100</f>
        <v>-17.394757744241467</v>
      </c>
      <c r="Q54" s="35">
        <v>100.4</v>
      </c>
      <c r="R54" s="40">
        <f>(Q54-J54)/J54*100</f>
        <v>-20.254169976171564</v>
      </c>
      <c r="S54" s="18"/>
    </row>
    <row r="55" spans="2:19" x14ac:dyDescent="0.25">
      <c r="B55" s="125"/>
      <c r="C55" s="25"/>
      <c r="D55" s="22"/>
      <c r="E55" s="22"/>
      <c r="F55" s="25"/>
      <c r="G55" s="37" t="s">
        <v>38</v>
      </c>
      <c r="H55" s="38">
        <v>13</v>
      </c>
      <c r="I55" s="35">
        <v>110.2</v>
      </c>
      <c r="J55" s="35">
        <v>127.6</v>
      </c>
      <c r="K55" s="35">
        <v>107.4</v>
      </c>
      <c r="L55" s="40">
        <f t="shared" ref="L55:L69" si="7">(K55-J55)/J55*100</f>
        <v>-15.830721003134787</v>
      </c>
      <c r="M55" s="35">
        <v>89.5</v>
      </c>
      <c r="N55" s="40">
        <f t="shared" ref="N55:N69" si="8">(M55-J55)/J55*100</f>
        <v>-29.858934169278996</v>
      </c>
      <c r="O55" s="35">
        <v>103</v>
      </c>
      <c r="P55" s="40">
        <f t="shared" ref="P55:P69" si="9">(O55-J55)/J55*100</f>
        <v>-19.278996865203759</v>
      </c>
      <c r="Q55" s="35">
        <v>98.2</v>
      </c>
      <c r="R55" s="40">
        <f t="shared" ref="R55:R69" si="10">(Q55-J55)/J55*100</f>
        <v>-23.040752351097176</v>
      </c>
      <c r="S55" s="18"/>
    </row>
    <row r="56" spans="2:19" x14ac:dyDescent="0.25">
      <c r="B56" s="125"/>
      <c r="C56" s="25"/>
      <c r="D56" s="22"/>
      <c r="E56" s="22"/>
      <c r="F56" s="25"/>
      <c r="G56" s="37" t="s">
        <v>40</v>
      </c>
      <c r="H56" s="38">
        <v>13</v>
      </c>
      <c r="I56" s="35">
        <v>110.2</v>
      </c>
      <c r="J56" s="35">
        <v>129.5</v>
      </c>
      <c r="K56" s="35">
        <v>109.2</v>
      </c>
      <c r="L56" s="40">
        <f t="shared" si="7"/>
        <v>-15.675675675675674</v>
      </c>
      <c r="M56" s="35">
        <v>91.4</v>
      </c>
      <c r="N56" s="40">
        <f t="shared" si="8"/>
        <v>-29.420849420849414</v>
      </c>
      <c r="O56" s="35">
        <v>105.6</v>
      </c>
      <c r="P56" s="40">
        <f t="shared" si="9"/>
        <v>-18.455598455598459</v>
      </c>
      <c r="Q56" s="35">
        <v>102.7</v>
      </c>
      <c r="R56" s="40">
        <f t="shared" si="10"/>
        <v>-20.694980694980693</v>
      </c>
      <c r="S56" s="18"/>
    </row>
    <row r="57" spans="2:19" x14ac:dyDescent="0.25">
      <c r="B57" s="125"/>
      <c r="C57" s="25"/>
      <c r="D57" s="22"/>
      <c r="E57" s="22"/>
      <c r="F57" s="25"/>
      <c r="G57" s="37" t="s">
        <v>41</v>
      </c>
      <c r="H57" s="38">
        <v>13</v>
      </c>
      <c r="I57" s="35">
        <v>110.2</v>
      </c>
      <c r="J57" s="35">
        <v>126.4</v>
      </c>
      <c r="K57" s="35">
        <v>108.1</v>
      </c>
      <c r="L57" s="40">
        <f t="shared" si="7"/>
        <v>-14.477848101265831</v>
      </c>
      <c r="M57" s="35">
        <v>90.1</v>
      </c>
      <c r="N57" s="40">
        <f t="shared" si="8"/>
        <v>-28.718354430379755</v>
      </c>
      <c r="O57" s="35">
        <v>103.8</v>
      </c>
      <c r="P57" s="40">
        <f t="shared" si="9"/>
        <v>-17.879746835443044</v>
      </c>
      <c r="Q57" s="35">
        <v>99.8</v>
      </c>
      <c r="R57" s="40">
        <f t="shared" si="10"/>
        <v>-21.044303797468363</v>
      </c>
      <c r="S57" s="18"/>
    </row>
    <row r="58" spans="2:19" x14ac:dyDescent="0.25">
      <c r="B58" s="125"/>
      <c r="C58" s="25"/>
      <c r="D58" s="22"/>
      <c r="E58" s="22"/>
      <c r="F58" s="25"/>
      <c r="G58" s="37" t="s">
        <v>42</v>
      </c>
      <c r="H58" s="38">
        <v>13</v>
      </c>
      <c r="I58" s="35">
        <v>110.2</v>
      </c>
      <c r="J58" s="35">
        <v>126.8</v>
      </c>
      <c r="K58" s="35">
        <v>110.3</v>
      </c>
      <c r="L58" s="40">
        <f t="shared" si="7"/>
        <v>-13.012618296529968</v>
      </c>
      <c r="M58" s="35">
        <v>92.4</v>
      </c>
      <c r="N58" s="40">
        <f t="shared" si="8"/>
        <v>-27.129337539432168</v>
      </c>
      <c r="O58" s="35">
        <v>106.8</v>
      </c>
      <c r="P58" s="40">
        <f t="shared" si="9"/>
        <v>-15.772870662460567</v>
      </c>
      <c r="Q58" s="35">
        <v>105.1</v>
      </c>
      <c r="R58" s="40">
        <f t="shared" si="10"/>
        <v>-17.113564668769719</v>
      </c>
      <c r="S58" s="18"/>
    </row>
    <row r="59" spans="2:19" x14ac:dyDescent="0.25">
      <c r="B59" s="125"/>
      <c r="C59" s="25"/>
      <c r="D59" s="22"/>
      <c r="E59" s="22"/>
      <c r="F59" s="25"/>
      <c r="G59" s="37" t="s">
        <v>43</v>
      </c>
      <c r="H59" s="38">
        <v>13</v>
      </c>
      <c r="I59" s="35">
        <v>110.2</v>
      </c>
      <c r="J59" s="35">
        <v>128.1</v>
      </c>
      <c r="K59" s="35">
        <v>108.6</v>
      </c>
      <c r="L59" s="40">
        <f t="shared" si="7"/>
        <v>-15.22248243559719</v>
      </c>
      <c r="M59" s="35">
        <v>90.7</v>
      </c>
      <c r="N59" s="40">
        <f t="shared" si="8"/>
        <v>-29.195940671350503</v>
      </c>
      <c r="O59" s="35">
        <v>104.5</v>
      </c>
      <c r="P59" s="40">
        <f t="shared" si="9"/>
        <v>-18.423106947697107</v>
      </c>
      <c r="Q59" s="35">
        <v>101.1</v>
      </c>
      <c r="R59" s="40">
        <f t="shared" si="10"/>
        <v>-21.07728337236534</v>
      </c>
      <c r="S59" s="18"/>
    </row>
    <row r="60" spans="2:19" x14ac:dyDescent="0.25">
      <c r="B60" s="125"/>
      <c r="C60" s="25"/>
      <c r="D60" s="22"/>
      <c r="E60" s="22"/>
      <c r="F60" s="25"/>
      <c r="G60" s="37" t="s">
        <v>44</v>
      </c>
      <c r="H60" s="38">
        <v>13</v>
      </c>
      <c r="I60" s="35">
        <v>110.2</v>
      </c>
      <c r="J60" s="35">
        <v>132</v>
      </c>
      <c r="K60" s="35">
        <v>110.3</v>
      </c>
      <c r="L60" s="40">
        <f t="shared" si="7"/>
        <v>-16.439393939393941</v>
      </c>
      <c r="M60" s="35">
        <v>92.4</v>
      </c>
      <c r="N60" s="40">
        <f t="shared" si="8"/>
        <v>-29.999999999999993</v>
      </c>
      <c r="O60" s="35">
        <v>106.6</v>
      </c>
      <c r="P60" s="40">
        <f t="shared" si="9"/>
        <v>-19.242424242424246</v>
      </c>
      <c r="Q60" s="35">
        <v>105.1</v>
      </c>
      <c r="R60" s="40">
        <f t="shared" si="10"/>
        <v>-20.378787878787882</v>
      </c>
      <c r="S60" s="18"/>
    </row>
    <row r="61" spans="2:19" x14ac:dyDescent="0.25">
      <c r="B61" s="125"/>
      <c r="C61" s="25"/>
      <c r="D61" s="22"/>
      <c r="E61" s="22"/>
      <c r="F61" s="25"/>
      <c r="G61" s="37" t="s">
        <v>45</v>
      </c>
      <c r="H61" s="38">
        <v>13</v>
      </c>
      <c r="I61" s="35">
        <v>110.2</v>
      </c>
      <c r="J61" s="35">
        <v>128.4</v>
      </c>
      <c r="K61" s="35">
        <v>108.7</v>
      </c>
      <c r="L61" s="40">
        <f t="shared" si="7"/>
        <v>-15.342679127725859</v>
      </c>
      <c r="M61" s="35">
        <v>90.8</v>
      </c>
      <c r="N61" s="40">
        <f t="shared" si="8"/>
        <v>-29.283489096573213</v>
      </c>
      <c r="O61" s="35">
        <v>104.5</v>
      </c>
      <c r="P61" s="40">
        <f t="shared" si="9"/>
        <v>-18.613707165109041</v>
      </c>
      <c r="Q61" s="35">
        <v>101.2</v>
      </c>
      <c r="R61" s="40">
        <f t="shared" si="10"/>
        <v>-21.18380062305296</v>
      </c>
      <c r="S61" s="18"/>
    </row>
    <row r="62" spans="2:19" x14ac:dyDescent="0.25">
      <c r="B62" s="125"/>
      <c r="C62" s="25"/>
      <c r="D62" s="22"/>
      <c r="E62" s="22"/>
      <c r="F62" s="25"/>
      <c r="G62" s="37" t="s">
        <v>39</v>
      </c>
      <c r="H62" s="38">
        <v>27</v>
      </c>
      <c r="I62" s="35">
        <v>110.2</v>
      </c>
      <c r="J62" s="35">
        <v>118.9</v>
      </c>
      <c r="K62" s="35">
        <v>104.2</v>
      </c>
      <c r="L62" s="40">
        <f t="shared" si="7"/>
        <v>-12.363330529857025</v>
      </c>
      <c r="M62" s="35">
        <v>85</v>
      </c>
      <c r="N62" s="40">
        <f t="shared" si="8"/>
        <v>-28.511354079058037</v>
      </c>
      <c r="O62" s="35">
        <v>102.3</v>
      </c>
      <c r="P62" s="40">
        <f t="shared" si="9"/>
        <v>-13.961312026913378</v>
      </c>
      <c r="Q62" s="35">
        <v>98.8</v>
      </c>
      <c r="R62" s="40">
        <f t="shared" si="10"/>
        <v>-16.904962153069814</v>
      </c>
      <c r="S62" s="18"/>
    </row>
    <row r="63" spans="2:19" x14ac:dyDescent="0.25">
      <c r="B63" s="125"/>
      <c r="C63" s="25"/>
      <c r="D63" s="22"/>
      <c r="E63" s="22"/>
      <c r="F63" s="25"/>
      <c r="G63" s="37" t="s">
        <v>38</v>
      </c>
      <c r="H63" s="38">
        <v>27</v>
      </c>
      <c r="I63" s="35">
        <v>110.2</v>
      </c>
      <c r="J63" s="35">
        <v>119.3</v>
      </c>
      <c r="K63" s="35">
        <v>102.8</v>
      </c>
      <c r="L63" s="40">
        <f t="shared" si="7"/>
        <v>-13.830678960603521</v>
      </c>
      <c r="M63" s="35">
        <v>83.5</v>
      </c>
      <c r="N63" s="40">
        <f t="shared" si="8"/>
        <v>-30.008382229673092</v>
      </c>
      <c r="O63" s="35">
        <v>100.6</v>
      </c>
      <c r="P63" s="40">
        <f t="shared" si="9"/>
        <v>-15.674769488683992</v>
      </c>
      <c r="Q63" s="36">
        <v>95.1</v>
      </c>
      <c r="R63" s="40">
        <f t="shared" si="10"/>
        <v>-20.284995808885167</v>
      </c>
      <c r="S63" s="18"/>
    </row>
    <row r="64" spans="2:19" x14ac:dyDescent="0.25">
      <c r="B64" s="125"/>
      <c r="C64" s="25"/>
      <c r="D64" s="22"/>
      <c r="E64" s="22"/>
      <c r="F64" s="25"/>
      <c r="G64" s="37" t="s">
        <v>40</v>
      </c>
      <c r="H64" s="38">
        <v>27</v>
      </c>
      <c r="I64" s="35">
        <v>110.2</v>
      </c>
      <c r="J64" s="35">
        <v>123.1</v>
      </c>
      <c r="K64" s="35">
        <v>105.3</v>
      </c>
      <c r="L64" s="40">
        <f t="shared" si="7"/>
        <v>-14.45978878960195</v>
      </c>
      <c r="M64" s="35">
        <v>86.7</v>
      </c>
      <c r="N64" s="40">
        <f t="shared" si="8"/>
        <v>-29.569455727051174</v>
      </c>
      <c r="O64" s="35">
        <v>103.6</v>
      </c>
      <c r="P64" s="40">
        <f t="shared" si="9"/>
        <v>-15.840779853777418</v>
      </c>
      <c r="Q64" s="35">
        <v>102.7</v>
      </c>
      <c r="R64" s="40">
        <f t="shared" si="10"/>
        <v>-16.571892770105599</v>
      </c>
      <c r="S64" s="18"/>
    </row>
    <row r="65" spans="2:20" x14ac:dyDescent="0.25">
      <c r="B65" s="125"/>
      <c r="C65" s="25"/>
      <c r="D65" s="22"/>
      <c r="E65" s="22"/>
      <c r="F65" s="25"/>
      <c r="G65" s="37" t="s">
        <v>41</v>
      </c>
      <c r="H65" s="38">
        <v>27</v>
      </c>
      <c r="I65" s="35">
        <v>110.2</v>
      </c>
      <c r="J65" s="35">
        <v>123.3</v>
      </c>
      <c r="K65" s="35">
        <v>103.6</v>
      </c>
      <c r="L65" s="40">
        <f t="shared" si="7"/>
        <v>-15.977291159772914</v>
      </c>
      <c r="M65" s="35">
        <v>84.6</v>
      </c>
      <c r="N65" s="40">
        <f t="shared" si="8"/>
        <v>-31.386861313868614</v>
      </c>
      <c r="O65" s="35">
        <v>101.6</v>
      </c>
      <c r="P65" s="40">
        <f t="shared" si="9"/>
        <v>-17.599351175993512</v>
      </c>
      <c r="Q65" s="35">
        <v>97.7</v>
      </c>
      <c r="R65" s="40">
        <f t="shared" si="10"/>
        <v>-20.762368207623677</v>
      </c>
      <c r="S65" s="18"/>
    </row>
    <row r="66" spans="2:20" x14ac:dyDescent="0.25">
      <c r="B66" s="125"/>
      <c r="C66" s="25"/>
      <c r="D66" s="22"/>
      <c r="E66" s="22"/>
      <c r="F66" s="25"/>
      <c r="G66" s="37" t="s">
        <v>42</v>
      </c>
      <c r="H66" s="38">
        <v>27</v>
      </c>
      <c r="I66" s="35">
        <v>110.2</v>
      </c>
      <c r="J66" s="35">
        <v>120</v>
      </c>
      <c r="K66" s="35">
        <v>106.5</v>
      </c>
      <c r="L66" s="40">
        <f t="shared" si="7"/>
        <v>-11.25</v>
      </c>
      <c r="M66" s="35">
        <v>88.4</v>
      </c>
      <c r="N66" s="40">
        <f t="shared" si="8"/>
        <v>-26.333333333333332</v>
      </c>
      <c r="O66" s="35">
        <v>105.2</v>
      </c>
      <c r="P66" s="40">
        <f t="shared" si="9"/>
        <v>-12.33333333333333</v>
      </c>
      <c r="Q66" s="35">
        <v>106.7</v>
      </c>
      <c r="R66" s="40">
        <f t="shared" si="10"/>
        <v>-11.08333333333333</v>
      </c>
      <c r="S66" s="18"/>
    </row>
    <row r="67" spans="2:20" x14ac:dyDescent="0.25">
      <c r="B67" s="125"/>
      <c r="C67" s="25"/>
      <c r="D67" s="22"/>
      <c r="E67" s="22"/>
      <c r="F67" s="25"/>
      <c r="G67" s="37" t="s">
        <v>43</v>
      </c>
      <c r="H67" s="38">
        <v>27</v>
      </c>
      <c r="I67" s="35">
        <v>110.2</v>
      </c>
      <c r="J67" s="35">
        <v>117.2</v>
      </c>
      <c r="K67" s="35">
        <v>104.3</v>
      </c>
      <c r="L67" s="40">
        <f t="shared" si="7"/>
        <v>-11.006825938566557</v>
      </c>
      <c r="M67" s="35">
        <v>85.6</v>
      </c>
      <c r="N67" s="40">
        <f t="shared" si="8"/>
        <v>-26.962457337883965</v>
      </c>
      <c r="O67" s="35">
        <v>102.5</v>
      </c>
      <c r="P67" s="40">
        <f t="shared" si="9"/>
        <v>-12.542662116040958</v>
      </c>
      <c r="Q67" s="35">
        <v>100</v>
      </c>
      <c r="R67" s="40">
        <f t="shared" si="10"/>
        <v>-14.67576791808874</v>
      </c>
      <c r="S67" s="18"/>
    </row>
    <row r="68" spans="2:20" x14ac:dyDescent="0.25">
      <c r="B68" s="125"/>
      <c r="C68" s="25"/>
      <c r="D68" s="22"/>
      <c r="E68" s="22"/>
      <c r="F68" s="25"/>
      <c r="G68" s="37" t="s">
        <v>44</v>
      </c>
      <c r="H68" s="38">
        <v>27</v>
      </c>
      <c r="I68" s="35">
        <v>110.2</v>
      </c>
      <c r="J68" s="35">
        <v>126.1</v>
      </c>
      <c r="K68" s="35">
        <v>106.6</v>
      </c>
      <c r="L68" s="40">
        <f t="shared" si="7"/>
        <v>-15.463917525773196</v>
      </c>
      <c r="M68" s="35">
        <v>88.4</v>
      </c>
      <c r="N68" s="40">
        <f t="shared" si="8"/>
        <v>-29.896907216494839</v>
      </c>
      <c r="O68" s="35">
        <v>105.3</v>
      </c>
      <c r="P68" s="40">
        <f t="shared" si="9"/>
        <v>-16.494845360824741</v>
      </c>
      <c r="Q68" s="35">
        <v>106.7</v>
      </c>
      <c r="R68" s="40">
        <f t="shared" si="10"/>
        <v>-15.38461538461538</v>
      </c>
      <c r="S68" s="18"/>
    </row>
    <row r="69" spans="2:20" x14ac:dyDescent="0.25">
      <c r="B69" s="125"/>
      <c r="C69" s="25"/>
      <c r="D69" s="22"/>
      <c r="E69" s="22"/>
      <c r="F69" s="25"/>
      <c r="G69" s="37" t="s">
        <v>45</v>
      </c>
      <c r="H69" s="38">
        <v>27</v>
      </c>
      <c r="I69" s="35">
        <v>110.2</v>
      </c>
      <c r="J69" s="35">
        <v>121.4</v>
      </c>
      <c r="K69" s="35">
        <v>104.4</v>
      </c>
      <c r="L69" s="40">
        <f t="shared" si="7"/>
        <v>-14.00329489291598</v>
      </c>
      <c r="M69" s="35">
        <v>85.6</v>
      </c>
      <c r="N69" s="40">
        <f t="shared" si="8"/>
        <v>-29.489291598023073</v>
      </c>
      <c r="O69" s="35">
        <v>102.5</v>
      </c>
      <c r="P69" s="40">
        <f t="shared" si="9"/>
        <v>-15.568369028006593</v>
      </c>
      <c r="Q69" s="35">
        <v>100.2</v>
      </c>
      <c r="R69" s="40">
        <f t="shared" si="10"/>
        <v>-17.462932454695224</v>
      </c>
      <c r="S69" s="18"/>
    </row>
    <row r="70" spans="2:20" x14ac:dyDescent="0.25">
      <c r="B70" s="126"/>
      <c r="C70" s="25"/>
      <c r="D70" s="22"/>
      <c r="E70" s="22"/>
      <c r="F70" s="25"/>
      <c r="G70" s="6" t="s">
        <v>21</v>
      </c>
      <c r="H70" s="22"/>
      <c r="I70" s="13"/>
      <c r="J70" s="13"/>
      <c r="K70" s="14"/>
      <c r="L70" s="9" t="s">
        <v>185</v>
      </c>
      <c r="M70" s="27"/>
      <c r="N70" s="9" t="s">
        <v>186</v>
      </c>
      <c r="O70" s="7"/>
      <c r="P70" s="9" t="s">
        <v>187</v>
      </c>
      <c r="Q70" s="7"/>
      <c r="R70" s="9" t="s">
        <v>188</v>
      </c>
      <c r="S70" s="18"/>
      <c r="T70" s="18"/>
    </row>
    <row r="71" spans="2:20" ht="15" customHeight="1" x14ac:dyDescent="0.25">
      <c r="B71" s="124" t="s">
        <v>47</v>
      </c>
      <c r="C71" s="124" t="s">
        <v>48</v>
      </c>
      <c r="D71" s="10"/>
      <c r="E71" s="10"/>
      <c r="F71" s="124" t="s">
        <v>37</v>
      </c>
      <c r="G71" s="10" t="s">
        <v>49</v>
      </c>
      <c r="H71" s="11">
        <v>11</v>
      </c>
      <c r="I71" s="11">
        <v>110.2</v>
      </c>
      <c r="J71" s="12">
        <v>119.6</v>
      </c>
      <c r="K71" s="12">
        <v>90.1</v>
      </c>
      <c r="L71" s="4">
        <f>(K71-J71)/J71*100</f>
        <v>-24.665551839464882</v>
      </c>
      <c r="M71" s="4">
        <v>90.2</v>
      </c>
      <c r="N71" s="4">
        <f>(M71-119.6)/119.6*100</f>
        <v>-24.581939799331099</v>
      </c>
      <c r="O71" s="29">
        <v>103.3</v>
      </c>
      <c r="P71" s="4">
        <f>(O71-119.6)/119.6*100</f>
        <v>-13.628762541806019</v>
      </c>
      <c r="Q71" s="29">
        <v>99.2</v>
      </c>
      <c r="R71" s="4">
        <f>(Q71-119.6)/119.6*100</f>
        <v>-17.056856187290965</v>
      </c>
    </row>
    <row r="72" spans="2:20" x14ac:dyDescent="0.25">
      <c r="B72" s="125"/>
      <c r="C72" s="128"/>
      <c r="D72" s="13"/>
      <c r="E72" s="13"/>
      <c r="F72" s="128"/>
      <c r="G72" s="13" t="s">
        <v>50</v>
      </c>
      <c r="H72" s="14">
        <v>11</v>
      </c>
      <c r="I72" s="14">
        <v>110.2</v>
      </c>
      <c r="J72" s="15">
        <v>112.6</v>
      </c>
      <c r="K72" s="15">
        <v>89.6</v>
      </c>
      <c r="L72" s="4">
        <f t="shared" ref="L72:L82" si="11">(K72-J72)/J72*100</f>
        <v>-20.426287744227352</v>
      </c>
      <c r="M72" s="4">
        <v>89.5</v>
      </c>
      <c r="N72" s="4">
        <f>(M72-112.6)/112.6*100</f>
        <v>-20.515097690941381</v>
      </c>
      <c r="O72" s="29">
        <v>102.7</v>
      </c>
      <c r="P72" s="4">
        <f>(O72-112.6)/112.6*100</f>
        <v>-8.7921847246891573</v>
      </c>
      <c r="Q72" s="29">
        <v>97.6</v>
      </c>
      <c r="R72" s="4">
        <f>(Q72-112.6)/112.6*100</f>
        <v>-13.321492007104796</v>
      </c>
    </row>
    <row r="73" spans="2:20" x14ac:dyDescent="0.25">
      <c r="B73" s="125"/>
      <c r="C73" s="128"/>
      <c r="D73" s="13"/>
      <c r="E73" s="13"/>
      <c r="F73" s="128"/>
      <c r="G73" s="13" t="s">
        <v>51</v>
      </c>
      <c r="H73" s="14">
        <v>11</v>
      </c>
      <c r="I73" s="14">
        <v>110.2</v>
      </c>
      <c r="J73" s="15">
        <v>117.1</v>
      </c>
      <c r="K73" s="15">
        <v>108.5</v>
      </c>
      <c r="L73" s="4">
        <f t="shared" si="11"/>
        <v>-7.3441502988898328</v>
      </c>
      <c r="M73" s="4">
        <v>89.8</v>
      </c>
      <c r="N73" s="4">
        <f>(M73-117.1)/117.1*100</f>
        <v>-23.313407344150296</v>
      </c>
      <c r="O73" s="4">
        <v>102.5</v>
      </c>
      <c r="P73" s="4">
        <f>(O73-117.1)/117.1*100</f>
        <v>-12.467976088812977</v>
      </c>
      <c r="Q73" s="4">
        <v>98.2</v>
      </c>
      <c r="R73" s="4">
        <f>(Q73-117.1)/117.1*100</f>
        <v>-16.140051238257893</v>
      </c>
    </row>
    <row r="74" spans="2:20" x14ac:dyDescent="0.25">
      <c r="B74" s="125"/>
      <c r="C74" s="128"/>
      <c r="D74" s="13"/>
      <c r="E74" s="13"/>
      <c r="F74" s="128"/>
      <c r="G74" s="13" t="s">
        <v>52</v>
      </c>
      <c r="H74" s="14">
        <v>11</v>
      </c>
      <c r="I74" s="14">
        <v>110.2</v>
      </c>
      <c r="J74" s="15">
        <v>111.5</v>
      </c>
      <c r="K74" s="15">
        <v>108</v>
      </c>
      <c r="L74" s="4">
        <f t="shared" si="11"/>
        <v>-3.1390134529147984</v>
      </c>
      <c r="M74" s="4">
        <v>89.9</v>
      </c>
      <c r="N74" s="4">
        <f>(M74-111.5)/111.5*100</f>
        <v>-19.372197309417036</v>
      </c>
      <c r="O74" s="4">
        <v>103.3</v>
      </c>
      <c r="P74" s="4">
        <f>(O74-111.5)/111.5*100</f>
        <v>-7.3542600896861012</v>
      </c>
      <c r="Q74" s="4">
        <v>98.5</v>
      </c>
      <c r="R74" s="4">
        <f>(Q74-111.5)/111.5*100</f>
        <v>-11.659192825112108</v>
      </c>
    </row>
    <row r="75" spans="2:20" x14ac:dyDescent="0.25">
      <c r="B75" s="125"/>
      <c r="C75" s="128"/>
      <c r="D75" s="13"/>
      <c r="E75" s="13"/>
      <c r="F75" s="128"/>
      <c r="G75" s="13" t="s">
        <v>49</v>
      </c>
      <c r="H75" s="14">
        <v>19</v>
      </c>
      <c r="I75" s="14">
        <v>110.2</v>
      </c>
      <c r="J75" s="15">
        <v>128.19999999999999</v>
      </c>
      <c r="K75" s="15">
        <v>90.3</v>
      </c>
      <c r="L75" s="4">
        <f t="shared" si="11"/>
        <v>-29.563182527301091</v>
      </c>
      <c r="M75" s="4">
        <v>86.9</v>
      </c>
      <c r="N75" s="4">
        <f>(M75-128.2)/128.2*100</f>
        <v>-32.215288611544452</v>
      </c>
      <c r="O75" s="29">
        <v>101.8</v>
      </c>
      <c r="P75" s="4">
        <f>(O75-128.2)/128.2*100</f>
        <v>-20.592823712948512</v>
      </c>
      <c r="Q75" s="29">
        <v>97.6</v>
      </c>
      <c r="R75" s="4">
        <f>(Q75-128.2)/128.2*100</f>
        <v>-23.868954758190323</v>
      </c>
    </row>
    <row r="76" spans="2:20" x14ac:dyDescent="0.25">
      <c r="B76" s="125"/>
      <c r="C76" s="128"/>
      <c r="D76" s="13"/>
      <c r="E76" s="13"/>
      <c r="F76" s="128"/>
      <c r="G76" s="13" t="s">
        <v>50</v>
      </c>
      <c r="H76" s="14">
        <v>19</v>
      </c>
      <c r="I76" s="14">
        <v>110.2</v>
      </c>
      <c r="J76" s="15">
        <v>125.3</v>
      </c>
      <c r="K76" s="15">
        <v>89.6</v>
      </c>
      <c r="L76" s="4">
        <f t="shared" si="11"/>
        <v>-28.491620111731848</v>
      </c>
      <c r="M76" s="4">
        <v>85.8</v>
      </c>
      <c r="N76" s="4">
        <f>(M76-125.3)/125.3*100</f>
        <v>-31.524341580207505</v>
      </c>
      <c r="O76" s="4">
        <v>100.7</v>
      </c>
      <c r="P76" s="4">
        <f>(O76-125.3)/125.3*100</f>
        <v>-19.632881085395049</v>
      </c>
      <c r="Q76" s="4">
        <v>95.1</v>
      </c>
      <c r="R76" s="4">
        <f>(Q76-125.3)/125.3*100</f>
        <v>-24.102154828411816</v>
      </c>
    </row>
    <row r="77" spans="2:20" x14ac:dyDescent="0.25">
      <c r="B77" s="125"/>
      <c r="C77" s="128"/>
      <c r="D77" s="13"/>
      <c r="E77" s="13"/>
      <c r="F77" s="128"/>
      <c r="G77" s="13" t="s">
        <v>51</v>
      </c>
      <c r="H77" s="14">
        <v>19</v>
      </c>
      <c r="I77" s="14">
        <v>110.2</v>
      </c>
      <c r="J77" s="15">
        <v>125</v>
      </c>
      <c r="K77" s="15">
        <v>106.3</v>
      </c>
      <c r="L77" s="4">
        <f t="shared" si="11"/>
        <v>-14.96</v>
      </c>
      <c r="M77" s="4">
        <v>86.2</v>
      </c>
      <c r="N77" s="4">
        <f>(M77-125)/125*100</f>
        <v>-31.039999999999996</v>
      </c>
      <c r="O77" s="4">
        <v>100.1</v>
      </c>
      <c r="P77" s="4">
        <f>(O77-125)/125*100</f>
        <v>-19.920000000000005</v>
      </c>
      <c r="Q77" s="4">
        <v>96.1</v>
      </c>
      <c r="R77" s="4">
        <f>(Q77-125)/125*100</f>
        <v>-23.120000000000005</v>
      </c>
    </row>
    <row r="78" spans="2:20" x14ac:dyDescent="0.25">
      <c r="B78" s="125"/>
      <c r="C78" s="128"/>
      <c r="D78" s="13"/>
      <c r="E78" s="13"/>
      <c r="F78" s="128"/>
      <c r="G78" s="13" t="s">
        <v>52</v>
      </c>
      <c r="H78" s="14">
        <v>19</v>
      </c>
      <c r="I78" s="14">
        <v>110.2</v>
      </c>
      <c r="J78" s="15">
        <v>118.6</v>
      </c>
      <c r="K78" s="15">
        <v>105.6</v>
      </c>
      <c r="L78" s="4">
        <f t="shared" si="11"/>
        <v>-10.961214165261383</v>
      </c>
      <c r="M78" s="4">
        <v>86.4</v>
      </c>
      <c r="N78" s="4">
        <f>(M78-118.6)/118.6*100</f>
        <v>-27.150084317032032</v>
      </c>
      <c r="O78" s="4">
        <v>101.7</v>
      </c>
      <c r="P78" s="4">
        <f>(O78-118.6)/118.6*100</f>
        <v>-14.249578414839792</v>
      </c>
      <c r="Q78" s="4">
        <v>96.5</v>
      </c>
      <c r="R78" s="4">
        <f>(Q78-118.6)/118.6*100</f>
        <v>-18.634064080944345</v>
      </c>
    </row>
    <row r="79" spans="2:20" x14ac:dyDescent="0.25">
      <c r="B79" s="125"/>
      <c r="C79" s="128"/>
      <c r="D79" s="13"/>
      <c r="E79" s="13"/>
      <c r="F79" s="128"/>
      <c r="G79" s="13" t="s">
        <v>49</v>
      </c>
      <c r="H79" s="14">
        <v>28</v>
      </c>
      <c r="I79" s="14">
        <v>110.2</v>
      </c>
      <c r="J79" s="15">
        <v>120</v>
      </c>
      <c r="K79" s="15">
        <v>90.5</v>
      </c>
      <c r="L79" s="4">
        <f t="shared" si="11"/>
        <v>-24.583333333333332</v>
      </c>
      <c r="M79" s="4">
        <v>84</v>
      </c>
      <c r="N79" s="4">
        <f>(M79-120)/120*100</f>
        <v>-30</v>
      </c>
      <c r="O79" s="4">
        <v>101.4</v>
      </c>
      <c r="P79" s="4">
        <f>(O79-120)/120*100</f>
        <v>-15.499999999999995</v>
      </c>
      <c r="Q79" s="4">
        <v>96.4</v>
      </c>
      <c r="R79" s="4">
        <f>(Q79-120)/120*100</f>
        <v>-19.666666666666664</v>
      </c>
    </row>
    <row r="80" spans="2:20" x14ac:dyDescent="0.25">
      <c r="B80" s="125"/>
      <c r="C80" s="128"/>
      <c r="D80" s="13"/>
      <c r="E80" s="13"/>
      <c r="F80" s="128"/>
      <c r="G80" s="13" t="s">
        <v>50</v>
      </c>
      <c r="H80" s="14">
        <v>28</v>
      </c>
      <c r="I80" s="14">
        <v>110.2</v>
      </c>
      <c r="J80" s="15">
        <v>115.7</v>
      </c>
      <c r="K80" s="15">
        <v>89.4</v>
      </c>
      <c r="L80" s="4">
        <f t="shared" si="11"/>
        <v>-22.731201382886773</v>
      </c>
      <c r="M80" s="4">
        <v>82.8</v>
      </c>
      <c r="N80" s="4">
        <f>(M80-115.7)/115.7*100</f>
        <v>-28.435609334485747</v>
      </c>
      <c r="O80" s="4">
        <v>100</v>
      </c>
      <c r="P80" s="4">
        <f>(O80-115.7)/115.7*100</f>
        <v>-13.56957649092481</v>
      </c>
      <c r="Q80" s="4">
        <v>93.4</v>
      </c>
      <c r="R80" s="4">
        <f>(Q80-115.7)/115.7*100</f>
        <v>-19.273984442523766</v>
      </c>
    </row>
    <row r="81" spans="2:19" x14ac:dyDescent="0.25">
      <c r="B81" s="125"/>
      <c r="C81" s="128"/>
      <c r="D81" s="13"/>
      <c r="E81" s="13"/>
      <c r="F81" s="128"/>
      <c r="G81" s="13" t="s">
        <v>51</v>
      </c>
      <c r="H81" s="14">
        <v>28</v>
      </c>
      <c r="I81" s="14">
        <v>110.2</v>
      </c>
      <c r="J81" s="15">
        <v>117.8</v>
      </c>
      <c r="K81" s="15">
        <v>103.7</v>
      </c>
      <c r="L81" s="4">
        <f t="shared" si="11"/>
        <v>-11.969439728353136</v>
      </c>
      <c r="M81" s="4">
        <v>83.3</v>
      </c>
      <c r="N81" s="4">
        <f>(M81-117.8)/117.8*100</f>
        <v>-29.286926994906619</v>
      </c>
      <c r="O81" s="4">
        <v>101.1</v>
      </c>
      <c r="P81" s="4">
        <f>(O81-117.8)/117.8*100</f>
        <v>-14.176570458404077</v>
      </c>
      <c r="Q81" s="4">
        <v>94.6</v>
      </c>
      <c r="R81" s="4">
        <f>(Q81-117.8)/117.8*100</f>
        <v>-19.694397283531412</v>
      </c>
    </row>
    <row r="82" spans="2:19" x14ac:dyDescent="0.25">
      <c r="B82" s="125"/>
      <c r="C82" s="128"/>
      <c r="D82" s="13"/>
      <c r="E82" s="13"/>
      <c r="F82" s="128"/>
      <c r="G82" s="13" t="s">
        <v>52</v>
      </c>
      <c r="H82" s="14">
        <v>28</v>
      </c>
      <c r="I82" s="14">
        <v>110.2</v>
      </c>
      <c r="J82" s="15">
        <v>112.8</v>
      </c>
      <c r="K82" s="15">
        <v>102.7</v>
      </c>
      <c r="L82" s="4">
        <f t="shared" si="11"/>
        <v>-8.9539007092198535</v>
      </c>
      <c r="M82" s="4">
        <v>83.5</v>
      </c>
      <c r="N82" s="4">
        <f>(M82-112.8)/112.8*100</f>
        <v>-25.975177304964536</v>
      </c>
      <c r="O82" s="4">
        <v>100.5</v>
      </c>
      <c r="P82" s="4">
        <f>(O82-112.8)/112.8*100</f>
        <v>-10.904255319148934</v>
      </c>
      <c r="Q82" s="4">
        <v>95.2</v>
      </c>
      <c r="R82" s="4">
        <f>(Q82-112.8)/112.8*100</f>
        <v>-15.602836879432619</v>
      </c>
    </row>
    <row r="83" spans="2:19" x14ac:dyDescent="0.25">
      <c r="B83" s="126"/>
      <c r="C83" s="126"/>
      <c r="D83" s="6"/>
      <c r="E83" s="6"/>
      <c r="F83" s="126"/>
      <c r="G83" s="6" t="s">
        <v>21</v>
      </c>
      <c r="H83" s="6"/>
      <c r="I83" s="6"/>
      <c r="J83" s="6"/>
      <c r="K83" s="6"/>
      <c r="L83" s="9" t="s">
        <v>53</v>
      </c>
      <c r="M83" s="27"/>
      <c r="N83" s="9" t="s">
        <v>173</v>
      </c>
      <c r="O83" s="27"/>
      <c r="P83" s="9" t="s">
        <v>172</v>
      </c>
      <c r="Q83" s="27"/>
      <c r="R83" s="9" t="s">
        <v>171</v>
      </c>
      <c r="S83" s="18"/>
    </row>
    <row r="84" spans="2:19" x14ac:dyDescent="0.25">
      <c r="B84" s="124" t="s">
        <v>54</v>
      </c>
      <c r="C84" s="1" t="s">
        <v>55</v>
      </c>
      <c r="D84" s="16" t="s">
        <v>56</v>
      </c>
      <c r="E84" s="16" t="s">
        <v>57</v>
      </c>
      <c r="F84" s="1" t="s">
        <v>15</v>
      </c>
      <c r="G84" s="1" t="s">
        <v>58</v>
      </c>
      <c r="H84" s="2">
        <v>5</v>
      </c>
      <c r="I84" s="2" t="s">
        <v>61</v>
      </c>
      <c r="J84" s="2" t="s">
        <v>62</v>
      </c>
      <c r="K84" s="2">
        <v>47.2</v>
      </c>
      <c r="L84" s="2">
        <v>-4.5999999999999996</v>
      </c>
      <c r="M84" s="4">
        <v>45</v>
      </c>
      <c r="N84" s="4">
        <f>(M84-49.5)/49.5*100</f>
        <v>-9.0909090909090917</v>
      </c>
      <c r="O84" s="29">
        <v>51.1</v>
      </c>
      <c r="P84" s="4">
        <f>(O84-49.5)/49.5*100</f>
        <v>3.2323232323232349</v>
      </c>
      <c r="Q84" s="29">
        <v>49.9</v>
      </c>
      <c r="R84" s="4">
        <f>(Q84-49.5)/49.5*100</f>
        <v>0.80808080808080518</v>
      </c>
    </row>
    <row r="85" spans="2:19" x14ac:dyDescent="0.25">
      <c r="B85" s="125"/>
      <c r="C85" s="1"/>
      <c r="D85" s="1"/>
      <c r="E85" s="1"/>
      <c r="F85" s="1"/>
      <c r="G85" s="1" t="s">
        <v>59</v>
      </c>
      <c r="H85" s="2">
        <v>5</v>
      </c>
      <c r="I85" s="2">
        <v>51.7</v>
      </c>
      <c r="J85" s="2" t="s">
        <v>76</v>
      </c>
      <c r="K85" s="2">
        <v>52.4</v>
      </c>
      <c r="L85" s="2">
        <v>14.5</v>
      </c>
      <c r="M85" s="4">
        <v>45.4</v>
      </c>
      <c r="N85" s="4">
        <f>(M85-45.8)/45.8*100</f>
        <v>-0.8733624454148442</v>
      </c>
      <c r="O85" s="29">
        <v>51.3</v>
      </c>
      <c r="P85" s="4">
        <f>(O85-45.8)/45.8*100</f>
        <v>12.008733624454148</v>
      </c>
      <c r="Q85" s="29">
        <v>50.7</v>
      </c>
      <c r="R85" s="4">
        <f>(Q85-45.8)/45.8*100</f>
        <v>10.69868995633189</v>
      </c>
    </row>
    <row r="86" spans="2:19" x14ac:dyDescent="0.25">
      <c r="B86" s="125"/>
      <c r="C86" s="1"/>
      <c r="D86" s="1"/>
      <c r="E86" s="1"/>
      <c r="F86" s="1"/>
      <c r="G86" s="1" t="s">
        <v>60</v>
      </c>
      <c r="H86" s="2">
        <v>5</v>
      </c>
      <c r="I86" s="2">
        <v>57.7</v>
      </c>
      <c r="J86" s="2" t="s">
        <v>75</v>
      </c>
      <c r="K86" s="2">
        <v>58.6</v>
      </c>
      <c r="L86" s="2">
        <v>8.9</v>
      </c>
      <c r="M86" s="4">
        <v>45.9</v>
      </c>
      <c r="N86" s="4">
        <f>(M86-53.8)/53.8*100</f>
        <v>-14.684014869888474</v>
      </c>
      <c r="O86" s="4">
        <v>51.7</v>
      </c>
      <c r="P86" s="4">
        <f>(O86-53.8)/53.8*100</f>
        <v>-3.9033457249070529</v>
      </c>
      <c r="Q86" s="4">
        <v>51.9</v>
      </c>
      <c r="R86" s="4">
        <f>(Q86-53.8)/53.8*100</f>
        <v>-3.5315985130111498</v>
      </c>
    </row>
    <row r="87" spans="2:19" x14ac:dyDescent="0.25">
      <c r="B87" s="125"/>
      <c r="C87" s="1"/>
      <c r="D87" s="1"/>
      <c r="E87" s="1"/>
      <c r="F87" s="1"/>
      <c r="G87" s="1" t="s">
        <v>58</v>
      </c>
      <c r="H87" s="2">
        <v>8</v>
      </c>
      <c r="I87" s="2">
        <v>46.7</v>
      </c>
      <c r="J87" s="2" t="s">
        <v>63</v>
      </c>
      <c r="K87" s="4">
        <v>47</v>
      </c>
      <c r="L87" s="2">
        <v>-2.6</v>
      </c>
      <c r="M87" s="4">
        <v>44.4</v>
      </c>
      <c r="N87" s="4">
        <f>(M87-48.2)/48.2*100</f>
        <v>-7.8838174273859005</v>
      </c>
      <c r="O87" s="29">
        <v>50.7</v>
      </c>
      <c r="P87" s="4">
        <f>(O87-48.2)/48.2*100</f>
        <v>5.1867219917012441</v>
      </c>
      <c r="Q87" s="29">
        <v>49.7</v>
      </c>
      <c r="R87" s="4">
        <f>(Q87-48.2)/48.2*100</f>
        <v>3.1120331950207465</v>
      </c>
    </row>
    <row r="88" spans="2:19" x14ac:dyDescent="0.25">
      <c r="B88" s="125"/>
      <c r="C88" s="1"/>
      <c r="D88" s="1"/>
      <c r="E88" s="1"/>
      <c r="F88" s="1"/>
      <c r="G88" s="1" t="s">
        <v>59</v>
      </c>
      <c r="H88" s="2">
        <v>8</v>
      </c>
      <c r="I88" s="2">
        <v>51.7</v>
      </c>
      <c r="J88" s="2" t="s">
        <v>77</v>
      </c>
      <c r="K88" s="2">
        <v>52.1</v>
      </c>
      <c r="L88" s="2">
        <v>9.5</v>
      </c>
      <c r="M88" s="4">
        <v>44.8</v>
      </c>
      <c r="N88" s="4">
        <f>(M88-47.6)/47.6*100</f>
        <v>-5.8823529411764799</v>
      </c>
      <c r="O88" s="29">
        <v>50.9</v>
      </c>
      <c r="P88" s="4">
        <f>(O88-47.6)/47.6*100</f>
        <v>6.9327731092436906</v>
      </c>
      <c r="Q88" s="29">
        <v>50.5</v>
      </c>
      <c r="R88" s="4">
        <f>(Q88-47.6)/47.6*100</f>
        <v>6.092436974789913</v>
      </c>
    </row>
    <row r="89" spans="2:19" x14ac:dyDescent="0.25">
      <c r="B89" s="125"/>
      <c r="C89" s="1"/>
      <c r="D89" s="1"/>
      <c r="E89" s="1"/>
      <c r="F89" s="1"/>
      <c r="G89" s="1" t="s">
        <v>60</v>
      </c>
      <c r="H89" s="2">
        <v>8</v>
      </c>
      <c r="I89" s="2">
        <v>57.7</v>
      </c>
      <c r="J89" s="2" t="s">
        <v>74</v>
      </c>
      <c r="K89" s="2">
        <v>58.4</v>
      </c>
      <c r="L89" s="2">
        <v>14.5</v>
      </c>
      <c r="M89" s="4">
        <v>45.4</v>
      </c>
      <c r="N89" s="4">
        <f>(M89-51)/51*100</f>
        <v>-10.980392156862747</v>
      </c>
      <c r="O89" s="4">
        <v>51.3</v>
      </c>
      <c r="P89" s="4">
        <f>(O89-51)/51*100</f>
        <v>0.58823529411764153</v>
      </c>
      <c r="Q89" s="4">
        <v>52</v>
      </c>
      <c r="R89" s="4">
        <f>(Q89-51)/51*100</f>
        <v>1.9607843137254901</v>
      </c>
    </row>
    <row r="90" spans="2:19" x14ac:dyDescent="0.25">
      <c r="B90" s="125"/>
      <c r="C90" s="1"/>
      <c r="D90" s="1"/>
      <c r="E90" s="1"/>
      <c r="F90" s="1"/>
      <c r="G90" s="1" t="s">
        <v>58</v>
      </c>
      <c r="H90" s="2">
        <v>14</v>
      </c>
      <c r="I90" s="2">
        <v>46.7</v>
      </c>
      <c r="J90" s="2" t="s">
        <v>64</v>
      </c>
      <c r="K90" s="2">
        <v>45.9</v>
      </c>
      <c r="L90" s="2">
        <v>-8.4</v>
      </c>
      <c r="M90" s="4">
        <v>43.3</v>
      </c>
      <c r="N90" s="4">
        <f>(M90-50.1)/50.1*100</f>
        <v>-13.572854291417174</v>
      </c>
      <c r="O90" s="4">
        <v>50.4</v>
      </c>
      <c r="P90" s="4">
        <f>(O90-50.1)/50.1*100</f>
        <v>0.59880239520957512</v>
      </c>
      <c r="Q90" s="4">
        <v>49</v>
      </c>
      <c r="R90" s="4">
        <f>(Q90-50.1)/50.1*100</f>
        <v>-2.1956087824351327</v>
      </c>
    </row>
    <row r="91" spans="2:19" x14ac:dyDescent="0.25">
      <c r="B91" s="125"/>
      <c r="C91" s="1"/>
      <c r="D91" s="1"/>
      <c r="E91" s="1"/>
      <c r="F91" s="1"/>
      <c r="G91" s="1" t="s">
        <v>59</v>
      </c>
      <c r="H91" s="2">
        <v>14</v>
      </c>
      <c r="I91" s="2">
        <v>51.7</v>
      </c>
      <c r="J91" s="2" t="s">
        <v>78</v>
      </c>
      <c r="K91" s="2">
        <v>50.9</v>
      </c>
      <c r="L91" s="4">
        <v>-6</v>
      </c>
      <c r="M91" s="4">
        <v>43.8</v>
      </c>
      <c r="N91" s="4">
        <f>(M91-54.1)/54.1*100</f>
        <v>-19.038817005545294</v>
      </c>
      <c r="O91" s="4">
        <v>50.7</v>
      </c>
      <c r="P91" s="4">
        <f>(O91-54.1)/54.1*100</f>
        <v>-6.2846580406654322</v>
      </c>
      <c r="Q91" s="4">
        <v>50.3</v>
      </c>
      <c r="R91" s="4">
        <f>(Q91-54.1)/54.1*100</f>
        <v>-7.024029574861375</v>
      </c>
    </row>
    <row r="92" spans="2:19" x14ac:dyDescent="0.25">
      <c r="B92" s="125"/>
      <c r="C92" s="1"/>
      <c r="D92" s="1"/>
      <c r="E92" s="1"/>
      <c r="F92" s="1"/>
      <c r="G92" s="1" t="s">
        <v>60</v>
      </c>
      <c r="H92" s="2">
        <v>14</v>
      </c>
      <c r="I92" s="2">
        <v>57.7</v>
      </c>
      <c r="J92" s="2" t="s">
        <v>73</v>
      </c>
      <c r="K92" s="4">
        <v>57</v>
      </c>
      <c r="L92" s="4">
        <v>10</v>
      </c>
      <c r="M92" s="4">
        <v>44.5</v>
      </c>
      <c r="N92" s="4">
        <f>(M92-51.8)/51.8*100</f>
        <v>-14.092664092664087</v>
      </c>
      <c r="O92" s="4">
        <v>51.1</v>
      </c>
      <c r="P92" s="4">
        <f>(O92-51.8)/51.8*100</f>
        <v>-1.3513513513513433</v>
      </c>
      <c r="Q92" s="4">
        <v>52</v>
      </c>
      <c r="R92" s="4">
        <f>(Q92-51.8)/51.8*100</f>
        <v>0.3861003861003916</v>
      </c>
    </row>
    <row r="93" spans="2:19" x14ac:dyDescent="0.25">
      <c r="B93" s="125"/>
      <c r="C93" s="1"/>
      <c r="D93" s="1"/>
      <c r="E93" s="1"/>
      <c r="F93" s="1"/>
      <c r="G93" s="1" t="s">
        <v>58</v>
      </c>
      <c r="H93" s="2">
        <v>17</v>
      </c>
      <c r="I93" s="2">
        <v>46.7</v>
      </c>
      <c r="J93" s="2" t="s">
        <v>65</v>
      </c>
      <c r="K93" s="2">
        <v>45.9</v>
      </c>
      <c r="L93" s="2">
        <v>-11.5</v>
      </c>
      <c r="M93" s="4">
        <v>42.7</v>
      </c>
      <c r="N93" s="4">
        <f>(M93-51.8)/51.8*100</f>
        <v>-17.567567567567558</v>
      </c>
      <c r="O93" s="4">
        <v>50.5</v>
      </c>
      <c r="P93" s="4">
        <f>(O93-51.8)/51.8*100</f>
        <v>-2.5096525096525042</v>
      </c>
      <c r="Q93" s="4">
        <v>49</v>
      </c>
      <c r="R93" s="4">
        <f>(Q93-51.8)/51.8*100</f>
        <v>-5.4054054054053999</v>
      </c>
    </row>
    <row r="94" spans="2:19" x14ac:dyDescent="0.25">
      <c r="B94" s="125"/>
      <c r="C94" s="1"/>
      <c r="D94" s="1"/>
      <c r="E94" s="1"/>
      <c r="F94" s="1"/>
      <c r="G94" s="1" t="s">
        <v>59</v>
      </c>
      <c r="H94" s="2">
        <v>17</v>
      </c>
      <c r="I94" s="2">
        <v>51.7</v>
      </c>
      <c r="J94" s="2" t="s">
        <v>79</v>
      </c>
      <c r="K94" s="2">
        <v>50.8</v>
      </c>
      <c r="L94" s="4">
        <v>-10</v>
      </c>
      <c r="M94" s="4">
        <v>43.2</v>
      </c>
      <c r="N94" s="4">
        <f>(M94-56.5)/56.5*100</f>
        <v>-23.539823008849552</v>
      </c>
      <c r="O94" s="4">
        <v>50.8</v>
      </c>
      <c r="P94" s="4">
        <f>(O94-56.5)/56.5*100</f>
        <v>-10.088495575221245</v>
      </c>
      <c r="Q94" s="4">
        <v>50.2</v>
      </c>
      <c r="R94" s="4">
        <f>(Q94-56.5)/56.5*100</f>
        <v>-11.150442477876101</v>
      </c>
    </row>
    <row r="95" spans="2:19" x14ac:dyDescent="0.25">
      <c r="B95" s="125"/>
      <c r="C95" s="1"/>
      <c r="D95" s="1"/>
      <c r="E95" s="1"/>
      <c r="F95" s="1"/>
      <c r="G95" s="1" t="s">
        <v>60</v>
      </c>
      <c r="H95" s="2">
        <v>17</v>
      </c>
      <c r="I95" s="2">
        <v>57.7</v>
      </c>
      <c r="J95" s="2" t="s">
        <v>72</v>
      </c>
      <c r="K95" s="4">
        <v>57</v>
      </c>
      <c r="L95" s="2">
        <v>4.9000000000000004</v>
      </c>
      <c r="M95" s="4">
        <v>44</v>
      </c>
      <c r="N95" s="4">
        <f>(M95-54.3)/54.3*100</f>
        <v>-18.96869244935543</v>
      </c>
      <c r="O95" s="4">
        <v>51.3</v>
      </c>
      <c r="P95" s="4">
        <f>(O95-54.3)/54.3*100</f>
        <v>-5.5248618784530388</v>
      </c>
      <c r="Q95" s="4">
        <v>52</v>
      </c>
      <c r="R95" s="4">
        <f>(Q95-54.3)/54.3*100</f>
        <v>-4.2357274401473246</v>
      </c>
    </row>
    <row r="96" spans="2:19" x14ac:dyDescent="0.25">
      <c r="B96" s="125"/>
      <c r="C96" s="1"/>
      <c r="D96" s="1"/>
      <c r="E96" s="1"/>
      <c r="F96" s="1"/>
      <c r="G96" s="1" t="s">
        <v>58</v>
      </c>
      <c r="H96" s="2">
        <v>20</v>
      </c>
      <c r="I96" s="2">
        <v>46.7</v>
      </c>
      <c r="J96" s="2" t="s">
        <v>66</v>
      </c>
      <c r="K96" s="2">
        <v>45.6</v>
      </c>
      <c r="L96" s="2">
        <v>-11.7</v>
      </c>
      <c r="M96" s="4">
        <v>42.2</v>
      </c>
      <c r="N96" s="4">
        <f>(M96-51.6)/51.6*100</f>
        <v>-18.217054263565888</v>
      </c>
      <c r="O96" s="4">
        <v>50.4</v>
      </c>
      <c r="P96" s="4">
        <f>(O96-51.6)/51.6*100</f>
        <v>-2.3255813953488427</v>
      </c>
      <c r="Q96" s="4">
        <v>48.8</v>
      </c>
      <c r="R96" s="4">
        <f>(Q96-51.6)/51.6*100</f>
        <v>-5.4263565891472947</v>
      </c>
    </row>
    <row r="97" spans="2:18" x14ac:dyDescent="0.25">
      <c r="B97" s="125"/>
      <c r="C97" s="1"/>
      <c r="D97" s="1"/>
      <c r="E97" s="1"/>
      <c r="F97" s="1"/>
      <c r="G97" s="1" t="s">
        <v>59</v>
      </c>
      <c r="H97" s="2">
        <v>20</v>
      </c>
      <c r="I97" s="2">
        <v>51.7</v>
      </c>
      <c r="J97" s="2" t="s">
        <v>80</v>
      </c>
      <c r="K97" s="2">
        <v>50.6</v>
      </c>
      <c r="L97" s="2">
        <v>-7.8</v>
      </c>
      <c r="M97" s="4">
        <v>42.7</v>
      </c>
      <c r="N97" s="4">
        <f>(M97-54.9)/54.9*100</f>
        <v>-22.222222222222214</v>
      </c>
      <c r="O97" s="4">
        <v>50.9</v>
      </c>
      <c r="P97" s="4">
        <f>(O97-54.9)/54.9*100</f>
        <v>-7.2859744990892539</v>
      </c>
      <c r="Q97" s="4">
        <v>50.1</v>
      </c>
      <c r="R97" s="4">
        <f>(Q97-54.9)/54.9*100</f>
        <v>-8.7431693989070975</v>
      </c>
    </row>
    <row r="98" spans="2:18" x14ac:dyDescent="0.25">
      <c r="B98" s="125"/>
      <c r="C98" s="1"/>
      <c r="D98" s="1"/>
      <c r="E98" s="1"/>
      <c r="F98" s="1"/>
      <c r="G98" s="1" t="s">
        <v>60</v>
      </c>
      <c r="H98" s="2">
        <v>20</v>
      </c>
      <c r="I98" s="2">
        <v>57.7</v>
      </c>
      <c r="J98" s="2" t="s">
        <v>71</v>
      </c>
      <c r="K98" s="2">
        <v>56.8</v>
      </c>
      <c r="L98" s="2">
        <v>-4.3</v>
      </c>
      <c r="M98" s="4">
        <v>43.6</v>
      </c>
      <c r="N98" s="4">
        <f>(M98-59.4)/59.4*100</f>
        <v>-26.599326599326595</v>
      </c>
      <c r="O98" s="4">
        <v>51.7</v>
      </c>
      <c r="P98" s="4">
        <f>(O98-59.4)/59.4*100</f>
        <v>-12.962962962962957</v>
      </c>
      <c r="Q98" s="4">
        <v>52</v>
      </c>
      <c r="R98" s="4">
        <f>(Q98-59.4)/59.4*100</f>
        <v>-12.457912457912455</v>
      </c>
    </row>
    <row r="99" spans="2:18" x14ac:dyDescent="0.25">
      <c r="B99" s="125"/>
      <c r="C99" s="1"/>
      <c r="D99" s="1"/>
      <c r="E99" s="1"/>
      <c r="F99" s="1"/>
      <c r="G99" s="1" t="s">
        <v>58</v>
      </c>
      <c r="H99" s="2">
        <v>23</v>
      </c>
      <c r="I99" s="2">
        <v>46.7</v>
      </c>
      <c r="J99" s="2" t="s">
        <v>67</v>
      </c>
      <c r="K99" s="2">
        <v>45.4</v>
      </c>
      <c r="L99" s="2">
        <v>-12</v>
      </c>
      <c r="M99" s="4">
        <v>41.6</v>
      </c>
      <c r="N99" s="4">
        <f>(M99-51.6)/51.6*100</f>
        <v>-19.379844961240309</v>
      </c>
      <c r="O99" s="4">
        <v>50.6</v>
      </c>
      <c r="P99" s="4">
        <f>(O99-51.6)/51.6*100</f>
        <v>-1.9379844961240309</v>
      </c>
      <c r="Q99" s="4">
        <v>48.6</v>
      </c>
      <c r="R99" s="4">
        <f>(Q99-51.6)/51.6*100</f>
        <v>-5.8139534883720927</v>
      </c>
    </row>
    <row r="100" spans="2:18" x14ac:dyDescent="0.25">
      <c r="B100" s="125"/>
      <c r="C100" s="1"/>
      <c r="D100" s="1"/>
      <c r="E100" s="1"/>
      <c r="F100" s="1"/>
      <c r="G100" s="1" t="s">
        <v>59</v>
      </c>
      <c r="H100" s="2">
        <v>23</v>
      </c>
      <c r="I100" s="2">
        <v>51.7</v>
      </c>
      <c r="J100" s="2" t="s">
        <v>81</v>
      </c>
      <c r="K100" s="2">
        <v>50.4</v>
      </c>
      <c r="L100" s="2">
        <v>-12.2</v>
      </c>
      <c r="M100" s="4">
        <v>42.2</v>
      </c>
      <c r="N100" s="4">
        <f>(M100-57.4)/57.4*100</f>
        <v>-26.48083623693379</v>
      </c>
      <c r="O100" s="4">
        <v>51.1</v>
      </c>
      <c r="P100" s="4">
        <f>(O100-57.4)/57.4*100</f>
        <v>-10.975609756097557</v>
      </c>
      <c r="Q100" s="4">
        <v>50</v>
      </c>
      <c r="R100" s="4">
        <f>(Q100-57.4)/57.4*100</f>
        <v>-12.891986062717766</v>
      </c>
    </row>
    <row r="101" spans="2:18" x14ac:dyDescent="0.25">
      <c r="B101" s="125"/>
      <c r="C101" s="1"/>
      <c r="D101" s="1"/>
      <c r="E101" s="1"/>
      <c r="F101" s="1"/>
      <c r="G101" s="1" t="s">
        <v>60</v>
      </c>
      <c r="H101" s="2">
        <v>23</v>
      </c>
      <c r="I101" s="2">
        <v>57.7</v>
      </c>
      <c r="J101" s="2" t="s">
        <v>70</v>
      </c>
      <c r="K101" s="2">
        <v>56.5</v>
      </c>
      <c r="L101" s="2">
        <v>-5.2</v>
      </c>
      <c r="M101" s="4">
        <v>43.2</v>
      </c>
      <c r="N101" s="4">
        <f>(M101-59.6)/59.6*100</f>
        <v>-27.516778523489933</v>
      </c>
      <c r="O101" s="4">
        <v>52</v>
      </c>
      <c r="P101" s="4">
        <f>(O101-59.6)/59.6*100</f>
        <v>-12.751677852348994</v>
      </c>
      <c r="Q101" s="4">
        <v>48.7</v>
      </c>
      <c r="R101" s="4">
        <f>(Q101-59.6)/59.6*100</f>
        <v>-18.28859060402684</v>
      </c>
    </row>
    <row r="102" spans="2:18" x14ac:dyDescent="0.25">
      <c r="B102" s="125"/>
      <c r="C102" s="1"/>
      <c r="D102" s="1"/>
      <c r="E102" s="1"/>
      <c r="F102" s="1"/>
      <c r="G102" s="1" t="s">
        <v>58</v>
      </c>
      <c r="H102" s="2">
        <v>27</v>
      </c>
      <c r="I102" s="2">
        <v>46.7</v>
      </c>
      <c r="J102" s="2" t="s">
        <v>68</v>
      </c>
      <c r="K102" s="4">
        <v>45</v>
      </c>
      <c r="L102" s="2">
        <v>-16.8</v>
      </c>
      <c r="M102" s="4">
        <v>40.9</v>
      </c>
      <c r="N102" s="4">
        <f>(M102-54.1)/54.1*100</f>
        <v>-24.399260628465807</v>
      </c>
      <c r="O102" s="4">
        <v>50.2</v>
      </c>
      <c r="P102" s="4">
        <f>(O102-54.1)/54.1*100</f>
        <v>-7.2088724584103483</v>
      </c>
      <c r="Q102" s="4">
        <v>48.4</v>
      </c>
      <c r="R102" s="4">
        <f>(Q102-54.1)/54.1*100</f>
        <v>-10.536044362292056</v>
      </c>
    </row>
    <row r="103" spans="2:18" x14ac:dyDescent="0.25">
      <c r="B103" s="125"/>
      <c r="C103" s="1"/>
      <c r="D103" s="1"/>
      <c r="E103" s="1"/>
      <c r="F103" s="1"/>
      <c r="G103" s="1" t="s">
        <v>59</v>
      </c>
      <c r="H103" s="2">
        <v>27</v>
      </c>
      <c r="I103" s="2">
        <v>51.7</v>
      </c>
      <c r="J103" s="2" t="s">
        <v>82</v>
      </c>
      <c r="K103" s="2">
        <v>50</v>
      </c>
      <c r="L103" s="2">
        <v>-14.2</v>
      </c>
      <c r="M103" s="4">
        <v>41.6</v>
      </c>
      <c r="N103" s="4">
        <f>(M103-58.2)/58.2*100</f>
        <v>-28.522336769759448</v>
      </c>
      <c r="O103" s="4">
        <v>50.7</v>
      </c>
      <c r="P103" s="4">
        <f>(O103-58.2)/58.2*100</f>
        <v>-12.886597938144329</v>
      </c>
      <c r="Q103" s="4">
        <v>49.8</v>
      </c>
      <c r="R103" s="4">
        <f>(Q103-58.2)/58.2*100</f>
        <v>-14.432989690721659</v>
      </c>
    </row>
    <row r="104" spans="2:18" x14ac:dyDescent="0.25">
      <c r="B104" s="125"/>
      <c r="G104" s="1" t="s">
        <v>60</v>
      </c>
      <c r="H104" s="2">
        <v>27</v>
      </c>
      <c r="I104" s="2">
        <v>57.7</v>
      </c>
      <c r="J104" s="2" t="s">
        <v>69</v>
      </c>
      <c r="K104" s="2">
        <v>56.1</v>
      </c>
      <c r="L104" s="2">
        <v>-9.9</v>
      </c>
      <c r="M104" s="4">
        <v>42.6</v>
      </c>
      <c r="N104" s="4">
        <f>(M104-62.2)/62.2*100</f>
        <v>-31.511254019292608</v>
      </c>
      <c r="O104" s="4">
        <v>51.5</v>
      </c>
      <c r="P104" s="4">
        <f>(O104-62.2)/62.2*100</f>
        <v>-17.202572347266884</v>
      </c>
      <c r="Q104" s="4">
        <v>52.1</v>
      </c>
      <c r="R104" s="4">
        <f>(Q104-62.2)/62.1*100</f>
        <v>-16.264090177133657</v>
      </c>
    </row>
    <row r="105" spans="2:18" x14ac:dyDescent="0.25">
      <c r="B105" s="126"/>
      <c r="C105" s="8"/>
      <c r="D105" s="8"/>
      <c r="E105" s="8"/>
      <c r="F105" s="8"/>
      <c r="G105" s="6" t="s">
        <v>21</v>
      </c>
      <c r="H105" s="8"/>
      <c r="I105" s="8"/>
      <c r="J105" s="8"/>
      <c r="K105" s="8"/>
      <c r="L105" s="9" t="s">
        <v>83</v>
      </c>
      <c r="M105" s="27"/>
      <c r="N105" s="9" t="s">
        <v>177</v>
      </c>
      <c r="O105" s="27"/>
      <c r="P105" s="9" t="s">
        <v>178</v>
      </c>
      <c r="Q105" s="27"/>
      <c r="R105" s="9" t="s">
        <v>179</v>
      </c>
    </row>
    <row r="106" spans="2:18" x14ac:dyDescent="0.25">
      <c r="B106" s="124" t="s">
        <v>54</v>
      </c>
      <c r="C106" s="124" t="s">
        <v>84</v>
      </c>
      <c r="D106" s="16" t="s">
        <v>56</v>
      </c>
      <c r="E106" s="16" t="s">
        <v>57</v>
      </c>
      <c r="F106" s="1" t="s">
        <v>15</v>
      </c>
      <c r="G106" s="17" t="s">
        <v>19</v>
      </c>
      <c r="H106" s="2">
        <v>3</v>
      </c>
      <c r="I106" s="4">
        <v>56</v>
      </c>
      <c r="J106" s="2" t="s">
        <v>86</v>
      </c>
      <c r="K106" s="2">
        <v>55.8</v>
      </c>
      <c r="L106" s="2">
        <v>10.9</v>
      </c>
      <c r="M106" s="29">
        <v>49</v>
      </c>
      <c r="N106" s="4">
        <f>(M106-50.3)/50.3*100</f>
        <v>-2.5844930417494973</v>
      </c>
      <c r="O106" s="29">
        <v>53.8</v>
      </c>
      <c r="P106" s="4">
        <f>(O106-50.3)/50.3*100</f>
        <v>6.9582504970178931</v>
      </c>
      <c r="Q106" s="29">
        <v>52.6</v>
      </c>
      <c r="R106" s="4">
        <f>(Q106-50.3)/50.3*100</f>
        <v>4.5725646123260519</v>
      </c>
    </row>
    <row r="107" spans="2:18" x14ac:dyDescent="0.25">
      <c r="B107" s="125"/>
      <c r="C107" s="125"/>
      <c r="G107" s="17" t="s">
        <v>85</v>
      </c>
      <c r="H107" s="2">
        <v>3</v>
      </c>
      <c r="I107" s="2">
        <v>54.2</v>
      </c>
      <c r="J107" s="2" t="s">
        <v>90</v>
      </c>
      <c r="K107" s="2">
        <v>55.8</v>
      </c>
      <c r="L107" s="2">
        <v>13.7</v>
      </c>
      <c r="M107" s="29">
        <v>49.1</v>
      </c>
      <c r="N107" s="4">
        <f>(M107-49.1)/49.1*100</f>
        <v>0</v>
      </c>
      <c r="O107" s="29">
        <v>53.9</v>
      </c>
      <c r="P107" s="4">
        <f>(O107-49.1)/49.1*100</f>
        <v>9.7759674134419488</v>
      </c>
      <c r="Q107" s="29">
        <v>52.7</v>
      </c>
      <c r="R107" s="4">
        <f>(Q107-49.1)/49.1*100</f>
        <v>7.3319755600814691</v>
      </c>
    </row>
    <row r="108" spans="2:18" x14ac:dyDescent="0.25">
      <c r="B108" s="125"/>
      <c r="C108" s="125"/>
      <c r="G108" s="17" t="s">
        <v>60</v>
      </c>
      <c r="H108" s="2">
        <v>3</v>
      </c>
      <c r="I108" s="2">
        <v>55.7</v>
      </c>
      <c r="J108" s="2" t="s">
        <v>94</v>
      </c>
      <c r="K108" s="2">
        <v>56.1</v>
      </c>
      <c r="L108" s="2">
        <v>3.2</v>
      </c>
      <c r="M108" s="4">
        <v>49.4</v>
      </c>
      <c r="N108" s="4">
        <f>(M108-54.4)/54.4*100</f>
        <v>-9.1911764705882355</v>
      </c>
      <c r="O108" s="4">
        <v>54.2</v>
      </c>
      <c r="P108" s="4">
        <f>(O108-54.4)/54.4*100</f>
        <v>-0.36764705882352161</v>
      </c>
      <c r="Q108" s="4">
        <v>53.2</v>
      </c>
      <c r="R108" s="4">
        <f>(Q108-54.4)/54.4*100</f>
        <v>-2.2058823529411686</v>
      </c>
    </row>
    <row r="109" spans="2:18" x14ac:dyDescent="0.25">
      <c r="B109" s="125"/>
      <c r="C109" s="125"/>
      <c r="G109" s="17" t="s">
        <v>19</v>
      </c>
      <c r="H109" s="2">
        <v>6</v>
      </c>
      <c r="I109" s="4">
        <v>56</v>
      </c>
      <c r="J109" s="2" t="s">
        <v>87</v>
      </c>
      <c r="K109" s="2">
        <v>55.8</v>
      </c>
      <c r="L109" s="2">
        <v>9.8000000000000007</v>
      </c>
      <c r="M109" s="29">
        <v>47.9</v>
      </c>
      <c r="N109" s="4">
        <f>(M109-50.8)/50.8*100</f>
        <v>-5.7086614173228325</v>
      </c>
      <c r="O109" s="29">
        <v>53.5</v>
      </c>
      <c r="P109" s="4">
        <f>(O109-50.8)/50.8*100</f>
        <v>5.3149606299212655</v>
      </c>
      <c r="Q109" s="29">
        <v>52.4</v>
      </c>
      <c r="R109" s="4">
        <f>(Q109-50.8)/50.8*100</f>
        <v>3.1496062992126013</v>
      </c>
    </row>
    <row r="110" spans="2:18" x14ac:dyDescent="0.25">
      <c r="B110" s="125"/>
      <c r="C110" s="125"/>
      <c r="G110" s="17" t="s">
        <v>85</v>
      </c>
      <c r="H110" s="2">
        <v>6</v>
      </c>
      <c r="I110" s="2">
        <v>54.2</v>
      </c>
      <c r="J110" s="2" t="s">
        <v>91</v>
      </c>
      <c r="K110" s="2">
        <v>55.9</v>
      </c>
      <c r="L110" s="2">
        <v>9.5</v>
      </c>
      <c r="M110" s="29">
        <v>48.1</v>
      </c>
      <c r="N110" s="4">
        <f>(M110-51)/51*100</f>
        <v>-5.6862745098039191</v>
      </c>
      <c r="O110" s="29">
        <v>53.6</v>
      </c>
      <c r="P110" s="4">
        <f>(O110-51)/51*100</f>
        <v>5.0980392156862768</v>
      </c>
      <c r="Q110" s="29">
        <v>52.7</v>
      </c>
      <c r="R110" s="4">
        <f>(Q110-51)/51*100</f>
        <v>3.3333333333333388</v>
      </c>
    </row>
    <row r="111" spans="2:18" x14ac:dyDescent="0.25">
      <c r="B111" s="125"/>
      <c r="C111" s="125"/>
      <c r="G111" s="17" t="s">
        <v>60</v>
      </c>
      <c r="H111" s="2">
        <v>6</v>
      </c>
      <c r="I111" s="2">
        <v>55.7</v>
      </c>
      <c r="J111" s="2" t="s">
        <v>95</v>
      </c>
      <c r="K111" s="2">
        <v>56.2</v>
      </c>
      <c r="L111" s="2">
        <v>-4.5</v>
      </c>
      <c r="M111" s="4">
        <v>48.5</v>
      </c>
      <c r="N111" s="4">
        <f>(M111-58.8)/58.8*100</f>
        <v>-17.517006802721085</v>
      </c>
      <c r="O111" s="4">
        <v>54</v>
      </c>
      <c r="P111" s="4">
        <f>(O111-58.8)/58.8*100</f>
        <v>-8.1632653061224438</v>
      </c>
      <c r="Q111" s="4">
        <v>53.5</v>
      </c>
      <c r="R111" s="4">
        <f>(Q111-58.8)/58.8*100</f>
        <v>-9.0136054421768677</v>
      </c>
    </row>
    <row r="112" spans="2:18" x14ac:dyDescent="0.25">
      <c r="B112" s="125"/>
      <c r="C112" s="125"/>
      <c r="G112" s="17" t="s">
        <v>19</v>
      </c>
      <c r="H112" s="2">
        <v>9</v>
      </c>
      <c r="I112" s="4">
        <v>56</v>
      </c>
      <c r="J112" s="2" t="s">
        <v>88</v>
      </c>
      <c r="K112" s="2">
        <v>55.7</v>
      </c>
      <c r="L112" s="2">
        <v>3.8</v>
      </c>
      <c r="M112" s="4">
        <v>47.3</v>
      </c>
      <c r="N112" s="4">
        <f>(M112-53.7)/53.7*100</f>
        <v>-11.918063314711368</v>
      </c>
      <c r="O112" s="4">
        <v>53.2</v>
      </c>
      <c r="P112" s="4">
        <f>(O112-53.7)/53.7*100</f>
        <v>-0.93109869646182486</v>
      </c>
      <c r="Q112" s="4">
        <v>52.3</v>
      </c>
      <c r="R112" s="4">
        <f>(Q112-53.7)/53.7*100</f>
        <v>-2.6070763500931204</v>
      </c>
    </row>
    <row r="113" spans="2:19" x14ac:dyDescent="0.25">
      <c r="B113" s="125"/>
      <c r="C113" s="125"/>
      <c r="G113" s="17" t="s">
        <v>85</v>
      </c>
      <c r="H113" s="2">
        <v>9</v>
      </c>
      <c r="I113" s="2">
        <v>54.2</v>
      </c>
      <c r="J113" s="2" t="s">
        <v>92</v>
      </c>
      <c r="K113" s="2">
        <v>55.9</v>
      </c>
      <c r="L113" s="2">
        <v>3.3</v>
      </c>
      <c r="M113" s="4">
        <v>47.5</v>
      </c>
      <c r="N113" s="4">
        <f>(M113-53.9)/53.9*100</f>
        <v>-11.873840445269014</v>
      </c>
      <c r="O113" s="4">
        <v>53.4</v>
      </c>
      <c r="P113" s="4">
        <f>(O113-53.9)/53.9*100</f>
        <v>-0.927643784786642</v>
      </c>
      <c r="Q113" s="4">
        <v>52.6</v>
      </c>
      <c r="R113" s="4">
        <f>(Q113-53.9)/53.9*100</f>
        <v>-2.411873840445264</v>
      </c>
    </row>
    <row r="114" spans="2:19" x14ac:dyDescent="0.25">
      <c r="B114" s="125"/>
      <c r="C114" s="125"/>
      <c r="G114" s="17" t="s">
        <v>60</v>
      </c>
      <c r="H114" s="2">
        <v>9</v>
      </c>
      <c r="I114" s="2">
        <v>55.7</v>
      </c>
      <c r="J114" s="2" t="s">
        <v>96</v>
      </c>
      <c r="K114" s="2">
        <v>56.4</v>
      </c>
      <c r="L114" s="2">
        <v>-4.3</v>
      </c>
      <c r="M114" s="4">
        <v>48</v>
      </c>
      <c r="N114" s="4">
        <f>(M114-59)/59*100</f>
        <v>-18.64406779661017</v>
      </c>
      <c r="O114" s="4">
        <v>53.9</v>
      </c>
      <c r="P114" s="4">
        <f>(O114-59)/59*100</f>
        <v>-8.6440677966101713</v>
      </c>
      <c r="Q114" s="4">
        <v>53.7</v>
      </c>
      <c r="R114" s="4">
        <f>(Q114-59)/59*100</f>
        <v>-8.9830508474576227</v>
      </c>
    </row>
    <row r="115" spans="2:19" x14ac:dyDescent="0.25">
      <c r="B115" s="125"/>
      <c r="C115" s="125"/>
      <c r="G115" s="17" t="s">
        <v>19</v>
      </c>
      <c r="H115" s="2">
        <v>17</v>
      </c>
      <c r="I115" s="4">
        <v>56</v>
      </c>
      <c r="J115" s="2" t="s">
        <v>89</v>
      </c>
      <c r="K115" s="2">
        <v>54.8</v>
      </c>
      <c r="L115" s="2">
        <v>3.4</v>
      </c>
      <c r="M115" s="4">
        <v>46</v>
      </c>
      <c r="N115" s="4">
        <f>(M115-53)/53*100</f>
        <v>-13.20754716981132</v>
      </c>
      <c r="O115" s="4">
        <v>52.5</v>
      </c>
      <c r="P115" s="4">
        <f>(O115-53)/53*100</f>
        <v>-0.94339622641509435</v>
      </c>
      <c r="Q115" s="4">
        <v>52</v>
      </c>
      <c r="R115" s="4">
        <f>(Q115-53)/53*100</f>
        <v>-1.8867924528301887</v>
      </c>
    </row>
    <row r="116" spans="2:19" x14ac:dyDescent="0.25">
      <c r="B116" s="125"/>
      <c r="C116" s="125"/>
      <c r="G116" s="17" t="s">
        <v>85</v>
      </c>
      <c r="H116" s="2">
        <v>17</v>
      </c>
      <c r="I116" s="2">
        <v>54.2</v>
      </c>
      <c r="J116" s="2" t="s">
        <v>93</v>
      </c>
      <c r="K116" s="4">
        <v>55</v>
      </c>
      <c r="L116" s="2">
        <v>-2.1</v>
      </c>
      <c r="M116" s="4">
        <v>46.3</v>
      </c>
      <c r="N116" s="4">
        <f>(M116-56.2)/56.2*100</f>
        <v>-17.615658362989333</v>
      </c>
      <c r="O116" s="4">
        <v>52.7</v>
      </c>
      <c r="P116" s="4">
        <f>(O116-56.2)/56.2*100</f>
        <v>-6.227758007117437</v>
      </c>
      <c r="Q116" s="4">
        <v>52.6</v>
      </c>
      <c r="R116" s="4">
        <f>(Q116-56.2)/56.2*100</f>
        <v>-6.4056939501779375</v>
      </c>
    </row>
    <row r="117" spans="2:19" x14ac:dyDescent="0.25">
      <c r="B117" s="125"/>
      <c r="C117" s="125"/>
      <c r="G117" s="17" t="s">
        <v>60</v>
      </c>
      <c r="H117" s="2">
        <v>17</v>
      </c>
      <c r="I117" s="2">
        <v>55.7</v>
      </c>
      <c r="J117" s="2" t="s">
        <v>97</v>
      </c>
      <c r="K117" s="2">
        <v>55.6</v>
      </c>
      <c r="L117" s="2">
        <v>-15.9</v>
      </c>
      <c r="M117" s="4">
        <v>47</v>
      </c>
      <c r="N117" s="4">
        <f>(M117-66.1)/66.1*100</f>
        <v>-28.895612708018149</v>
      </c>
      <c r="O117" s="4">
        <v>53.3</v>
      </c>
      <c r="P117" s="4">
        <f>(O117-66.1)/66.1*100</f>
        <v>-19.364599092284415</v>
      </c>
      <c r="Q117" s="4">
        <v>54.1</v>
      </c>
      <c r="R117" s="4">
        <f>(Q117-66.1)/66.1*100</f>
        <v>-18.154311649016634</v>
      </c>
    </row>
    <row r="118" spans="2:19" x14ac:dyDescent="0.25">
      <c r="B118" s="126"/>
      <c r="C118" s="126"/>
      <c r="D118" s="8"/>
      <c r="E118" s="8"/>
      <c r="F118" s="8"/>
      <c r="G118" s="6" t="s">
        <v>21</v>
      </c>
      <c r="H118" s="8"/>
      <c r="I118" s="8"/>
      <c r="J118" s="8"/>
      <c r="K118" s="8"/>
      <c r="L118" s="9" t="s">
        <v>98</v>
      </c>
      <c r="M118" s="27"/>
      <c r="N118" s="9" t="s">
        <v>180</v>
      </c>
      <c r="O118" s="27"/>
      <c r="P118" s="9" t="s">
        <v>181</v>
      </c>
      <c r="Q118" s="27"/>
      <c r="R118" s="9" t="s">
        <v>182</v>
      </c>
    </row>
    <row r="119" spans="2:19" x14ac:dyDescent="0.25">
      <c r="B119" s="124" t="s">
        <v>99</v>
      </c>
      <c r="C119" s="1" t="s">
        <v>100</v>
      </c>
      <c r="D119" s="16" t="s">
        <v>138</v>
      </c>
      <c r="E119" s="16" t="s">
        <v>139</v>
      </c>
      <c r="F119" s="1" t="s">
        <v>15</v>
      </c>
      <c r="G119" s="1" t="s">
        <v>101</v>
      </c>
      <c r="H119" s="2">
        <v>28</v>
      </c>
      <c r="I119" s="2">
        <v>30.5</v>
      </c>
      <c r="J119" s="2">
        <v>31.9</v>
      </c>
      <c r="K119" s="2">
        <v>33.799999999999997</v>
      </c>
      <c r="L119" s="2">
        <v>5.8</v>
      </c>
      <c r="M119" s="2">
        <v>30</v>
      </c>
      <c r="N119" s="4">
        <f>(M119-31.9)/31.9*100</f>
        <v>-5.9561128526645728</v>
      </c>
      <c r="O119" s="4">
        <v>34.299999999999997</v>
      </c>
      <c r="P119" s="4">
        <f>(O119-31.9)/31.9*100</f>
        <v>7.5235109717868305</v>
      </c>
      <c r="Q119" s="4">
        <v>42</v>
      </c>
      <c r="R119" s="4">
        <f>(Q119-31.9)/31.9*100</f>
        <v>31.661442006269596</v>
      </c>
    </row>
    <row r="120" spans="2:19" x14ac:dyDescent="0.25">
      <c r="B120" s="125"/>
      <c r="C120" s="1"/>
      <c r="D120" s="1"/>
      <c r="E120" s="1"/>
      <c r="F120" s="1"/>
      <c r="G120" s="1" t="s">
        <v>102</v>
      </c>
      <c r="H120" s="2">
        <v>28</v>
      </c>
      <c r="I120" s="2">
        <v>30.5</v>
      </c>
      <c r="J120" s="2">
        <v>30.4</v>
      </c>
      <c r="K120" s="2">
        <v>32.9</v>
      </c>
      <c r="L120" s="2">
        <v>8.5</v>
      </c>
      <c r="M120" s="2">
        <v>28.9</v>
      </c>
      <c r="N120" s="4">
        <f>(M120-30.4)/30.4*100</f>
        <v>-4.9342105263157894</v>
      </c>
      <c r="O120" s="4">
        <v>33.299999999999997</v>
      </c>
      <c r="P120" s="4">
        <f>(O120-30.4)/30.4*100</f>
        <v>9.5394736842105221</v>
      </c>
      <c r="Q120" s="4">
        <v>39.6</v>
      </c>
      <c r="R120" s="4">
        <f>(Q120-30.4)/30.4*100</f>
        <v>30.263157894736853</v>
      </c>
    </row>
    <row r="121" spans="2:19" x14ac:dyDescent="0.25">
      <c r="B121" s="125"/>
      <c r="C121" s="1"/>
      <c r="D121" s="1"/>
      <c r="E121" s="1"/>
      <c r="F121" s="1"/>
      <c r="G121" s="1" t="s">
        <v>101</v>
      </c>
      <c r="H121" s="2">
        <v>37</v>
      </c>
      <c r="I121" s="2">
        <v>30.5</v>
      </c>
      <c r="J121" s="2">
        <v>36.1</v>
      </c>
      <c r="K121" s="2">
        <v>34.200000000000003</v>
      </c>
      <c r="L121" s="2">
        <v>-5.3</v>
      </c>
      <c r="M121" s="2">
        <v>30.5</v>
      </c>
      <c r="N121" s="4">
        <f>(M121-36.1)/36.1*100</f>
        <v>-15.512465373961223</v>
      </c>
      <c r="O121" s="4">
        <v>35.9</v>
      </c>
      <c r="P121" s="4">
        <f>(O121-34.2)/34.2*100</f>
        <v>4.9707602339181163</v>
      </c>
      <c r="Q121" s="4">
        <v>44.4</v>
      </c>
      <c r="R121" s="4">
        <f>((Q121-36.1)/36.1*100)</f>
        <v>22.991689750692512</v>
      </c>
    </row>
    <row r="122" spans="2:19" x14ac:dyDescent="0.25">
      <c r="B122" s="125"/>
      <c r="C122" s="1"/>
      <c r="D122" s="1"/>
      <c r="E122" s="1"/>
      <c r="F122" s="1"/>
      <c r="G122" s="1" t="s">
        <v>102</v>
      </c>
      <c r="H122" s="2">
        <v>37</v>
      </c>
      <c r="I122" s="2">
        <v>30.5</v>
      </c>
      <c r="J122" s="2">
        <v>35.9</v>
      </c>
      <c r="K122" s="2">
        <v>33.200000000000003</v>
      </c>
      <c r="L122" s="2">
        <v>-7.5</v>
      </c>
      <c r="M122" s="2">
        <v>29.3</v>
      </c>
      <c r="N122" s="4">
        <f>(M122-35.9)/35.9*100</f>
        <v>-18.384401114206124</v>
      </c>
      <c r="O122" s="4">
        <v>34.5</v>
      </c>
      <c r="P122" s="4">
        <f>(O122-35.9)/35.9*100</f>
        <v>-3.8997214484679623</v>
      </c>
      <c r="Q122" s="4">
        <v>41.6</v>
      </c>
      <c r="R122" s="4">
        <f>(Q122-35.9)/35.9*100</f>
        <v>15.8774373259053</v>
      </c>
    </row>
    <row r="123" spans="2:19" x14ac:dyDescent="0.25">
      <c r="B123" s="125"/>
      <c r="C123" s="1"/>
      <c r="D123" s="1"/>
      <c r="E123" s="1"/>
      <c r="F123" s="1"/>
      <c r="G123" s="1" t="s">
        <v>101</v>
      </c>
      <c r="H123" s="2">
        <v>48</v>
      </c>
      <c r="I123" s="2">
        <v>30.5</v>
      </c>
      <c r="J123" s="2">
        <v>35.4</v>
      </c>
      <c r="K123" s="4">
        <v>33</v>
      </c>
      <c r="L123" s="4">
        <v>-7</v>
      </c>
      <c r="M123" s="2">
        <v>31.1</v>
      </c>
      <c r="N123" s="4">
        <f>(M123-35.4)/35.4*100</f>
        <v>-12.146892655367223</v>
      </c>
      <c r="O123" s="4">
        <v>35.4</v>
      </c>
      <c r="P123" s="4">
        <f>(O123-35.4)/35.4*100</f>
        <v>0</v>
      </c>
      <c r="Q123" s="4">
        <v>46.7</v>
      </c>
      <c r="R123" s="4">
        <f>(Q123-35.4)/35.4*100</f>
        <v>31.92090395480227</v>
      </c>
    </row>
    <row r="124" spans="2:19" x14ac:dyDescent="0.25">
      <c r="B124" s="125"/>
      <c r="C124" s="1"/>
      <c r="D124" s="1"/>
      <c r="E124" s="1"/>
      <c r="F124" s="1"/>
      <c r="G124" s="1" t="s">
        <v>102</v>
      </c>
      <c r="H124" s="2">
        <v>48</v>
      </c>
      <c r="I124" s="2">
        <v>30.5</v>
      </c>
      <c r="J124" s="2">
        <v>34.4</v>
      </c>
      <c r="K124" s="2">
        <v>32.1</v>
      </c>
      <c r="L124" s="2">
        <v>-6.5</v>
      </c>
      <c r="M124" s="2">
        <v>29.6</v>
      </c>
      <c r="N124" s="4">
        <f>(M124-32.1)/32.1*100</f>
        <v>-7.7881619937694699</v>
      </c>
      <c r="O124" s="4">
        <v>34.200000000000003</v>
      </c>
      <c r="P124" s="4">
        <f>(O124-34.4)/34.4*100</f>
        <v>-0.5813953488371969</v>
      </c>
      <c r="Q124" s="4">
        <v>43.5</v>
      </c>
      <c r="R124" s="4">
        <f>(Q124-34.4)/34.4*100</f>
        <v>26.453488372093027</v>
      </c>
    </row>
    <row r="125" spans="2:19" x14ac:dyDescent="0.25">
      <c r="B125" s="126"/>
      <c r="C125" s="6"/>
      <c r="D125" s="6"/>
      <c r="E125" s="6"/>
      <c r="F125" s="6"/>
      <c r="G125" s="6" t="s">
        <v>21</v>
      </c>
      <c r="H125" s="6"/>
      <c r="I125" s="6"/>
      <c r="J125" s="7"/>
      <c r="K125" s="7"/>
      <c r="L125" s="9" t="s">
        <v>103</v>
      </c>
      <c r="M125" s="28"/>
      <c r="N125" s="9" t="s">
        <v>176</v>
      </c>
      <c r="O125" s="27"/>
      <c r="P125" s="9" t="s">
        <v>175</v>
      </c>
      <c r="Q125" s="27"/>
      <c r="R125" s="9" t="s">
        <v>174</v>
      </c>
      <c r="S125" s="18"/>
    </row>
    <row r="126" spans="2:19" x14ac:dyDescent="0.25">
      <c r="B126" s="124" t="s">
        <v>104</v>
      </c>
      <c r="C126" s="1" t="s">
        <v>100</v>
      </c>
      <c r="D126" s="16" t="s">
        <v>136</v>
      </c>
      <c r="E126" s="16" t="s">
        <v>137</v>
      </c>
      <c r="F126" s="1" t="s">
        <v>108</v>
      </c>
      <c r="G126" s="1" t="s">
        <v>105</v>
      </c>
      <c r="H126" s="2">
        <v>23</v>
      </c>
      <c r="I126" s="2" t="s">
        <v>142</v>
      </c>
      <c r="J126" s="2" t="s">
        <v>145</v>
      </c>
      <c r="K126" s="2">
        <v>79.7</v>
      </c>
      <c r="L126" s="2">
        <v>3.1</v>
      </c>
      <c r="M126" s="4">
        <v>59</v>
      </c>
      <c r="N126" s="4">
        <f>(M126-84.1)/84.1*100</f>
        <v>-29.845422116527935</v>
      </c>
      <c r="O126" s="4">
        <v>66.7</v>
      </c>
      <c r="P126" s="4">
        <f>(O126-84.1)/84.1*100</f>
        <v>-20.689655172413783</v>
      </c>
      <c r="Q126" s="4">
        <v>58.6</v>
      </c>
      <c r="R126" s="4">
        <f>(Q126-84.1)/84.1*100</f>
        <v>-30.321046373365036</v>
      </c>
      <c r="S126" s="4"/>
    </row>
    <row r="127" spans="2:19" x14ac:dyDescent="0.25">
      <c r="B127" s="125"/>
      <c r="C127" s="1"/>
      <c r="D127" s="1"/>
      <c r="E127" s="1"/>
      <c r="F127" s="1"/>
      <c r="G127" s="1" t="s">
        <v>106</v>
      </c>
      <c r="H127" s="2">
        <v>23</v>
      </c>
      <c r="I127" s="2" t="s">
        <v>143</v>
      </c>
      <c r="J127" s="2" t="s">
        <v>146</v>
      </c>
      <c r="K127" s="2">
        <v>82.5</v>
      </c>
      <c r="L127" s="2">
        <v>-13.3</v>
      </c>
      <c r="M127" s="4">
        <v>62.4</v>
      </c>
      <c r="N127" s="4">
        <f>(M127-81.7)/81.7*100</f>
        <v>-23.623011015911878</v>
      </c>
      <c r="O127" s="4">
        <v>68.7</v>
      </c>
      <c r="P127" s="4">
        <f>(O127-81.7)/81.7*100</f>
        <v>-15.911872705018359</v>
      </c>
      <c r="Q127" s="4">
        <v>64.599999999999994</v>
      </c>
      <c r="R127" s="4">
        <f>(Q127-81.7)/81.7*100</f>
        <v>-20.930232558139544</v>
      </c>
      <c r="S127" s="4"/>
    </row>
    <row r="128" spans="2:19" x14ac:dyDescent="0.25">
      <c r="B128" s="125"/>
      <c r="C128" s="1"/>
      <c r="D128" s="1"/>
      <c r="E128" s="1"/>
      <c r="F128" s="1"/>
      <c r="G128" s="1" t="s">
        <v>107</v>
      </c>
      <c r="H128" s="2">
        <v>23</v>
      </c>
      <c r="I128" s="2" t="s">
        <v>144</v>
      </c>
      <c r="J128" s="2" t="s">
        <v>147</v>
      </c>
      <c r="K128" s="2">
        <v>83.3</v>
      </c>
      <c r="L128" s="4">
        <v>-5</v>
      </c>
      <c r="M128" s="4">
        <v>63.4</v>
      </c>
      <c r="N128" s="4">
        <f>(M128-80.6)/80.6*100</f>
        <v>-21.339950372208431</v>
      </c>
      <c r="O128" s="4">
        <v>69.3</v>
      </c>
      <c r="P128" s="4">
        <f>(O128-80.6)/80.6*100</f>
        <v>-14.019851116625306</v>
      </c>
      <c r="Q128" s="4">
        <v>66.2</v>
      </c>
      <c r="R128" s="4">
        <f>(Q128-80.6)/80.6*100</f>
        <v>-17.866004962779147</v>
      </c>
      <c r="S128" s="4"/>
    </row>
    <row r="129" spans="1:19" x14ac:dyDescent="0.25">
      <c r="B129" s="126"/>
      <c r="C129" s="8"/>
      <c r="D129" s="8"/>
      <c r="E129" s="8"/>
      <c r="F129" s="8"/>
      <c r="G129" s="6" t="s">
        <v>21</v>
      </c>
      <c r="H129" s="8"/>
      <c r="I129" s="8"/>
      <c r="J129" s="8"/>
      <c r="K129" s="8"/>
      <c r="L129" s="9" t="s">
        <v>109</v>
      </c>
      <c r="M129" s="27"/>
      <c r="N129" s="9" t="s">
        <v>163</v>
      </c>
      <c r="O129" s="27"/>
      <c r="P129" s="9" t="s">
        <v>164</v>
      </c>
      <c r="Q129" s="27"/>
      <c r="R129" s="9" t="s">
        <v>165</v>
      </c>
      <c r="S129" s="4"/>
    </row>
    <row r="130" spans="1:19" x14ac:dyDescent="0.25">
      <c r="B130" s="124" t="s">
        <v>110</v>
      </c>
      <c r="C130" s="1" t="s">
        <v>111</v>
      </c>
      <c r="D130" s="16" t="s">
        <v>140</v>
      </c>
      <c r="E130" s="16" t="s">
        <v>141</v>
      </c>
      <c r="F130" s="1" t="s">
        <v>108</v>
      </c>
      <c r="G130" s="1" t="s">
        <v>112</v>
      </c>
      <c r="H130" s="2">
        <v>18</v>
      </c>
      <c r="I130" s="2" t="s">
        <v>134</v>
      </c>
      <c r="J130" s="2" t="s">
        <v>133</v>
      </c>
      <c r="K130" s="2">
        <v>75.900000000000006</v>
      </c>
      <c r="L130" s="2">
        <v>-0.8</v>
      </c>
      <c r="M130" s="29">
        <v>67.3</v>
      </c>
      <c r="N130" s="4">
        <f>(M130-76.5)/76.5*100</f>
        <v>-12.026143790849677</v>
      </c>
      <c r="O130" s="29">
        <v>77.099999999999994</v>
      </c>
      <c r="P130" s="4">
        <f>(O130-76.5)/76.5*100</f>
        <v>0.78431372549018863</v>
      </c>
      <c r="Q130" s="29">
        <v>65.3</v>
      </c>
      <c r="R130" s="4">
        <f>(Q130-76.5)/76.5*100</f>
        <v>-14.640522875816997</v>
      </c>
    </row>
    <row r="131" spans="1:19" x14ac:dyDescent="0.25">
      <c r="B131" s="125"/>
      <c r="C131" s="1"/>
      <c r="D131" s="1"/>
      <c r="E131" s="1"/>
      <c r="F131" s="1"/>
      <c r="G131" s="1" t="s">
        <v>113</v>
      </c>
      <c r="H131" s="2">
        <v>18</v>
      </c>
      <c r="I131" s="2" t="s">
        <v>135</v>
      </c>
      <c r="J131" s="2" t="s">
        <v>132</v>
      </c>
      <c r="K131" s="2">
        <v>81.2</v>
      </c>
      <c r="L131" s="2">
        <v>-4.4000000000000004</v>
      </c>
      <c r="M131" s="29">
        <v>73.599999999999994</v>
      </c>
      <c r="N131" s="4">
        <f>(M131-84.9)/84.9*100</f>
        <v>-13.30977620730272</v>
      </c>
      <c r="O131" s="29">
        <v>81.8</v>
      </c>
      <c r="P131" s="4">
        <f>(O131-84.9)/84.9*100</f>
        <v>-3.6513545347467709</v>
      </c>
      <c r="Q131" s="29">
        <v>76.7</v>
      </c>
      <c r="R131" s="4">
        <f>(Q131-84.9)/84.9*100</f>
        <v>-9.6584216725559493</v>
      </c>
    </row>
    <row r="132" spans="1:19" x14ac:dyDescent="0.25">
      <c r="B132" s="126"/>
      <c r="C132" s="6"/>
      <c r="D132" s="6"/>
      <c r="E132" s="6"/>
      <c r="F132" s="6"/>
      <c r="G132" s="6" t="s">
        <v>21</v>
      </c>
      <c r="H132" s="6"/>
      <c r="I132" s="6"/>
      <c r="J132" s="6"/>
      <c r="K132" s="6"/>
      <c r="L132" s="9" t="s">
        <v>114</v>
      </c>
      <c r="M132" s="8"/>
      <c r="N132" s="9" t="s">
        <v>183</v>
      </c>
      <c r="O132" s="8"/>
      <c r="P132" s="9" t="s">
        <v>170</v>
      </c>
      <c r="Q132" s="8"/>
      <c r="R132" s="9" t="s">
        <v>169</v>
      </c>
      <c r="S132" s="18"/>
    </row>
    <row r="133" spans="1:19" x14ac:dyDescent="0.25">
      <c r="B133" s="124" t="s">
        <v>110</v>
      </c>
      <c r="C133" s="1" t="s">
        <v>115</v>
      </c>
      <c r="D133" s="16" t="s">
        <v>140</v>
      </c>
      <c r="E133" s="16" t="s">
        <v>141</v>
      </c>
      <c r="F133" s="1"/>
      <c r="G133" s="1" t="s">
        <v>116</v>
      </c>
      <c r="H133" s="2">
        <v>6</v>
      </c>
      <c r="I133" s="2" t="s">
        <v>123</v>
      </c>
      <c r="J133" s="2" t="s">
        <v>124</v>
      </c>
      <c r="K133" s="4">
        <v>90</v>
      </c>
      <c r="L133" s="2">
        <v>14.9</v>
      </c>
      <c r="M133" s="4">
        <v>72</v>
      </c>
      <c r="N133" s="4">
        <f>(M133-78.3)/78.3*100</f>
        <v>-8.0459770114942497</v>
      </c>
      <c r="O133" s="4">
        <v>78.7</v>
      </c>
      <c r="P133" s="4">
        <f>(O133-78.3)/78.3*100</f>
        <v>0.51085568326948372</v>
      </c>
      <c r="Q133" s="4">
        <v>75.400000000000006</v>
      </c>
      <c r="R133" s="4">
        <f>(Q133-78.3)/78.3*100</f>
        <v>-3.7037037037036931</v>
      </c>
    </row>
    <row r="134" spans="1:19" x14ac:dyDescent="0.25">
      <c r="B134" s="125"/>
      <c r="C134" s="1"/>
      <c r="D134" s="1"/>
      <c r="E134" s="1"/>
      <c r="F134" s="1"/>
      <c r="G134" s="1" t="s">
        <v>117</v>
      </c>
      <c r="H134" s="2">
        <v>6</v>
      </c>
      <c r="I134" s="2" t="s">
        <v>123</v>
      </c>
      <c r="J134" s="2" t="s">
        <v>125</v>
      </c>
      <c r="K134" s="2">
        <v>90.7</v>
      </c>
      <c r="L134" s="4">
        <v>17</v>
      </c>
      <c r="M134" s="4">
        <v>73.400000000000006</v>
      </c>
      <c r="N134" s="4">
        <f>(M134-77.5)/77.5*100</f>
        <v>-5.2903225806451539</v>
      </c>
      <c r="O134" s="4">
        <v>79.2</v>
      </c>
      <c r="P134" s="4">
        <f>(O134-77.5)/77.5*100</f>
        <v>2.193548387096778</v>
      </c>
      <c r="Q134" s="4">
        <v>78.2</v>
      </c>
      <c r="R134" s="4">
        <f>(Q134-77.5)/77.5*100</f>
        <v>0.90322580645161665</v>
      </c>
    </row>
    <row r="135" spans="1:19" x14ac:dyDescent="0.25">
      <c r="B135" s="125"/>
      <c r="G135" s="1" t="s">
        <v>118</v>
      </c>
      <c r="H135" s="2">
        <v>6</v>
      </c>
      <c r="I135" s="2" t="s">
        <v>123</v>
      </c>
      <c r="J135" s="2" t="s">
        <v>126</v>
      </c>
      <c r="K135" s="2">
        <v>91.5</v>
      </c>
      <c r="L135" s="2">
        <v>-12.3</v>
      </c>
      <c r="M135" s="4">
        <v>74.599999999999994</v>
      </c>
      <c r="N135" s="4">
        <f>(M135-104.3)/104.3*100</f>
        <v>-28.475551294343244</v>
      </c>
      <c r="O135" s="4">
        <v>79.900000000000006</v>
      </c>
      <c r="P135" s="4">
        <f>(O135-104.3)/104.3*100</f>
        <v>-23.3940556088207</v>
      </c>
      <c r="Q135" s="4">
        <v>79.5</v>
      </c>
      <c r="R135" s="4">
        <f>(Q135-104.3)/104.3*100</f>
        <v>-23.777564717162029</v>
      </c>
    </row>
    <row r="136" spans="1:19" x14ac:dyDescent="0.25">
      <c r="B136" s="125"/>
      <c r="G136" s="1" t="s">
        <v>119</v>
      </c>
      <c r="H136" s="2">
        <v>6</v>
      </c>
      <c r="I136" s="2" t="s">
        <v>123</v>
      </c>
      <c r="J136" s="2" t="s">
        <v>127</v>
      </c>
      <c r="K136" s="2">
        <v>91.5</v>
      </c>
      <c r="L136" s="2">
        <v>14.8</v>
      </c>
      <c r="M136" s="4">
        <v>74.8</v>
      </c>
      <c r="N136" s="4">
        <f>(M136-79.7)/79.7*100</f>
        <v>-6.1480552070263563</v>
      </c>
      <c r="O136" s="4">
        <v>80</v>
      </c>
      <c r="P136" s="4">
        <f>(O136-79.7)/79.7*100</f>
        <v>0.3764115432873239</v>
      </c>
      <c r="Q136" s="4">
        <v>79.7</v>
      </c>
      <c r="R136" s="4">
        <f>(Q136-79.7)/79.7*100</f>
        <v>0</v>
      </c>
    </row>
    <row r="137" spans="1:19" x14ac:dyDescent="0.25">
      <c r="B137" s="125"/>
      <c r="G137" s="1" t="s">
        <v>116</v>
      </c>
      <c r="H137" s="2">
        <v>14</v>
      </c>
      <c r="I137" s="2" t="s">
        <v>123</v>
      </c>
      <c r="J137" s="4" t="s">
        <v>128</v>
      </c>
      <c r="K137" s="2">
        <v>90.2</v>
      </c>
      <c r="L137" s="4">
        <v>-2</v>
      </c>
      <c r="M137" s="4">
        <v>70.8</v>
      </c>
      <c r="N137" s="4">
        <f>(M137-92)/92*100</f>
        <v>-23.04347826086957</v>
      </c>
      <c r="O137" s="4">
        <v>78</v>
      </c>
      <c r="P137" s="4">
        <f>(O137-92)/92*100</f>
        <v>-15.217391304347828</v>
      </c>
      <c r="Q137" s="4">
        <v>74.2</v>
      </c>
      <c r="R137" s="4">
        <f>(Q137-92)/92*100</f>
        <v>-19.34782608695652</v>
      </c>
    </row>
    <row r="138" spans="1:19" x14ac:dyDescent="0.25">
      <c r="B138" s="125"/>
      <c r="G138" s="1" t="s">
        <v>117</v>
      </c>
      <c r="H138" s="2">
        <v>14</v>
      </c>
      <c r="I138" s="2" t="s">
        <v>123</v>
      </c>
      <c r="J138" s="2" t="s">
        <v>129</v>
      </c>
      <c r="K138" s="2">
        <v>92.7</v>
      </c>
      <c r="L138" s="2">
        <v>-3.3</v>
      </c>
      <c r="M138" s="4">
        <v>73</v>
      </c>
      <c r="N138" s="4">
        <f>(M138-95.9)/95.9*100</f>
        <v>-23.879040667361839</v>
      </c>
      <c r="O138" s="4">
        <v>80</v>
      </c>
      <c r="P138" s="4">
        <f>(O138-95.9)/95.9*100</f>
        <v>-16.57977059436914</v>
      </c>
      <c r="Q138" s="4">
        <v>78.2</v>
      </c>
      <c r="R138" s="4">
        <f>(Q138-95.9)/95.9*100</f>
        <v>-18.45672575599583</v>
      </c>
    </row>
    <row r="139" spans="1:19" x14ac:dyDescent="0.25">
      <c r="A139" s="22"/>
      <c r="B139" s="125"/>
      <c r="C139" s="22"/>
      <c r="D139" s="22"/>
      <c r="E139" s="22"/>
      <c r="F139" s="22"/>
      <c r="G139" s="13" t="s">
        <v>118</v>
      </c>
      <c r="H139" s="14">
        <v>14</v>
      </c>
      <c r="I139" s="2" t="s">
        <v>123</v>
      </c>
      <c r="J139" s="14" t="s">
        <v>130</v>
      </c>
      <c r="K139" s="14">
        <v>94.7</v>
      </c>
      <c r="L139" s="14">
        <v>-6.6</v>
      </c>
      <c r="M139" s="29">
        <v>75</v>
      </c>
      <c r="N139" s="4">
        <f>(M139-101.4)/101.4*100</f>
        <v>-26.035502958579887</v>
      </c>
      <c r="O139" s="4">
        <v>81.900000000000006</v>
      </c>
      <c r="P139" s="4">
        <f>(O139-101.4)/101.4*100</f>
        <v>-19.23076923076923</v>
      </c>
      <c r="Q139" s="4">
        <v>81.7</v>
      </c>
      <c r="R139" s="4">
        <f>(Q139-101.4)/101.4*100</f>
        <v>-19.428007889546354</v>
      </c>
    </row>
    <row r="140" spans="1:19" x14ac:dyDescent="0.25">
      <c r="A140" s="22"/>
      <c r="B140" s="125"/>
      <c r="C140" s="22"/>
      <c r="D140" s="22"/>
      <c r="E140" s="22"/>
      <c r="F140" s="22"/>
      <c r="G140" s="13" t="s">
        <v>119</v>
      </c>
      <c r="H140" s="14">
        <v>14</v>
      </c>
      <c r="I140" s="2" t="s">
        <v>123</v>
      </c>
      <c r="J140" s="14" t="s">
        <v>131</v>
      </c>
      <c r="K140" s="15">
        <v>95</v>
      </c>
      <c r="L140" s="14">
        <v>-3.5</v>
      </c>
      <c r="M140" s="29">
        <v>75.2</v>
      </c>
      <c r="N140" s="4">
        <f>(M140-98.4)/98.4*100</f>
        <v>-23.577235772357724</v>
      </c>
      <c r="O140" s="4">
        <v>82.2</v>
      </c>
      <c r="P140" s="4">
        <f>(O140-98.4)/98.4*100</f>
        <v>-16.463414634146343</v>
      </c>
      <c r="Q140" s="4">
        <v>82.1</v>
      </c>
      <c r="R140" s="4">
        <f>(Q140-98.4)/98.4*100</f>
        <v>-16.565040650406516</v>
      </c>
    </row>
    <row r="141" spans="1:19" ht="15.75" thickBot="1" x14ac:dyDescent="0.3">
      <c r="A141" s="22"/>
      <c r="B141" s="131"/>
      <c r="C141" s="19"/>
      <c r="D141" s="19"/>
      <c r="E141" s="19"/>
      <c r="F141" s="19"/>
      <c r="G141" s="20" t="s">
        <v>21</v>
      </c>
      <c r="H141" s="19"/>
      <c r="I141" s="19"/>
      <c r="J141" s="19"/>
      <c r="K141" s="19"/>
      <c r="L141" s="21" t="s">
        <v>120</v>
      </c>
      <c r="M141" s="30"/>
      <c r="N141" s="21" t="s">
        <v>166</v>
      </c>
      <c r="O141" s="30"/>
      <c r="P141" s="21" t="s">
        <v>167</v>
      </c>
      <c r="Q141" s="30"/>
      <c r="R141" s="21" t="s">
        <v>168</v>
      </c>
    </row>
    <row r="142" spans="1:19" x14ac:dyDescent="0.25">
      <c r="B142" s="23" t="s">
        <v>121</v>
      </c>
      <c r="L142" s="24" t="s">
        <v>189</v>
      </c>
      <c r="N142" s="24" t="s">
        <v>190</v>
      </c>
      <c r="P142" s="24" t="s">
        <v>191</v>
      </c>
      <c r="R142" s="24" t="s">
        <v>192</v>
      </c>
    </row>
    <row r="143" spans="1:19" x14ac:dyDescent="0.25">
      <c r="L143" s="4">
        <f>AVERAGE(2.4,-2.6,-5.1,-2,2.6,-3.6,-17.3,-14.3,6.2,7,2.8)</f>
        <v>-2.1727272727272728</v>
      </c>
      <c r="N143" s="4">
        <f>AVERAGE(-18.1,-12.7,-24.9,-10.8,-11.9,-18.1,-27,-29,6.8,-17,-19.3)</f>
        <v>-16.545454545454547</v>
      </c>
      <c r="P143" s="4">
        <f>AVERAGE(-11,-1.4,-16.9,2.9,-1.5,-4.1,-14.2,-16.6,24.6,-1.3,1.5)</f>
        <v>-3.4545454545454546</v>
      </c>
      <c r="R143" s="4">
        <f>AVERAGE(-12.5,-12.1,-23,26.5,-2.8,-5.5,-18.5,-18.6,31.1,-3.3,-4.2)</f>
        <v>-3.9</v>
      </c>
    </row>
    <row r="144" spans="1:19" x14ac:dyDescent="0.25">
      <c r="L144" s="4">
        <f>_xlfn.STDEV.P(2.4,-2.6,-5.1,-2,2.6,-3.6,-17.3,-14.3,6.2,7,2.8)</f>
        <v>7.4430065905813905</v>
      </c>
      <c r="N144" s="4">
        <f>_xlfn.STDEV.P(-18.1,-12.7,-24.9,-10.8,-11.9,-18.1,-27,-29,6.8,-17,-19.3)</f>
        <v>9.3479568634360497</v>
      </c>
      <c r="P144" s="4">
        <f>_xlfn.STDEV.P(-11,-1.4,-16.9,2.9,-1.5,-4.1,-14.2,-16.6,24.6,-1.3,1.5)</f>
        <v>11.245472918335841</v>
      </c>
      <c r="R144" s="4">
        <f>_xlfn.STDEV.P(-12.5,-12.1,-23,26.5,-2.8,-5.5,-18.5,-18.6,31.1,-3.3,-4.2)</f>
        <v>16.756654037887593</v>
      </c>
    </row>
  </sheetData>
  <mergeCells count="29">
    <mergeCell ref="B119:B125"/>
    <mergeCell ref="B126:B129"/>
    <mergeCell ref="B130:B132"/>
    <mergeCell ref="B133:B141"/>
    <mergeCell ref="H2:H4"/>
    <mergeCell ref="G2:G4"/>
    <mergeCell ref="F2:F4"/>
    <mergeCell ref="E2:E4"/>
    <mergeCell ref="D2:D4"/>
    <mergeCell ref="C2:C4"/>
    <mergeCell ref="B2:B4"/>
    <mergeCell ref="B106:B118"/>
    <mergeCell ref="C106:C118"/>
    <mergeCell ref="B6:B26"/>
    <mergeCell ref="B27:B36"/>
    <mergeCell ref="B37:B53"/>
    <mergeCell ref="K2:R2"/>
    <mergeCell ref="K3:L3"/>
    <mergeCell ref="M3:N3"/>
    <mergeCell ref="O3:P3"/>
    <mergeCell ref="Q3:R3"/>
    <mergeCell ref="B71:B83"/>
    <mergeCell ref="B84:B105"/>
    <mergeCell ref="B54:B70"/>
    <mergeCell ref="I5:K5"/>
    <mergeCell ref="F37:F53"/>
    <mergeCell ref="C37:C53"/>
    <mergeCell ref="F71:F83"/>
    <mergeCell ref="C71:C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5"/>
  <sheetViews>
    <sheetView tabSelected="1" workbookViewId="0">
      <selection activeCell="X33" sqref="X33"/>
    </sheetView>
  </sheetViews>
  <sheetFormatPr defaultRowHeight="15" x14ac:dyDescent="0.25"/>
  <cols>
    <col min="1" max="1" width="5.7109375" customWidth="1"/>
    <col min="3" max="3" width="8.5703125" customWidth="1"/>
    <col min="4" max="4" width="8" customWidth="1"/>
    <col min="5" max="5" width="8.42578125" customWidth="1"/>
    <col min="6" max="6" width="7.5703125" customWidth="1"/>
    <col min="7" max="7" width="10.140625" customWidth="1"/>
    <col min="8" max="8" width="7" customWidth="1"/>
    <col min="23" max="23" width="18" customWidth="1"/>
    <col min="24" max="24" width="12.42578125" customWidth="1"/>
    <col min="25" max="25" width="10.140625" customWidth="1"/>
    <col min="26" max="26" width="12.28515625" customWidth="1"/>
    <col min="27" max="27" width="10.85546875" customWidth="1"/>
  </cols>
  <sheetData>
    <row r="1" spans="1:18" x14ac:dyDescent="0.25">
      <c r="B1" s="23" t="s">
        <v>387</v>
      </c>
      <c r="C1" s="23"/>
      <c r="D1" s="23"/>
      <c r="E1" s="23"/>
      <c r="F1" s="23"/>
      <c r="G1" s="23"/>
      <c r="H1" s="1"/>
      <c r="I1" s="1"/>
      <c r="J1" s="1"/>
      <c r="K1" s="1"/>
      <c r="L1" s="1"/>
      <c r="M1" s="1"/>
      <c r="N1" s="1"/>
      <c r="O1" s="1"/>
      <c r="P1" s="1"/>
      <c r="Q1" s="1"/>
      <c r="R1" s="1"/>
    </row>
    <row r="2" spans="1:18" ht="15.75" thickBot="1" x14ac:dyDescent="0.3">
      <c r="B2" s="88" t="s">
        <v>330</v>
      </c>
      <c r="C2" s="88"/>
      <c r="D2" s="88"/>
      <c r="E2" s="88"/>
      <c r="F2" s="88"/>
      <c r="G2" s="88"/>
      <c r="H2" s="88"/>
      <c r="I2" s="88"/>
      <c r="J2" s="88"/>
      <c r="K2" s="88"/>
      <c r="L2" s="88"/>
      <c r="M2" s="88"/>
      <c r="N2" s="88"/>
      <c r="O2" s="88"/>
      <c r="P2" s="89"/>
      <c r="Q2" s="89"/>
      <c r="R2" s="89"/>
    </row>
    <row r="3" spans="1:18" x14ac:dyDescent="0.25">
      <c r="A3" s="1"/>
      <c r="B3" s="148" t="s">
        <v>0</v>
      </c>
      <c r="C3" s="148" t="s">
        <v>10</v>
      </c>
      <c r="D3" s="149" t="s">
        <v>13</v>
      </c>
      <c r="E3" s="149" t="s">
        <v>14</v>
      </c>
      <c r="F3" s="145" t="s">
        <v>2</v>
      </c>
      <c r="G3" s="145" t="s">
        <v>1</v>
      </c>
      <c r="H3" s="150" t="s">
        <v>3</v>
      </c>
      <c r="I3" s="59"/>
      <c r="J3" s="59"/>
      <c r="K3" s="151" t="s">
        <v>148</v>
      </c>
      <c r="L3" s="151"/>
      <c r="M3" s="151"/>
      <c r="N3" s="151"/>
      <c r="O3" s="151"/>
      <c r="P3" s="151"/>
      <c r="Q3" s="151"/>
      <c r="R3" s="151"/>
    </row>
    <row r="4" spans="1:18" x14ac:dyDescent="0.25">
      <c r="A4" s="1"/>
      <c r="B4" s="146"/>
      <c r="C4" s="146"/>
      <c r="D4" s="146"/>
      <c r="E4" s="146"/>
      <c r="F4" s="146"/>
      <c r="G4" s="146"/>
      <c r="H4" s="151"/>
      <c r="I4" s="60"/>
      <c r="J4" s="60"/>
      <c r="K4" s="153" t="s">
        <v>149</v>
      </c>
      <c r="L4" s="153"/>
      <c r="M4" s="153" t="s">
        <v>150</v>
      </c>
      <c r="N4" s="153"/>
      <c r="O4" s="153" t="s">
        <v>151</v>
      </c>
      <c r="P4" s="153"/>
      <c r="Q4" s="153" t="s">
        <v>152</v>
      </c>
      <c r="R4" s="153"/>
    </row>
    <row r="5" spans="1:18" ht="15.75" thickBot="1" x14ac:dyDescent="0.3">
      <c r="A5" s="1"/>
      <c r="B5" s="147"/>
      <c r="C5" s="147"/>
      <c r="D5" s="147"/>
      <c r="E5" s="147"/>
      <c r="F5" s="147"/>
      <c r="G5" s="147"/>
      <c r="H5" s="152"/>
      <c r="I5" s="61" t="s">
        <v>4</v>
      </c>
      <c r="J5" s="61" t="s">
        <v>5</v>
      </c>
      <c r="K5" s="61" t="s">
        <v>6</v>
      </c>
      <c r="L5" s="61" t="s">
        <v>7</v>
      </c>
      <c r="M5" s="61" t="s">
        <v>6</v>
      </c>
      <c r="N5" s="61" t="s">
        <v>7</v>
      </c>
      <c r="O5" s="61" t="s">
        <v>6</v>
      </c>
      <c r="P5" s="61" t="s">
        <v>7</v>
      </c>
      <c r="Q5" s="61" t="s">
        <v>6</v>
      </c>
      <c r="R5" s="61" t="s">
        <v>7</v>
      </c>
    </row>
    <row r="6" spans="1:18" x14ac:dyDescent="0.25">
      <c r="A6" s="1"/>
      <c r="B6" s="58"/>
      <c r="C6" s="58"/>
      <c r="D6" s="58"/>
      <c r="E6" s="58"/>
      <c r="F6" s="58"/>
      <c r="G6" s="58"/>
      <c r="H6" s="58"/>
      <c r="I6" s="154" t="s">
        <v>248</v>
      </c>
      <c r="J6" s="154"/>
      <c r="K6" s="154"/>
      <c r="L6" s="62" t="s">
        <v>8</v>
      </c>
      <c r="M6" s="62" t="s">
        <v>249</v>
      </c>
      <c r="N6" s="62" t="s">
        <v>8</v>
      </c>
      <c r="O6" s="62" t="s">
        <v>249</v>
      </c>
      <c r="P6" s="62" t="s">
        <v>8</v>
      </c>
      <c r="Q6" s="62" t="s">
        <v>249</v>
      </c>
      <c r="R6" s="62" t="s">
        <v>8</v>
      </c>
    </row>
    <row r="7" spans="1:18" x14ac:dyDescent="0.25">
      <c r="A7" s="1"/>
      <c r="B7" s="143" t="s">
        <v>11</v>
      </c>
      <c r="C7" s="143" t="s">
        <v>12</v>
      </c>
      <c r="D7" s="71" t="s">
        <v>210</v>
      </c>
      <c r="E7" s="71" t="s">
        <v>211</v>
      </c>
      <c r="F7" s="151" t="s">
        <v>15</v>
      </c>
      <c r="G7" s="58" t="s">
        <v>18</v>
      </c>
      <c r="H7" s="62">
        <v>11</v>
      </c>
      <c r="I7" s="62" t="s">
        <v>250</v>
      </c>
      <c r="J7" s="62">
        <v>52.4</v>
      </c>
      <c r="K7" s="93">
        <v>57.3</v>
      </c>
      <c r="L7" s="92">
        <f>(K7-J7)/J7*100</f>
        <v>9.3511450381679371</v>
      </c>
      <c r="M7" s="92">
        <v>55.8</v>
      </c>
      <c r="N7" s="92">
        <f>(M7-J7)/J7*100</f>
        <v>6.4885496183206079</v>
      </c>
      <c r="O7" s="93">
        <v>54.5</v>
      </c>
      <c r="P7" s="92">
        <f>(O7-J7)/J7*100</f>
        <v>4.0076335877862617</v>
      </c>
      <c r="Q7" s="93">
        <v>56.5</v>
      </c>
      <c r="R7" s="92">
        <f>(Q7-J7)/J7*100</f>
        <v>7.8244274809160341</v>
      </c>
    </row>
    <row r="8" spans="1:18" x14ac:dyDescent="0.25">
      <c r="A8" s="1"/>
      <c r="B8" s="143"/>
      <c r="C8" s="139"/>
      <c r="D8" s="58"/>
      <c r="E8" s="58"/>
      <c r="F8" s="139"/>
      <c r="G8" s="58" t="s">
        <v>19</v>
      </c>
      <c r="H8" s="62">
        <v>11</v>
      </c>
      <c r="I8" s="62" t="s">
        <v>250</v>
      </c>
      <c r="J8" s="62">
        <v>44.7</v>
      </c>
      <c r="K8" s="92">
        <v>57</v>
      </c>
      <c r="L8" s="92">
        <f t="shared" ref="L8:L26" si="0">(K8-J8)/J8*100</f>
        <v>27.516778523489926</v>
      </c>
      <c r="M8" s="92">
        <v>55.4</v>
      </c>
      <c r="N8" s="92">
        <f t="shared" ref="N8:N26" si="1">(M8-J8)/J8*100</f>
        <v>23.937360178970906</v>
      </c>
      <c r="O8" s="93">
        <v>54.2</v>
      </c>
      <c r="P8" s="92">
        <f t="shared" ref="P8:P26" si="2">(O8-J8)/J8*100</f>
        <v>21.252796420581653</v>
      </c>
      <c r="Q8" s="93">
        <v>56.3</v>
      </c>
      <c r="R8" s="92">
        <f t="shared" ref="R8:R26" si="3">(Q8-J8)/J8*100</f>
        <v>25.95078299776285</v>
      </c>
    </row>
    <row r="9" spans="1:18" x14ac:dyDescent="0.25">
      <c r="A9" s="1"/>
      <c r="B9" s="143"/>
      <c r="C9" s="139"/>
      <c r="D9" s="58"/>
      <c r="E9" s="58"/>
      <c r="F9" s="139"/>
      <c r="G9" s="58" t="s">
        <v>20</v>
      </c>
      <c r="H9" s="62">
        <v>11</v>
      </c>
      <c r="I9" s="62" t="s">
        <v>250</v>
      </c>
      <c r="J9" s="62">
        <v>63.4</v>
      </c>
      <c r="K9" s="93">
        <v>57.6</v>
      </c>
      <c r="L9" s="92">
        <f t="shared" si="0"/>
        <v>-9.1482649842271258</v>
      </c>
      <c r="M9" s="92">
        <v>56.2</v>
      </c>
      <c r="N9" s="92">
        <f t="shared" si="1"/>
        <v>-11.356466876971602</v>
      </c>
      <c r="O9" s="93">
        <v>54.8</v>
      </c>
      <c r="P9" s="92">
        <f t="shared" si="2"/>
        <v>-13.564668769716089</v>
      </c>
      <c r="Q9" s="93">
        <v>56.6</v>
      </c>
      <c r="R9" s="92">
        <f t="shared" si="3"/>
        <v>-10.725552050473182</v>
      </c>
    </row>
    <row r="10" spans="1:18" x14ac:dyDescent="0.25">
      <c r="A10" s="1"/>
      <c r="B10" s="143"/>
      <c r="C10" s="139"/>
      <c r="D10" s="58"/>
      <c r="E10" s="58"/>
      <c r="F10" s="139"/>
      <c r="G10" s="58" t="s">
        <v>18</v>
      </c>
      <c r="H10" s="62">
        <v>29</v>
      </c>
      <c r="I10" s="62" t="s">
        <v>250</v>
      </c>
      <c r="J10" s="62">
        <v>54.7</v>
      </c>
      <c r="K10" s="93">
        <v>54.9</v>
      </c>
      <c r="L10" s="92">
        <f t="shared" si="0"/>
        <v>0.36563071297988248</v>
      </c>
      <c r="M10" s="92">
        <v>51.4</v>
      </c>
      <c r="N10" s="92">
        <f t="shared" si="1"/>
        <v>-6.0329067641681977</v>
      </c>
      <c r="O10" s="93">
        <v>53.1</v>
      </c>
      <c r="P10" s="92">
        <f t="shared" si="2"/>
        <v>-2.9250457038391251</v>
      </c>
      <c r="Q10" s="93">
        <v>54</v>
      </c>
      <c r="R10" s="92">
        <f t="shared" si="3"/>
        <v>-1.2797074954296213</v>
      </c>
    </row>
    <row r="11" spans="1:18" x14ac:dyDescent="0.25">
      <c r="A11" s="1"/>
      <c r="B11" s="143"/>
      <c r="C11" s="139"/>
      <c r="D11" s="58"/>
      <c r="E11" s="58"/>
      <c r="F11" s="139"/>
      <c r="G11" s="58" t="s">
        <v>19</v>
      </c>
      <c r="H11" s="62">
        <v>29</v>
      </c>
      <c r="I11" s="62" t="s">
        <v>250</v>
      </c>
      <c r="J11" s="62">
        <v>44.8</v>
      </c>
      <c r="K11" s="93">
        <v>54.7</v>
      </c>
      <c r="L11" s="92">
        <f t="shared" si="0"/>
        <v>22.098214285714299</v>
      </c>
      <c r="M11" s="92">
        <v>50.9</v>
      </c>
      <c r="N11" s="92">
        <f t="shared" si="1"/>
        <v>13.616071428571432</v>
      </c>
      <c r="O11" s="93">
        <v>52.9</v>
      </c>
      <c r="P11" s="92">
        <f t="shared" si="2"/>
        <v>18.080357142857149</v>
      </c>
      <c r="Q11" s="93">
        <v>53.8</v>
      </c>
      <c r="R11" s="92">
        <f t="shared" si="3"/>
        <v>20.089285714285715</v>
      </c>
    </row>
    <row r="12" spans="1:18" x14ac:dyDescent="0.25">
      <c r="A12" s="1"/>
      <c r="B12" s="143"/>
      <c r="C12" s="139"/>
      <c r="D12" s="58"/>
      <c r="E12" s="58"/>
      <c r="F12" s="139"/>
      <c r="G12" s="58" t="s">
        <v>20</v>
      </c>
      <c r="H12" s="62">
        <v>29</v>
      </c>
      <c r="I12" s="62" t="s">
        <v>250</v>
      </c>
      <c r="J12" s="62">
        <v>62.1</v>
      </c>
      <c r="K12" s="93">
        <v>54.4</v>
      </c>
      <c r="L12" s="92">
        <f t="shared" si="0"/>
        <v>-12.399355877616751</v>
      </c>
      <c r="M12" s="92">
        <v>51</v>
      </c>
      <c r="N12" s="92">
        <f t="shared" si="1"/>
        <v>-17.874396135265702</v>
      </c>
      <c r="O12" s="93">
        <v>52.8</v>
      </c>
      <c r="P12" s="92">
        <f t="shared" si="2"/>
        <v>-14.975845410628025</v>
      </c>
      <c r="Q12" s="93">
        <v>53.8</v>
      </c>
      <c r="R12" s="92">
        <f t="shared" si="3"/>
        <v>-13.36553945249598</v>
      </c>
    </row>
    <row r="13" spans="1:18" x14ac:dyDescent="0.25">
      <c r="A13" s="1"/>
      <c r="B13" s="143"/>
      <c r="C13" s="139"/>
      <c r="D13" s="58"/>
      <c r="E13" s="58"/>
      <c r="F13" s="139"/>
      <c r="G13" s="58" t="s">
        <v>18</v>
      </c>
      <c r="H13" s="64">
        <v>42</v>
      </c>
      <c r="I13" s="62" t="s">
        <v>250</v>
      </c>
      <c r="J13" s="63">
        <v>51.8</v>
      </c>
      <c r="K13" s="92">
        <v>53.2</v>
      </c>
      <c r="L13" s="92">
        <f t="shared" si="0"/>
        <v>2.7027027027027142</v>
      </c>
      <c r="M13" s="92">
        <v>48.5</v>
      </c>
      <c r="N13" s="92">
        <f t="shared" si="1"/>
        <v>-6.3706563706563646</v>
      </c>
      <c r="O13" s="93">
        <v>52.4</v>
      </c>
      <c r="P13" s="92">
        <f t="shared" si="2"/>
        <v>1.1583011583011611</v>
      </c>
      <c r="Q13" s="93">
        <v>52.4</v>
      </c>
      <c r="R13" s="92">
        <f t="shared" si="3"/>
        <v>1.1583011583011611</v>
      </c>
    </row>
    <row r="14" spans="1:18" x14ac:dyDescent="0.25">
      <c r="A14" s="1"/>
      <c r="B14" s="143"/>
      <c r="C14" s="139"/>
      <c r="D14" s="58"/>
      <c r="E14" s="58"/>
      <c r="F14" s="139"/>
      <c r="G14" s="58" t="s">
        <v>19</v>
      </c>
      <c r="H14" s="64">
        <v>42</v>
      </c>
      <c r="I14" s="62" t="s">
        <v>250</v>
      </c>
      <c r="J14" s="63">
        <v>49.2</v>
      </c>
      <c r="K14" s="92">
        <v>53</v>
      </c>
      <c r="L14" s="92">
        <f t="shared" si="0"/>
        <v>7.7235772357723516</v>
      </c>
      <c r="M14" s="92">
        <v>48</v>
      </c>
      <c r="N14" s="92">
        <f t="shared" si="1"/>
        <v>-2.4390243902439082</v>
      </c>
      <c r="O14" s="93">
        <v>52.2</v>
      </c>
      <c r="P14" s="92">
        <f t="shared" si="2"/>
        <v>6.0975609756097562</v>
      </c>
      <c r="Q14" s="93">
        <v>52.1</v>
      </c>
      <c r="R14" s="92">
        <f t="shared" si="3"/>
        <v>5.8943089430894275</v>
      </c>
    </row>
    <row r="15" spans="1:18" x14ac:dyDescent="0.25">
      <c r="A15" s="1"/>
      <c r="B15" s="143"/>
      <c r="C15" s="139"/>
      <c r="D15" s="58"/>
      <c r="E15" s="58"/>
      <c r="F15" s="139"/>
      <c r="G15" s="58" t="s">
        <v>20</v>
      </c>
      <c r="H15" s="64">
        <v>42</v>
      </c>
      <c r="I15" s="62" t="s">
        <v>250</v>
      </c>
      <c r="J15" s="63">
        <v>54.8</v>
      </c>
      <c r="K15" s="92">
        <v>52.9</v>
      </c>
      <c r="L15" s="92">
        <f t="shared" si="0"/>
        <v>-3.4671532846715305</v>
      </c>
      <c r="M15" s="92">
        <v>48</v>
      </c>
      <c r="N15" s="92">
        <f t="shared" si="1"/>
        <v>-12.408759124087588</v>
      </c>
      <c r="O15" s="92">
        <v>52.2</v>
      </c>
      <c r="P15" s="92">
        <f t="shared" si="2"/>
        <v>-4.7445255474452459</v>
      </c>
      <c r="Q15" s="93">
        <v>52.1</v>
      </c>
      <c r="R15" s="92">
        <f t="shared" si="3"/>
        <v>-4.9270072992700653</v>
      </c>
    </row>
    <row r="16" spans="1:18" x14ac:dyDescent="0.25">
      <c r="A16" s="1"/>
      <c r="B16" s="143"/>
      <c r="C16" s="139"/>
      <c r="D16" s="58"/>
      <c r="E16" s="58"/>
      <c r="F16" s="139"/>
      <c r="G16" s="58" t="s">
        <v>18</v>
      </c>
      <c r="H16" s="62">
        <v>56</v>
      </c>
      <c r="I16" s="62" t="s">
        <v>250</v>
      </c>
      <c r="J16" s="62">
        <v>53.6</v>
      </c>
      <c r="K16" s="93">
        <v>51.6</v>
      </c>
      <c r="L16" s="92">
        <f t="shared" si="0"/>
        <v>-3.7313432835820892</v>
      </c>
      <c r="M16" s="92">
        <v>45.7</v>
      </c>
      <c r="N16" s="92">
        <f t="shared" si="1"/>
        <v>-14.738805970149253</v>
      </c>
      <c r="O16" s="93">
        <v>51.5</v>
      </c>
      <c r="P16" s="92">
        <f t="shared" si="2"/>
        <v>-3.9179104477611961</v>
      </c>
      <c r="Q16" s="93">
        <v>50.7</v>
      </c>
      <c r="R16" s="92">
        <f t="shared" si="3"/>
        <v>-5.4104477611940265</v>
      </c>
    </row>
    <row r="17" spans="1:20" x14ac:dyDescent="0.25">
      <c r="A17" s="1"/>
      <c r="B17" s="143"/>
      <c r="C17" s="139"/>
      <c r="D17" s="58"/>
      <c r="E17" s="58"/>
      <c r="F17" s="139"/>
      <c r="G17" s="58" t="s">
        <v>19</v>
      </c>
      <c r="H17" s="62">
        <v>56</v>
      </c>
      <c r="I17" s="62" t="s">
        <v>250</v>
      </c>
      <c r="J17" s="62">
        <v>51.3</v>
      </c>
      <c r="K17" s="93">
        <v>51.6</v>
      </c>
      <c r="L17" s="92">
        <f t="shared" si="0"/>
        <v>0.58479532163743531</v>
      </c>
      <c r="M17" s="92">
        <v>45.3</v>
      </c>
      <c r="N17" s="92">
        <f t="shared" si="1"/>
        <v>-11.695906432748538</v>
      </c>
      <c r="O17" s="93">
        <v>51.3</v>
      </c>
      <c r="P17" s="92">
        <f t="shared" si="2"/>
        <v>0</v>
      </c>
      <c r="Q17" s="93">
        <v>50.5</v>
      </c>
      <c r="R17" s="92">
        <f t="shared" si="3"/>
        <v>-1.559454191033133</v>
      </c>
    </row>
    <row r="18" spans="1:20" x14ac:dyDescent="0.25">
      <c r="A18" s="1"/>
      <c r="B18" s="143"/>
      <c r="C18" s="139"/>
      <c r="D18" s="58"/>
      <c r="E18" s="58"/>
      <c r="F18" s="139"/>
      <c r="G18" s="58" t="s">
        <v>20</v>
      </c>
      <c r="H18" s="62">
        <v>56</v>
      </c>
      <c r="I18" s="62" t="s">
        <v>250</v>
      </c>
      <c r="J18" s="62">
        <v>56.5</v>
      </c>
      <c r="K18" s="93">
        <v>51.6</v>
      </c>
      <c r="L18" s="92">
        <f t="shared" si="0"/>
        <v>-8.6725663716814125</v>
      </c>
      <c r="M18" s="92">
        <v>45.4</v>
      </c>
      <c r="N18" s="92">
        <f t="shared" si="1"/>
        <v>-19.646017699115049</v>
      </c>
      <c r="O18" s="93">
        <v>51.3</v>
      </c>
      <c r="P18" s="92">
        <f t="shared" si="2"/>
        <v>-9.203539823008855</v>
      </c>
      <c r="Q18" s="93">
        <v>50.5</v>
      </c>
      <c r="R18" s="92">
        <f t="shared" si="3"/>
        <v>-10.619469026548673</v>
      </c>
    </row>
    <row r="19" spans="1:20" x14ac:dyDescent="0.25">
      <c r="A19" s="1"/>
      <c r="B19" s="143"/>
      <c r="C19" s="139"/>
      <c r="D19" s="58"/>
      <c r="E19" s="58"/>
      <c r="F19" s="139"/>
      <c r="G19" s="58" t="s">
        <v>18</v>
      </c>
      <c r="H19" s="62">
        <v>62</v>
      </c>
      <c r="I19" s="62" t="s">
        <v>250</v>
      </c>
      <c r="J19" s="62">
        <v>47.3</v>
      </c>
      <c r="K19" s="93">
        <v>51.3</v>
      </c>
      <c r="L19" s="92">
        <f t="shared" si="0"/>
        <v>8.456659619450317</v>
      </c>
      <c r="M19" s="92">
        <v>44.7</v>
      </c>
      <c r="N19" s="92">
        <f t="shared" si="1"/>
        <v>-5.4968287526426938</v>
      </c>
      <c r="O19" s="93">
        <v>51.3</v>
      </c>
      <c r="P19" s="92">
        <f t="shared" si="2"/>
        <v>8.456659619450317</v>
      </c>
      <c r="Q19" s="93">
        <v>50.1</v>
      </c>
      <c r="R19" s="92">
        <f t="shared" si="3"/>
        <v>5.9196617336152313</v>
      </c>
    </row>
    <row r="20" spans="1:20" x14ac:dyDescent="0.25">
      <c r="A20" s="1"/>
      <c r="B20" s="143"/>
      <c r="C20" s="139"/>
      <c r="D20" s="58"/>
      <c r="E20" s="58"/>
      <c r="F20" s="139"/>
      <c r="G20" s="58" t="s">
        <v>19</v>
      </c>
      <c r="H20" s="62">
        <v>62</v>
      </c>
      <c r="I20" s="62" t="s">
        <v>250</v>
      </c>
      <c r="J20" s="62">
        <v>45.6</v>
      </c>
      <c r="K20" s="92">
        <v>51</v>
      </c>
      <c r="L20" s="92">
        <f t="shared" si="0"/>
        <v>11.842105263157892</v>
      </c>
      <c r="M20" s="92">
        <v>44.3</v>
      </c>
      <c r="N20" s="92">
        <f t="shared" si="1"/>
        <v>-2.8508771929824652</v>
      </c>
      <c r="O20" s="93">
        <v>51</v>
      </c>
      <c r="P20" s="92">
        <f t="shared" si="2"/>
        <v>11.842105263157892</v>
      </c>
      <c r="Q20" s="93">
        <v>49.9</v>
      </c>
      <c r="R20" s="92">
        <f t="shared" si="3"/>
        <v>9.4298245614035014</v>
      </c>
    </row>
    <row r="21" spans="1:20" x14ac:dyDescent="0.25">
      <c r="A21" s="1"/>
      <c r="B21" s="143"/>
      <c r="C21" s="139"/>
      <c r="D21" s="58"/>
      <c r="E21" s="58"/>
      <c r="F21" s="139"/>
      <c r="G21" s="58" t="s">
        <v>20</v>
      </c>
      <c r="H21" s="62">
        <v>62</v>
      </c>
      <c r="I21" s="62" t="s">
        <v>250</v>
      </c>
      <c r="J21" s="62">
        <v>45.7</v>
      </c>
      <c r="K21" s="93">
        <v>51.1</v>
      </c>
      <c r="L21" s="92">
        <f t="shared" si="0"/>
        <v>11.81619256017505</v>
      </c>
      <c r="M21" s="92">
        <v>44.2</v>
      </c>
      <c r="N21" s="92">
        <f t="shared" si="1"/>
        <v>-3.2822757111597372</v>
      </c>
      <c r="O21" s="93">
        <v>50.9</v>
      </c>
      <c r="P21" s="92">
        <f t="shared" si="2"/>
        <v>11.37855579868708</v>
      </c>
      <c r="Q21" s="93">
        <v>49.9</v>
      </c>
      <c r="R21" s="92">
        <f t="shared" si="3"/>
        <v>9.1903719912472557</v>
      </c>
    </row>
    <row r="22" spans="1:20" x14ac:dyDescent="0.25">
      <c r="A22" s="1"/>
      <c r="B22" s="143"/>
      <c r="C22" s="139"/>
      <c r="D22" s="58"/>
      <c r="E22" s="58"/>
      <c r="F22" s="139"/>
      <c r="G22" s="58" t="s">
        <v>18</v>
      </c>
      <c r="H22" s="62">
        <v>69</v>
      </c>
      <c r="I22" s="62" t="s">
        <v>250</v>
      </c>
      <c r="J22" s="62">
        <v>54.6</v>
      </c>
      <c r="K22" s="93">
        <v>50.7</v>
      </c>
      <c r="L22" s="92">
        <f t="shared" si="0"/>
        <v>-7.1428571428571397</v>
      </c>
      <c r="M22" s="92">
        <v>43.7</v>
      </c>
      <c r="N22" s="92">
        <f t="shared" si="1"/>
        <v>-19.96336996336996</v>
      </c>
      <c r="O22" s="93">
        <v>51.2</v>
      </c>
      <c r="P22" s="92">
        <f t="shared" si="2"/>
        <v>-6.2271062271062245</v>
      </c>
      <c r="Q22" s="93">
        <v>49.4</v>
      </c>
      <c r="R22" s="92">
        <f t="shared" si="3"/>
        <v>-9.5238095238095291</v>
      </c>
    </row>
    <row r="23" spans="1:20" x14ac:dyDescent="0.25">
      <c r="A23" s="1"/>
      <c r="B23" s="143"/>
      <c r="C23" s="139"/>
      <c r="D23" s="58"/>
      <c r="E23" s="58"/>
      <c r="F23" s="139"/>
      <c r="G23" s="58" t="s">
        <v>19</v>
      </c>
      <c r="H23" s="62">
        <v>69</v>
      </c>
      <c r="I23" s="62" t="s">
        <v>250</v>
      </c>
      <c r="J23" s="62">
        <v>55.1</v>
      </c>
      <c r="K23" s="93">
        <v>50.4</v>
      </c>
      <c r="L23" s="92">
        <f t="shared" si="0"/>
        <v>-8.5299455535390241</v>
      </c>
      <c r="M23" s="92">
        <v>43.1</v>
      </c>
      <c r="N23" s="92">
        <f t="shared" si="1"/>
        <v>-21.778584392014519</v>
      </c>
      <c r="O23" s="93">
        <v>50.8</v>
      </c>
      <c r="P23" s="92">
        <f t="shared" si="2"/>
        <v>-7.8039927404718767</v>
      </c>
      <c r="Q23" s="93">
        <v>49.2</v>
      </c>
      <c r="R23" s="92">
        <f t="shared" si="3"/>
        <v>-10.70780399274047</v>
      </c>
    </row>
    <row r="24" spans="1:20" x14ac:dyDescent="0.25">
      <c r="A24" s="1"/>
      <c r="B24" s="143"/>
      <c r="C24" s="139"/>
      <c r="D24" s="58"/>
      <c r="E24" s="58"/>
      <c r="F24" s="139"/>
      <c r="G24" s="58" t="s">
        <v>20</v>
      </c>
      <c r="H24" s="62">
        <v>69</v>
      </c>
      <c r="I24" s="62" t="s">
        <v>250</v>
      </c>
      <c r="J24" s="62">
        <v>55.4</v>
      </c>
      <c r="K24" s="93">
        <v>50.7</v>
      </c>
      <c r="L24" s="92">
        <f t="shared" si="0"/>
        <v>-8.4837545126353717</v>
      </c>
      <c r="M24" s="92">
        <v>43.4</v>
      </c>
      <c r="N24" s="92">
        <f t="shared" si="1"/>
        <v>-21.660649819494584</v>
      </c>
      <c r="O24" s="93">
        <v>50.9</v>
      </c>
      <c r="P24" s="92">
        <f t="shared" si="2"/>
        <v>-8.1227436823104693</v>
      </c>
      <c r="Q24" s="93">
        <v>49.2</v>
      </c>
      <c r="R24" s="92">
        <f t="shared" si="3"/>
        <v>-11.191335740072194</v>
      </c>
    </row>
    <row r="25" spans="1:20" x14ac:dyDescent="0.25">
      <c r="A25" s="1"/>
      <c r="B25" s="143"/>
      <c r="C25" s="139"/>
      <c r="D25" s="58"/>
      <c r="E25" s="58"/>
      <c r="F25" s="139"/>
      <c r="G25" s="58" t="s">
        <v>19</v>
      </c>
      <c r="H25" s="62">
        <v>83</v>
      </c>
      <c r="I25" s="62" t="s">
        <v>250</v>
      </c>
      <c r="J25" s="63">
        <v>51</v>
      </c>
      <c r="K25" s="92">
        <v>50</v>
      </c>
      <c r="L25" s="92">
        <f t="shared" si="0"/>
        <v>-1.9607843137254901</v>
      </c>
      <c r="M25" s="92">
        <v>41.6</v>
      </c>
      <c r="N25" s="92">
        <f t="shared" si="1"/>
        <v>-18.431372549019606</v>
      </c>
      <c r="O25" s="93">
        <v>50.5</v>
      </c>
      <c r="P25" s="92">
        <f t="shared" si="2"/>
        <v>-0.98039215686274506</v>
      </c>
      <c r="Q25" s="93">
        <v>48</v>
      </c>
      <c r="R25" s="92">
        <f t="shared" si="3"/>
        <v>-5.8823529411764701</v>
      </c>
    </row>
    <row r="26" spans="1:20" x14ac:dyDescent="0.25">
      <c r="A26" s="1"/>
      <c r="B26" s="143"/>
      <c r="C26" s="139"/>
      <c r="D26" s="58"/>
      <c r="E26" s="58"/>
      <c r="F26" s="139"/>
      <c r="G26" s="58" t="s">
        <v>20</v>
      </c>
      <c r="H26" s="62">
        <v>83</v>
      </c>
      <c r="I26" s="62" t="s">
        <v>250</v>
      </c>
      <c r="J26" s="62">
        <v>55.3</v>
      </c>
      <c r="K26" s="93">
        <v>50.1</v>
      </c>
      <c r="L26" s="92">
        <f t="shared" si="0"/>
        <v>-9.4032549728752191</v>
      </c>
      <c r="M26" s="92">
        <v>41.8</v>
      </c>
      <c r="N26" s="92">
        <f t="shared" si="1"/>
        <v>-24.412296564195298</v>
      </c>
      <c r="O26" s="93">
        <v>50.6</v>
      </c>
      <c r="P26" s="92">
        <f t="shared" si="2"/>
        <v>-8.4990958408679855</v>
      </c>
      <c r="Q26" s="92">
        <v>48.1</v>
      </c>
      <c r="R26" s="92">
        <f t="shared" si="3"/>
        <v>-13.019891500904151</v>
      </c>
      <c r="T26" s="18">
        <f>AVERAGE(R7:R26)</f>
        <v>-0.63777031972631681</v>
      </c>
    </row>
    <row r="27" spans="1:20" x14ac:dyDescent="0.25">
      <c r="A27" s="1"/>
      <c r="B27" s="144"/>
      <c r="C27" s="142"/>
      <c r="D27" s="60"/>
      <c r="E27" s="60"/>
      <c r="F27" s="142"/>
      <c r="G27" s="60" t="s">
        <v>375</v>
      </c>
      <c r="H27" s="60"/>
      <c r="I27" s="60"/>
      <c r="J27" s="60"/>
      <c r="K27" s="97"/>
      <c r="L27" s="99" t="s">
        <v>398</v>
      </c>
      <c r="M27" s="98"/>
      <c r="N27" s="99" t="s">
        <v>447</v>
      </c>
      <c r="O27" s="98"/>
      <c r="P27" s="99" t="s">
        <v>448</v>
      </c>
      <c r="Q27" s="98"/>
      <c r="R27" s="99" t="s">
        <v>449</v>
      </c>
      <c r="S27" s="18"/>
      <c r="T27" s="18">
        <f>_xlfn.STDEV.P(R7:R26)</f>
        <v>10.893604630433586</v>
      </c>
    </row>
    <row r="28" spans="1:20" x14ac:dyDescent="0.25">
      <c r="A28" s="1"/>
      <c r="B28" s="140" t="s">
        <v>11</v>
      </c>
      <c r="C28" s="140" t="s">
        <v>23</v>
      </c>
      <c r="D28" s="71" t="s">
        <v>210</v>
      </c>
      <c r="E28" s="71" t="s">
        <v>211</v>
      </c>
      <c r="F28" s="155" t="s">
        <v>15</v>
      </c>
      <c r="G28" s="58" t="s">
        <v>18</v>
      </c>
      <c r="H28" s="62">
        <v>21</v>
      </c>
      <c r="I28" s="62">
        <v>60.8</v>
      </c>
      <c r="J28" s="62" t="s">
        <v>251</v>
      </c>
      <c r="K28" s="93">
        <v>57.9</v>
      </c>
      <c r="L28" s="93">
        <v>15.1</v>
      </c>
      <c r="M28" s="92">
        <v>54.9</v>
      </c>
      <c r="N28" s="92">
        <f>(M28-50.3)/50.3*100</f>
        <v>9.1451292246520897</v>
      </c>
      <c r="O28" s="92">
        <v>55.7</v>
      </c>
      <c r="P28" s="92">
        <f>(O28-50.3)/50.3*100</f>
        <v>10.735586481113332</v>
      </c>
      <c r="Q28" s="92">
        <v>57.1</v>
      </c>
      <c r="R28" s="92">
        <f>(Q28-50.3)/50.3*100</f>
        <v>13.518886679920486</v>
      </c>
    </row>
    <row r="29" spans="1:20" x14ac:dyDescent="0.25">
      <c r="A29" s="1"/>
      <c r="B29" s="143"/>
      <c r="C29" s="139"/>
      <c r="D29" s="58"/>
      <c r="E29" s="58"/>
      <c r="F29" s="139"/>
      <c r="G29" s="58" t="s">
        <v>19</v>
      </c>
      <c r="H29" s="62">
        <v>21</v>
      </c>
      <c r="I29" s="62">
        <v>60.8</v>
      </c>
      <c r="J29" s="62" t="s">
        <v>252</v>
      </c>
      <c r="K29" s="93">
        <v>58.1</v>
      </c>
      <c r="L29" s="93">
        <v>11.3</v>
      </c>
      <c r="M29" s="92">
        <v>55.2</v>
      </c>
      <c r="N29" s="92">
        <f>(M29-52.2)/52.2*100</f>
        <v>5.7471264367816088</v>
      </c>
      <c r="O29" s="92">
        <v>55.9</v>
      </c>
      <c r="P29" s="92">
        <f>(O29-52.2)/52.2*100</f>
        <v>7.0881226053639761</v>
      </c>
      <c r="Q29" s="92">
        <v>57.3</v>
      </c>
      <c r="R29" s="92">
        <f>(Q29-52.2)/52.2*100</f>
        <v>9.770114942528723</v>
      </c>
    </row>
    <row r="30" spans="1:20" x14ac:dyDescent="0.25">
      <c r="A30" s="1"/>
      <c r="B30" s="143"/>
      <c r="C30" s="139"/>
      <c r="D30" s="58"/>
      <c r="E30" s="58"/>
      <c r="F30" s="139"/>
      <c r="G30" s="58" t="s">
        <v>20</v>
      </c>
      <c r="H30" s="62">
        <v>21</v>
      </c>
      <c r="I30" s="62">
        <v>60.8</v>
      </c>
      <c r="J30" s="62" t="s">
        <v>253</v>
      </c>
      <c r="K30" s="92">
        <v>58</v>
      </c>
      <c r="L30" s="93">
        <v>4.8</v>
      </c>
      <c r="M30" s="92">
        <v>55.3</v>
      </c>
      <c r="N30" s="92">
        <f>(M30-55.3)/55.3*100</f>
        <v>0</v>
      </c>
      <c r="O30" s="92">
        <v>55.8</v>
      </c>
      <c r="P30" s="92">
        <f>(O30-55.3)/55.3*100</f>
        <v>0.9041591320072333</v>
      </c>
      <c r="Q30" s="92">
        <v>57.3</v>
      </c>
      <c r="R30" s="92">
        <f>(Q30-55.3)/55.3*100</f>
        <v>3.6166365280289332</v>
      </c>
    </row>
    <row r="31" spans="1:20" x14ac:dyDescent="0.25">
      <c r="A31" s="1"/>
      <c r="B31" s="143"/>
      <c r="C31" s="139"/>
      <c r="D31" s="58"/>
      <c r="E31" s="58"/>
      <c r="F31" s="139"/>
      <c r="G31" s="58" t="s">
        <v>18</v>
      </c>
      <c r="H31" s="62">
        <v>32</v>
      </c>
      <c r="I31" s="62">
        <v>60.8</v>
      </c>
      <c r="J31" s="62" t="s">
        <v>254</v>
      </c>
      <c r="K31" s="93">
        <v>56.3</v>
      </c>
      <c r="L31" s="93">
        <v>19.399999999999999</v>
      </c>
      <c r="M31" s="92">
        <v>52.3</v>
      </c>
      <c r="N31" s="92">
        <f>(M31-47.2)/47.2*100</f>
        <v>10.8050847457627</v>
      </c>
      <c r="O31" s="92">
        <v>55</v>
      </c>
      <c r="P31" s="92">
        <f>(O31-47.2)/47.2*100</f>
        <v>16.52542372881355</v>
      </c>
      <c r="Q31" s="92">
        <v>55.7</v>
      </c>
      <c r="R31" s="92">
        <f>(Q31-47.2)/47.2*100</f>
        <v>18.008474576271187</v>
      </c>
    </row>
    <row r="32" spans="1:20" x14ac:dyDescent="0.25">
      <c r="A32" s="1"/>
      <c r="B32" s="143"/>
      <c r="C32" s="139"/>
      <c r="D32" s="58"/>
      <c r="E32" s="58"/>
      <c r="F32" s="139"/>
      <c r="G32" s="58" t="s">
        <v>19</v>
      </c>
      <c r="H32" s="62">
        <v>32</v>
      </c>
      <c r="I32" s="62">
        <v>60.8</v>
      </c>
      <c r="J32" s="63" t="s">
        <v>255</v>
      </c>
      <c r="K32" s="93">
        <v>56.5</v>
      </c>
      <c r="L32" s="93">
        <v>17.8</v>
      </c>
      <c r="M32" s="92">
        <v>52.8</v>
      </c>
      <c r="N32" s="92">
        <f>(M32-48)/48*100</f>
        <v>9.9999999999999929</v>
      </c>
      <c r="O32" s="92">
        <v>55.2</v>
      </c>
      <c r="P32" s="92">
        <f>(O32-48)/48*100</f>
        <v>15.000000000000005</v>
      </c>
      <c r="Q32" s="92">
        <v>55.9</v>
      </c>
      <c r="R32" s="92">
        <f>(Q32-48)/48*100</f>
        <v>16.458333333333329</v>
      </c>
    </row>
    <row r="33" spans="1:20" x14ac:dyDescent="0.25">
      <c r="A33" s="1"/>
      <c r="B33" s="143"/>
      <c r="C33" s="139"/>
      <c r="D33" s="58"/>
      <c r="E33" s="58"/>
      <c r="F33" s="139"/>
      <c r="G33" s="58" t="s">
        <v>20</v>
      </c>
      <c r="H33" s="62">
        <v>32</v>
      </c>
      <c r="I33" s="62">
        <v>60.8</v>
      </c>
      <c r="J33" s="62" t="s">
        <v>256</v>
      </c>
      <c r="K33" s="93">
        <v>56.4</v>
      </c>
      <c r="L33" s="92">
        <v>4</v>
      </c>
      <c r="M33" s="92">
        <v>52.8</v>
      </c>
      <c r="N33" s="92">
        <f>(M33-54.2)/54.2*100</f>
        <v>-2.5830258302583129</v>
      </c>
      <c r="O33" s="92">
        <v>55.2</v>
      </c>
      <c r="P33" s="92">
        <f>(O33-54.2)/54.2*100</f>
        <v>1.8450184501845017</v>
      </c>
      <c r="Q33" s="92">
        <v>55.9</v>
      </c>
      <c r="R33" s="92">
        <f>(Q33-54.2)/54.2*100</f>
        <v>3.1365313653136453</v>
      </c>
    </row>
    <row r="34" spans="1:20" x14ac:dyDescent="0.25">
      <c r="A34" s="1"/>
      <c r="B34" s="143"/>
      <c r="C34" s="139"/>
      <c r="D34" s="58"/>
      <c r="E34" s="58"/>
      <c r="F34" s="139"/>
      <c r="G34" s="58" t="s">
        <v>18</v>
      </c>
      <c r="H34" s="62">
        <v>40</v>
      </c>
      <c r="I34" s="62">
        <v>60.8</v>
      </c>
      <c r="J34" s="62" t="s">
        <v>257</v>
      </c>
      <c r="K34" s="93">
        <v>55.2</v>
      </c>
      <c r="L34" s="93">
        <v>-3.6</v>
      </c>
      <c r="M34" s="92">
        <v>50.4</v>
      </c>
      <c r="N34" s="92">
        <f>(M34-57.2)/57.2*100</f>
        <v>-11.888111888111895</v>
      </c>
      <c r="O34" s="92">
        <v>54.6</v>
      </c>
      <c r="P34" s="92">
        <f>(O34-57.2)/57.2*100</f>
        <v>-4.5454545454545476</v>
      </c>
      <c r="Q34" s="92">
        <v>54.7</v>
      </c>
      <c r="R34" s="92">
        <f>(Q34-57.2)/57.2*100</f>
        <v>-4.3706293706293708</v>
      </c>
    </row>
    <row r="35" spans="1:20" x14ac:dyDescent="0.25">
      <c r="A35" s="1"/>
      <c r="B35" s="143"/>
      <c r="C35" s="139"/>
      <c r="D35" s="58"/>
      <c r="E35" s="58"/>
      <c r="F35" s="139"/>
      <c r="G35" s="58" t="s">
        <v>19</v>
      </c>
      <c r="H35" s="62">
        <v>40</v>
      </c>
      <c r="I35" s="62">
        <v>60.8</v>
      </c>
      <c r="J35" s="62" t="s">
        <v>258</v>
      </c>
      <c r="K35" s="93">
        <v>55.4</v>
      </c>
      <c r="L35" s="93">
        <v>-1.3</v>
      </c>
      <c r="M35" s="92">
        <v>51</v>
      </c>
      <c r="N35" s="92">
        <f>(M35-56.2)/56.2*100</f>
        <v>-9.2526690391459123</v>
      </c>
      <c r="O35" s="92">
        <v>55.1</v>
      </c>
      <c r="P35" s="92">
        <f>(O35-56.2)/56.2*100</f>
        <v>-1.9572953736654828</v>
      </c>
      <c r="Q35" s="92">
        <v>54.9</v>
      </c>
      <c r="R35" s="92">
        <f>(Q35-56.2)/56.2*100</f>
        <v>-2.3131672597864843</v>
      </c>
    </row>
    <row r="36" spans="1:20" x14ac:dyDescent="0.25">
      <c r="A36" s="1"/>
      <c r="B36" s="143"/>
      <c r="C36" s="139"/>
      <c r="D36" s="58"/>
      <c r="E36" s="58"/>
      <c r="F36" s="139"/>
      <c r="G36" s="58" t="s">
        <v>20</v>
      </c>
      <c r="H36" s="62">
        <v>40</v>
      </c>
      <c r="I36" s="62">
        <v>60.8</v>
      </c>
      <c r="J36" s="62" t="s">
        <v>259</v>
      </c>
      <c r="K36" s="93">
        <v>55.5</v>
      </c>
      <c r="L36" s="93">
        <v>-4.9000000000000004</v>
      </c>
      <c r="M36" s="92">
        <v>51.3</v>
      </c>
      <c r="N36" s="92">
        <f>(M36-58.4)/58.4*100</f>
        <v>-12.157534246575345</v>
      </c>
      <c r="O36" s="92">
        <v>55.2</v>
      </c>
      <c r="P36" s="92">
        <f>(O36-58.4)/58.4*100</f>
        <v>-5.4794520547945131</v>
      </c>
      <c r="Q36" s="92">
        <v>55</v>
      </c>
      <c r="R36" s="92">
        <f>(Q36-58.4)/58.4*100</f>
        <v>-5.821917808219176</v>
      </c>
      <c r="T36" s="18">
        <f>AVERAGE(R28:R36)</f>
        <v>5.7781403318623639</v>
      </c>
    </row>
    <row r="37" spans="1:20" x14ac:dyDescent="0.25">
      <c r="A37" s="1"/>
      <c r="B37" s="144"/>
      <c r="C37" s="142"/>
      <c r="D37" s="60"/>
      <c r="E37" s="60"/>
      <c r="F37" s="142"/>
      <c r="G37" s="60" t="s">
        <v>375</v>
      </c>
      <c r="H37" s="60"/>
      <c r="I37" s="60"/>
      <c r="J37" s="60"/>
      <c r="K37" s="97"/>
      <c r="L37" s="98" t="s">
        <v>260</v>
      </c>
      <c r="M37" s="97"/>
      <c r="N37" s="99" t="s">
        <v>450</v>
      </c>
      <c r="O37" s="97"/>
      <c r="P37" s="99" t="s">
        <v>451</v>
      </c>
      <c r="Q37" s="97"/>
      <c r="R37" s="99" t="s">
        <v>452</v>
      </c>
      <c r="T37" s="18">
        <f>_xlfn.STDEV.P(R28:R36)</f>
        <v>8.5256537324588511</v>
      </c>
    </row>
    <row r="38" spans="1:20" x14ac:dyDescent="0.25">
      <c r="A38" s="1"/>
      <c r="B38" s="140" t="s">
        <v>35</v>
      </c>
      <c r="C38" s="140" t="s">
        <v>36</v>
      </c>
      <c r="D38" s="58" t="s">
        <v>246</v>
      </c>
      <c r="E38" s="58" t="s">
        <v>261</v>
      </c>
      <c r="F38" s="140" t="s">
        <v>37</v>
      </c>
      <c r="G38" s="58" t="s">
        <v>376</v>
      </c>
      <c r="H38" s="62">
        <v>13</v>
      </c>
      <c r="I38" s="63">
        <v>35</v>
      </c>
      <c r="J38" s="63">
        <v>32.299999999999997</v>
      </c>
      <c r="K38" s="92">
        <v>34.4</v>
      </c>
      <c r="L38" s="92">
        <f>(K38-J38)/J38*100</f>
        <v>6.5015479876161031</v>
      </c>
      <c r="M38" s="93">
        <v>34.299999999999997</v>
      </c>
      <c r="N38" s="100">
        <f>(M38-J38)/J38*100</f>
        <v>6.1919504643962853</v>
      </c>
      <c r="O38" s="92">
        <v>33.4</v>
      </c>
      <c r="P38" s="92">
        <f>(O38-J38)/J38*100</f>
        <v>3.4055727554179613</v>
      </c>
      <c r="Q38" s="92">
        <v>34.299999999999997</v>
      </c>
      <c r="R38" s="92">
        <f>(Q38-J38)/J38*100</f>
        <v>6.1919504643962853</v>
      </c>
    </row>
    <row r="39" spans="1:20" x14ac:dyDescent="0.25">
      <c r="A39" s="1"/>
      <c r="B39" s="143"/>
      <c r="C39" s="143"/>
      <c r="D39" s="58"/>
      <c r="E39" s="58"/>
      <c r="F39" s="143"/>
      <c r="G39" s="58" t="s">
        <v>377</v>
      </c>
      <c r="H39" s="62">
        <v>13</v>
      </c>
      <c r="I39" s="63">
        <v>35</v>
      </c>
      <c r="J39" s="63">
        <v>34.5</v>
      </c>
      <c r="K39" s="92">
        <v>34</v>
      </c>
      <c r="L39" s="92">
        <f t="shared" ref="L39:L53" si="4">(K39-J39)/J39*100</f>
        <v>-1.4492753623188406</v>
      </c>
      <c r="M39" s="93">
        <v>33.9</v>
      </c>
      <c r="N39" s="100">
        <f t="shared" ref="N39:N53" si="5">(M39-J39)/J39*100</f>
        <v>-1.7391304347826129</v>
      </c>
      <c r="O39" s="92">
        <v>32.9</v>
      </c>
      <c r="P39" s="92">
        <f t="shared" ref="P39:P53" si="6">(O39-J39)/J39*100</f>
        <v>-4.6376811594202945</v>
      </c>
      <c r="Q39" s="92">
        <v>34.1</v>
      </c>
      <c r="R39" s="92">
        <f t="shared" ref="R39:R53" si="7">(Q39-J39)/J39*100</f>
        <v>-1.1594202898550683</v>
      </c>
    </row>
    <row r="40" spans="1:20" x14ac:dyDescent="0.25">
      <c r="B40" s="143"/>
      <c r="C40" s="143"/>
      <c r="D40" s="58"/>
      <c r="E40" s="58"/>
      <c r="F40" s="143"/>
      <c r="G40" s="58" t="s">
        <v>378</v>
      </c>
      <c r="H40" s="62">
        <v>13</v>
      </c>
      <c r="I40" s="63">
        <v>35</v>
      </c>
      <c r="J40" s="63">
        <v>34.799999999999997</v>
      </c>
      <c r="K40" s="92">
        <v>35.4</v>
      </c>
      <c r="L40" s="92">
        <f t="shared" si="4"/>
        <v>1.7241379310344869</v>
      </c>
      <c r="M40" s="93">
        <v>36.4</v>
      </c>
      <c r="N40" s="100">
        <f t="shared" si="5"/>
        <v>4.5977011494252924</v>
      </c>
      <c r="O40" s="93">
        <v>35.799999999999997</v>
      </c>
      <c r="P40" s="92">
        <f t="shared" si="6"/>
        <v>2.8735632183908049</v>
      </c>
      <c r="Q40" s="93">
        <v>34.9</v>
      </c>
      <c r="R40" s="92">
        <f t="shared" si="7"/>
        <v>0.28735632183908455</v>
      </c>
    </row>
    <row r="41" spans="1:20" x14ac:dyDescent="0.25">
      <c r="B41" s="143"/>
      <c r="C41" s="143"/>
      <c r="D41" s="58"/>
      <c r="E41" s="58"/>
      <c r="F41" s="143"/>
      <c r="G41" s="58" t="s">
        <v>379</v>
      </c>
      <c r="H41" s="62">
        <v>13</v>
      </c>
      <c r="I41" s="63">
        <v>35</v>
      </c>
      <c r="J41" s="63">
        <v>32.5</v>
      </c>
      <c r="K41" s="92">
        <v>34.799999999999997</v>
      </c>
      <c r="L41" s="92">
        <f t="shared" si="4"/>
        <v>7.0769230769230678</v>
      </c>
      <c r="M41" s="93">
        <v>34.799999999999997</v>
      </c>
      <c r="N41" s="100">
        <f t="shared" si="5"/>
        <v>7.0769230769230678</v>
      </c>
      <c r="O41" s="93">
        <v>34.200000000000003</v>
      </c>
      <c r="P41" s="92">
        <f t="shared" si="6"/>
        <v>5.2307692307692397</v>
      </c>
      <c r="Q41" s="93">
        <v>34.4</v>
      </c>
      <c r="R41" s="92">
        <f t="shared" si="7"/>
        <v>5.8461538461538423</v>
      </c>
    </row>
    <row r="42" spans="1:20" x14ac:dyDescent="0.25">
      <c r="B42" s="143"/>
      <c r="C42" s="143"/>
      <c r="D42" s="58"/>
      <c r="E42" s="58"/>
      <c r="F42" s="143"/>
      <c r="G42" s="58" t="s">
        <v>380</v>
      </c>
      <c r="H42" s="62">
        <v>13</v>
      </c>
      <c r="I42" s="63">
        <v>35</v>
      </c>
      <c r="J42" s="63">
        <v>37.6</v>
      </c>
      <c r="K42" s="92">
        <v>36.5</v>
      </c>
      <c r="L42" s="92">
        <f t="shared" si="4"/>
        <v>-2.9255319148936207</v>
      </c>
      <c r="M42" s="93">
        <v>36.6</v>
      </c>
      <c r="N42" s="100">
        <f t="shared" si="5"/>
        <v>-2.6595744680851063</v>
      </c>
      <c r="O42" s="93">
        <v>36.6</v>
      </c>
      <c r="P42" s="92">
        <f t="shared" si="6"/>
        <v>-2.6595744680851063</v>
      </c>
      <c r="Q42" s="93">
        <v>35</v>
      </c>
      <c r="R42" s="92">
        <f t="shared" si="7"/>
        <v>-6.9148936170212796</v>
      </c>
    </row>
    <row r="43" spans="1:20" x14ac:dyDescent="0.25">
      <c r="B43" s="143"/>
      <c r="C43" s="143"/>
      <c r="D43" s="58"/>
      <c r="E43" s="58"/>
      <c r="F43" s="143"/>
      <c r="G43" s="58" t="s">
        <v>381</v>
      </c>
      <c r="H43" s="62">
        <v>13</v>
      </c>
      <c r="I43" s="63">
        <v>35</v>
      </c>
      <c r="J43" s="63">
        <v>36.6</v>
      </c>
      <c r="K43" s="92">
        <v>35.700000000000003</v>
      </c>
      <c r="L43" s="92">
        <f t="shared" si="4"/>
        <v>-2.459016393442619</v>
      </c>
      <c r="M43" s="93">
        <v>35.799999999999997</v>
      </c>
      <c r="N43" s="100">
        <f t="shared" si="5"/>
        <v>-2.1857923497267873</v>
      </c>
      <c r="O43" s="93">
        <v>35.4</v>
      </c>
      <c r="P43" s="92">
        <f t="shared" si="6"/>
        <v>-3.2786885245901716</v>
      </c>
      <c r="Q43" s="93">
        <v>34.700000000000003</v>
      </c>
      <c r="R43" s="92">
        <f t="shared" si="7"/>
        <v>-5.1912568306010893</v>
      </c>
    </row>
    <row r="44" spans="1:20" x14ac:dyDescent="0.25">
      <c r="B44" s="143"/>
      <c r="C44" s="143"/>
      <c r="D44" s="58"/>
      <c r="E44" s="58"/>
      <c r="F44" s="143"/>
      <c r="G44" s="58" t="s">
        <v>382</v>
      </c>
      <c r="H44" s="62">
        <v>13</v>
      </c>
      <c r="I44" s="63">
        <v>35</v>
      </c>
      <c r="J44" s="63">
        <v>41.4</v>
      </c>
      <c r="K44" s="92">
        <v>37.200000000000003</v>
      </c>
      <c r="L44" s="92">
        <f t="shared" si="4"/>
        <v>-10.144927536231874</v>
      </c>
      <c r="M44" s="93">
        <v>37.4</v>
      </c>
      <c r="N44" s="100">
        <f t="shared" si="5"/>
        <v>-9.6618357487922708</v>
      </c>
      <c r="O44" s="93">
        <v>37.9</v>
      </c>
      <c r="P44" s="92">
        <f t="shared" si="6"/>
        <v>-8.454106280193237</v>
      </c>
      <c r="Q44" s="93">
        <v>35.299999999999997</v>
      </c>
      <c r="R44" s="92">
        <f t="shared" si="7"/>
        <v>-14.734299516908218</v>
      </c>
    </row>
    <row r="45" spans="1:20" x14ac:dyDescent="0.25">
      <c r="B45" s="143"/>
      <c r="C45" s="143"/>
      <c r="D45" s="58"/>
      <c r="E45" s="58"/>
      <c r="F45" s="143"/>
      <c r="G45" s="58" t="s">
        <v>383</v>
      </c>
      <c r="H45" s="62">
        <v>13</v>
      </c>
      <c r="I45" s="63">
        <v>35</v>
      </c>
      <c r="J45" s="63">
        <v>39.700000000000003</v>
      </c>
      <c r="K45" s="92">
        <v>36.299999999999997</v>
      </c>
      <c r="L45" s="92">
        <f t="shared" si="4"/>
        <v>-8.5642317380352786</v>
      </c>
      <c r="M45" s="93">
        <v>36.5</v>
      </c>
      <c r="N45" s="100">
        <f t="shared" si="5"/>
        <v>-8.0604534005037856</v>
      </c>
      <c r="O45" s="93">
        <v>36.5</v>
      </c>
      <c r="P45" s="92">
        <f t="shared" si="6"/>
        <v>-8.0604534005037856</v>
      </c>
      <c r="Q45" s="93">
        <v>34.9</v>
      </c>
      <c r="R45" s="92">
        <f t="shared" si="7"/>
        <v>-12.090680100755677</v>
      </c>
    </row>
    <row r="46" spans="1:20" x14ac:dyDescent="0.25">
      <c r="B46" s="143"/>
      <c r="C46" s="143"/>
      <c r="D46" s="58"/>
      <c r="E46" s="58"/>
      <c r="F46" s="143"/>
      <c r="G46" s="58" t="s">
        <v>376</v>
      </c>
      <c r="H46" s="62">
        <v>27</v>
      </c>
      <c r="I46" s="63">
        <v>35</v>
      </c>
      <c r="J46" s="63">
        <v>28.3</v>
      </c>
      <c r="K46" s="92">
        <v>34.4</v>
      </c>
      <c r="L46" s="92">
        <f t="shared" si="4"/>
        <v>21.554770318021195</v>
      </c>
      <c r="M46" s="93">
        <v>33.700000000000003</v>
      </c>
      <c r="N46" s="100">
        <f t="shared" si="5"/>
        <v>19.081272084805661</v>
      </c>
      <c r="O46" s="93">
        <v>34.5</v>
      </c>
      <c r="P46" s="92">
        <f t="shared" si="6"/>
        <v>21.908127208480561</v>
      </c>
      <c r="Q46" s="93">
        <v>33.9</v>
      </c>
      <c r="R46" s="92">
        <f t="shared" si="7"/>
        <v>19.787985865724373</v>
      </c>
    </row>
    <row r="47" spans="1:20" x14ac:dyDescent="0.25">
      <c r="B47" s="143"/>
      <c r="C47" s="143"/>
      <c r="D47" s="58"/>
      <c r="E47" s="58"/>
      <c r="F47" s="143"/>
      <c r="G47" s="58" t="s">
        <v>377</v>
      </c>
      <c r="H47" s="62">
        <v>27</v>
      </c>
      <c r="I47" s="63">
        <v>35</v>
      </c>
      <c r="J47" s="63">
        <v>26.6</v>
      </c>
      <c r="K47" s="92">
        <v>33.6</v>
      </c>
      <c r="L47" s="92">
        <f t="shared" si="4"/>
        <v>26.315789473684209</v>
      </c>
      <c r="M47" s="92">
        <v>33</v>
      </c>
      <c r="N47" s="100">
        <f t="shared" si="5"/>
        <v>24.060150375939841</v>
      </c>
      <c r="O47" s="92">
        <v>33.5</v>
      </c>
      <c r="P47" s="92">
        <f t="shared" si="6"/>
        <v>25.939849624060145</v>
      </c>
      <c r="Q47" s="92">
        <v>33.5</v>
      </c>
      <c r="R47" s="92">
        <f t="shared" si="7"/>
        <v>25.939849624060145</v>
      </c>
    </row>
    <row r="48" spans="1:20" x14ac:dyDescent="0.25">
      <c r="B48" s="143"/>
      <c r="C48" s="143"/>
      <c r="D48" s="58"/>
      <c r="E48" s="58"/>
      <c r="F48" s="143"/>
      <c r="G48" s="58" t="s">
        <v>378</v>
      </c>
      <c r="H48" s="62">
        <v>27</v>
      </c>
      <c r="I48" s="63">
        <v>35</v>
      </c>
      <c r="J48" s="63">
        <v>29.5</v>
      </c>
      <c r="K48" s="92">
        <v>36.5</v>
      </c>
      <c r="L48" s="92">
        <f t="shared" si="4"/>
        <v>23.728813559322035</v>
      </c>
      <c r="M48" s="92">
        <v>38.799999999999997</v>
      </c>
      <c r="N48" s="100">
        <f t="shared" si="5"/>
        <v>31.52542372881355</v>
      </c>
      <c r="O48" s="93">
        <v>38.5</v>
      </c>
      <c r="P48" s="92">
        <f t="shared" si="6"/>
        <v>30.508474576271187</v>
      </c>
      <c r="Q48" s="93">
        <v>35.6</v>
      </c>
      <c r="R48" s="92">
        <f t="shared" si="7"/>
        <v>20.677966101694921</v>
      </c>
    </row>
    <row r="49" spans="1:20" x14ac:dyDescent="0.25">
      <c r="B49" s="143"/>
      <c r="C49" s="143"/>
      <c r="D49" s="58"/>
      <c r="E49" s="58"/>
      <c r="F49" s="143"/>
      <c r="G49" s="58" t="s">
        <v>379</v>
      </c>
      <c r="H49" s="62">
        <v>27</v>
      </c>
      <c r="I49" s="63">
        <v>35</v>
      </c>
      <c r="J49" s="63">
        <v>28.8</v>
      </c>
      <c r="K49" s="92">
        <v>34.9</v>
      </c>
      <c r="L49" s="92">
        <f t="shared" si="4"/>
        <v>21.180555555555546</v>
      </c>
      <c r="M49" s="93">
        <v>35</v>
      </c>
      <c r="N49" s="100">
        <f t="shared" si="5"/>
        <v>21.527777777777775</v>
      </c>
      <c r="O49" s="93">
        <v>35.200000000000003</v>
      </c>
      <c r="P49" s="92">
        <f t="shared" si="6"/>
        <v>22.222222222222229</v>
      </c>
      <c r="Q49" s="93">
        <v>34.299999999999997</v>
      </c>
      <c r="R49" s="92">
        <f t="shared" si="7"/>
        <v>19.097222222222211</v>
      </c>
    </row>
    <row r="50" spans="1:20" x14ac:dyDescent="0.25">
      <c r="B50" s="143"/>
      <c r="C50" s="143"/>
      <c r="D50" s="58"/>
      <c r="E50" s="58"/>
      <c r="F50" s="143"/>
      <c r="G50" s="58" t="s">
        <v>380</v>
      </c>
      <c r="H50" s="62">
        <v>27</v>
      </c>
      <c r="I50" s="63">
        <v>35</v>
      </c>
      <c r="J50" s="63">
        <v>35.700000000000003</v>
      </c>
      <c r="K50" s="92">
        <v>38</v>
      </c>
      <c r="L50" s="92">
        <f t="shared" si="4"/>
        <v>6.4425770308123163</v>
      </c>
      <c r="M50" s="93">
        <v>39</v>
      </c>
      <c r="N50" s="100">
        <f t="shared" si="5"/>
        <v>9.2436974789915869</v>
      </c>
      <c r="O50" s="93">
        <v>39.200000000000003</v>
      </c>
      <c r="P50" s="92">
        <f t="shared" si="6"/>
        <v>9.8039215686274517</v>
      </c>
      <c r="Q50" s="93">
        <v>36</v>
      </c>
      <c r="R50" s="92">
        <f t="shared" si="7"/>
        <v>0.84033613445377353</v>
      </c>
    </row>
    <row r="51" spans="1:20" x14ac:dyDescent="0.25">
      <c r="B51" s="143"/>
      <c r="C51" s="143"/>
      <c r="D51" s="58"/>
      <c r="E51" s="58"/>
      <c r="F51" s="143"/>
      <c r="G51" s="58" t="s">
        <v>381</v>
      </c>
      <c r="H51" s="62">
        <v>27</v>
      </c>
      <c r="I51" s="63">
        <v>35</v>
      </c>
      <c r="J51" s="63">
        <v>33.4</v>
      </c>
      <c r="K51" s="92">
        <v>35.799999999999997</v>
      </c>
      <c r="L51" s="92">
        <f t="shared" si="4"/>
        <v>7.1856287425149654</v>
      </c>
      <c r="M51" s="93">
        <v>36.799999999999997</v>
      </c>
      <c r="N51" s="100">
        <f t="shared" si="5"/>
        <v>10.179640718562871</v>
      </c>
      <c r="O51" s="93">
        <v>36.299999999999997</v>
      </c>
      <c r="P51" s="92">
        <f t="shared" si="6"/>
        <v>8.6826347305389184</v>
      </c>
      <c r="Q51" s="93">
        <v>34.9</v>
      </c>
      <c r="R51" s="92">
        <f t="shared" si="7"/>
        <v>4.4910179640718564</v>
      </c>
    </row>
    <row r="52" spans="1:20" x14ac:dyDescent="0.25">
      <c r="B52" s="143"/>
      <c r="C52" s="143"/>
      <c r="D52" s="58"/>
      <c r="E52" s="58"/>
      <c r="F52" s="143"/>
      <c r="G52" s="58" t="s">
        <v>382</v>
      </c>
      <c r="H52" s="62">
        <v>27</v>
      </c>
      <c r="I52" s="63">
        <v>35</v>
      </c>
      <c r="J52" s="63">
        <v>37.799999999999997</v>
      </c>
      <c r="K52" s="92">
        <v>38.9</v>
      </c>
      <c r="L52" s="92">
        <f t="shared" si="4"/>
        <v>2.9100529100529142</v>
      </c>
      <c r="M52" s="93">
        <v>40.5</v>
      </c>
      <c r="N52" s="100">
        <f t="shared" si="5"/>
        <v>7.1428571428571512</v>
      </c>
      <c r="O52" s="93">
        <v>40.4</v>
      </c>
      <c r="P52" s="92">
        <f t="shared" si="6"/>
        <v>6.8783068783068817</v>
      </c>
      <c r="Q52" s="93">
        <v>36.5</v>
      </c>
      <c r="R52" s="92">
        <f t="shared" si="7"/>
        <v>-3.439153439153432</v>
      </c>
    </row>
    <row r="53" spans="1:20" x14ac:dyDescent="0.25">
      <c r="B53" s="143"/>
      <c r="C53" s="143"/>
      <c r="D53" s="58"/>
      <c r="E53" s="58"/>
      <c r="F53" s="143"/>
      <c r="G53" s="58" t="s">
        <v>383</v>
      </c>
      <c r="H53" s="62">
        <v>27</v>
      </c>
      <c r="I53" s="63">
        <v>35</v>
      </c>
      <c r="J53" s="63">
        <v>37</v>
      </c>
      <c r="K53" s="92">
        <v>36.9</v>
      </c>
      <c r="L53" s="92">
        <f t="shared" si="4"/>
        <v>-0.27027027027027412</v>
      </c>
      <c r="M53" s="93">
        <v>38.299999999999997</v>
      </c>
      <c r="N53" s="100">
        <f t="shared" si="5"/>
        <v>3.513513513513506</v>
      </c>
      <c r="O53" s="93">
        <v>37.700000000000003</v>
      </c>
      <c r="P53" s="92">
        <f t="shared" si="6"/>
        <v>1.8918918918918997</v>
      </c>
      <c r="Q53" s="93">
        <v>35.5</v>
      </c>
      <c r="R53" s="92">
        <f t="shared" si="7"/>
        <v>-4.0540540540540544</v>
      </c>
    </row>
    <row r="54" spans="1:20" x14ac:dyDescent="0.25">
      <c r="B54" s="144"/>
      <c r="C54" s="144"/>
      <c r="D54" s="60"/>
      <c r="E54" s="60"/>
      <c r="F54" s="144"/>
      <c r="G54" s="60" t="s">
        <v>375</v>
      </c>
      <c r="H54" s="60"/>
      <c r="I54" s="60"/>
      <c r="J54" s="60"/>
      <c r="K54" s="97"/>
      <c r="L54" s="98" t="s">
        <v>262</v>
      </c>
      <c r="M54" s="98"/>
      <c r="N54" s="99" t="s">
        <v>434</v>
      </c>
      <c r="O54" s="98"/>
      <c r="P54" s="99" t="s">
        <v>435</v>
      </c>
      <c r="Q54" s="98"/>
      <c r="R54" s="99" t="s">
        <v>436</v>
      </c>
      <c r="T54" s="95"/>
    </row>
    <row r="55" spans="1:20" ht="17.25" customHeight="1" x14ac:dyDescent="0.25">
      <c r="A55" s="54"/>
      <c r="B55" s="140" t="s">
        <v>47</v>
      </c>
      <c r="C55" s="140" t="s">
        <v>184</v>
      </c>
      <c r="D55" s="96" t="s">
        <v>247</v>
      </c>
      <c r="E55" s="96" t="s">
        <v>263</v>
      </c>
      <c r="F55" s="140" t="s">
        <v>37</v>
      </c>
      <c r="G55" s="58" t="s">
        <v>376</v>
      </c>
      <c r="H55" s="66">
        <v>13</v>
      </c>
      <c r="I55" s="66">
        <v>110.2</v>
      </c>
      <c r="J55" s="112">
        <v>94.4</v>
      </c>
      <c r="K55" s="66">
        <v>108.2</v>
      </c>
      <c r="L55" s="123">
        <f>(K55-J55)/J55*100</f>
        <v>14.618644067796607</v>
      </c>
      <c r="M55" s="66">
        <v>106</v>
      </c>
      <c r="N55" s="123">
        <f>(M55-J55)/J55*100</f>
        <v>12.288135593220332</v>
      </c>
      <c r="O55" s="66">
        <v>108.1</v>
      </c>
      <c r="P55" s="123">
        <f>(O55-J55)/J55*100</f>
        <v>14.512711864406766</v>
      </c>
      <c r="Q55" s="66">
        <v>107.1</v>
      </c>
      <c r="R55" s="123">
        <f>(Q55-J55)/J55*100</f>
        <v>13.453389830508462</v>
      </c>
    </row>
    <row r="56" spans="1:20" x14ac:dyDescent="0.25">
      <c r="A56" s="54"/>
      <c r="B56" s="157"/>
      <c r="C56" s="139"/>
      <c r="D56" s="78"/>
      <c r="E56" s="78"/>
      <c r="F56" s="143"/>
      <c r="G56" s="58" t="s">
        <v>377</v>
      </c>
      <c r="H56" s="68">
        <v>13</v>
      </c>
      <c r="I56" s="68">
        <v>110.2</v>
      </c>
      <c r="J56" s="111">
        <v>95.7</v>
      </c>
      <c r="K56" s="68">
        <v>107.4</v>
      </c>
      <c r="L56" s="113">
        <f t="shared" ref="L56:L70" si="8">(K56-J56)/J56*100</f>
        <v>12.225705329153607</v>
      </c>
      <c r="M56" s="68">
        <v>105.4</v>
      </c>
      <c r="N56" s="113">
        <f t="shared" ref="N56:N70" si="9">(M56-J56)/J56*100</f>
        <v>10.13584117032393</v>
      </c>
      <c r="O56" s="68">
        <v>102.4</v>
      </c>
      <c r="P56" s="113">
        <f t="shared" ref="P56:P70" si="10">(O56-J56)/J56*100</f>
        <v>7.0010449320794175</v>
      </c>
      <c r="Q56" s="68">
        <v>106.8</v>
      </c>
      <c r="R56" s="113">
        <f t="shared" ref="R56:R70" si="11">(Q56-J56)/J56*100</f>
        <v>11.598746081504697</v>
      </c>
    </row>
    <row r="57" spans="1:20" x14ac:dyDescent="0.25">
      <c r="A57" s="54"/>
      <c r="B57" s="157"/>
      <c r="C57" s="139"/>
      <c r="D57" s="78"/>
      <c r="E57" s="78"/>
      <c r="F57" s="143"/>
      <c r="G57" s="58" t="s">
        <v>378</v>
      </c>
      <c r="H57" s="68">
        <v>13</v>
      </c>
      <c r="I57" s="68">
        <v>110.2</v>
      </c>
      <c r="J57" s="111">
        <v>97.1</v>
      </c>
      <c r="K57" s="68">
        <v>109.2</v>
      </c>
      <c r="L57" s="113">
        <f t="shared" si="8"/>
        <v>12.461380020597332</v>
      </c>
      <c r="M57" s="68">
        <v>107.2</v>
      </c>
      <c r="N57" s="113">
        <f t="shared" si="9"/>
        <v>10.401647785787857</v>
      </c>
      <c r="O57" s="68">
        <v>105.1</v>
      </c>
      <c r="P57" s="113">
        <f t="shared" si="10"/>
        <v>8.2389289392378995</v>
      </c>
      <c r="Q57" s="68">
        <v>107.5</v>
      </c>
      <c r="R57" s="113">
        <f t="shared" si="11"/>
        <v>10.710607621009276</v>
      </c>
    </row>
    <row r="58" spans="1:20" x14ac:dyDescent="0.25">
      <c r="A58" s="54"/>
      <c r="B58" s="157"/>
      <c r="C58" s="139"/>
      <c r="D58" s="78"/>
      <c r="E58" s="78"/>
      <c r="F58" s="143"/>
      <c r="G58" s="58" t="s">
        <v>379</v>
      </c>
      <c r="H58" s="68">
        <v>13</v>
      </c>
      <c r="I58" s="68">
        <v>110.2</v>
      </c>
      <c r="J58" s="111">
        <v>94.8</v>
      </c>
      <c r="K58" s="68">
        <v>108.1</v>
      </c>
      <c r="L58" s="113">
        <f t="shared" si="8"/>
        <v>14.0295358649789</v>
      </c>
      <c r="M58" s="68">
        <v>106.1</v>
      </c>
      <c r="N58" s="113">
        <f t="shared" si="9"/>
        <v>11.919831223628689</v>
      </c>
      <c r="O58" s="68">
        <v>103.3</v>
      </c>
      <c r="P58" s="113">
        <f t="shared" si="10"/>
        <v>8.966244725738397</v>
      </c>
      <c r="Q58" s="68">
        <v>107</v>
      </c>
      <c r="R58" s="113">
        <f t="shared" si="11"/>
        <v>12.869198312236291</v>
      </c>
    </row>
    <row r="59" spans="1:20" x14ac:dyDescent="0.25">
      <c r="A59" s="54"/>
      <c r="B59" s="157"/>
      <c r="C59" s="139"/>
      <c r="D59" s="78"/>
      <c r="E59" s="78"/>
      <c r="F59" s="143"/>
      <c r="G59" s="58" t="s">
        <v>380</v>
      </c>
      <c r="H59" s="68">
        <v>13</v>
      </c>
      <c r="I59" s="68">
        <v>110.2</v>
      </c>
      <c r="J59" s="111">
        <v>96.1</v>
      </c>
      <c r="K59" s="68">
        <v>110.3</v>
      </c>
      <c r="L59" s="113">
        <f t="shared" si="8"/>
        <v>14.776274713839754</v>
      </c>
      <c r="M59" s="68">
        <v>108.3</v>
      </c>
      <c r="N59" s="113">
        <f t="shared" si="9"/>
        <v>12.695109261186269</v>
      </c>
      <c r="O59" s="68">
        <v>106.3</v>
      </c>
      <c r="P59" s="113">
        <f t="shared" si="10"/>
        <v>10.613943808532781</v>
      </c>
      <c r="Q59" s="68">
        <v>107.9</v>
      </c>
      <c r="R59" s="113">
        <f t="shared" si="11"/>
        <v>12.278876170655579</v>
      </c>
    </row>
    <row r="60" spans="1:20" x14ac:dyDescent="0.25">
      <c r="A60" s="54"/>
      <c r="B60" s="157"/>
      <c r="C60" s="139"/>
      <c r="D60" s="78"/>
      <c r="E60" s="78"/>
      <c r="F60" s="143"/>
      <c r="G60" s="58" t="s">
        <v>381</v>
      </c>
      <c r="H60" s="68">
        <v>13</v>
      </c>
      <c r="I60" s="68">
        <v>110.2</v>
      </c>
      <c r="J60" s="111">
        <v>95.1</v>
      </c>
      <c r="K60" s="68">
        <v>108.6</v>
      </c>
      <c r="L60" s="113">
        <f t="shared" si="8"/>
        <v>14.195583596214512</v>
      </c>
      <c r="M60" s="68">
        <v>106.6</v>
      </c>
      <c r="N60" s="113">
        <f t="shared" si="9"/>
        <v>12.092534174553103</v>
      </c>
      <c r="O60" s="68">
        <v>103.9</v>
      </c>
      <c r="P60" s="113">
        <f t="shared" si="10"/>
        <v>9.2534174553102115</v>
      </c>
      <c r="Q60" s="68">
        <v>107.2</v>
      </c>
      <c r="R60" s="113">
        <f t="shared" si="11"/>
        <v>12.723449001051534</v>
      </c>
    </row>
    <row r="61" spans="1:20" x14ac:dyDescent="0.25">
      <c r="A61" s="54"/>
      <c r="B61" s="157"/>
      <c r="C61" s="139"/>
      <c r="D61" s="78"/>
      <c r="E61" s="78"/>
      <c r="F61" s="143"/>
      <c r="G61" s="58" t="s">
        <v>382</v>
      </c>
      <c r="H61" s="68">
        <v>13</v>
      </c>
      <c r="I61" s="68">
        <v>110.2</v>
      </c>
      <c r="J61" s="111">
        <v>99</v>
      </c>
      <c r="K61" s="68">
        <v>110.3</v>
      </c>
      <c r="L61" s="113">
        <f t="shared" si="8"/>
        <v>11.414141414141412</v>
      </c>
      <c r="M61" s="68">
        <v>108.1</v>
      </c>
      <c r="N61" s="113">
        <f t="shared" si="9"/>
        <v>9.1919191919191867</v>
      </c>
      <c r="O61" s="68">
        <v>106.1</v>
      </c>
      <c r="P61" s="113">
        <f t="shared" si="10"/>
        <v>7.1717171717171668</v>
      </c>
      <c r="Q61" s="68">
        <v>107.8</v>
      </c>
      <c r="R61" s="113">
        <f t="shared" si="11"/>
        <v>8.8888888888888857</v>
      </c>
    </row>
    <row r="62" spans="1:20" x14ac:dyDescent="0.25">
      <c r="A62" s="54"/>
      <c r="B62" s="157"/>
      <c r="C62" s="139"/>
      <c r="D62" s="78"/>
      <c r="E62" s="78"/>
      <c r="F62" s="143"/>
      <c r="G62" s="58" t="s">
        <v>383</v>
      </c>
      <c r="H62" s="68">
        <v>13</v>
      </c>
      <c r="I62" s="68">
        <v>110.2</v>
      </c>
      <c r="J62" s="111">
        <v>96.3</v>
      </c>
      <c r="K62" s="68">
        <v>108.7</v>
      </c>
      <c r="L62" s="113">
        <f t="shared" si="8"/>
        <v>12.876427829698864</v>
      </c>
      <c r="M62" s="68">
        <v>106.7</v>
      </c>
      <c r="N62" s="113">
        <f t="shared" si="9"/>
        <v>10.799584631360339</v>
      </c>
      <c r="O62" s="68">
        <v>103.9</v>
      </c>
      <c r="P62" s="113">
        <f t="shared" si="10"/>
        <v>7.8920041536864067</v>
      </c>
      <c r="Q62" s="68">
        <v>107.3</v>
      </c>
      <c r="R62" s="113">
        <f t="shared" si="11"/>
        <v>11.422637590861891</v>
      </c>
    </row>
    <row r="63" spans="1:20" x14ac:dyDescent="0.25">
      <c r="A63" s="54"/>
      <c r="B63" s="157"/>
      <c r="C63" s="139"/>
      <c r="D63" s="78"/>
      <c r="E63" s="78"/>
      <c r="F63" s="143"/>
      <c r="G63" s="58" t="s">
        <v>376</v>
      </c>
      <c r="H63" s="68">
        <v>27</v>
      </c>
      <c r="I63" s="68">
        <v>110.2</v>
      </c>
      <c r="J63" s="111">
        <v>89.1</v>
      </c>
      <c r="K63" s="68">
        <v>104.2</v>
      </c>
      <c r="L63" s="113">
        <f t="shared" si="8"/>
        <v>16.947250280583624</v>
      </c>
      <c r="M63" s="69">
        <v>99.7</v>
      </c>
      <c r="N63" s="113">
        <f t="shared" si="9"/>
        <v>11.896745230078572</v>
      </c>
      <c r="O63" s="68">
        <v>103.5</v>
      </c>
      <c r="P63" s="113">
        <f t="shared" si="10"/>
        <v>16.16161616161617</v>
      </c>
      <c r="Q63" s="68">
        <v>104.1</v>
      </c>
      <c r="R63" s="113">
        <f t="shared" si="11"/>
        <v>16.835016835016837</v>
      </c>
    </row>
    <row r="64" spans="1:20" x14ac:dyDescent="0.25">
      <c r="A64" s="54"/>
      <c r="B64" s="157"/>
      <c r="C64" s="139"/>
      <c r="D64" s="78"/>
      <c r="E64" s="78"/>
      <c r="F64" s="143"/>
      <c r="G64" s="58" t="s">
        <v>377</v>
      </c>
      <c r="H64" s="68">
        <v>27</v>
      </c>
      <c r="I64" s="68">
        <v>110.2</v>
      </c>
      <c r="J64" s="111">
        <v>89.5</v>
      </c>
      <c r="K64" s="68">
        <v>102.8</v>
      </c>
      <c r="L64" s="113">
        <f t="shared" si="8"/>
        <v>14.860335195530725</v>
      </c>
      <c r="M64" s="68">
        <v>98.6</v>
      </c>
      <c r="N64" s="113">
        <f t="shared" si="9"/>
        <v>10.167597765363121</v>
      </c>
      <c r="O64" s="68">
        <v>100</v>
      </c>
      <c r="P64" s="113">
        <f t="shared" si="10"/>
        <v>11.731843575418994</v>
      </c>
      <c r="Q64" s="68">
        <v>103.4</v>
      </c>
      <c r="R64" s="113">
        <f t="shared" si="11"/>
        <v>15.530726256983247</v>
      </c>
    </row>
    <row r="65" spans="1:20" x14ac:dyDescent="0.25">
      <c r="A65" s="54"/>
      <c r="B65" s="157"/>
      <c r="C65" s="139"/>
      <c r="D65" s="78"/>
      <c r="E65" s="78"/>
      <c r="F65" s="143"/>
      <c r="G65" s="58" t="s">
        <v>378</v>
      </c>
      <c r="H65" s="68">
        <v>27</v>
      </c>
      <c r="I65" s="68">
        <v>110.2</v>
      </c>
      <c r="J65" s="111">
        <v>92.3</v>
      </c>
      <c r="K65" s="68">
        <v>105.3</v>
      </c>
      <c r="L65" s="113">
        <f t="shared" si="8"/>
        <v>14.084507042253522</v>
      </c>
      <c r="M65" s="68">
        <v>102</v>
      </c>
      <c r="N65" s="113">
        <f t="shared" si="9"/>
        <v>10.509209100758401</v>
      </c>
      <c r="O65" s="68">
        <v>103</v>
      </c>
      <c r="P65" s="113">
        <f t="shared" si="10"/>
        <v>11.592632719393286</v>
      </c>
      <c r="Q65" s="68">
        <v>105</v>
      </c>
      <c r="R65" s="113">
        <f t="shared" si="11"/>
        <v>13.759479956663059</v>
      </c>
    </row>
    <row r="66" spans="1:20" x14ac:dyDescent="0.25">
      <c r="A66" s="54"/>
      <c r="B66" s="157"/>
      <c r="C66" s="139"/>
      <c r="D66" s="78"/>
      <c r="E66" s="78"/>
      <c r="F66" s="143"/>
      <c r="G66" s="58" t="s">
        <v>379</v>
      </c>
      <c r="H66" s="68">
        <v>27</v>
      </c>
      <c r="I66" s="68">
        <v>110.2</v>
      </c>
      <c r="J66" s="111">
        <v>92.5</v>
      </c>
      <c r="K66" s="68">
        <v>103.6</v>
      </c>
      <c r="L66" s="113">
        <f t="shared" si="8"/>
        <v>11.999999999999995</v>
      </c>
      <c r="M66" s="68">
        <v>100</v>
      </c>
      <c r="N66" s="113">
        <f t="shared" si="9"/>
        <v>8.1081081081081088</v>
      </c>
      <c r="O66" s="68">
        <v>101</v>
      </c>
      <c r="P66" s="113">
        <f t="shared" si="10"/>
        <v>9.1891891891891895</v>
      </c>
      <c r="Q66" s="68">
        <v>104</v>
      </c>
      <c r="R66" s="113">
        <f t="shared" si="11"/>
        <v>12.432432432432433</v>
      </c>
    </row>
    <row r="67" spans="1:20" x14ac:dyDescent="0.25">
      <c r="A67" s="54"/>
      <c r="B67" s="157"/>
      <c r="C67" s="139"/>
      <c r="D67" s="78"/>
      <c r="E67" s="78"/>
      <c r="F67" s="143"/>
      <c r="G67" s="58" t="s">
        <v>380</v>
      </c>
      <c r="H67" s="68">
        <v>27</v>
      </c>
      <c r="I67" s="68">
        <v>110.2</v>
      </c>
      <c r="J67" s="113">
        <v>90</v>
      </c>
      <c r="K67" s="68">
        <v>106.5</v>
      </c>
      <c r="L67" s="113">
        <f t="shared" si="8"/>
        <v>18.333333333333332</v>
      </c>
      <c r="M67" s="68">
        <v>104.1</v>
      </c>
      <c r="N67" s="113">
        <f t="shared" si="9"/>
        <v>15.666666666666659</v>
      </c>
      <c r="O67" s="68">
        <v>104.5</v>
      </c>
      <c r="P67" s="113">
        <f t="shared" si="10"/>
        <v>16.111111111111111</v>
      </c>
      <c r="Q67" s="68">
        <v>105.8</v>
      </c>
      <c r="R67" s="113">
        <f t="shared" si="11"/>
        <v>17.555555555555554</v>
      </c>
    </row>
    <row r="68" spans="1:20" x14ac:dyDescent="0.25">
      <c r="A68" s="54"/>
      <c r="B68" s="157"/>
      <c r="C68" s="139"/>
      <c r="D68" s="78"/>
      <c r="E68" s="78"/>
      <c r="F68" s="143"/>
      <c r="G68" s="58" t="s">
        <v>381</v>
      </c>
      <c r="H68" s="68">
        <v>27</v>
      </c>
      <c r="I68" s="68">
        <v>110.2</v>
      </c>
      <c r="J68" s="111">
        <v>87.9</v>
      </c>
      <c r="K68" s="68">
        <v>104.3</v>
      </c>
      <c r="L68" s="113">
        <f t="shared" si="8"/>
        <v>18.657565415244584</v>
      </c>
      <c r="M68" s="68">
        <v>101.6</v>
      </c>
      <c r="N68" s="113">
        <f t="shared" si="9"/>
        <v>15.585893060295778</v>
      </c>
      <c r="O68" s="68">
        <v>101.9</v>
      </c>
      <c r="P68" s="113">
        <f t="shared" si="10"/>
        <v>15.927189988623436</v>
      </c>
      <c r="Q68" s="68">
        <v>104.4</v>
      </c>
      <c r="R68" s="113">
        <f t="shared" si="11"/>
        <v>18.771331058020476</v>
      </c>
    </row>
    <row r="69" spans="1:20" x14ac:dyDescent="0.25">
      <c r="A69" s="54"/>
      <c r="B69" s="157"/>
      <c r="C69" s="139"/>
      <c r="D69" s="78"/>
      <c r="E69" s="78"/>
      <c r="F69" s="143"/>
      <c r="G69" s="58" t="s">
        <v>382</v>
      </c>
      <c r="H69" s="68">
        <v>27</v>
      </c>
      <c r="I69" s="68">
        <v>110.2</v>
      </c>
      <c r="J69" s="111">
        <v>94.5</v>
      </c>
      <c r="K69" s="68">
        <v>106.6</v>
      </c>
      <c r="L69" s="113">
        <f t="shared" si="8"/>
        <v>12.804232804232798</v>
      </c>
      <c r="M69" s="68">
        <v>104.2</v>
      </c>
      <c r="N69" s="113">
        <f t="shared" si="9"/>
        <v>10.264550264550268</v>
      </c>
      <c r="O69" s="68">
        <v>104.7</v>
      </c>
      <c r="P69" s="113">
        <f t="shared" si="10"/>
        <v>10.793650793650796</v>
      </c>
      <c r="Q69" s="68">
        <v>105.8</v>
      </c>
      <c r="R69" s="113">
        <f t="shared" si="11"/>
        <v>11.957671957671954</v>
      </c>
    </row>
    <row r="70" spans="1:20" x14ac:dyDescent="0.25">
      <c r="A70" s="54"/>
      <c r="B70" s="157"/>
      <c r="C70" s="139"/>
      <c r="D70" s="78"/>
      <c r="E70" s="78"/>
      <c r="F70" s="143"/>
      <c r="G70" s="58" t="s">
        <v>383</v>
      </c>
      <c r="H70" s="68">
        <v>27</v>
      </c>
      <c r="I70" s="68">
        <v>110.2</v>
      </c>
      <c r="J70" s="111">
        <v>91</v>
      </c>
      <c r="K70" s="68">
        <v>104.4</v>
      </c>
      <c r="L70" s="113">
        <f t="shared" si="8"/>
        <v>14.725274725274732</v>
      </c>
      <c r="M70" s="68">
        <v>101.4</v>
      </c>
      <c r="N70" s="113">
        <f t="shared" si="9"/>
        <v>11.428571428571436</v>
      </c>
      <c r="O70" s="68">
        <v>101.9</v>
      </c>
      <c r="P70" s="113">
        <f t="shared" si="10"/>
        <v>11.978021978021983</v>
      </c>
      <c r="Q70" s="68">
        <v>104.5</v>
      </c>
      <c r="R70" s="113">
        <f t="shared" si="11"/>
        <v>14.835164835164836</v>
      </c>
      <c r="T70" s="18"/>
    </row>
    <row r="71" spans="1:20" x14ac:dyDescent="0.25">
      <c r="A71" s="54"/>
      <c r="B71" s="144"/>
      <c r="C71" s="142"/>
      <c r="D71" s="70"/>
      <c r="E71" s="70"/>
      <c r="F71" s="144"/>
      <c r="G71" s="60" t="s">
        <v>375</v>
      </c>
      <c r="H71" s="70"/>
      <c r="I71" s="70"/>
      <c r="J71" s="70"/>
      <c r="K71" s="102"/>
      <c r="L71" s="114" t="s">
        <v>468</v>
      </c>
      <c r="M71" s="104"/>
      <c r="N71" s="114" t="s">
        <v>469</v>
      </c>
      <c r="O71" s="102"/>
      <c r="P71" s="114" t="s">
        <v>470</v>
      </c>
      <c r="Q71" s="102"/>
      <c r="R71" s="114" t="s">
        <v>471</v>
      </c>
      <c r="T71" s="18"/>
    </row>
    <row r="72" spans="1:20" x14ac:dyDescent="0.25">
      <c r="B72" s="157" t="s">
        <v>54</v>
      </c>
      <c r="C72" s="140" t="s">
        <v>55</v>
      </c>
      <c r="D72" s="71" t="s">
        <v>264</v>
      </c>
      <c r="E72" s="71" t="s">
        <v>265</v>
      </c>
      <c r="F72" s="140" t="s">
        <v>15</v>
      </c>
      <c r="G72" s="58" t="s">
        <v>58</v>
      </c>
      <c r="H72" s="62">
        <v>9</v>
      </c>
      <c r="I72" s="62" t="s">
        <v>266</v>
      </c>
      <c r="J72" s="62" t="s">
        <v>267</v>
      </c>
      <c r="K72" s="93">
        <v>47.2</v>
      </c>
      <c r="L72" s="92">
        <f>(K72-49.5)/49.5*100</f>
        <v>-4.6464646464646409</v>
      </c>
      <c r="M72" s="92">
        <v>53.7</v>
      </c>
      <c r="N72" s="92">
        <f>(M72-49.5)/49.5*100</f>
        <v>8.4848484848484915</v>
      </c>
      <c r="O72" s="94">
        <v>52.8</v>
      </c>
      <c r="P72" s="92">
        <f>(O72-49.5)/49.5*100</f>
        <v>6.6666666666666607</v>
      </c>
      <c r="Q72" s="94">
        <v>54.2</v>
      </c>
      <c r="R72" s="92">
        <f>(Q72-49.5)/49.5*100</f>
        <v>9.4949494949495001</v>
      </c>
    </row>
    <row r="73" spans="1:20" x14ac:dyDescent="0.25">
      <c r="B73" s="143"/>
      <c r="C73" s="139"/>
      <c r="D73" s="58"/>
      <c r="E73" s="58"/>
      <c r="F73" s="139"/>
      <c r="G73" s="58" t="s">
        <v>59</v>
      </c>
      <c r="H73" s="62">
        <v>9</v>
      </c>
      <c r="I73" s="62" t="s">
        <v>332</v>
      </c>
      <c r="J73" s="62" t="s">
        <v>268</v>
      </c>
      <c r="K73" s="93">
        <v>52.4</v>
      </c>
      <c r="L73" s="92">
        <f>(K73-45.8)/45.8*100</f>
        <v>14.410480349344981</v>
      </c>
      <c r="M73" s="92">
        <v>52.9</v>
      </c>
      <c r="N73" s="92">
        <f>(M73-45.8)/45.8*100</f>
        <v>15.50218340611354</v>
      </c>
      <c r="O73" s="94">
        <v>52.1</v>
      </c>
      <c r="P73" s="92">
        <f>(O73-45.8)/45.8*100</f>
        <v>13.755458515283852</v>
      </c>
      <c r="Q73" s="94">
        <v>53.9</v>
      </c>
      <c r="R73" s="92">
        <f>(Q73-45.8)/45.8*100</f>
        <v>17.685589519650659</v>
      </c>
    </row>
    <row r="74" spans="1:20" x14ac:dyDescent="0.25">
      <c r="B74" s="143"/>
      <c r="C74" s="139"/>
      <c r="D74" s="58"/>
      <c r="E74" s="58"/>
      <c r="F74" s="139"/>
      <c r="G74" s="58" t="s">
        <v>60</v>
      </c>
      <c r="H74" s="62">
        <v>9</v>
      </c>
      <c r="I74" s="62" t="s">
        <v>333</v>
      </c>
      <c r="J74" s="62" t="s">
        <v>269</v>
      </c>
      <c r="K74" s="93">
        <v>58.6</v>
      </c>
      <c r="L74" s="92">
        <f>(K74-53.8)/53.8*100</f>
        <v>8.9219330855018661</v>
      </c>
      <c r="M74" s="92">
        <v>52.9</v>
      </c>
      <c r="N74" s="92">
        <f>(M74-53.8)/53.8*100</f>
        <v>-1.6728624535315959</v>
      </c>
      <c r="O74" s="92">
        <v>52.1</v>
      </c>
      <c r="P74" s="92">
        <f>(O74-53.8)/53.8*100</f>
        <v>-3.1598513011152338</v>
      </c>
      <c r="Q74" s="92">
        <v>53.8</v>
      </c>
      <c r="R74" s="92">
        <f>(Q74-53.8)/53.8*100</f>
        <v>0</v>
      </c>
    </row>
    <row r="75" spans="1:20" x14ac:dyDescent="0.25">
      <c r="B75" s="143"/>
      <c r="C75" s="139"/>
      <c r="D75" s="58"/>
      <c r="E75" s="58"/>
      <c r="F75" s="139"/>
      <c r="G75" s="58" t="s">
        <v>58</v>
      </c>
      <c r="H75" s="62">
        <v>14</v>
      </c>
      <c r="I75" s="62" t="s">
        <v>266</v>
      </c>
      <c r="J75" s="62" t="s">
        <v>270</v>
      </c>
      <c r="K75" s="92">
        <v>47</v>
      </c>
      <c r="L75" s="92">
        <f>(K75-48.2)/48.2*100</f>
        <v>-2.4896265560166033</v>
      </c>
      <c r="M75" s="92">
        <v>53.3</v>
      </c>
      <c r="N75" s="92">
        <f>(M75-48.2)/48.2*100</f>
        <v>10.580912863070527</v>
      </c>
      <c r="O75" s="94">
        <v>52.4</v>
      </c>
      <c r="P75" s="92">
        <f>(O75-48.2)/48.2*100</f>
        <v>8.7136929460580816</v>
      </c>
      <c r="Q75" s="94">
        <v>53.9</v>
      </c>
      <c r="R75" s="92">
        <f>(Q75-48.2)/48.2*100</f>
        <v>11.825726141078828</v>
      </c>
    </row>
    <row r="76" spans="1:20" x14ac:dyDescent="0.25">
      <c r="B76" s="143"/>
      <c r="C76" s="139"/>
      <c r="D76" s="58"/>
      <c r="E76" s="58"/>
      <c r="F76" s="139"/>
      <c r="G76" s="58" t="s">
        <v>59</v>
      </c>
      <c r="H76" s="62">
        <v>14</v>
      </c>
      <c r="I76" s="62" t="s">
        <v>332</v>
      </c>
      <c r="J76" s="62" t="s">
        <v>271</v>
      </c>
      <c r="K76" s="93">
        <v>52.1</v>
      </c>
      <c r="L76" s="92">
        <f>(K76-47.6)/47.6*100</f>
        <v>9.4537815126050422</v>
      </c>
      <c r="M76" s="92">
        <v>52.3</v>
      </c>
      <c r="N76" s="92">
        <f>(M76-47.6)/47.6*100</f>
        <v>9.8739495798319243</v>
      </c>
      <c r="O76" s="94">
        <v>51.8</v>
      </c>
      <c r="P76" s="92">
        <f>(O76-47.6)/47.6*100</f>
        <v>8.8235294117646959</v>
      </c>
      <c r="Q76" s="94">
        <v>53.6</v>
      </c>
      <c r="R76" s="92">
        <f>(Q76-47.6)/47.6*100</f>
        <v>12.605042016806722</v>
      </c>
    </row>
    <row r="77" spans="1:20" x14ac:dyDescent="0.25">
      <c r="B77" s="143"/>
      <c r="C77" s="139"/>
      <c r="D77" s="58"/>
      <c r="E77" s="58"/>
      <c r="F77" s="139"/>
      <c r="G77" s="58" t="s">
        <v>60</v>
      </c>
      <c r="H77" s="62">
        <v>14</v>
      </c>
      <c r="I77" s="62" t="s">
        <v>333</v>
      </c>
      <c r="J77" s="62" t="s">
        <v>272</v>
      </c>
      <c r="K77" s="93">
        <v>58.4</v>
      </c>
      <c r="L77" s="92">
        <f>(K77-51)/51*100</f>
        <v>14.509803921568626</v>
      </c>
      <c r="M77" s="92">
        <v>52.4</v>
      </c>
      <c r="N77" s="92">
        <f>(M77-51)/51*100</f>
        <v>2.7450980392156836</v>
      </c>
      <c r="O77" s="92">
        <v>51.8</v>
      </c>
      <c r="P77" s="92">
        <f>(O77-51)/51*100</f>
        <v>1.5686274509803866</v>
      </c>
      <c r="Q77" s="92">
        <v>53.4</v>
      </c>
      <c r="R77" s="92">
        <f>(Q77-51)/51*100</f>
        <v>4.705882352941174</v>
      </c>
    </row>
    <row r="78" spans="1:20" x14ac:dyDescent="0.25">
      <c r="B78" s="143"/>
      <c r="C78" s="139"/>
      <c r="D78" s="58"/>
      <c r="E78" s="58"/>
      <c r="F78" s="139"/>
      <c r="G78" s="58" t="s">
        <v>58</v>
      </c>
      <c r="H78" s="62">
        <v>23</v>
      </c>
      <c r="I78" s="62" t="s">
        <v>266</v>
      </c>
      <c r="J78" s="93" t="s">
        <v>273</v>
      </c>
      <c r="K78" s="92">
        <v>45.9</v>
      </c>
      <c r="L78" s="92">
        <f>(K78-50.1)/50.1*100</f>
        <v>-8.3832335329341365</v>
      </c>
      <c r="M78" s="92">
        <v>51.4</v>
      </c>
      <c r="N78" s="92">
        <f>(M78-50.1)/50.1*100</f>
        <v>2.5948103792415114</v>
      </c>
      <c r="O78" s="92">
        <v>52.1</v>
      </c>
      <c r="P78" s="92">
        <f>(O78-50.1)/50.1*100</f>
        <v>3.992015968063872</v>
      </c>
      <c r="Q78" s="92">
        <v>53.2</v>
      </c>
      <c r="R78" s="92">
        <f>(Q78-50.1)/50.1*100</f>
        <v>6.1876247504990047</v>
      </c>
    </row>
    <row r="79" spans="1:20" x14ac:dyDescent="0.25">
      <c r="B79" s="143"/>
      <c r="C79" s="139"/>
      <c r="D79" s="58"/>
      <c r="E79" s="58"/>
      <c r="F79" s="139"/>
      <c r="G79" s="58" t="s">
        <v>59</v>
      </c>
      <c r="H79" s="62">
        <v>23</v>
      </c>
      <c r="I79" s="62" t="s">
        <v>332</v>
      </c>
      <c r="J79" s="93" t="s">
        <v>274</v>
      </c>
      <c r="K79" s="92">
        <v>50.9</v>
      </c>
      <c r="L79" s="92">
        <f>(K79-54.1)/54.1*100</f>
        <v>-5.9149722735674723</v>
      </c>
      <c r="M79" s="92">
        <v>50.5</v>
      </c>
      <c r="N79" s="92">
        <f>(M79-54.1)/54.1*100</f>
        <v>-6.6543438077634036</v>
      </c>
      <c r="O79" s="92">
        <v>51.5</v>
      </c>
      <c r="P79" s="92">
        <f>(O79-54.1)/54.1*100</f>
        <v>-4.8059149722735697</v>
      </c>
      <c r="Q79" s="92">
        <v>52.8</v>
      </c>
      <c r="R79" s="92">
        <f>(Q79-54.1)/54.1*100</f>
        <v>-2.4029574861367915</v>
      </c>
    </row>
    <row r="80" spans="1:20" x14ac:dyDescent="0.25">
      <c r="B80" s="143"/>
      <c r="C80" s="139"/>
      <c r="D80" s="58"/>
      <c r="E80" s="58"/>
      <c r="F80" s="139"/>
      <c r="G80" s="58" t="s">
        <v>60</v>
      </c>
      <c r="H80" s="62">
        <v>23</v>
      </c>
      <c r="I80" s="62" t="s">
        <v>333</v>
      </c>
      <c r="J80" s="93" t="s">
        <v>275</v>
      </c>
      <c r="K80" s="92">
        <v>57</v>
      </c>
      <c r="L80" s="92">
        <f>(K80-51.8)/51.8*100</f>
        <v>10.038610038610045</v>
      </c>
      <c r="M80" s="92">
        <v>50.7</v>
      </c>
      <c r="N80" s="92">
        <f t="shared" ref="N80" si="12">(M80-51.8)/51.8*100</f>
        <v>-2.1235521235521126</v>
      </c>
      <c r="O80" s="92">
        <v>51.5</v>
      </c>
      <c r="P80" s="92">
        <f t="shared" ref="P80" si="13">(O80-51.8)/51.8*100</f>
        <v>-0.57915057915057366</v>
      </c>
      <c r="Q80" s="92">
        <v>52.7</v>
      </c>
      <c r="R80" s="92">
        <f t="shared" ref="R80" si="14">(Q80-51.8)/51.8*100</f>
        <v>1.7374517374517486</v>
      </c>
    </row>
    <row r="81" spans="2:20" x14ac:dyDescent="0.25">
      <c r="B81" s="143"/>
      <c r="C81" s="139"/>
      <c r="D81" s="58"/>
      <c r="E81" s="58"/>
      <c r="F81" s="139"/>
      <c r="G81" s="58" t="s">
        <v>58</v>
      </c>
      <c r="H81" s="62">
        <v>26</v>
      </c>
      <c r="I81" s="62" t="s">
        <v>266</v>
      </c>
      <c r="J81" s="62" t="s">
        <v>276</v>
      </c>
      <c r="K81" s="93">
        <v>45.9</v>
      </c>
      <c r="L81" s="92">
        <f>(K81-51.8)/51.8*100</f>
        <v>-11.389961389961387</v>
      </c>
      <c r="M81" s="92">
        <v>51.6</v>
      </c>
      <c r="N81" s="92">
        <f>(M81-51.8)/51.8*100</f>
        <v>-0.38610038610037789</v>
      </c>
      <c r="O81" s="92">
        <v>52.4</v>
      </c>
      <c r="P81" s="92">
        <f>(O81-51.8)/51.8*100</f>
        <v>1.1583011583011611</v>
      </c>
      <c r="Q81" s="92">
        <v>53</v>
      </c>
      <c r="R81" s="92">
        <f>(Q81-51.8)/51.8*100</f>
        <v>2.3166023166023222</v>
      </c>
    </row>
    <row r="82" spans="2:20" x14ac:dyDescent="0.25">
      <c r="B82" s="143"/>
      <c r="C82" s="139"/>
      <c r="D82" s="58"/>
      <c r="E82" s="58"/>
      <c r="F82" s="139"/>
      <c r="G82" s="58" t="s">
        <v>59</v>
      </c>
      <c r="H82" s="62">
        <v>26</v>
      </c>
      <c r="I82" s="62" t="s">
        <v>332</v>
      </c>
      <c r="J82" s="62" t="s">
        <v>277</v>
      </c>
      <c r="K82" s="93">
        <v>50.8</v>
      </c>
      <c r="L82" s="92">
        <f>(K82-56.5)/56.5*100</f>
        <v>-10.088495575221245</v>
      </c>
      <c r="M82" s="92">
        <v>50.3</v>
      </c>
      <c r="N82" s="92">
        <f>(M82-56.5)/56.5*100</f>
        <v>-10.973451327433633</v>
      </c>
      <c r="O82" s="92">
        <v>51.5</v>
      </c>
      <c r="P82" s="92">
        <f>(O82-56.5)/56.5*100</f>
        <v>-8.8495575221238933</v>
      </c>
      <c r="Q82" s="92">
        <v>52.5</v>
      </c>
      <c r="R82" s="92">
        <f>(Q82-56.5)/56.5*100</f>
        <v>-7.0796460176991154</v>
      </c>
    </row>
    <row r="83" spans="2:20" x14ac:dyDescent="0.25">
      <c r="B83" s="143"/>
      <c r="C83" s="139"/>
      <c r="D83" s="58"/>
      <c r="E83" s="58"/>
      <c r="F83" s="139"/>
      <c r="G83" s="58" t="s">
        <v>60</v>
      </c>
      <c r="H83" s="62">
        <v>26</v>
      </c>
      <c r="I83" s="62" t="s">
        <v>333</v>
      </c>
      <c r="J83" s="62" t="s">
        <v>278</v>
      </c>
      <c r="K83" s="92">
        <v>57</v>
      </c>
      <c r="L83" s="92">
        <f>(K83-54.3)/54.3*100</f>
        <v>4.9723756906077403</v>
      </c>
      <c r="M83" s="92">
        <v>50.5</v>
      </c>
      <c r="N83" s="92">
        <f>(M83-54.3)/54.3*100</f>
        <v>-6.9981583793738436</v>
      </c>
      <c r="O83" s="92">
        <v>51.7</v>
      </c>
      <c r="P83" s="92">
        <f>(O83-54.3)/54.3*100</f>
        <v>-4.7882136279926231</v>
      </c>
      <c r="Q83" s="92">
        <v>52.4</v>
      </c>
      <c r="R83" s="92">
        <f>(Q83-54.3)/54.3*100</f>
        <v>-3.4990791896869218</v>
      </c>
    </row>
    <row r="84" spans="2:20" x14ac:dyDescent="0.25">
      <c r="B84" s="143"/>
      <c r="C84" s="139"/>
      <c r="D84" s="58"/>
      <c r="E84" s="58"/>
      <c r="F84" s="139"/>
      <c r="G84" s="58" t="s">
        <v>58</v>
      </c>
      <c r="H84" s="62">
        <v>29</v>
      </c>
      <c r="I84" s="62" t="s">
        <v>266</v>
      </c>
      <c r="J84" s="62" t="s">
        <v>279</v>
      </c>
      <c r="K84" s="93">
        <v>45.6</v>
      </c>
      <c r="L84" s="92">
        <f>(K84-51.6)/51.6*100</f>
        <v>-11.627906976744185</v>
      </c>
      <c r="M84" s="92">
        <v>51.2</v>
      </c>
      <c r="N84" s="92">
        <f>(M84-51.6)/51.6*100</f>
        <v>-0.77519379844960956</v>
      </c>
      <c r="O84" s="92">
        <v>52.7</v>
      </c>
      <c r="P84" s="92">
        <f>(O84-51.6)/51.6*100</f>
        <v>2.131782945736437</v>
      </c>
      <c r="Q84" s="92">
        <v>52.8</v>
      </c>
      <c r="R84" s="92">
        <f>(Q84-51.6)/51.6*100</f>
        <v>2.3255813953488289</v>
      </c>
    </row>
    <row r="85" spans="2:20" x14ac:dyDescent="0.25">
      <c r="B85" s="143"/>
      <c r="C85" s="139"/>
      <c r="D85" s="58"/>
      <c r="E85" s="58"/>
      <c r="F85" s="139"/>
      <c r="G85" s="58" t="s">
        <v>59</v>
      </c>
      <c r="H85" s="62">
        <v>29</v>
      </c>
      <c r="I85" s="62" t="s">
        <v>332</v>
      </c>
      <c r="J85" s="62" t="s">
        <v>280</v>
      </c>
      <c r="K85" s="93">
        <v>50.6</v>
      </c>
      <c r="L85" s="92">
        <f>(K85-54.9)/54.9*100</f>
        <v>-7.8324225865209414</v>
      </c>
      <c r="M85" s="92">
        <v>49.7</v>
      </c>
      <c r="N85" s="92">
        <f>(M85-54.9)/54.9*100</f>
        <v>-9.4717668488160207</v>
      </c>
      <c r="O85" s="92">
        <v>51.5</v>
      </c>
      <c r="P85" s="92">
        <f>(O85-54.9)/54.9*100</f>
        <v>-6.1930783242258629</v>
      </c>
      <c r="Q85" s="92">
        <v>52.2</v>
      </c>
      <c r="R85" s="92">
        <f>(Q85-54.9)/54.9*100</f>
        <v>-4.918032786885238</v>
      </c>
    </row>
    <row r="86" spans="2:20" x14ac:dyDescent="0.25">
      <c r="B86" s="143"/>
      <c r="C86" s="139"/>
      <c r="D86" s="58"/>
      <c r="E86" s="58"/>
      <c r="F86" s="139"/>
      <c r="G86" s="58" t="s">
        <v>60</v>
      </c>
      <c r="H86" s="62">
        <v>29</v>
      </c>
      <c r="I86" s="62" t="s">
        <v>333</v>
      </c>
      <c r="J86" s="62" t="s">
        <v>281</v>
      </c>
      <c r="K86" s="93">
        <v>56.8</v>
      </c>
      <c r="L86" s="92">
        <f>(K86-59.4)/59.4*100</f>
        <v>-4.3771043771043789</v>
      </c>
      <c r="M86" s="92">
        <v>50</v>
      </c>
      <c r="N86" s="92">
        <f>(M86-59.4)/59.4*100</f>
        <v>-15.824915824915822</v>
      </c>
      <c r="O86" s="92">
        <v>51.7</v>
      </c>
      <c r="P86" s="92">
        <f>(O86-59.4)/59.4*100</f>
        <v>-12.962962962962957</v>
      </c>
      <c r="Q86" s="92">
        <v>52.2</v>
      </c>
      <c r="R86" s="92">
        <f>(Q86-59.4)/59.4*100</f>
        <v>-12.121212121212114</v>
      </c>
    </row>
    <row r="87" spans="2:20" x14ac:dyDescent="0.25">
      <c r="B87" s="143"/>
      <c r="C87" s="139"/>
      <c r="D87" s="58"/>
      <c r="E87" s="58"/>
      <c r="F87" s="139"/>
      <c r="G87" s="58" t="s">
        <v>58</v>
      </c>
      <c r="H87" s="62">
        <v>32</v>
      </c>
      <c r="I87" s="62" t="s">
        <v>266</v>
      </c>
      <c r="J87" s="62" t="s">
        <v>282</v>
      </c>
      <c r="K87" s="93">
        <v>45.4</v>
      </c>
      <c r="L87" s="92">
        <f>(K87-51.6)/51.6*100</f>
        <v>-12.015503875968998</v>
      </c>
      <c r="M87" s="92">
        <v>51.3</v>
      </c>
      <c r="N87" s="92">
        <f>(M87-51.6)/51.6*100</f>
        <v>-0.58139534883721755</v>
      </c>
      <c r="O87" s="92">
        <v>53</v>
      </c>
      <c r="P87" s="92">
        <f>(O87-51.6)/51.6*100</f>
        <v>2.7131782945736407</v>
      </c>
      <c r="Q87" s="92">
        <v>52.7</v>
      </c>
      <c r="R87" s="92">
        <f>(Q87-51.6)/51.6*100</f>
        <v>2.131782945736437</v>
      </c>
    </row>
    <row r="88" spans="2:20" x14ac:dyDescent="0.25">
      <c r="B88" s="143"/>
      <c r="C88" s="139"/>
      <c r="D88" s="58"/>
      <c r="E88" s="58"/>
      <c r="F88" s="139"/>
      <c r="G88" s="58" t="s">
        <v>59</v>
      </c>
      <c r="H88" s="62">
        <v>32</v>
      </c>
      <c r="I88" s="62" t="s">
        <v>332</v>
      </c>
      <c r="J88" s="62" t="s">
        <v>283</v>
      </c>
      <c r="K88" s="93">
        <v>50.4</v>
      </c>
      <c r="L88" s="92">
        <f>(K88-57.4)/57.4*100</f>
        <v>-12.195121951219512</v>
      </c>
      <c r="M88" s="92">
        <v>49.3</v>
      </c>
      <c r="N88" s="92">
        <f>(M88-57.4)/57.4*100</f>
        <v>-14.111498257839724</v>
      </c>
      <c r="O88" s="92">
        <v>51.6</v>
      </c>
      <c r="P88" s="92">
        <f>(O88-57.4)/57.4*100</f>
        <v>-10.104529616724733</v>
      </c>
      <c r="Q88" s="92">
        <v>51.9</v>
      </c>
      <c r="R88" s="92">
        <f>(Q88-57.4)/57.4*100</f>
        <v>-9.5818815331010452</v>
      </c>
    </row>
    <row r="89" spans="2:20" x14ac:dyDescent="0.25">
      <c r="B89" s="143"/>
      <c r="C89" s="139"/>
      <c r="D89" s="58"/>
      <c r="E89" s="58"/>
      <c r="F89" s="139"/>
      <c r="G89" s="58" t="s">
        <v>60</v>
      </c>
      <c r="H89" s="62">
        <v>32</v>
      </c>
      <c r="I89" s="62" t="s">
        <v>333</v>
      </c>
      <c r="J89" s="62" t="s">
        <v>284</v>
      </c>
      <c r="K89" s="93">
        <v>56.5</v>
      </c>
      <c r="L89" s="92">
        <f>(K89-59.6)/59.6*100</f>
        <v>-5.2013422818791968</v>
      </c>
      <c r="M89" s="92">
        <v>49.8</v>
      </c>
      <c r="N89" s="92">
        <f>(M89-59.6)/59.6*100</f>
        <v>-16.442953020134237</v>
      </c>
      <c r="O89" s="92">
        <v>51.9</v>
      </c>
      <c r="P89" s="92">
        <f>(O89-59.6)/59.6*100</f>
        <v>-12.919463087248326</v>
      </c>
      <c r="Q89" s="92">
        <v>52</v>
      </c>
      <c r="R89" s="92">
        <f>(Q89-59.6)/59.6*100</f>
        <v>-12.751677852348994</v>
      </c>
    </row>
    <row r="90" spans="2:20" x14ac:dyDescent="0.25">
      <c r="B90" s="143"/>
      <c r="C90" s="139"/>
      <c r="D90" s="58"/>
      <c r="E90" s="58"/>
      <c r="F90" s="139"/>
      <c r="G90" s="58" t="s">
        <v>58</v>
      </c>
      <c r="H90" s="62">
        <v>36</v>
      </c>
      <c r="I90" s="62" t="s">
        <v>266</v>
      </c>
      <c r="J90" s="62" t="s">
        <v>285</v>
      </c>
      <c r="K90" s="92">
        <v>45</v>
      </c>
      <c r="L90" s="92">
        <f>(K90-54.1)/54.1*100</f>
        <v>-16.820702402957487</v>
      </c>
      <c r="M90" s="92">
        <v>50.2</v>
      </c>
      <c r="N90" s="92">
        <f>(M90-54.1)/54.1*100</f>
        <v>-7.2088724584103483</v>
      </c>
      <c r="O90" s="92">
        <v>52.5</v>
      </c>
      <c r="P90" s="92">
        <f>(O90-54.1)/54.1*100</f>
        <v>-2.9574861367837362</v>
      </c>
      <c r="Q90" s="92">
        <v>52.4</v>
      </c>
      <c r="R90" s="92">
        <f>(Q90-54.1)/54.1*100</f>
        <v>-3.1423290203327223</v>
      </c>
    </row>
    <row r="91" spans="2:20" x14ac:dyDescent="0.25">
      <c r="B91" s="143"/>
      <c r="C91" s="139"/>
      <c r="D91" s="58"/>
      <c r="E91" s="58"/>
      <c r="F91" s="139"/>
      <c r="G91" s="58" t="s">
        <v>59</v>
      </c>
      <c r="H91" s="62">
        <v>36</v>
      </c>
      <c r="I91" s="62" t="s">
        <v>332</v>
      </c>
      <c r="J91" s="62" t="s">
        <v>286</v>
      </c>
      <c r="K91" s="92">
        <v>50</v>
      </c>
      <c r="L91" s="92">
        <f>(K91-58.2)/58.2*100</f>
        <v>-14.089347079037806</v>
      </c>
      <c r="M91" s="92">
        <v>48.5</v>
      </c>
      <c r="N91" s="92">
        <f>(M91-58.2)/58.2*100</f>
        <v>-16.666666666666671</v>
      </c>
      <c r="O91" s="92">
        <v>51.2</v>
      </c>
      <c r="P91" s="92">
        <f>(O91-58.2)/58.2*100</f>
        <v>-12.027491408934706</v>
      </c>
      <c r="Q91" s="92">
        <v>51.6</v>
      </c>
      <c r="R91" s="92">
        <f>(Q91-58.2)/58.2*100</f>
        <v>-11.340206185567011</v>
      </c>
    </row>
    <row r="92" spans="2:20" x14ac:dyDescent="0.25">
      <c r="B92" s="143"/>
      <c r="C92" s="139"/>
      <c r="D92" s="58"/>
      <c r="E92" s="58"/>
      <c r="F92" s="139"/>
      <c r="G92" s="58" t="s">
        <v>60</v>
      </c>
      <c r="H92" s="62">
        <v>36</v>
      </c>
      <c r="I92" s="62" t="s">
        <v>333</v>
      </c>
      <c r="J92" s="62" t="s">
        <v>287</v>
      </c>
      <c r="K92" s="93">
        <v>56.1</v>
      </c>
      <c r="L92" s="92">
        <f>(K92-62.2)/62.2*100</f>
        <v>-9.8070739549839239</v>
      </c>
      <c r="M92" s="92">
        <v>48.9</v>
      </c>
      <c r="N92" s="92">
        <f>(M92-62.2)/62.2*100</f>
        <v>-21.382636655948559</v>
      </c>
      <c r="O92" s="92">
        <v>51.5</v>
      </c>
      <c r="P92" s="92">
        <f>(O92-62.2)/62.2*100</f>
        <v>-17.202572347266884</v>
      </c>
      <c r="Q92" s="92">
        <v>51.6</v>
      </c>
      <c r="R92" s="92">
        <f>(Q92-62.2)/62.1*100</f>
        <v>-17.069243156199679</v>
      </c>
      <c r="T92" s="18">
        <f>AVERAGE(R72:R92)</f>
        <v>-0.61381107990973371</v>
      </c>
    </row>
    <row r="93" spans="2:20" x14ac:dyDescent="0.25">
      <c r="B93" s="144"/>
      <c r="C93" s="142"/>
      <c r="D93" s="60"/>
      <c r="E93" s="60"/>
      <c r="F93" s="142"/>
      <c r="G93" s="60" t="s">
        <v>375</v>
      </c>
      <c r="H93" s="60"/>
      <c r="I93" s="60"/>
      <c r="J93" s="60"/>
      <c r="K93" s="97"/>
      <c r="L93" s="99" t="s">
        <v>453</v>
      </c>
      <c r="M93" s="105"/>
      <c r="N93" s="99" t="s">
        <v>454</v>
      </c>
      <c r="O93" s="105"/>
      <c r="P93" s="99" t="s">
        <v>455</v>
      </c>
      <c r="Q93" s="105"/>
      <c r="R93" s="99" t="s">
        <v>456</v>
      </c>
      <c r="S93" s="18"/>
      <c r="T93" s="18">
        <f>_xlfn.STDEV.P(R72:R92)</f>
        <v>8.9868382880468332</v>
      </c>
    </row>
    <row r="94" spans="2:20" x14ac:dyDescent="0.25">
      <c r="B94" s="140" t="s">
        <v>54</v>
      </c>
      <c r="C94" s="140" t="s">
        <v>84</v>
      </c>
      <c r="D94" s="71" t="s">
        <v>264</v>
      </c>
      <c r="E94" s="71" t="s">
        <v>265</v>
      </c>
      <c r="F94" s="140" t="s">
        <v>15</v>
      </c>
      <c r="G94" s="72" t="s">
        <v>19</v>
      </c>
      <c r="H94" s="62">
        <v>3</v>
      </c>
      <c r="I94" s="63">
        <v>56</v>
      </c>
      <c r="J94" s="62" t="s">
        <v>86</v>
      </c>
      <c r="K94" s="93">
        <v>55.8</v>
      </c>
      <c r="L94" s="92">
        <f>(55.8-50.3)/50.3*100</f>
        <v>10.934393638170976</v>
      </c>
      <c r="M94" s="94">
        <v>55.6</v>
      </c>
      <c r="N94" s="92">
        <f>(M94-50.3)/50.3*100</f>
        <v>10.536779324055676</v>
      </c>
      <c r="O94" s="94">
        <v>54</v>
      </c>
      <c r="P94" s="92">
        <f>(O94-50.3)/50.3*100</f>
        <v>7.3558648111332072</v>
      </c>
      <c r="Q94" s="94">
        <v>55.5</v>
      </c>
      <c r="R94" s="92">
        <f>(Q94-50.3)/50.3*100</f>
        <v>10.337972166998018</v>
      </c>
    </row>
    <row r="95" spans="2:20" x14ac:dyDescent="0.25">
      <c r="B95" s="143"/>
      <c r="C95" s="143"/>
      <c r="D95" s="58"/>
      <c r="E95" s="58"/>
      <c r="F95" s="139"/>
      <c r="G95" s="72" t="s">
        <v>85</v>
      </c>
      <c r="H95" s="62">
        <v>3</v>
      </c>
      <c r="I95" s="62">
        <v>54.2</v>
      </c>
      <c r="J95" s="62" t="s">
        <v>90</v>
      </c>
      <c r="K95" s="93">
        <v>55.8</v>
      </c>
      <c r="L95" s="93">
        <v>13.7</v>
      </c>
      <c r="M95" s="94">
        <v>53.8</v>
      </c>
      <c r="N95" s="92">
        <f>(M95-49.1)/49.1*100</f>
        <v>9.5723014256619052</v>
      </c>
      <c r="O95" s="94">
        <v>52.4</v>
      </c>
      <c r="P95" s="92">
        <f>(O95-49.1)/49.1*100</f>
        <v>6.7209775967413385</v>
      </c>
      <c r="Q95" s="94">
        <v>53.7</v>
      </c>
      <c r="R95" s="92">
        <f>(Q95-49.1)/49.1*100</f>
        <v>9.3686354378818759</v>
      </c>
    </row>
    <row r="96" spans="2:20" x14ac:dyDescent="0.25">
      <c r="B96" s="143"/>
      <c r="C96" s="143"/>
      <c r="D96" s="58"/>
      <c r="E96" s="58"/>
      <c r="F96" s="139"/>
      <c r="G96" s="72" t="s">
        <v>60</v>
      </c>
      <c r="H96" s="62">
        <v>3</v>
      </c>
      <c r="I96" s="62">
        <v>55.7</v>
      </c>
      <c r="J96" s="62" t="s">
        <v>94</v>
      </c>
      <c r="K96" s="93">
        <v>56.1</v>
      </c>
      <c r="L96" s="93">
        <v>3.2</v>
      </c>
      <c r="M96" s="92">
        <v>55.5</v>
      </c>
      <c r="N96" s="92">
        <f>(M96-54.4)/54.4*100</f>
        <v>2.0220588235294144</v>
      </c>
      <c r="O96" s="92">
        <v>54.1</v>
      </c>
      <c r="P96" s="92">
        <f>(O96-54.4)/54.4*100</f>
        <v>-0.55147058823528894</v>
      </c>
      <c r="Q96" s="92">
        <v>55.3</v>
      </c>
      <c r="R96" s="92">
        <f>(Q96-54.4)/54.4*100</f>
        <v>1.65441176470588</v>
      </c>
    </row>
    <row r="97" spans="2:27" x14ac:dyDescent="0.25">
      <c r="B97" s="143"/>
      <c r="C97" s="143"/>
      <c r="D97" s="58"/>
      <c r="E97" s="58"/>
      <c r="F97" s="139"/>
      <c r="G97" s="72" t="s">
        <v>19</v>
      </c>
      <c r="H97" s="62">
        <v>6</v>
      </c>
      <c r="I97" s="63">
        <v>56</v>
      </c>
      <c r="J97" s="62" t="s">
        <v>288</v>
      </c>
      <c r="K97" s="93">
        <v>55.8</v>
      </c>
      <c r="L97" s="93">
        <v>9.8000000000000007</v>
      </c>
      <c r="M97" s="94">
        <v>55.3</v>
      </c>
      <c r="N97" s="92">
        <f>(M97-50.8)/50.8*100</f>
        <v>8.8582677165354333</v>
      </c>
      <c r="O97" s="94">
        <v>53.7</v>
      </c>
      <c r="P97" s="92">
        <f>(O97-50.8)/50.8*100</f>
        <v>5.7086614173228458</v>
      </c>
      <c r="Q97" s="94">
        <v>55.1</v>
      </c>
      <c r="R97" s="92">
        <f>(Q97-50.8)/50.8*100</f>
        <v>8.4645669291338663</v>
      </c>
    </row>
    <row r="98" spans="2:27" x14ac:dyDescent="0.25">
      <c r="B98" s="143"/>
      <c r="C98" s="143"/>
      <c r="D98" s="58"/>
      <c r="E98" s="58"/>
      <c r="F98" s="139"/>
      <c r="G98" s="72" t="s">
        <v>85</v>
      </c>
      <c r="H98" s="62">
        <v>6</v>
      </c>
      <c r="I98" s="62">
        <v>54.2</v>
      </c>
      <c r="J98" s="62" t="s">
        <v>289</v>
      </c>
      <c r="K98" s="93">
        <v>55.9</v>
      </c>
      <c r="L98" s="93">
        <v>9.5</v>
      </c>
      <c r="M98" s="94">
        <v>53.7</v>
      </c>
      <c r="N98" s="92">
        <f>(M98-51)/51*100</f>
        <v>5.2941176470588287</v>
      </c>
      <c r="O98" s="94">
        <v>52.1</v>
      </c>
      <c r="P98" s="92">
        <f>(O98-51)/51*100</f>
        <v>2.1568627450980418</v>
      </c>
      <c r="Q98" s="94">
        <v>53.4</v>
      </c>
      <c r="R98" s="92">
        <f>(Q98-51)/51*100</f>
        <v>4.705882352941174</v>
      </c>
    </row>
    <row r="99" spans="2:27" x14ac:dyDescent="0.25">
      <c r="B99" s="143"/>
      <c r="C99" s="143"/>
      <c r="D99" s="58"/>
      <c r="E99" s="58"/>
      <c r="F99" s="139"/>
      <c r="G99" s="72" t="s">
        <v>60</v>
      </c>
      <c r="H99" s="62">
        <v>6</v>
      </c>
      <c r="I99" s="62">
        <v>55.7</v>
      </c>
      <c r="J99" s="62" t="s">
        <v>290</v>
      </c>
      <c r="K99" s="93">
        <v>56.2</v>
      </c>
      <c r="L99" s="93">
        <v>-4.5</v>
      </c>
      <c r="M99" s="92">
        <v>55.6</v>
      </c>
      <c r="N99" s="92">
        <f>(M99-58.8)/58.8*100</f>
        <v>-5.442176870748292</v>
      </c>
      <c r="O99" s="92">
        <v>53.9</v>
      </c>
      <c r="P99" s="92">
        <f>(O99-58.8)/58.8*100</f>
        <v>-8.3333333333333321</v>
      </c>
      <c r="Q99" s="92">
        <v>55</v>
      </c>
      <c r="R99" s="92">
        <f>(Q99-58.8)/58.8*100</f>
        <v>-6.4625850340136015</v>
      </c>
    </row>
    <row r="100" spans="2:27" x14ac:dyDescent="0.25">
      <c r="B100" s="143"/>
      <c r="C100" s="143"/>
      <c r="D100" s="58"/>
      <c r="E100" s="58"/>
      <c r="F100" s="139"/>
      <c r="G100" s="72" t="s">
        <v>19</v>
      </c>
      <c r="H100" s="62">
        <v>9</v>
      </c>
      <c r="I100" s="63">
        <v>56</v>
      </c>
      <c r="J100" s="62" t="s">
        <v>291</v>
      </c>
      <c r="K100" s="93">
        <v>55.7</v>
      </c>
      <c r="L100" s="93">
        <v>3.8</v>
      </c>
      <c r="M100" s="92">
        <v>54.6</v>
      </c>
      <c r="N100" s="92">
        <f>(M100-53.7)/53.7*100</f>
        <v>1.675977653631282</v>
      </c>
      <c r="O100" s="92">
        <v>53.4</v>
      </c>
      <c r="P100" s="92">
        <f>(O100-53.7)/53.7*100</f>
        <v>-0.55865921787710293</v>
      </c>
      <c r="Q100" s="92">
        <v>54.8</v>
      </c>
      <c r="R100" s="92">
        <f>(Q100-53.7)/53.7*100</f>
        <v>2.0484171322160041</v>
      </c>
    </row>
    <row r="101" spans="2:27" x14ac:dyDescent="0.25">
      <c r="B101" s="143"/>
      <c r="C101" s="143"/>
      <c r="D101" s="58"/>
      <c r="E101" s="58"/>
      <c r="F101" s="139"/>
      <c r="G101" s="72" t="s">
        <v>85</v>
      </c>
      <c r="H101" s="62">
        <v>9</v>
      </c>
      <c r="I101" s="62">
        <v>54.2</v>
      </c>
      <c r="J101" s="62" t="s">
        <v>292</v>
      </c>
      <c r="K101" s="93">
        <v>55.9</v>
      </c>
      <c r="L101" s="93">
        <v>3.3</v>
      </c>
      <c r="M101" s="92">
        <v>53.1</v>
      </c>
      <c r="N101" s="92">
        <f>(M101-53.9)/53.9*100</f>
        <v>-1.4842300556586219</v>
      </c>
      <c r="O101" s="92">
        <v>51.9</v>
      </c>
      <c r="P101" s="92">
        <f>(O101-53.9)/53.9*100</f>
        <v>-3.710575139146568</v>
      </c>
      <c r="Q101" s="92">
        <v>53.1</v>
      </c>
      <c r="R101" s="92">
        <f>(Q101-53.9)/53.9*100</f>
        <v>-1.4842300556586219</v>
      </c>
    </row>
    <row r="102" spans="2:27" x14ac:dyDescent="0.25">
      <c r="B102" s="143"/>
      <c r="C102" s="143"/>
      <c r="D102" s="58"/>
      <c r="E102" s="58"/>
      <c r="F102" s="139"/>
      <c r="G102" s="72" t="s">
        <v>60</v>
      </c>
      <c r="H102" s="62">
        <v>9</v>
      </c>
      <c r="I102" s="62">
        <v>55.7</v>
      </c>
      <c r="J102" s="62" t="s">
        <v>293</v>
      </c>
      <c r="K102" s="93">
        <v>56.4</v>
      </c>
      <c r="L102" s="93">
        <v>-4.3</v>
      </c>
      <c r="M102" s="92">
        <v>55.1</v>
      </c>
      <c r="N102" s="92">
        <f>(M102-59)/59*100</f>
        <v>-6.6101694915254212</v>
      </c>
      <c r="O102" s="92">
        <v>53.8</v>
      </c>
      <c r="P102" s="92">
        <f>(O102-59)/59*100</f>
        <v>-8.8135593220339032</v>
      </c>
      <c r="Q102" s="92">
        <v>54.7</v>
      </c>
      <c r="R102" s="92">
        <f>(Q102-59)/59*100</f>
        <v>-7.2881355932203338</v>
      </c>
      <c r="X102" s="118" t="s">
        <v>331</v>
      </c>
      <c r="Y102" s="118" t="s">
        <v>150</v>
      </c>
      <c r="Z102" s="118" t="s">
        <v>151</v>
      </c>
      <c r="AA102" s="118" t="s">
        <v>152</v>
      </c>
    </row>
    <row r="103" spans="2:27" x14ac:dyDescent="0.25">
      <c r="B103" s="143"/>
      <c r="C103" s="143"/>
      <c r="D103" s="58"/>
      <c r="E103" s="58"/>
      <c r="F103" s="139"/>
      <c r="G103" s="72" t="s">
        <v>19</v>
      </c>
      <c r="H103" s="62">
        <v>17</v>
      </c>
      <c r="I103" s="63">
        <v>56</v>
      </c>
      <c r="J103" s="116" t="s">
        <v>462</v>
      </c>
      <c r="K103" s="93">
        <v>54.8</v>
      </c>
      <c r="L103" s="92">
        <f>(54.8-51.4)/51.4*100</f>
        <v>6.6147859922178958</v>
      </c>
      <c r="M103" s="92">
        <v>53.3</v>
      </c>
      <c r="N103" s="115">
        <f>(53.3-51.4)/51.4*100</f>
        <v>3.6964980544747053</v>
      </c>
      <c r="O103" s="92">
        <v>52.7</v>
      </c>
      <c r="P103" s="115">
        <f>(52.7-51.4)/51.4*100</f>
        <v>2.5291828793774402</v>
      </c>
      <c r="Q103" s="92">
        <v>54</v>
      </c>
      <c r="R103" s="115">
        <f>(54-51.4)/51.4*100</f>
        <v>5.0583657587548663</v>
      </c>
    </row>
    <row r="104" spans="2:27" x14ac:dyDescent="0.25">
      <c r="B104" s="143"/>
      <c r="C104" s="143"/>
      <c r="D104" s="58"/>
      <c r="E104" s="58"/>
      <c r="F104" s="139"/>
      <c r="G104" s="72" t="s">
        <v>85</v>
      </c>
      <c r="H104" s="62">
        <v>17</v>
      </c>
      <c r="I104" s="62">
        <v>54.2</v>
      </c>
      <c r="J104" s="62" t="s">
        <v>295</v>
      </c>
      <c r="K104" s="92">
        <v>55</v>
      </c>
      <c r="L104" s="93">
        <v>-2.1</v>
      </c>
      <c r="M104" s="92">
        <v>51.9</v>
      </c>
      <c r="N104" s="92">
        <f>(M104-56.2)/56.2*100</f>
        <v>-7.6512455516014306</v>
      </c>
      <c r="O104" s="92">
        <v>51.3</v>
      </c>
      <c r="P104" s="92">
        <f>(O104-56.2)/56.2*100</f>
        <v>-8.7188612099644214</v>
      </c>
      <c r="Q104" s="92">
        <v>52.4</v>
      </c>
      <c r="R104" s="92">
        <f>(Q104-56.2)/56.2*100</f>
        <v>-6.7615658362989395</v>
      </c>
      <c r="W104" t="s">
        <v>457</v>
      </c>
      <c r="X104" s="119">
        <v>-7.0000000000000001E-3</v>
      </c>
      <c r="Y104" s="119">
        <v>-5.0000000000000001E-3</v>
      </c>
      <c r="Z104" s="119">
        <v>-2.5000000000000001E-2</v>
      </c>
      <c r="AA104" s="119">
        <v>-4.2000000000000003E-2</v>
      </c>
    </row>
    <row r="105" spans="2:27" x14ac:dyDescent="0.25">
      <c r="B105" s="143"/>
      <c r="C105" s="143"/>
      <c r="D105" s="58"/>
      <c r="E105" s="58"/>
      <c r="F105" s="139"/>
      <c r="G105" s="72" t="s">
        <v>60</v>
      </c>
      <c r="H105" s="62">
        <v>17</v>
      </c>
      <c r="I105" s="62">
        <v>55.7</v>
      </c>
      <c r="J105" s="116" t="s">
        <v>463</v>
      </c>
      <c r="K105" s="93">
        <v>55.6</v>
      </c>
      <c r="L105" s="92">
        <f>(55.6-62.4)/62.4*100</f>
        <v>-10.897435897435894</v>
      </c>
      <c r="M105" s="92">
        <v>53.8</v>
      </c>
      <c r="N105" s="115">
        <f>(53.8-62.4)/62.4*100</f>
        <v>-13.782051282051286</v>
      </c>
      <c r="O105" s="92">
        <v>53.2</v>
      </c>
      <c r="P105" s="115">
        <f>(53.2-62.4)/62.4*100</f>
        <v>-14.743589743589739</v>
      </c>
      <c r="Q105" s="92">
        <v>54.1</v>
      </c>
      <c r="R105" s="115">
        <f>(54.1-62.4)/62.4*100</f>
        <v>-13.301282051282046</v>
      </c>
      <c r="T105" s="18">
        <f>AVERAGE(R94:R105)</f>
        <v>0.52837108101317909</v>
      </c>
      <c r="W105" t="s">
        <v>458</v>
      </c>
      <c r="X105" s="120" t="s">
        <v>459</v>
      </c>
      <c r="Y105" s="118" t="s">
        <v>460</v>
      </c>
      <c r="Z105" s="120" t="s">
        <v>461</v>
      </c>
      <c r="AA105" s="120" t="s">
        <v>461</v>
      </c>
    </row>
    <row r="106" spans="2:27" x14ac:dyDescent="0.25">
      <c r="B106" s="144"/>
      <c r="C106" s="144"/>
      <c r="D106" s="60"/>
      <c r="E106" s="60"/>
      <c r="F106" s="142"/>
      <c r="G106" s="60" t="s">
        <v>375</v>
      </c>
      <c r="H106" s="60"/>
      <c r="I106" s="60"/>
      <c r="J106" s="60"/>
      <c r="K106" s="97"/>
      <c r="L106" s="117" t="s">
        <v>464</v>
      </c>
      <c r="M106" s="105"/>
      <c r="N106" s="117" t="s">
        <v>465</v>
      </c>
      <c r="O106" s="105"/>
      <c r="P106" s="117" t="s">
        <v>466</v>
      </c>
      <c r="Q106" s="105"/>
      <c r="R106" s="117" t="s">
        <v>467</v>
      </c>
      <c r="T106" s="18">
        <f>_xlfn.STDEV.P(P94:P105)</f>
        <v>6.8386942844068299</v>
      </c>
      <c r="U106" s="18">
        <f>AVERAGE(R94:R105)</f>
        <v>0.52837108101317909</v>
      </c>
    </row>
    <row r="107" spans="2:27" x14ac:dyDescent="0.25">
      <c r="B107" s="140" t="s">
        <v>99</v>
      </c>
      <c r="C107" s="140" t="s">
        <v>100</v>
      </c>
      <c r="D107" s="71" t="s">
        <v>297</v>
      </c>
      <c r="E107" s="71" t="s">
        <v>298</v>
      </c>
      <c r="F107" s="140" t="s">
        <v>15</v>
      </c>
      <c r="G107" s="58" t="s">
        <v>384</v>
      </c>
      <c r="H107" s="62">
        <v>28</v>
      </c>
      <c r="I107" s="62">
        <v>30.5</v>
      </c>
      <c r="J107" s="62">
        <v>31.9</v>
      </c>
      <c r="K107" s="93">
        <v>33.200000000000003</v>
      </c>
      <c r="L107" s="92">
        <f>(K107-J107)/J107*100</f>
        <v>4.0752351097178821</v>
      </c>
      <c r="M107" s="92">
        <v>34</v>
      </c>
      <c r="N107" s="92">
        <f>(M107-31.9)/31.9*100</f>
        <v>6.5830721003134851</v>
      </c>
      <c r="O107" s="92">
        <v>33.700000000000003</v>
      </c>
      <c r="P107" s="92">
        <f>(O107-31.9)/31.9*100</f>
        <v>5.6426332288401388</v>
      </c>
      <c r="Q107" s="92">
        <v>31.1</v>
      </c>
      <c r="R107" s="92">
        <f>(Q107-31.9)/31.9*100</f>
        <v>-2.5078369905956026</v>
      </c>
      <c r="U107">
        <f>_xlfn.STDEV.P(R94:R105)</f>
        <v>7.287758029026377</v>
      </c>
    </row>
    <row r="108" spans="2:27" x14ac:dyDescent="0.25">
      <c r="B108" s="143"/>
      <c r="C108" s="139"/>
      <c r="D108" s="58"/>
      <c r="E108" s="58"/>
      <c r="F108" s="139"/>
      <c r="G108" s="58" t="s">
        <v>385</v>
      </c>
      <c r="H108" s="62">
        <v>28</v>
      </c>
      <c r="I108" s="62">
        <v>30.5</v>
      </c>
      <c r="J108" s="62">
        <v>30.4</v>
      </c>
      <c r="K108" s="93">
        <v>32.299999999999997</v>
      </c>
      <c r="L108" s="92">
        <f t="shared" ref="L108:L112" si="15">(K108-J108)/J108*100</f>
        <v>6.2499999999999956</v>
      </c>
      <c r="M108" s="93">
        <v>33</v>
      </c>
      <c r="N108" s="92">
        <f>(M108-30.4)/30.4*100</f>
        <v>8.5526315789473735</v>
      </c>
      <c r="O108" s="92">
        <v>32.700000000000003</v>
      </c>
      <c r="P108" s="92">
        <f>(O108-30.4)/30.4*100</f>
        <v>7.5657894736842239</v>
      </c>
      <c r="Q108" s="92">
        <v>30.6</v>
      </c>
      <c r="R108" s="92">
        <f>(Q108-30.4)/30.4*100</f>
        <v>0.65789473684211464</v>
      </c>
    </row>
    <row r="109" spans="2:27" x14ac:dyDescent="0.25">
      <c r="B109" s="143"/>
      <c r="C109" s="139"/>
      <c r="D109" s="58"/>
      <c r="E109" s="58"/>
      <c r="F109" s="139"/>
      <c r="G109" s="58" t="s">
        <v>384</v>
      </c>
      <c r="H109" s="62">
        <v>37</v>
      </c>
      <c r="I109" s="62">
        <v>30.5</v>
      </c>
      <c r="J109" s="62">
        <v>36.1</v>
      </c>
      <c r="K109" s="93">
        <v>33.5</v>
      </c>
      <c r="L109" s="92">
        <f t="shared" si="15"/>
        <v>-7.2022160664819976</v>
      </c>
      <c r="M109" s="93">
        <v>35.4</v>
      </c>
      <c r="N109" s="92">
        <f>(M109-36.1)/36.1*100</f>
        <v>-1.9390581717451603</v>
      </c>
      <c r="O109" s="92">
        <v>35.1</v>
      </c>
      <c r="P109" s="92">
        <f>(O109-34.2)/34.2*100</f>
        <v>2.6315789473684168</v>
      </c>
      <c r="Q109" s="92">
        <v>31.7</v>
      </c>
      <c r="R109" s="92">
        <f>((Q109-36.1)/36.1*100)</f>
        <v>-12.188365650969535</v>
      </c>
    </row>
    <row r="110" spans="2:27" x14ac:dyDescent="0.25">
      <c r="B110" s="143"/>
      <c r="C110" s="139"/>
      <c r="D110" s="58"/>
      <c r="E110" s="58"/>
      <c r="F110" s="139"/>
      <c r="G110" s="58" t="s">
        <v>385</v>
      </c>
      <c r="H110" s="62">
        <v>37</v>
      </c>
      <c r="I110" s="62">
        <v>30.5</v>
      </c>
      <c r="J110" s="62">
        <v>35.9</v>
      </c>
      <c r="K110" s="93">
        <v>32.5</v>
      </c>
      <c r="L110" s="92">
        <f t="shared" si="15"/>
        <v>-9.4707520891364858</v>
      </c>
      <c r="M110" s="93">
        <v>34.200000000000003</v>
      </c>
      <c r="N110" s="92">
        <f>(M110-35.9)/35.9*100</f>
        <v>-4.7353760445682331</v>
      </c>
      <c r="O110" s="92">
        <v>33.700000000000003</v>
      </c>
      <c r="P110" s="92">
        <f>(O110-35.9)/35.9*100</f>
        <v>-6.1281337047353643</v>
      </c>
      <c r="Q110" s="92">
        <v>31</v>
      </c>
      <c r="R110" s="92">
        <f>(Q110-35.9)/35.9*100</f>
        <v>-13.649025069637879</v>
      </c>
    </row>
    <row r="111" spans="2:27" x14ac:dyDescent="0.25">
      <c r="B111" s="143"/>
      <c r="C111" s="139"/>
      <c r="D111" s="58"/>
      <c r="E111" s="58"/>
      <c r="F111" s="139"/>
      <c r="G111" s="58" t="s">
        <v>384</v>
      </c>
      <c r="H111" s="62">
        <v>48</v>
      </c>
      <c r="I111" s="62">
        <v>30.5</v>
      </c>
      <c r="J111" s="62">
        <v>35.4</v>
      </c>
      <c r="K111" s="92">
        <v>32.299999999999997</v>
      </c>
      <c r="L111" s="92">
        <f t="shared" si="15"/>
        <v>-8.7570621468926593</v>
      </c>
      <c r="M111" s="93">
        <v>36</v>
      </c>
      <c r="N111" s="92">
        <f>(M111-35.4)/35.4*100</f>
        <v>1.6949152542372923</v>
      </c>
      <c r="O111" s="92">
        <v>34.6</v>
      </c>
      <c r="P111" s="92">
        <f>(O111-35.4)/35.4*100</f>
        <v>-2.2598870056497096</v>
      </c>
      <c r="Q111" s="92">
        <v>32.1</v>
      </c>
      <c r="R111" s="92">
        <f>(Q111-35.4)/35.4*100</f>
        <v>-9.3220338983050759</v>
      </c>
    </row>
    <row r="112" spans="2:27" x14ac:dyDescent="0.25">
      <c r="B112" s="143"/>
      <c r="C112" s="139"/>
      <c r="D112" s="58"/>
      <c r="E112" s="58"/>
      <c r="F112" s="139"/>
      <c r="G112" s="58" t="s">
        <v>385</v>
      </c>
      <c r="H112" s="62">
        <v>48</v>
      </c>
      <c r="I112" s="62">
        <v>30.5</v>
      </c>
      <c r="J112" s="62">
        <v>34.4</v>
      </c>
      <c r="K112" s="93">
        <v>31.5</v>
      </c>
      <c r="L112" s="92">
        <f t="shared" si="15"/>
        <v>-8.4302325581395312</v>
      </c>
      <c r="M112" s="93">
        <v>34.700000000000003</v>
      </c>
      <c r="N112" s="92">
        <f>(M112-32.1)/32.1*100</f>
        <v>8.0996884735202528</v>
      </c>
      <c r="O112" s="92">
        <v>33.299999999999997</v>
      </c>
      <c r="P112" s="92">
        <f>(O112-34.4)/34.4*100</f>
        <v>-3.1976744186046555</v>
      </c>
      <c r="Q112" s="92">
        <v>31.2</v>
      </c>
      <c r="R112" s="92">
        <f>(Q112-34.4)/34.4*100</f>
        <v>-9.3023255813953476</v>
      </c>
      <c r="T112" s="18">
        <f>AVERAGE(R107:R112)</f>
        <v>-7.7186154090102219</v>
      </c>
    </row>
    <row r="113" spans="1:20" x14ac:dyDescent="0.25">
      <c r="B113" s="144"/>
      <c r="C113" s="142"/>
      <c r="D113" s="60"/>
      <c r="E113" s="60"/>
      <c r="F113" s="142"/>
      <c r="G113" s="60" t="s">
        <v>375</v>
      </c>
      <c r="H113" s="60"/>
      <c r="I113" s="60"/>
      <c r="J113" s="65"/>
      <c r="K113" s="98"/>
      <c r="L113" s="99" t="s">
        <v>386</v>
      </c>
      <c r="M113" s="106"/>
      <c r="N113" s="99" t="s">
        <v>441</v>
      </c>
      <c r="O113" s="105"/>
      <c r="P113" s="99" t="s">
        <v>442</v>
      </c>
      <c r="Q113" s="105"/>
      <c r="R113" s="99" t="s">
        <v>443</v>
      </c>
      <c r="T113" s="18">
        <f>_xlfn.STDEV.P(R107:R112)</f>
        <v>5.12421780501949</v>
      </c>
    </row>
    <row r="114" spans="1:20" x14ac:dyDescent="0.25">
      <c r="B114" s="140" t="s">
        <v>104</v>
      </c>
      <c r="C114" s="140" t="s">
        <v>100</v>
      </c>
      <c r="D114" s="71" t="s">
        <v>299</v>
      </c>
      <c r="E114" s="71" t="s">
        <v>300</v>
      </c>
      <c r="F114" s="140" t="s">
        <v>108</v>
      </c>
      <c r="G114" s="58" t="s">
        <v>301</v>
      </c>
      <c r="H114" s="62">
        <v>23</v>
      </c>
      <c r="I114" s="62" t="s">
        <v>302</v>
      </c>
      <c r="J114" s="62" t="s">
        <v>303</v>
      </c>
      <c r="K114" s="93">
        <v>79.7</v>
      </c>
      <c r="L114" s="93">
        <v>3.1</v>
      </c>
      <c r="M114" s="92">
        <v>84.1</v>
      </c>
      <c r="N114" s="92">
        <f>(M114-84.1)/84.1*100</f>
        <v>0</v>
      </c>
      <c r="O114" s="92">
        <v>76.7</v>
      </c>
      <c r="P114" s="92">
        <f>(O114-84.1)/84.1*100</f>
        <v>-8.7990487514863158</v>
      </c>
      <c r="Q114" s="92">
        <v>76.400000000000006</v>
      </c>
      <c r="R114" s="92">
        <f>(Q114-84.1)/84.1*100</f>
        <v>-9.1557669441141361</v>
      </c>
    </row>
    <row r="115" spans="1:20" x14ac:dyDescent="0.25">
      <c r="B115" s="143"/>
      <c r="C115" s="139"/>
      <c r="D115" s="58"/>
      <c r="E115" s="58"/>
      <c r="F115" s="139"/>
      <c r="G115" s="58" t="s">
        <v>304</v>
      </c>
      <c r="H115" s="62">
        <v>23</v>
      </c>
      <c r="I115" s="62" t="s">
        <v>305</v>
      </c>
      <c r="J115" s="62" t="s">
        <v>306</v>
      </c>
      <c r="K115" s="93">
        <v>82.5</v>
      </c>
      <c r="L115" s="93">
        <v>-13.3</v>
      </c>
      <c r="M115" s="92">
        <v>75.5</v>
      </c>
      <c r="N115" s="92">
        <f>(M115-81.7)/81.7*100</f>
        <v>-7.5887392900856829</v>
      </c>
      <c r="O115" s="92">
        <v>72.400000000000006</v>
      </c>
      <c r="P115" s="92">
        <f>(O115-81.7)/81.7*100</f>
        <v>-11.383108935128515</v>
      </c>
      <c r="Q115" s="92">
        <v>72.400000000000006</v>
      </c>
      <c r="R115" s="92">
        <f>(Q115-81.7)/81.7*100</f>
        <v>-11.383108935128515</v>
      </c>
    </row>
    <row r="116" spans="1:20" x14ac:dyDescent="0.25">
      <c r="B116" s="143"/>
      <c r="C116" s="139"/>
      <c r="D116" s="58"/>
      <c r="E116" s="58"/>
      <c r="F116" s="139"/>
      <c r="G116" s="58" t="s">
        <v>307</v>
      </c>
      <c r="H116" s="62">
        <v>23</v>
      </c>
      <c r="I116" s="62" t="s">
        <v>308</v>
      </c>
      <c r="J116" s="62" t="s">
        <v>309</v>
      </c>
      <c r="K116" s="93">
        <v>83.3</v>
      </c>
      <c r="L116" s="92">
        <v>-5</v>
      </c>
      <c r="M116" s="92">
        <v>77.3</v>
      </c>
      <c r="N116" s="92">
        <f>(M116-80.6)/80.6*100</f>
        <v>-4.0942928039702204</v>
      </c>
      <c r="O116" s="92">
        <v>72.400000000000006</v>
      </c>
      <c r="P116" s="92">
        <f>(O116-80.6)/80.6*100</f>
        <v>-10.17369727047145</v>
      </c>
      <c r="Q116" s="92">
        <v>72.3</v>
      </c>
      <c r="R116" s="92">
        <f>(Q116-80.6)/80.6*100</f>
        <v>-10.297766749379649</v>
      </c>
      <c r="T116" s="18">
        <f>AVERAGE(R114:R116)</f>
        <v>-10.278880876207433</v>
      </c>
    </row>
    <row r="117" spans="1:20" x14ac:dyDescent="0.25">
      <c r="B117" s="144"/>
      <c r="C117" s="142"/>
      <c r="D117" s="60"/>
      <c r="E117" s="60"/>
      <c r="F117" s="142"/>
      <c r="G117" s="60" t="s">
        <v>375</v>
      </c>
      <c r="H117" s="60"/>
      <c r="I117" s="60"/>
      <c r="J117" s="60"/>
      <c r="K117" s="97"/>
      <c r="L117" s="99" t="s">
        <v>310</v>
      </c>
      <c r="M117" s="105"/>
      <c r="N117" s="99" t="s">
        <v>444</v>
      </c>
      <c r="O117" s="105"/>
      <c r="P117" s="99" t="s">
        <v>445</v>
      </c>
      <c r="Q117" s="105"/>
      <c r="R117" s="99" t="s">
        <v>446</v>
      </c>
      <c r="S117" s="121"/>
      <c r="T117" s="18">
        <f>_xlfn.STDEV.P(R114:R116)</f>
        <v>0.90940661730166372</v>
      </c>
    </row>
    <row r="118" spans="1:20" x14ac:dyDescent="0.25">
      <c r="B118" s="140" t="s">
        <v>110</v>
      </c>
      <c r="C118" s="140" t="s">
        <v>111</v>
      </c>
      <c r="D118" s="71" t="s">
        <v>311</v>
      </c>
      <c r="E118" s="71" t="s">
        <v>312</v>
      </c>
      <c r="F118" s="140" t="s">
        <v>108</v>
      </c>
      <c r="G118" s="58" t="s">
        <v>112</v>
      </c>
      <c r="H118" s="62">
        <v>18</v>
      </c>
      <c r="I118" s="62" t="s">
        <v>313</v>
      </c>
      <c r="J118" s="62" t="s">
        <v>314</v>
      </c>
      <c r="K118" s="93">
        <v>75.900000000000006</v>
      </c>
      <c r="L118" s="93">
        <v>-0.8</v>
      </c>
      <c r="M118" s="94">
        <v>72.8</v>
      </c>
      <c r="N118" s="92">
        <f>(M118-76.5)/76.5*100</f>
        <v>-4.8366013071895457</v>
      </c>
      <c r="O118" s="94">
        <v>71.2</v>
      </c>
      <c r="P118" s="92">
        <f>(O118-76.5)/76.5*100</f>
        <v>-6.9281045751633945</v>
      </c>
      <c r="Q118" s="94">
        <v>71.400000000000006</v>
      </c>
      <c r="R118" s="92">
        <f>(Q118-76.5)/76.5*100</f>
        <v>-6.6666666666666599</v>
      </c>
    </row>
    <row r="119" spans="1:20" x14ac:dyDescent="0.25">
      <c r="B119" s="143"/>
      <c r="C119" s="139"/>
      <c r="D119" s="58"/>
      <c r="E119" s="58"/>
      <c r="F119" s="139"/>
      <c r="G119" s="58" t="s">
        <v>113</v>
      </c>
      <c r="H119" s="62">
        <v>18</v>
      </c>
      <c r="I119" s="62" t="s">
        <v>315</v>
      </c>
      <c r="J119" s="62" t="s">
        <v>316</v>
      </c>
      <c r="K119" s="93">
        <v>81.2</v>
      </c>
      <c r="L119" s="93">
        <v>-4.4000000000000004</v>
      </c>
      <c r="M119" s="94">
        <v>86.5</v>
      </c>
      <c r="N119" s="92">
        <f>(M119-84.9)/84.9*100</f>
        <v>1.8845700824499343</v>
      </c>
      <c r="O119" s="94">
        <v>82.2</v>
      </c>
      <c r="P119" s="92">
        <f>(O119-84.9)/84.9*100</f>
        <v>-3.1802120141342787</v>
      </c>
      <c r="Q119" s="94">
        <v>80.5</v>
      </c>
      <c r="R119" s="92">
        <f>(Q119-84.9)/84.9*100</f>
        <v>-5.1825677267373447</v>
      </c>
      <c r="T119" s="18">
        <f>AVERAGE(P118:P119)</f>
        <v>-5.0541582946488361</v>
      </c>
    </row>
    <row r="120" spans="1:20" x14ac:dyDescent="0.25">
      <c r="B120" s="144"/>
      <c r="C120" s="142"/>
      <c r="D120" s="60"/>
      <c r="E120" s="60"/>
      <c r="F120" s="142"/>
      <c r="G120" s="60" t="s">
        <v>375</v>
      </c>
      <c r="H120" s="60"/>
      <c r="I120" s="60"/>
      <c r="J120" s="60"/>
      <c r="K120" s="97"/>
      <c r="L120" s="99" t="s">
        <v>317</v>
      </c>
      <c r="M120" s="97"/>
      <c r="N120" s="99" t="s">
        <v>437</v>
      </c>
      <c r="O120" s="97"/>
      <c r="P120" s="99" t="s">
        <v>318</v>
      </c>
      <c r="Q120" s="97"/>
      <c r="R120" s="99" t="s">
        <v>319</v>
      </c>
      <c r="T120" s="18">
        <f>_xlfn.STDEV.P(P118:P119)</f>
        <v>1.873946280514559</v>
      </c>
    </row>
    <row r="121" spans="1:20" x14ac:dyDescent="0.25">
      <c r="B121" s="140" t="s">
        <v>110</v>
      </c>
      <c r="C121" s="140" t="s">
        <v>115</v>
      </c>
      <c r="D121" s="71" t="s">
        <v>311</v>
      </c>
      <c r="E121" s="71" t="s">
        <v>312</v>
      </c>
      <c r="F121" s="140" t="s">
        <v>374</v>
      </c>
      <c r="G121" s="58" t="s">
        <v>116</v>
      </c>
      <c r="H121" s="62">
        <v>6</v>
      </c>
      <c r="I121" s="62" t="s">
        <v>320</v>
      </c>
      <c r="J121" s="62" t="s">
        <v>321</v>
      </c>
      <c r="K121" s="92">
        <v>90</v>
      </c>
      <c r="L121" s="93">
        <v>14.9</v>
      </c>
      <c r="M121" s="92">
        <v>89.6</v>
      </c>
      <c r="N121" s="92">
        <f>(M121-78.3)/78.3*100</f>
        <v>14.431673052362704</v>
      </c>
      <c r="O121" s="92">
        <v>84.9</v>
      </c>
      <c r="P121" s="92">
        <f>(O121-78.3)/78.3*100</f>
        <v>8.4291187739463709</v>
      </c>
      <c r="Q121" s="92">
        <v>86.4</v>
      </c>
      <c r="R121" s="92">
        <f>(Q121-78.3)/78.3*100</f>
        <v>10.344827586206907</v>
      </c>
    </row>
    <row r="122" spans="1:20" x14ac:dyDescent="0.25">
      <c r="B122" s="143"/>
      <c r="C122" s="139"/>
      <c r="D122" s="58"/>
      <c r="E122" s="58"/>
      <c r="F122" s="139"/>
      <c r="G122" s="58" t="s">
        <v>117</v>
      </c>
      <c r="H122" s="62">
        <v>6</v>
      </c>
      <c r="I122" s="62" t="s">
        <v>320</v>
      </c>
      <c r="J122" s="62" t="s">
        <v>322</v>
      </c>
      <c r="K122" s="93">
        <v>90.7</v>
      </c>
      <c r="L122" s="92">
        <v>17</v>
      </c>
      <c r="M122" s="92">
        <v>89.8</v>
      </c>
      <c r="N122" s="92">
        <f>(M122-77.5)/77.5*100</f>
        <v>15.870967741935479</v>
      </c>
      <c r="O122" s="92">
        <v>85.4</v>
      </c>
      <c r="P122" s="92">
        <f>(O122-77.5)/77.5*100</f>
        <v>10.193548387096781</v>
      </c>
      <c r="Q122" s="92">
        <v>86.5</v>
      </c>
      <c r="R122" s="92">
        <f>(Q122-77.5)/77.5*100</f>
        <v>11.612903225806452</v>
      </c>
    </row>
    <row r="123" spans="1:20" x14ac:dyDescent="0.25">
      <c r="B123" s="143"/>
      <c r="C123" s="139"/>
      <c r="D123" s="58"/>
      <c r="E123" s="58"/>
      <c r="F123" s="139"/>
      <c r="G123" s="58" t="s">
        <v>118</v>
      </c>
      <c r="H123" s="62">
        <v>6</v>
      </c>
      <c r="I123" s="62" t="s">
        <v>320</v>
      </c>
      <c r="J123" s="62" t="s">
        <v>323</v>
      </c>
      <c r="K123" s="93">
        <v>91.5</v>
      </c>
      <c r="L123" s="93">
        <v>-12.3</v>
      </c>
      <c r="M123" s="92">
        <v>90.7</v>
      </c>
      <c r="N123" s="92">
        <f>(M123-104.3)/104.3*100</f>
        <v>-13.03930968360498</v>
      </c>
      <c r="O123" s="92">
        <v>86.1</v>
      </c>
      <c r="P123" s="92">
        <f>(O123-104.3)/104.3*100</f>
        <v>-17.449664429530205</v>
      </c>
      <c r="Q123" s="92">
        <v>86.7</v>
      </c>
      <c r="R123" s="92">
        <f>(Q123-104.3)/104.3*100</f>
        <v>-16.874400767018212</v>
      </c>
    </row>
    <row r="124" spans="1:20" x14ac:dyDescent="0.25">
      <c r="B124" s="143"/>
      <c r="C124" s="139"/>
      <c r="D124" s="58"/>
      <c r="E124" s="58"/>
      <c r="F124" s="139"/>
      <c r="G124" s="58" t="s">
        <v>119</v>
      </c>
      <c r="H124" s="62">
        <v>6</v>
      </c>
      <c r="I124" s="62" t="s">
        <v>320</v>
      </c>
      <c r="J124" s="62" t="s">
        <v>324</v>
      </c>
      <c r="K124" s="93">
        <v>91.5</v>
      </c>
      <c r="L124" s="93">
        <v>14.8</v>
      </c>
      <c r="M124" s="92">
        <v>90.3</v>
      </c>
      <c r="N124" s="92">
        <f>(M124-79.7)/79.7*100</f>
        <v>13.299874529485564</v>
      </c>
      <c r="O124" s="92">
        <v>86.2</v>
      </c>
      <c r="P124" s="92">
        <f>(O124-79.7)/79.7*100</f>
        <v>8.1555834378920942</v>
      </c>
      <c r="Q124" s="92">
        <v>86.7</v>
      </c>
      <c r="R124" s="92">
        <f>(Q124-79.7)/79.7*100</f>
        <v>8.7829360100376412</v>
      </c>
    </row>
    <row r="125" spans="1:20" x14ac:dyDescent="0.25">
      <c r="B125" s="143"/>
      <c r="C125" s="139"/>
      <c r="D125" s="58"/>
      <c r="E125" s="58"/>
      <c r="F125" s="139"/>
      <c r="G125" s="58" t="s">
        <v>116</v>
      </c>
      <c r="H125" s="62">
        <v>14</v>
      </c>
      <c r="I125" s="62" t="s">
        <v>320</v>
      </c>
      <c r="J125" s="63" t="s">
        <v>325</v>
      </c>
      <c r="K125" s="93">
        <v>90.2</v>
      </c>
      <c r="L125" s="92">
        <v>-2</v>
      </c>
      <c r="M125" s="92">
        <v>88.9</v>
      </c>
      <c r="N125" s="92">
        <f>(M125-92)/92*100</f>
        <v>-3.369565217391298</v>
      </c>
      <c r="O125" s="92">
        <v>83.9</v>
      </c>
      <c r="P125" s="92">
        <f>(O125-92)/92*100</f>
        <v>-8.8043478260869499</v>
      </c>
      <c r="Q125" s="92">
        <v>83.4</v>
      </c>
      <c r="R125" s="92">
        <f>(Q125-92)/92*100</f>
        <v>-9.3478260869565144</v>
      </c>
    </row>
    <row r="126" spans="1:20" x14ac:dyDescent="0.25">
      <c r="B126" s="143"/>
      <c r="C126" s="139"/>
      <c r="D126" s="58"/>
      <c r="E126" s="58"/>
      <c r="F126" s="139"/>
      <c r="G126" s="58" t="s">
        <v>117</v>
      </c>
      <c r="H126" s="62">
        <v>14</v>
      </c>
      <c r="I126" s="62" t="s">
        <v>320</v>
      </c>
      <c r="J126" s="62" t="s">
        <v>326</v>
      </c>
      <c r="K126" s="93">
        <v>92.7</v>
      </c>
      <c r="L126" s="93">
        <v>-3.3</v>
      </c>
      <c r="M126" s="92">
        <v>91.4</v>
      </c>
      <c r="N126" s="92">
        <f>(M126-95.9)/95.9*100</f>
        <v>-4.6923879040667362</v>
      </c>
      <c r="O126" s="92">
        <v>85.9</v>
      </c>
      <c r="P126" s="92">
        <f>(O126-95.9)/95.9*100</f>
        <v>-10.427528675703858</v>
      </c>
      <c r="Q126" s="92">
        <v>84.2</v>
      </c>
      <c r="R126" s="92">
        <f>(Q126-95.9)/95.9*100</f>
        <v>-12.200208550573516</v>
      </c>
    </row>
    <row r="127" spans="1:20" x14ac:dyDescent="0.25">
      <c r="A127" s="22"/>
      <c r="B127" s="143"/>
      <c r="C127" s="139"/>
      <c r="D127" s="73"/>
      <c r="E127" s="73"/>
      <c r="F127" s="139"/>
      <c r="G127" s="73" t="s">
        <v>118</v>
      </c>
      <c r="H127" s="74">
        <v>14</v>
      </c>
      <c r="I127" s="62" t="s">
        <v>320</v>
      </c>
      <c r="J127" s="74" t="s">
        <v>327</v>
      </c>
      <c r="K127" s="107">
        <v>94.7</v>
      </c>
      <c r="L127" s="107">
        <v>-6.6</v>
      </c>
      <c r="M127" s="94">
        <v>93.4</v>
      </c>
      <c r="N127" s="92">
        <f>(M127-101.4)/101.4*100</f>
        <v>-7.8895463510848129</v>
      </c>
      <c r="O127" s="92">
        <v>87.9</v>
      </c>
      <c r="P127" s="92">
        <f>(O127-101.4)/101.4*100</f>
        <v>-13.31360946745562</v>
      </c>
      <c r="Q127" s="92">
        <v>84.9</v>
      </c>
      <c r="R127" s="92">
        <f>(Q127-101.4)/101.4*100</f>
        <v>-16.272189349112427</v>
      </c>
    </row>
    <row r="128" spans="1:20" x14ac:dyDescent="0.25">
      <c r="A128" s="22"/>
      <c r="B128" s="143"/>
      <c r="C128" s="139"/>
      <c r="D128" s="73"/>
      <c r="E128" s="73"/>
      <c r="F128" s="139"/>
      <c r="G128" s="73" t="s">
        <v>119</v>
      </c>
      <c r="H128" s="74">
        <v>14</v>
      </c>
      <c r="I128" s="62" t="s">
        <v>320</v>
      </c>
      <c r="J128" s="74" t="s">
        <v>328</v>
      </c>
      <c r="K128" s="94">
        <v>95</v>
      </c>
      <c r="L128" s="107">
        <v>-3.5</v>
      </c>
      <c r="M128" s="94">
        <v>94</v>
      </c>
      <c r="N128" s="92">
        <f>(M128-98.4)/98.4*100</f>
        <v>-4.4715447154471599</v>
      </c>
      <c r="O128" s="92">
        <v>88.1</v>
      </c>
      <c r="P128" s="92">
        <f>(O128-98.4)/98.4*100</f>
        <v>-10.46747967479676</v>
      </c>
      <c r="Q128" s="92">
        <v>85</v>
      </c>
      <c r="R128" s="92">
        <f>(Q128-98.4)/98.4*100</f>
        <v>-13.617886178861793</v>
      </c>
      <c r="T128" s="18">
        <f>AVERAGE(P121:P128)</f>
        <v>-4.2105474343297686</v>
      </c>
    </row>
    <row r="129" spans="1:20" ht="15.75" thickBot="1" x14ac:dyDescent="0.3">
      <c r="A129" s="22"/>
      <c r="B129" s="156"/>
      <c r="C129" s="141"/>
      <c r="D129" s="75"/>
      <c r="E129" s="75"/>
      <c r="F129" s="141"/>
      <c r="G129" s="75" t="s">
        <v>375</v>
      </c>
      <c r="H129" s="75"/>
      <c r="I129" s="75"/>
      <c r="J129" s="75"/>
      <c r="K129" s="108"/>
      <c r="L129" s="109" t="s">
        <v>329</v>
      </c>
      <c r="M129" s="110"/>
      <c r="N129" s="109" t="s">
        <v>438</v>
      </c>
      <c r="O129" s="110"/>
      <c r="P129" s="109" t="s">
        <v>440</v>
      </c>
      <c r="Q129" s="110"/>
      <c r="R129" s="109" t="s">
        <v>439</v>
      </c>
      <c r="T129" s="18">
        <f>_xlfn.STDEV.P(P121:P128)</f>
        <v>10.471409570150033</v>
      </c>
    </row>
    <row r="130" spans="1:20" x14ac:dyDescent="0.25">
      <c r="B130" s="76" t="s">
        <v>121</v>
      </c>
      <c r="C130" s="58"/>
      <c r="D130" s="58"/>
      <c r="E130" s="58"/>
      <c r="F130" s="58"/>
      <c r="G130" s="58"/>
      <c r="H130" s="58"/>
      <c r="I130" s="58"/>
      <c r="J130" s="58"/>
      <c r="K130" s="58"/>
      <c r="L130" s="122" t="s">
        <v>472</v>
      </c>
      <c r="M130" s="58"/>
      <c r="N130" s="122" t="s">
        <v>473</v>
      </c>
      <c r="O130" s="58"/>
      <c r="P130" s="122" t="s">
        <v>474</v>
      </c>
      <c r="Q130" s="58"/>
      <c r="R130" s="122" t="s">
        <v>475</v>
      </c>
    </row>
    <row r="131" spans="1:20" x14ac:dyDescent="0.25">
      <c r="B131" s="58"/>
      <c r="C131" s="58"/>
      <c r="D131" s="58"/>
      <c r="E131" s="58"/>
      <c r="F131" s="58"/>
      <c r="G131" s="58"/>
      <c r="H131" s="58"/>
      <c r="I131" s="58"/>
      <c r="J131" s="58"/>
      <c r="K131" s="58"/>
      <c r="L131" s="115">
        <f>AVERAGE(1.5,7, 6,2, 14.3, -3.6, 3.3, -3.9, -5.1, -2.6, 2.4)</f>
        <v>1.9363636363636361</v>
      </c>
      <c r="M131" s="58"/>
      <c r="N131" s="115">
        <f>AVERAGE(8.8,0,7.5,11.4,-3.9,-0.1,3,-3.9,-1.5,1.3)</f>
        <v>2.2600000000000007</v>
      </c>
      <c r="O131" s="58"/>
      <c r="P131" s="115">
        <f>AVERAGE(0.1,4.5,7,11.4,-2.2,-2.4,0.7,-10.1,-1.4,-4.2)</f>
        <v>0.34000000000000014</v>
      </c>
      <c r="Q131" s="58"/>
      <c r="R131" s="115">
        <f>AVERAGE(-0.6,5.8,3.5,13.5,-0.6,-0.1,-7.7,-10.3,-12.1,-4.7)</f>
        <v>-1.3300000000000005</v>
      </c>
    </row>
    <row r="132" spans="1:20" x14ac:dyDescent="0.25">
      <c r="B132" s="58"/>
      <c r="C132" s="58"/>
      <c r="D132" s="58"/>
      <c r="E132" s="58"/>
      <c r="F132" s="58"/>
      <c r="G132" s="58"/>
      <c r="H132" s="58"/>
      <c r="I132" s="58"/>
      <c r="J132" s="58"/>
      <c r="K132" s="58"/>
      <c r="L132" s="115">
        <f>_xlfn.STDEV.P(1.5,7, 6,2, 14.3, -3.6, 3.3, -3.9, -5.1, -2.6, 2.4)</f>
        <v>5.4945051439469506</v>
      </c>
      <c r="M132" s="58"/>
      <c r="N132" s="115">
        <f>_xlfn.STDEV.P(8.8,0,7.5,11.4,-3.9,-0.1,3,-3.9,-1.5,1.3)</f>
        <v>5.0590908274115804</v>
      </c>
      <c r="O132" s="58"/>
      <c r="P132" s="115">
        <f>_xlfn.STDEV.P(0.1,4.5,7,11.4,-2.2,-2.4,0.7,-10.1,-1.4,-4.2)</f>
        <v>5.7512085686401608</v>
      </c>
      <c r="Q132" s="58"/>
      <c r="R132" s="115">
        <f>_xlfn.STDEV.P(-0.6,5.8,3.5,13.5,-0.6,-0.1,-7.7,-10.3,-12.1,-4.7)</f>
        <v>7.3828246626883942</v>
      </c>
    </row>
    <row r="134" spans="1:20" x14ac:dyDescent="0.25">
      <c r="B134" s="91" t="s">
        <v>388</v>
      </c>
      <c r="C134" s="91"/>
      <c r="D134" s="91"/>
      <c r="E134" s="91"/>
      <c r="F134" s="91"/>
      <c r="G134" s="91"/>
    </row>
    <row r="135" spans="1:20" ht="15.75" thickBot="1" x14ac:dyDescent="0.3">
      <c r="B135" s="88" t="s">
        <v>330</v>
      </c>
      <c r="C135" s="88"/>
      <c r="D135" s="88"/>
      <c r="E135" s="88"/>
      <c r="F135" s="88"/>
      <c r="G135" s="88"/>
      <c r="H135" s="88"/>
      <c r="I135" s="88"/>
      <c r="J135" s="88"/>
      <c r="K135" s="88"/>
      <c r="L135" s="88"/>
      <c r="M135" s="88"/>
      <c r="N135" s="88"/>
      <c r="O135" s="88"/>
      <c r="P135" s="89"/>
      <c r="Q135" s="89"/>
      <c r="R135" s="89"/>
    </row>
    <row r="136" spans="1:20" x14ac:dyDescent="0.25">
      <c r="B136" s="148" t="s">
        <v>0</v>
      </c>
      <c r="C136" s="148" t="s">
        <v>10</v>
      </c>
      <c r="D136" s="149" t="s">
        <v>13</v>
      </c>
      <c r="E136" s="149" t="s">
        <v>14</v>
      </c>
      <c r="F136" s="145" t="s">
        <v>2</v>
      </c>
      <c r="G136" s="145" t="s">
        <v>1</v>
      </c>
      <c r="H136" s="150" t="s">
        <v>3</v>
      </c>
      <c r="I136" s="59"/>
      <c r="J136" s="59"/>
      <c r="K136" s="151" t="s">
        <v>148</v>
      </c>
      <c r="L136" s="151"/>
      <c r="M136" s="151"/>
      <c r="N136" s="151"/>
      <c r="O136" s="151"/>
      <c r="P136" s="151"/>
      <c r="Q136" s="151"/>
      <c r="R136" s="151"/>
    </row>
    <row r="137" spans="1:20" x14ac:dyDescent="0.25">
      <c r="B137" s="146"/>
      <c r="C137" s="146"/>
      <c r="D137" s="146"/>
      <c r="E137" s="146"/>
      <c r="F137" s="146"/>
      <c r="G137" s="146"/>
      <c r="H137" s="151"/>
      <c r="I137" s="60"/>
      <c r="J137" s="60"/>
      <c r="K137" s="153" t="s">
        <v>149</v>
      </c>
      <c r="L137" s="153"/>
      <c r="M137" s="153" t="s">
        <v>150</v>
      </c>
      <c r="N137" s="153"/>
      <c r="O137" s="153" t="s">
        <v>151</v>
      </c>
      <c r="P137" s="153"/>
      <c r="Q137" s="153" t="s">
        <v>152</v>
      </c>
      <c r="R137" s="153"/>
    </row>
    <row r="138" spans="1:20" ht="15.75" thickBot="1" x14ac:dyDescent="0.3">
      <c r="B138" s="147"/>
      <c r="C138" s="147"/>
      <c r="D138" s="147"/>
      <c r="E138" s="147"/>
      <c r="F138" s="147"/>
      <c r="G138" s="147"/>
      <c r="H138" s="152"/>
      <c r="I138" s="61" t="s">
        <v>4</v>
      </c>
      <c r="J138" s="61" t="s">
        <v>5</v>
      </c>
      <c r="K138" s="61" t="s">
        <v>6</v>
      </c>
      <c r="L138" s="61" t="s">
        <v>7</v>
      </c>
      <c r="M138" s="61" t="s">
        <v>6</v>
      </c>
      <c r="N138" s="61" t="s">
        <v>7</v>
      </c>
      <c r="O138" s="61" t="s">
        <v>6</v>
      </c>
      <c r="P138" s="61" t="s">
        <v>7</v>
      </c>
      <c r="Q138" s="61" t="s">
        <v>6</v>
      </c>
      <c r="R138" s="61" t="s">
        <v>7</v>
      </c>
    </row>
    <row r="139" spans="1:20" x14ac:dyDescent="0.25">
      <c r="B139" s="58"/>
      <c r="C139" s="58"/>
      <c r="D139" s="58"/>
      <c r="E139" s="58"/>
      <c r="F139" s="58"/>
      <c r="G139" s="58"/>
      <c r="H139" s="58"/>
      <c r="I139" s="154" t="s">
        <v>248</v>
      </c>
      <c r="J139" s="154"/>
      <c r="K139" s="154"/>
      <c r="L139" s="62" t="s">
        <v>8</v>
      </c>
      <c r="M139" s="62" t="s">
        <v>249</v>
      </c>
      <c r="N139" s="62" t="s">
        <v>8</v>
      </c>
      <c r="O139" s="62" t="s">
        <v>249</v>
      </c>
      <c r="P139" s="62" t="s">
        <v>8</v>
      </c>
      <c r="Q139" s="62" t="s">
        <v>249</v>
      </c>
      <c r="R139" s="62" t="s">
        <v>8</v>
      </c>
    </row>
    <row r="140" spans="1:20" x14ac:dyDescent="0.25">
      <c r="B140" s="143" t="s">
        <v>11</v>
      </c>
      <c r="C140" s="143" t="s">
        <v>12</v>
      </c>
      <c r="D140" s="71" t="s">
        <v>210</v>
      </c>
      <c r="E140" s="71" t="s">
        <v>211</v>
      </c>
      <c r="F140" s="151" t="s">
        <v>15</v>
      </c>
      <c r="G140" s="58" t="s">
        <v>18</v>
      </c>
      <c r="H140" s="62">
        <v>11</v>
      </c>
      <c r="I140" s="62" t="s">
        <v>250</v>
      </c>
      <c r="J140" s="62">
        <v>52.4</v>
      </c>
      <c r="K140" s="93">
        <v>57.5</v>
      </c>
      <c r="L140" s="92">
        <f>(K140-J140)/J140*100</f>
        <v>9.732824427480919</v>
      </c>
      <c r="M140" s="92">
        <v>55.5</v>
      </c>
      <c r="N140" s="92">
        <f>(M140-J140)/J140*100</f>
        <v>5.9160305343511483</v>
      </c>
      <c r="O140" s="93">
        <v>51.7</v>
      </c>
      <c r="P140" s="92">
        <f>(O140-J140)/J140*100</f>
        <v>-1.3358778625954117</v>
      </c>
      <c r="Q140" s="93">
        <v>50.2</v>
      </c>
      <c r="R140" s="92">
        <f>(Q140-J140)/J140*100</f>
        <v>-4.1984732824427402</v>
      </c>
    </row>
    <row r="141" spans="1:20" x14ac:dyDescent="0.25">
      <c r="B141" s="143"/>
      <c r="C141" s="139"/>
      <c r="D141" s="58"/>
      <c r="E141" s="58"/>
      <c r="F141" s="139"/>
      <c r="G141" s="58" t="s">
        <v>19</v>
      </c>
      <c r="H141" s="62">
        <v>11</v>
      </c>
      <c r="I141" s="62" t="s">
        <v>250</v>
      </c>
      <c r="J141" s="62">
        <v>44.7</v>
      </c>
      <c r="K141" s="92">
        <v>57</v>
      </c>
      <c r="L141" s="92">
        <f t="shared" ref="L141:L159" si="16">(K141-J141)/J141*100</f>
        <v>27.516778523489926</v>
      </c>
      <c r="M141" s="92">
        <v>53.9</v>
      </c>
      <c r="N141" s="92">
        <f t="shared" ref="N141:N159" si="17">(M141-J141)/J141*100</f>
        <v>20.581655480984328</v>
      </c>
      <c r="O141" s="93">
        <v>51.3</v>
      </c>
      <c r="P141" s="92">
        <f t="shared" ref="P141:P159" si="18">(O141-J141)/J141*100</f>
        <v>14.765100671140926</v>
      </c>
      <c r="Q141" s="93">
        <v>50</v>
      </c>
      <c r="R141" s="92">
        <f t="shared" ref="R141:R159" si="19">(Q141-J141)/J141*100</f>
        <v>11.856823266219232</v>
      </c>
    </row>
    <row r="142" spans="1:20" x14ac:dyDescent="0.25">
      <c r="B142" s="143"/>
      <c r="C142" s="139"/>
      <c r="D142" s="58"/>
      <c r="E142" s="58"/>
      <c r="F142" s="139"/>
      <c r="G142" s="58" t="s">
        <v>20</v>
      </c>
      <c r="H142" s="62">
        <v>11</v>
      </c>
      <c r="I142" s="62" t="s">
        <v>250</v>
      </c>
      <c r="J142" s="62">
        <v>63.4</v>
      </c>
      <c r="K142" s="93">
        <v>57.7</v>
      </c>
      <c r="L142" s="92">
        <f t="shared" si="16"/>
        <v>-8.9905362776025175</v>
      </c>
      <c r="M142" s="92">
        <v>56.9</v>
      </c>
      <c r="N142" s="92">
        <f t="shared" si="17"/>
        <v>-10.252365930599369</v>
      </c>
      <c r="O142" s="93">
        <v>52</v>
      </c>
      <c r="P142" s="92">
        <f t="shared" si="18"/>
        <v>-17.981072555205046</v>
      </c>
      <c r="Q142" s="93">
        <v>50.3</v>
      </c>
      <c r="R142" s="92">
        <f t="shared" si="19"/>
        <v>-20.662460567823345</v>
      </c>
    </row>
    <row r="143" spans="1:20" x14ac:dyDescent="0.25">
      <c r="B143" s="143"/>
      <c r="C143" s="139"/>
      <c r="D143" s="58"/>
      <c r="E143" s="58"/>
      <c r="F143" s="139"/>
      <c r="G143" s="58" t="s">
        <v>18</v>
      </c>
      <c r="H143" s="62">
        <v>29</v>
      </c>
      <c r="I143" s="62" t="s">
        <v>250</v>
      </c>
      <c r="J143" s="62">
        <v>54.7</v>
      </c>
      <c r="K143" s="93">
        <v>55.2</v>
      </c>
      <c r="L143" s="92">
        <f t="shared" si="16"/>
        <v>0.91407678244972579</v>
      </c>
      <c r="M143" s="92">
        <v>58.3</v>
      </c>
      <c r="N143" s="92">
        <f t="shared" si="17"/>
        <v>6.5813528336380145</v>
      </c>
      <c r="O143" s="93">
        <v>50.6</v>
      </c>
      <c r="P143" s="92">
        <f t="shared" si="18"/>
        <v>-7.4954296160877538</v>
      </c>
      <c r="Q143" s="93">
        <v>44.6</v>
      </c>
      <c r="R143" s="92">
        <f t="shared" si="19"/>
        <v>-18.46435100548446</v>
      </c>
    </row>
    <row r="144" spans="1:20" x14ac:dyDescent="0.25">
      <c r="B144" s="143"/>
      <c r="C144" s="139"/>
      <c r="D144" s="58"/>
      <c r="E144" s="58"/>
      <c r="F144" s="139"/>
      <c r="G144" s="58" t="s">
        <v>19</v>
      </c>
      <c r="H144" s="62">
        <v>29</v>
      </c>
      <c r="I144" s="62" t="s">
        <v>250</v>
      </c>
      <c r="J144" s="62">
        <v>44.8</v>
      </c>
      <c r="K144" s="92">
        <v>55</v>
      </c>
      <c r="L144" s="92">
        <f t="shared" si="16"/>
        <v>22.767857142857149</v>
      </c>
      <c r="M144" s="92">
        <v>56.2</v>
      </c>
      <c r="N144" s="92">
        <f t="shared" si="17"/>
        <v>25.446428571428587</v>
      </c>
      <c r="O144" s="93">
        <v>50.3</v>
      </c>
      <c r="P144" s="92">
        <f t="shared" si="18"/>
        <v>12.276785714285715</v>
      </c>
      <c r="Q144" s="93">
        <v>44.5</v>
      </c>
      <c r="R144" s="92">
        <f t="shared" si="19"/>
        <v>-0.66964285714285088</v>
      </c>
    </row>
    <row r="145" spans="2:20" x14ac:dyDescent="0.25">
      <c r="B145" s="143"/>
      <c r="C145" s="139"/>
      <c r="D145" s="58"/>
      <c r="E145" s="58"/>
      <c r="F145" s="139"/>
      <c r="G145" s="58" t="s">
        <v>20</v>
      </c>
      <c r="H145" s="62">
        <v>29</v>
      </c>
      <c r="I145" s="62" t="s">
        <v>250</v>
      </c>
      <c r="J145" s="62">
        <v>62.1</v>
      </c>
      <c r="K145" s="93">
        <v>54.6</v>
      </c>
      <c r="L145" s="92">
        <f t="shared" si="16"/>
        <v>-12.077294685990339</v>
      </c>
      <c r="M145" s="92">
        <v>55.7</v>
      </c>
      <c r="N145" s="92">
        <f t="shared" si="17"/>
        <v>-10.305958132045086</v>
      </c>
      <c r="O145" s="93">
        <v>50.2</v>
      </c>
      <c r="P145" s="92">
        <f t="shared" si="18"/>
        <v>-19.162640901771333</v>
      </c>
      <c r="Q145" s="93">
        <v>44.5</v>
      </c>
      <c r="R145" s="92">
        <f t="shared" si="19"/>
        <v>-28.341384863123999</v>
      </c>
    </row>
    <row r="146" spans="2:20" x14ac:dyDescent="0.25">
      <c r="B146" s="143"/>
      <c r="C146" s="139"/>
      <c r="D146" s="58"/>
      <c r="E146" s="58"/>
      <c r="F146" s="139"/>
      <c r="G146" s="58" t="s">
        <v>18</v>
      </c>
      <c r="H146" s="64">
        <v>42</v>
      </c>
      <c r="I146" s="62" t="s">
        <v>250</v>
      </c>
      <c r="J146" s="63">
        <v>51.8</v>
      </c>
      <c r="K146" s="92">
        <v>53.5</v>
      </c>
      <c r="L146" s="92">
        <f t="shared" si="16"/>
        <v>3.2818532818532877</v>
      </c>
      <c r="M146" s="92">
        <v>60.2</v>
      </c>
      <c r="N146" s="92">
        <f t="shared" si="17"/>
        <v>16.216216216216228</v>
      </c>
      <c r="O146" s="93">
        <v>50</v>
      </c>
      <c r="P146" s="92">
        <f t="shared" si="18"/>
        <v>-3.4749034749034693</v>
      </c>
      <c r="Q146" s="93">
        <v>42.1</v>
      </c>
      <c r="R146" s="92">
        <f t="shared" si="19"/>
        <v>-18.725868725868718</v>
      </c>
    </row>
    <row r="147" spans="2:20" x14ac:dyDescent="0.25">
      <c r="B147" s="143"/>
      <c r="C147" s="139"/>
      <c r="D147" s="58"/>
      <c r="E147" s="58"/>
      <c r="F147" s="139"/>
      <c r="G147" s="58" t="s">
        <v>19</v>
      </c>
      <c r="H147" s="64">
        <v>42</v>
      </c>
      <c r="I147" s="62" t="s">
        <v>250</v>
      </c>
      <c r="J147" s="63">
        <v>49.2</v>
      </c>
      <c r="K147" s="92">
        <v>53.3</v>
      </c>
      <c r="L147" s="92">
        <f t="shared" si="16"/>
        <v>8.3333333333333215</v>
      </c>
      <c r="M147" s="92">
        <v>57.8</v>
      </c>
      <c r="N147" s="92">
        <f t="shared" si="17"/>
        <v>17.479674796747954</v>
      </c>
      <c r="O147" s="93">
        <v>49.8</v>
      </c>
      <c r="P147" s="92">
        <f t="shared" si="18"/>
        <v>1.2195121951219396</v>
      </c>
      <c r="Q147" s="93">
        <v>42</v>
      </c>
      <c r="R147" s="92">
        <f t="shared" si="19"/>
        <v>-14.634146341463419</v>
      </c>
    </row>
    <row r="148" spans="2:20" x14ac:dyDescent="0.25">
      <c r="B148" s="143"/>
      <c r="C148" s="139"/>
      <c r="D148" s="58"/>
      <c r="E148" s="58"/>
      <c r="F148" s="139"/>
      <c r="G148" s="58" t="s">
        <v>20</v>
      </c>
      <c r="H148" s="64">
        <v>42</v>
      </c>
      <c r="I148" s="62" t="s">
        <v>250</v>
      </c>
      <c r="J148" s="63">
        <v>54.8</v>
      </c>
      <c r="K148" s="92">
        <v>53.2</v>
      </c>
      <c r="L148" s="92">
        <f t="shared" si="16"/>
        <v>-2.9197080291970701</v>
      </c>
      <c r="M148" s="92">
        <v>57.1</v>
      </c>
      <c r="N148" s="92">
        <f t="shared" si="17"/>
        <v>4.1970802919708108</v>
      </c>
      <c r="O148" s="92">
        <v>49.7</v>
      </c>
      <c r="P148" s="92">
        <f t="shared" si="18"/>
        <v>-9.306569343065684</v>
      </c>
      <c r="Q148" s="93">
        <v>41.9</v>
      </c>
      <c r="R148" s="92">
        <f t="shared" si="19"/>
        <v>-23.540145985401459</v>
      </c>
    </row>
    <row r="149" spans="2:20" x14ac:dyDescent="0.25">
      <c r="B149" s="143"/>
      <c r="C149" s="139"/>
      <c r="D149" s="58"/>
      <c r="E149" s="58"/>
      <c r="F149" s="139"/>
      <c r="G149" s="58" t="s">
        <v>18</v>
      </c>
      <c r="H149" s="62">
        <v>56</v>
      </c>
      <c r="I149" s="62" t="s">
        <v>250</v>
      </c>
      <c r="J149" s="62">
        <v>53.6</v>
      </c>
      <c r="K149" s="92">
        <v>52</v>
      </c>
      <c r="L149" s="92">
        <f t="shared" si="16"/>
        <v>-2.9850746268656745</v>
      </c>
      <c r="M149" s="92">
        <v>62.3</v>
      </c>
      <c r="N149" s="92">
        <f t="shared" si="17"/>
        <v>16.231343283582081</v>
      </c>
      <c r="O149" s="93">
        <v>49.2</v>
      </c>
      <c r="P149" s="92">
        <f t="shared" si="18"/>
        <v>-8.2089552238805936</v>
      </c>
      <c r="Q149" s="93">
        <v>39.9</v>
      </c>
      <c r="R149" s="92">
        <f t="shared" si="19"/>
        <v>-25.559701492537318</v>
      </c>
    </row>
    <row r="150" spans="2:20" x14ac:dyDescent="0.25">
      <c r="B150" s="143"/>
      <c r="C150" s="139"/>
      <c r="D150" s="58"/>
      <c r="E150" s="58"/>
      <c r="F150" s="139"/>
      <c r="G150" s="58" t="s">
        <v>19</v>
      </c>
      <c r="H150" s="62">
        <v>56</v>
      </c>
      <c r="I150" s="62" t="s">
        <v>250</v>
      </c>
      <c r="J150" s="62">
        <v>51.3</v>
      </c>
      <c r="K150" s="93">
        <v>51.9</v>
      </c>
      <c r="L150" s="92">
        <f t="shared" si="16"/>
        <v>1.1695906432748566</v>
      </c>
      <c r="M150" s="92">
        <v>60.2</v>
      </c>
      <c r="N150" s="92">
        <f t="shared" si="17"/>
        <v>17.348927875243678</v>
      </c>
      <c r="O150" s="93">
        <v>48.7</v>
      </c>
      <c r="P150" s="92">
        <f t="shared" si="18"/>
        <v>-5.0682261208576893</v>
      </c>
      <c r="Q150" s="93">
        <v>39.799999999999997</v>
      </c>
      <c r="R150" s="92">
        <f t="shared" si="19"/>
        <v>-22.417153996101366</v>
      </c>
    </row>
    <row r="151" spans="2:20" x14ac:dyDescent="0.25">
      <c r="B151" s="143"/>
      <c r="C151" s="139"/>
      <c r="D151" s="58"/>
      <c r="E151" s="58"/>
      <c r="F151" s="139"/>
      <c r="G151" s="58" t="s">
        <v>20</v>
      </c>
      <c r="H151" s="62">
        <v>56</v>
      </c>
      <c r="I151" s="62" t="s">
        <v>250</v>
      </c>
      <c r="J151" s="62">
        <v>56.5</v>
      </c>
      <c r="K151" s="92">
        <v>52</v>
      </c>
      <c r="L151" s="92">
        <f t="shared" si="16"/>
        <v>-7.9646017699115044</v>
      </c>
      <c r="M151" s="92">
        <v>59.8</v>
      </c>
      <c r="N151" s="92">
        <f t="shared" si="17"/>
        <v>5.8407079646017648</v>
      </c>
      <c r="O151" s="93">
        <v>49</v>
      </c>
      <c r="P151" s="92">
        <f t="shared" si="18"/>
        <v>-13.274336283185843</v>
      </c>
      <c r="Q151" s="93">
        <v>39.799999999999997</v>
      </c>
      <c r="R151" s="92">
        <f t="shared" si="19"/>
        <v>-29.557522123893808</v>
      </c>
    </row>
    <row r="152" spans="2:20" x14ac:dyDescent="0.25">
      <c r="B152" s="143"/>
      <c r="C152" s="139"/>
      <c r="D152" s="58"/>
      <c r="E152" s="58"/>
      <c r="F152" s="139"/>
      <c r="G152" s="58" t="s">
        <v>18</v>
      </c>
      <c r="H152" s="62">
        <v>62</v>
      </c>
      <c r="I152" s="62" t="s">
        <v>250</v>
      </c>
      <c r="J152" s="62">
        <v>47.3</v>
      </c>
      <c r="K152" s="93">
        <v>51.6</v>
      </c>
      <c r="L152" s="92">
        <f t="shared" si="16"/>
        <v>9.0909090909091006</v>
      </c>
      <c r="M152" s="92">
        <v>64</v>
      </c>
      <c r="N152" s="92">
        <f t="shared" si="17"/>
        <v>35.306553911205079</v>
      </c>
      <c r="O152" s="93">
        <v>49</v>
      </c>
      <c r="P152" s="92">
        <f t="shared" si="18"/>
        <v>3.5940803382663908</v>
      </c>
      <c r="Q152" s="93">
        <v>39.1</v>
      </c>
      <c r="R152" s="92">
        <f t="shared" si="19"/>
        <v>-17.336152219873142</v>
      </c>
    </row>
    <row r="153" spans="2:20" x14ac:dyDescent="0.25">
      <c r="B153" s="143"/>
      <c r="C153" s="139"/>
      <c r="D153" s="58"/>
      <c r="E153" s="58"/>
      <c r="F153" s="139"/>
      <c r="G153" s="58" t="s">
        <v>19</v>
      </c>
      <c r="H153" s="62">
        <v>62</v>
      </c>
      <c r="I153" s="62" t="s">
        <v>250</v>
      </c>
      <c r="J153" s="62">
        <v>45.6</v>
      </c>
      <c r="K153" s="93">
        <v>51.4</v>
      </c>
      <c r="L153" s="92">
        <f t="shared" si="16"/>
        <v>12.719298245614027</v>
      </c>
      <c r="M153" s="92">
        <v>61.2</v>
      </c>
      <c r="N153" s="92">
        <f t="shared" si="17"/>
        <v>34.210526315789473</v>
      </c>
      <c r="O153" s="93">
        <v>48.7</v>
      </c>
      <c r="P153" s="92">
        <f t="shared" si="18"/>
        <v>6.7982456140350909</v>
      </c>
      <c r="Q153" s="93">
        <v>39</v>
      </c>
      <c r="R153" s="92">
        <f t="shared" si="19"/>
        <v>-14.473684210526319</v>
      </c>
    </row>
    <row r="154" spans="2:20" x14ac:dyDescent="0.25">
      <c r="B154" s="143"/>
      <c r="C154" s="139"/>
      <c r="D154" s="58"/>
      <c r="E154" s="58"/>
      <c r="F154" s="139"/>
      <c r="G154" s="58" t="s">
        <v>20</v>
      </c>
      <c r="H154" s="62">
        <v>62</v>
      </c>
      <c r="I154" s="62" t="s">
        <v>250</v>
      </c>
      <c r="J154" s="62">
        <v>45.7</v>
      </c>
      <c r="K154" s="93">
        <v>51.4</v>
      </c>
      <c r="L154" s="92">
        <f t="shared" si="16"/>
        <v>12.472647702406991</v>
      </c>
      <c r="M154" s="92">
        <v>60.8</v>
      </c>
      <c r="N154" s="92">
        <f t="shared" si="17"/>
        <v>33.041575492341337</v>
      </c>
      <c r="O154" s="93">
        <v>48.6</v>
      </c>
      <c r="P154" s="92">
        <f t="shared" si="18"/>
        <v>6.3457330415754898</v>
      </c>
      <c r="Q154" s="93">
        <v>39</v>
      </c>
      <c r="R154" s="92">
        <f t="shared" si="19"/>
        <v>-14.660831509846833</v>
      </c>
    </row>
    <row r="155" spans="2:20" x14ac:dyDescent="0.25">
      <c r="B155" s="143"/>
      <c r="C155" s="139"/>
      <c r="D155" s="58"/>
      <c r="E155" s="58"/>
      <c r="F155" s="139"/>
      <c r="G155" s="58" t="s">
        <v>18</v>
      </c>
      <c r="H155" s="62">
        <v>69</v>
      </c>
      <c r="I155" s="62" t="s">
        <v>250</v>
      </c>
      <c r="J155" s="62">
        <v>54.6</v>
      </c>
      <c r="K155" s="93">
        <v>51.1</v>
      </c>
      <c r="L155" s="92">
        <f t="shared" si="16"/>
        <v>-6.4102564102564097</v>
      </c>
      <c r="M155" s="92">
        <v>65.8</v>
      </c>
      <c r="N155" s="92">
        <f t="shared" si="17"/>
        <v>20.512820512820504</v>
      </c>
      <c r="O155" s="93">
        <v>49.1</v>
      </c>
      <c r="P155" s="92">
        <f t="shared" si="18"/>
        <v>-10.073260073260073</v>
      </c>
      <c r="Q155" s="93">
        <v>38.299999999999997</v>
      </c>
      <c r="R155" s="92">
        <f t="shared" si="19"/>
        <v>-29.853479853479858</v>
      </c>
    </row>
    <row r="156" spans="2:20" x14ac:dyDescent="0.25">
      <c r="B156" s="143"/>
      <c r="C156" s="139"/>
      <c r="D156" s="58"/>
      <c r="E156" s="58"/>
      <c r="F156" s="139"/>
      <c r="G156" s="58" t="s">
        <v>19</v>
      </c>
      <c r="H156" s="62">
        <v>69</v>
      </c>
      <c r="I156" s="62" t="s">
        <v>250</v>
      </c>
      <c r="J156" s="62">
        <v>55.1</v>
      </c>
      <c r="K156" s="93">
        <v>50.8</v>
      </c>
      <c r="L156" s="92">
        <f t="shared" si="16"/>
        <v>-7.8039927404718767</v>
      </c>
      <c r="M156" s="92">
        <v>62.6</v>
      </c>
      <c r="N156" s="92">
        <f t="shared" si="17"/>
        <v>13.611615245009073</v>
      </c>
      <c r="O156" s="93">
        <v>48.5</v>
      </c>
      <c r="P156" s="92">
        <f t="shared" si="18"/>
        <v>-11.978221415607988</v>
      </c>
      <c r="Q156" s="93">
        <v>38.200000000000003</v>
      </c>
      <c r="R156" s="92">
        <f t="shared" si="19"/>
        <v>-30.671506352087114</v>
      </c>
    </row>
    <row r="157" spans="2:20" x14ac:dyDescent="0.25">
      <c r="B157" s="143"/>
      <c r="C157" s="139"/>
      <c r="D157" s="58"/>
      <c r="E157" s="58"/>
      <c r="F157" s="139"/>
      <c r="G157" s="58" t="s">
        <v>20</v>
      </c>
      <c r="H157" s="62">
        <v>69</v>
      </c>
      <c r="I157" s="62" t="s">
        <v>250</v>
      </c>
      <c r="J157" s="62">
        <v>55.4</v>
      </c>
      <c r="K157" s="93">
        <v>51.1</v>
      </c>
      <c r="L157" s="92">
        <f t="shared" si="16"/>
        <v>-7.7617328519855544</v>
      </c>
      <c r="M157" s="92">
        <v>63.1</v>
      </c>
      <c r="N157" s="92">
        <f t="shared" si="17"/>
        <v>13.898916967509031</v>
      </c>
      <c r="O157" s="93">
        <v>48.8</v>
      </c>
      <c r="P157" s="92">
        <f t="shared" si="18"/>
        <v>-11.913357400722024</v>
      </c>
      <c r="Q157" s="93">
        <v>38.200000000000003</v>
      </c>
      <c r="R157" s="92">
        <f t="shared" si="19"/>
        <v>-31.046931407942228</v>
      </c>
    </row>
    <row r="158" spans="2:20" x14ac:dyDescent="0.25">
      <c r="B158" s="143"/>
      <c r="C158" s="139"/>
      <c r="D158" s="58"/>
      <c r="E158" s="58"/>
      <c r="F158" s="139"/>
      <c r="G158" s="58" t="s">
        <v>19</v>
      </c>
      <c r="H158" s="62">
        <v>83</v>
      </c>
      <c r="I158" s="62" t="s">
        <v>250</v>
      </c>
      <c r="J158" s="63">
        <v>51</v>
      </c>
      <c r="K158" s="92">
        <v>50.5</v>
      </c>
      <c r="L158" s="92">
        <f t="shared" si="16"/>
        <v>-0.98039215686274506</v>
      </c>
      <c r="M158" s="92">
        <v>67.400000000000006</v>
      </c>
      <c r="N158" s="92">
        <f t="shared" si="17"/>
        <v>32.156862745098053</v>
      </c>
      <c r="O158" s="93">
        <v>48.5</v>
      </c>
      <c r="P158" s="92">
        <f t="shared" si="18"/>
        <v>-4.9019607843137258</v>
      </c>
      <c r="Q158" s="93">
        <v>36.799999999999997</v>
      </c>
      <c r="R158" s="92">
        <f t="shared" si="19"/>
        <v>-27.843137254901968</v>
      </c>
    </row>
    <row r="159" spans="2:20" x14ac:dyDescent="0.25">
      <c r="B159" s="143"/>
      <c r="C159" s="139"/>
      <c r="D159" s="58"/>
      <c r="E159" s="58"/>
      <c r="F159" s="139"/>
      <c r="G159" s="58" t="s">
        <v>20</v>
      </c>
      <c r="H159" s="62">
        <v>83</v>
      </c>
      <c r="I159" s="62" t="s">
        <v>250</v>
      </c>
      <c r="J159" s="62">
        <v>55.3</v>
      </c>
      <c r="K159" s="93">
        <v>50.6</v>
      </c>
      <c r="L159" s="92">
        <f t="shared" si="16"/>
        <v>-8.4990958408679855</v>
      </c>
      <c r="M159" s="92">
        <v>67.2</v>
      </c>
      <c r="N159" s="92">
        <f t="shared" si="17"/>
        <v>21.518987341772164</v>
      </c>
      <c r="O159" s="93">
        <v>48.7</v>
      </c>
      <c r="P159" s="92">
        <f t="shared" si="18"/>
        <v>-11.93490054249547</v>
      </c>
      <c r="Q159" s="92">
        <v>36.799999999999997</v>
      </c>
      <c r="R159" s="92">
        <f t="shared" si="19"/>
        <v>-33.45388788426763</v>
      </c>
    </row>
    <row r="160" spans="2:20" x14ac:dyDescent="0.25">
      <c r="B160" s="144"/>
      <c r="C160" s="142"/>
      <c r="D160" s="60"/>
      <c r="E160" s="60"/>
      <c r="F160" s="142"/>
      <c r="G160" s="60" t="s">
        <v>375</v>
      </c>
      <c r="H160" s="60"/>
      <c r="I160" s="60"/>
      <c r="J160" s="60"/>
      <c r="K160" s="97"/>
      <c r="L160" s="98" t="s">
        <v>397</v>
      </c>
      <c r="M160" s="98"/>
      <c r="N160" s="99" t="s">
        <v>415</v>
      </c>
      <c r="O160" s="98"/>
      <c r="P160" s="99" t="s">
        <v>416</v>
      </c>
      <c r="Q160" s="98"/>
      <c r="R160" s="99" t="s">
        <v>414</v>
      </c>
      <c r="S160" s="18"/>
      <c r="T160" s="18"/>
    </row>
    <row r="161" spans="2:20" x14ac:dyDescent="0.25">
      <c r="B161" s="140" t="s">
        <v>11</v>
      </c>
      <c r="C161" s="140" t="s">
        <v>23</v>
      </c>
      <c r="D161" s="71" t="s">
        <v>210</v>
      </c>
      <c r="E161" s="71" t="s">
        <v>211</v>
      </c>
      <c r="F161" s="155" t="s">
        <v>15</v>
      </c>
      <c r="G161" s="58" t="s">
        <v>18</v>
      </c>
      <c r="H161" s="62">
        <v>21</v>
      </c>
      <c r="I161" s="62">
        <v>60.8</v>
      </c>
      <c r="J161" s="62" t="s">
        <v>251</v>
      </c>
      <c r="K161" s="93">
        <v>58.1</v>
      </c>
      <c r="L161" s="92">
        <f>(K161-50.3)/50.3*100</f>
        <v>15.506958250497027</v>
      </c>
      <c r="M161" s="92">
        <v>57.3</v>
      </c>
      <c r="N161" s="92">
        <f>(M161-50.3)/50.3*100</f>
        <v>13.916500994035786</v>
      </c>
      <c r="O161" s="92">
        <v>50.7</v>
      </c>
      <c r="P161" s="92">
        <f>(O161-50.3)/50.3*100</f>
        <v>0.79522862823062768</v>
      </c>
      <c r="Q161" s="92">
        <v>46.2</v>
      </c>
      <c r="R161" s="92">
        <f>(Q161-50.3)/50.3*100</f>
        <v>-8.1510934393638053</v>
      </c>
    </row>
    <row r="162" spans="2:20" x14ac:dyDescent="0.25">
      <c r="B162" s="143"/>
      <c r="C162" s="139"/>
      <c r="D162" s="58"/>
      <c r="E162" s="58"/>
      <c r="F162" s="139"/>
      <c r="G162" s="58" t="s">
        <v>19</v>
      </c>
      <c r="H162" s="62">
        <v>21</v>
      </c>
      <c r="I162" s="62">
        <v>60.8</v>
      </c>
      <c r="J162" s="62" t="s">
        <v>252</v>
      </c>
      <c r="K162" s="93">
        <v>58.4</v>
      </c>
      <c r="L162" s="92">
        <f>(K162-52.2)/52.2*100</f>
        <v>11.877394636015316</v>
      </c>
      <c r="M162" s="92">
        <v>58.9</v>
      </c>
      <c r="N162" s="92">
        <f>(M162-52.2)/52.2*100</f>
        <v>12.835249042145586</v>
      </c>
      <c r="O162" s="92">
        <v>51</v>
      </c>
      <c r="P162" s="92">
        <f>(O162-52.2)/52.2*100</f>
        <v>-2.2988505747126489</v>
      </c>
      <c r="Q162" s="92">
        <v>46.3</v>
      </c>
      <c r="R162" s="92">
        <f>(Q162-52.2)/52.2*100</f>
        <v>-11.302681992337176</v>
      </c>
    </row>
    <row r="163" spans="2:20" x14ac:dyDescent="0.25">
      <c r="B163" s="143"/>
      <c r="C163" s="139"/>
      <c r="D163" s="58"/>
      <c r="E163" s="58"/>
      <c r="F163" s="139"/>
      <c r="G163" s="58" t="s">
        <v>20</v>
      </c>
      <c r="H163" s="62">
        <v>21</v>
      </c>
      <c r="I163" s="62">
        <v>60.8</v>
      </c>
      <c r="J163" s="62" t="s">
        <v>253</v>
      </c>
      <c r="K163" s="92">
        <v>58.2</v>
      </c>
      <c r="L163" s="92">
        <f>(K163-55.3)/55.3*100</f>
        <v>5.2441229656419637</v>
      </c>
      <c r="M163" s="92">
        <v>58.3</v>
      </c>
      <c r="N163" s="92">
        <f>(M163-55.3)/55.3*100</f>
        <v>5.4249547920434003</v>
      </c>
      <c r="O163" s="92">
        <v>50.9</v>
      </c>
      <c r="P163" s="92">
        <f>(O163-55.3)/55.3*100</f>
        <v>-7.95660036166365</v>
      </c>
      <c r="Q163" s="92">
        <v>46.3</v>
      </c>
      <c r="R163" s="92">
        <f>(Q163-55.3)/55.3*100</f>
        <v>-16.2748643761302</v>
      </c>
    </row>
    <row r="164" spans="2:20" x14ac:dyDescent="0.25">
      <c r="B164" s="143"/>
      <c r="C164" s="139"/>
      <c r="D164" s="58"/>
      <c r="E164" s="58"/>
      <c r="F164" s="139"/>
      <c r="G164" s="58" t="s">
        <v>18</v>
      </c>
      <c r="H164" s="62">
        <v>32</v>
      </c>
      <c r="I164" s="62">
        <v>60.8</v>
      </c>
      <c r="J164" s="62" t="s">
        <v>254</v>
      </c>
      <c r="K164" s="93">
        <v>56.7</v>
      </c>
      <c r="L164" s="92">
        <f>(K164-47.2)/47.2*100</f>
        <v>20.127118644067796</v>
      </c>
      <c r="M164" s="92">
        <v>59.5</v>
      </c>
      <c r="N164" s="92">
        <f>(M164-47.2)/47.2*100</f>
        <v>26.059322033898297</v>
      </c>
      <c r="O164" s="92">
        <v>50.2</v>
      </c>
      <c r="P164" s="92">
        <f>(O164-47.2)/47.2*100</f>
        <v>6.3559322033898304</v>
      </c>
      <c r="Q164" s="92">
        <v>43.8</v>
      </c>
      <c r="R164" s="92">
        <f>(Q164-47.2)/47.2*100</f>
        <v>-7.2033898305084856</v>
      </c>
    </row>
    <row r="165" spans="2:20" x14ac:dyDescent="0.25">
      <c r="B165" s="143"/>
      <c r="C165" s="139"/>
      <c r="D165" s="58"/>
      <c r="E165" s="58"/>
      <c r="F165" s="139"/>
      <c r="G165" s="58" t="s">
        <v>19</v>
      </c>
      <c r="H165" s="62">
        <v>32</v>
      </c>
      <c r="I165" s="62">
        <v>60.8</v>
      </c>
      <c r="J165" s="63" t="s">
        <v>255</v>
      </c>
      <c r="K165" s="93">
        <v>56.9</v>
      </c>
      <c r="L165" s="92">
        <f>(K165-48)/48*100</f>
        <v>18.541666666666664</v>
      </c>
      <c r="M165" s="92">
        <v>61.7</v>
      </c>
      <c r="N165" s="92">
        <f>(M165-48)/48*100</f>
        <v>28.541666666666671</v>
      </c>
      <c r="O165" s="92">
        <v>50.5</v>
      </c>
      <c r="P165" s="92">
        <f>(O165-48)/48*100</f>
        <v>5.2083333333333339</v>
      </c>
      <c r="Q165" s="92">
        <v>43.9</v>
      </c>
      <c r="R165" s="92">
        <f>(Q165-48)/48*100</f>
        <v>-8.5416666666666696</v>
      </c>
    </row>
    <row r="166" spans="2:20" x14ac:dyDescent="0.25">
      <c r="B166" s="143"/>
      <c r="C166" s="139"/>
      <c r="D166" s="58"/>
      <c r="E166" s="58"/>
      <c r="F166" s="139"/>
      <c r="G166" s="58" t="s">
        <v>20</v>
      </c>
      <c r="H166" s="62">
        <v>32</v>
      </c>
      <c r="I166" s="62">
        <v>60.8</v>
      </c>
      <c r="J166" s="62" t="s">
        <v>256</v>
      </c>
      <c r="K166" s="93">
        <v>56.7</v>
      </c>
      <c r="L166" s="92">
        <f>(K166-54.2)/54.2*100</f>
        <v>4.6125461254612548</v>
      </c>
      <c r="M166" s="92">
        <v>60.8</v>
      </c>
      <c r="N166" s="92">
        <f>(M166-54.2)/54.2*100</f>
        <v>12.177121771217701</v>
      </c>
      <c r="O166" s="92">
        <v>50.4</v>
      </c>
      <c r="P166" s="92">
        <f>(O166-54.2)/54.2*100</f>
        <v>-7.0110701107011151</v>
      </c>
      <c r="Q166" s="92">
        <v>43.9</v>
      </c>
      <c r="R166" s="92">
        <f>(Q166-54.2)/54.2*100</f>
        <v>-19.003690036900377</v>
      </c>
    </row>
    <row r="167" spans="2:20" x14ac:dyDescent="0.25">
      <c r="B167" s="143"/>
      <c r="C167" s="139"/>
      <c r="D167" s="58"/>
      <c r="E167" s="58"/>
      <c r="F167" s="139"/>
      <c r="G167" s="58" t="s">
        <v>18</v>
      </c>
      <c r="H167" s="62">
        <v>40</v>
      </c>
      <c r="I167" s="62">
        <v>60.8</v>
      </c>
      <c r="J167" s="62" t="s">
        <v>257</v>
      </c>
      <c r="K167" s="93">
        <v>55.5</v>
      </c>
      <c r="L167" s="92">
        <f>(K167-57.2)/57.2*100</f>
        <v>-2.972027972027977</v>
      </c>
      <c r="M167" s="92">
        <v>60.4</v>
      </c>
      <c r="N167" s="92">
        <f>(M167-57.2)/57.2*100</f>
        <v>5.594405594405587</v>
      </c>
      <c r="O167" s="92">
        <v>50</v>
      </c>
      <c r="P167" s="92">
        <f>(O167-57.2)/57.2*100</f>
        <v>-12.587412587412592</v>
      </c>
      <c r="Q167" s="92">
        <v>42.3</v>
      </c>
      <c r="R167" s="92">
        <f>(Q167-57.2)/57.2*100</f>
        <v>-26.048951048951057</v>
      </c>
    </row>
    <row r="168" spans="2:20" x14ac:dyDescent="0.25">
      <c r="B168" s="143"/>
      <c r="C168" s="139"/>
      <c r="D168" s="58"/>
      <c r="E168" s="58"/>
      <c r="F168" s="139"/>
      <c r="G168" s="58" t="s">
        <v>19</v>
      </c>
      <c r="H168" s="62">
        <v>40</v>
      </c>
      <c r="I168" s="62">
        <v>60.8</v>
      </c>
      <c r="J168" s="62" t="s">
        <v>258</v>
      </c>
      <c r="K168" s="93">
        <v>55.8</v>
      </c>
      <c r="L168" s="92">
        <f>(K168-56.2)/56.2*100</f>
        <v>-0.71174377224200303</v>
      </c>
      <c r="M168" s="92">
        <v>63.4</v>
      </c>
      <c r="N168" s="92">
        <f>(M168-56.2)/56.2*100</f>
        <v>12.811387900355864</v>
      </c>
      <c r="O168" s="92">
        <v>50.5</v>
      </c>
      <c r="P168" s="92">
        <f>(O168-56.2)/56.2*100</f>
        <v>-10.142348754448403</v>
      </c>
      <c r="Q168" s="92">
        <v>42.5</v>
      </c>
      <c r="R168" s="92">
        <f>(Q168-56.2)/56.2*100</f>
        <v>-24.377224199288261</v>
      </c>
    </row>
    <row r="169" spans="2:20" x14ac:dyDescent="0.25">
      <c r="B169" s="143"/>
      <c r="C169" s="139"/>
      <c r="D169" s="58"/>
      <c r="E169" s="58"/>
      <c r="F169" s="139"/>
      <c r="G169" s="58" t="s">
        <v>20</v>
      </c>
      <c r="H169" s="62">
        <v>40</v>
      </c>
      <c r="I169" s="62">
        <v>60.8</v>
      </c>
      <c r="J169" s="62" t="s">
        <v>259</v>
      </c>
      <c r="K169" s="93">
        <v>55.9</v>
      </c>
      <c r="L169" s="92">
        <f>(K169-58.4)/58.4*100</f>
        <v>-4.2808219178082192</v>
      </c>
      <c r="M169" s="92">
        <v>63.5</v>
      </c>
      <c r="N169" s="92">
        <f>(M169-58.4)/58.4*100</f>
        <v>8.7328767123287694</v>
      </c>
      <c r="O169" s="92">
        <v>50.7</v>
      </c>
      <c r="P169" s="92">
        <f>(O169-58.4)/58.4*100</f>
        <v>-13.184931506849306</v>
      </c>
      <c r="Q169" s="92">
        <v>42.5</v>
      </c>
      <c r="R169" s="92">
        <f>(Q169-58.4)/58.4*100</f>
        <v>-27.226027397260271</v>
      </c>
    </row>
    <row r="170" spans="2:20" x14ac:dyDescent="0.25">
      <c r="B170" s="144"/>
      <c r="C170" s="142"/>
      <c r="D170" s="60"/>
      <c r="E170" s="60"/>
      <c r="F170" s="142"/>
      <c r="G170" s="60" t="s">
        <v>375</v>
      </c>
      <c r="H170" s="60"/>
      <c r="I170" s="60"/>
      <c r="J170" s="60"/>
      <c r="K170" s="97"/>
      <c r="L170" s="99" t="s">
        <v>396</v>
      </c>
      <c r="M170" s="97"/>
      <c r="N170" s="99" t="s">
        <v>418</v>
      </c>
      <c r="O170" s="97"/>
      <c r="P170" s="99" t="s">
        <v>419</v>
      </c>
      <c r="Q170" s="97"/>
      <c r="R170" s="99" t="s">
        <v>417</v>
      </c>
      <c r="S170" s="18"/>
      <c r="T170" s="18"/>
    </row>
    <row r="171" spans="2:20" x14ac:dyDescent="0.25">
      <c r="B171" s="140" t="s">
        <v>35</v>
      </c>
      <c r="C171" s="140" t="s">
        <v>36</v>
      </c>
      <c r="D171" s="58" t="s">
        <v>246</v>
      </c>
      <c r="E171" s="58" t="s">
        <v>261</v>
      </c>
      <c r="F171" s="140" t="s">
        <v>37</v>
      </c>
      <c r="G171" s="58" t="s">
        <v>376</v>
      </c>
      <c r="H171" s="62">
        <v>13</v>
      </c>
      <c r="I171" s="63">
        <v>35</v>
      </c>
      <c r="J171" s="63">
        <v>32.299999999999997</v>
      </c>
      <c r="K171" s="92">
        <v>34.700000000000003</v>
      </c>
      <c r="L171" s="92">
        <f>(K171-J171)/J171*100</f>
        <v>7.4303405572755592</v>
      </c>
      <c r="M171" s="93">
        <v>44.3</v>
      </c>
      <c r="N171" s="100">
        <f>(M171-J171)/J171*100</f>
        <v>37.151702786377712</v>
      </c>
      <c r="O171" s="92">
        <v>38.299999999999997</v>
      </c>
      <c r="P171" s="92">
        <f>(O171-J171)/J171*100</f>
        <v>18.575851393188856</v>
      </c>
      <c r="Q171" s="92">
        <v>36.6</v>
      </c>
      <c r="R171" s="92">
        <f>(Q171-J171)/J171*100</f>
        <v>13.312693498452028</v>
      </c>
    </row>
    <row r="172" spans="2:20" x14ac:dyDescent="0.25">
      <c r="B172" s="143"/>
      <c r="C172" s="143"/>
      <c r="D172" s="58"/>
      <c r="E172" s="58"/>
      <c r="F172" s="143"/>
      <c r="G172" s="58" t="s">
        <v>377</v>
      </c>
      <c r="H172" s="62">
        <v>13</v>
      </c>
      <c r="I172" s="63">
        <v>41.4</v>
      </c>
      <c r="J172" s="63">
        <v>34.5</v>
      </c>
      <c r="K172" s="92">
        <v>34.299999999999997</v>
      </c>
      <c r="L172" s="92">
        <f t="shared" ref="L172:L186" si="20">(K172-J172)/J172*100</f>
        <v>-0.57971014492754447</v>
      </c>
      <c r="M172" s="93">
        <v>42.4</v>
      </c>
      <c r="N172" s="100">
        <f t="shared" ref="N172:N186" si="21">(M172-J172)/J172*100</f>
        <v>22.898550724637676</v>
      </c>
      <c r="O172" s="92">
        <v>37.799999999999997</v>
      </c>
      <c r="P172" s="92">
        <f t="shared" ref="P172:P186" si="22">(O172-J172)/J172*100</f>
        <v>9.5652173913043406</v>
      </c>
      <c r="Q172" s="92">
        <v>36.4</v>
      </c>
      <c r="R172" s="92">
        <f t="shared" ref="R172:R186" si="23">(Q172-J172)/J172*100</f>
        <v>5.5072463768115902</v>
      </c>
    </row>
    <row r="173" spans="2:20" x14ac:dyDescent="0.25">
      <c r="B173" s="143"/>
      <c r="C173" s="143"/>
      <c r="D173" s="58"/>
      <c r="E173" s="58"/>
      <c r="F173" s="143"/>
      <c r="G173" s="58" t="s">
        <v>378</v>
      </c>
      <c r="H173" s="62">
        <v>13</v>
      </c>
      <c r="I173" s="63">
        <v>35</v>
      </c>
      <c r="J173" s="63">
        <v>34.799999999999997</v>
      </c>
      <c r="K173" s="92">
        <v>35.9</v>
      </c>
      <c r="L173" s="92">
        <f t="shared" si="20"/>
        <v>3.1609195402298895</v>
      </c>
      <c r="M173" s="93">
        <v>47.3</v>
      </c>
      <c r="N173" s="100">
        <f t="shared" si="21"/>
        <v>35.919540229885058</v>
      </c>
      <c r="O173" s="93">
        <v>39.6</v>
      </c>
      <c r="P173" s="92">
        <f t="shared" si="22"/>
        <v>13.793103448275875</v>
      </c>
      <c r="Q173" s="93">
        <v>36.799999999999997</v>
      </c>
      <c r="R173" s="92">
        <f t="shared" si="23"/>
        <v>5.7471264367816097</v>
      </c>
    </row>
    <row r="174" spans="2:20" x14ac:dyDescent="0.25">
      <c r="B174" s="143"/>
      <c r="C174" s="143"/>
      <c r="D174" s="58"/>
      <c r="E174" s="58"/>
      <c r="F174" s="143"/>
      <c r="G174" s="58" t="s">
        <v>379</v>
      </c>
      <c r="H174" s="62">
        <v>13</v>
      </c>
      <c r="I174" s="63">
        <v>41.4</v>
      </c>
      <c r="J174" s="63">
        <v>32.5</v>
      </c>
      <c r="K174" s="92">
        <v>35.299999999999997</v>
      </c>
      <c r="L174" s="92">
        <f t="shared" si="20"/>
        <v>8.6153846153846061</v>
      </c>
      <c r="M174" s="93">
        <v>47</v>
      </c>
      <c r="N174" s="100">
        <f t="shared" si="21"/>
        <v>44.61538461538462</v>
      </c>
      <c r="O174" s="93">
        <v>39.4</v>
      </c>
      <c r="P174" s="92">
        <f t="shared" si="22"/>
        <v>21.230769230769226</v>
      </c>
      <c r="Q174" s="93">
        <v>36.700000000000003</v>
      </c>
      <c r="R174" s="92">
        <f t="shared" si="23"/>
        <v>12.923076923076932</v>
      </c>
    </row>
    <row r="175" spans="2:20" x14ac:dyDescent="0.25">
      <c r="B175" s="143"/>
      <c r="C175" s="143"/>
      <c r="D175" s="58"/>
      <c r="E175" s="58"/>
      <c r="F175" s="143"/>
      <c r="G175" s="58" t="s">
        <v>380</v>
      </c>
      <c r="H175" s="62">
        <v>13</v>
      </c>
      <c r="I175" s="63">
        <v>35</v>
      </c>
      <c r="J175" s="63">
        <v>37.6</v>
      </c>
      <c r="K175" s="92">
        <v>37.200000000000003</v>
      </c>
      <c r="L175" s="92">
        <f t="shared" si="20"/>
        <v>-1.0638297872340388</v>
      </c>
      <c r="M175" s="93">
        <v>55</v>
      </c>
      <c r="N175" s="100">
        <f t="shared" si="21"/>
        <v>46.27659574468084</v>
      </c>
      <c r="O175" s="93">
        <v>42</v>
      </c>
      <c r="P175" s="92">
        <f t="shared" si="22"/>
        <v>11.702127659574463</v>
      </c>
      <c r="Q175" s="93">
        <v>37.299999999999997</v>
      </c>
      <c r="R175" s="92">
        <f t="shared" si="23"/>
        <v>-0.79787234042554334</v>
      </c>
    </row>
    <row r="176" spans="2:20" x14ac:dyDescent="0.25">
      <c r="B176" s="143"/>
      <c r="C176" s="143"/>
      <c r="D176" s="58"/>
      <c r="E176" s="58"/>
      <c r="F176" s="143"/>
      <c r="G176" s="58" t="s">
        <v>381</v>
      </c>
      <c r="H176" s="62">
        <v>13</v>
      </c>
      <c r="I176" s="63">
        <v>41.4</v>
      </c>
      <c r="J176" s="63">
        <v>36.6</v>
      </c>
      <c r="K176" s="92">
        <v>36.4</v>
      </c>
      <c r="L176" s="92">
        <f t="shared" si="20"/>
        <v>-0.5464480874317017</v>
      </c>
      <c r="M176" s="93">
        <v>51.9</v>
      </c>
      <c r="N176" s="100">
        <f t="shared" si="21"/>
        <v>41.803278688524578</v>
      </c>
      <c r="O176" s="93">
        <v>40.9</v>
      </c>
      <c r="P176" s="92">
        <f t="shared" si="22"/>
        <v>11.748633879781414</v>
      </c>
      <c r="Q176" s="93">
        <v>37.1</v>
      </c>
      <c r="R176" s="92">
        <f t="shared" si="23"/>
        <v>1.3661202185792349</v>
      </c>
    </row>
    <row r="177" spans="2:20" x14ac:dyDescent="0.25">
      <c r="B177" s="143"/>
      <c r="C177" s="143"/>
      <c r="D177" s="58"/>
      <c r="E177" s="58"/>
      <c r="F177" s="143"/>
      <c r="G177" s="58" t="s">
        <v>382</v>
      </c>
      <c r="H177" s="62">
        <v>13</v>
      </c>
      <c r="I177" s="63">
        <v>35</v>
      </c>
      <c r="J177" s="63">
        <v>41.4</v>
      </c>
      <c r="K177" s="92">
        <v>38</v>
      </c>
      <c r="L177" s="92">
        <f t="shared" si="20"/>
        <v>-8.2125603864734256</v>
      </c>
      <c r="M177" s="93">
        <v>58.7</v>
      </c>
      <c r="N177" s="100">
        <f t="shared" si="21"/>
        <v>41.787439613526587</v>
      </c>
      <c r="O177" s="93">
        <v>43.6</v>
      </c>
      <c r="P177" s="92">
        <f t="shared" si="22"/>
        <v>5.3140096618357555</v>
      </c>
      <c r="Q177" s="93">
        <v>37.6</v>
      </c>
      <c r="R177" s="92">
        <f t="shared" si="23"/>
        <v>-9.1787439613526498</v>
      </c>
    </row>
    <row r="178" spans="2:20" x14ac:dyDescent="0.25">
      <c r="B178" s="143"/>
      <c r="C178" s="143"/>
      <c r="D178" s="58"/>
      <c r="E178" s="58"/>
      <c r="F178" s="143"/>
      <c r="G178" s="58" t="s">
        <v>383</v>
      </c>
      <c r="H178" s="62">
        <v>13</v>
      </c>
      <c r="I178" s="63">
        <v>41.1</v>
      </c>
      <c r="J178" s="63">
        <v>39.700000000000003</v>
      </c>
      <c r="K178" s="92">
        <v>37.200000000000003</v>
      </c>
      <c r="L178" s="92">
        <f t="shared" si="20"/>
        <v>-6.2972292191435768</v>
      </c>
      <c r="M178" s="93">
        <v>55.1</v>
      </c>
      <c r="N178" s="100">
        <f t="shared" si="21"/>
        <v>38.790931989924424</v>
      </c>
      <c r="O178" s="93">
        <v>42.2</v>
      </c>
      <c r="P178" s="92">
        <f t="shared" si="22"/>
        <v>6.2972292191435768</v>
      </c>
      <c r="Q178" s="93">
        <v>37.299999999999997</v>
      </c>
      <c r="R178" s="92">
        <f t="shared" si="23"/>
        <v>-6.0453400503778472</v>
      </c>
    </row>
    <row r="179" spans="2:20" x14ac:dyDescent="0.25">
      <c r="B179" s="143"/>
      <c r="C179" s="143"/>
      <c r="D179" s="58"/>
      <c r="E179" s="58"/>
      <c r="F179" s="143"/>
      <c r="G179" s="58" t="s">
        <v>376</v>
      </c>
      <c r="H179" s="62">
        <v>27</v>
      </c>
      <c r="I179" s="63">
        <v>35</v>
      </c>
      <c r="J179" s="63">
        <v>28.3</v>
      </c>
      <c r="K179" s="92">
        <v>34.9</v>
      </c>
      <c r="L179" s="92">
        <f t="shared" si="20"/>
        <v>23.321554770318013</v>
      </c>
      <c r="M179" s="93">
        <v>53.1</v>
      </c>
      <c r="N179" s="100">
        <f t="shared" si="21"/>
        <v>87.632508833922259</v>
      </c>
      <c r="O179" s="93">
        <v>39.5</v>
      </c>
      <c r="P179" s="92">
        <f t="shared" si="22"/>
        <v>39.57597173144876</v>
      </c>
      <c r="Q179" s="93">
        <v>34.1</v>
      </c>
      <c r="R179" s="92">
        <f t="shared" si="23"/>
        <v>20.49469964664311</v>
      </c>
    </row>
    <row r="180" spans="2:20" x14ac:dyDescent="0.25">
      <c r="B180" s="143"/>
      <c r="C180" s="143"/>
      <c r="D180" s="58"/>
      <c r="E180" s="58"/>
      <c r="F180" s="143"/>
      <c r="G180" s="58" t="s">
        <v>377</v>
      </c>
      <c r="H180" s="62">
        <v>27</v>
      </c>
      <c r="I180" s="63">
        <v>41.4</v>
      </c>
      <c r="J180" s="63">
        <v>26.6</v>
      </c>
      <c r="K180" s="92">
        <v>34.1</v>
      </c>
      <c r="L180" s="92">
        <f t="shared" si="20"/>
        <v>28.195488721804512</v>
      </c>
      <c r="M180" s="92">
        <v>49</v>
      </c>
      <c r="N180" s="100">
        <f t="shared" si="21"/>
        <v>84.210526315789465</v>
      </c>
      <c r="O180" s="92">
        <v>38.5</v>
      </c>
      <c r="P180" s="92">
        <f t="shared" si="22"/>
        <v>44.73684210526315</v>
      </c>
      <c r="Q180" s="92">
        <v>33.799999999999997</v>
      </c>
      <c r="R180" s="92">
        <f t="shared" si="23"/>
        <v>27.067669172932312</v>
      </c>
    </row>
    <row r="181" spans="2:20" x14ac:dyDescent="0.25">
      <c r="B181" s="143"/>
      <c r="C181" s="143"/>
      <c r="D181" s="58"/>
      <c r="E181" s="58"/>
      <c r="F181" s="143"/>
      <c r="G181" s="58" t="s">
        <v>378</v>
      </c>
      <c r="H181" s="62">
        <v>27</v>
      </c>
      <c r="I181" s="63">
        <v>35</v>
      </c>
      <c r="J181" s="63">
        <v>29.5</v>
      </c>
      <c r="K181" s="92">
        <v>37.4</v>
      </c>
      <c r="L181" s="92">
        <f t="shared" si="20"/>
        <v>26.779661016949145</v>
      </c>
      <c r="M181" s="92">
        <v>62</v>
      </c>
      <c r="N181" s="100">
        <f t="shared" si="21"/>
        <v>110.16949152542372</v>
      </c>
      <c r="O181" s="93">
        <v>41.6</v>
      </c>
      <c r="P181" s="92">
        <f t="shared" si="22"/>
        <v>41.016949152542374</v>
      </c>
      <c r="Q181" s="93">
        <v>34.700000000000003</v>
      </c>
      <c r="R181" s="92">
        <f t="shared" si="23"/>
        <v>17.627118644067806</v>
      </c>
    </row>
    <row r="182" spans="2:20" x14ac:dyDescent="0.25">
      <c r="B182" s="143"/>
      <c r="C182" s="143"/>
      <c r="D182" s="58"/>
      <c r="E182" s="58"/>
      <c r="F182" s="143"/>
      <c r="G182" s="58" t="s">
        <v>379</v>
      </c>
      <c r="H182" s="62">
        <v>27</v>
      </c>
      <c r="I182" s="63">
        <v>41.4</v>
      </c>
      <c r="J182" s="63">
        <v>28.8</v>
      </c>
      <c r="K182" s="92">
        <v>35.799999999999997</v>
      </c>
      <c r="L182" s="92">
        <f t="shared" si="20"/>
        <v>24.305555555555543</v>
      </c>
      <c r="M182" s="93">
        <v>59.7</v>
      </c>
      <c r="N182" s="100">
        <f t="shared" si="21"/>
        <v>107.29166666666667</v>
      </c>
      <c r="O182" s="93">
        <v>40.700000000000003</v>
      </c>
      <c r="P182" s="92">
        <f t="shared" si="22"/>
        <v>41.31944444444445</v>
      </c>
      <c r="Q182" s="93">
        <v>34.4</v>
      </c>
      <c r="R182" s="92">
        <f t="shared" si="23"/>
        <v>19.444444444444436</v>
      </c>
    </row>
    <row r="183" spans="2:20" x14ac:dyDescent="0.25">
      <c r="B183" s="143"/>
      <c r="C183" s="143"/>
      <c r="D183" s="58"/>
      <c r="E183" s="58"/>
      <c r="F183" s="143"/>
      <c r="G183" s="58" t="s">
        <v>380</v>
      </c>
      <c r="H183" s="62">
        <v>27</v>
      </c>
      <c r="I183" s="63">
        <v>35</v>
      </c>
      <c r="J183" s="63">
        <v>35.700000000000003</v>
      </c>
      <c r="K183" s="92">
        <v>39.200000000000003</v>
      </c>
      <c r="L183" s="92">
        <f t="shared" si="20"/>
        <v>9.8039215686274517</v>
      </c>
      <c r="M183" s="93">
        <v>81.400000000000006</v>
      </c>
      <c r="N183" s="100">
        <f t="shared" si="21"/>
        <v>128.0112044817927</v>
      </c>
      <c r="O183" s="93">
        <v>45</v>
      </c>
      <c r="P183" s="92">
        <f t="shared" si="22"/>
        <v>26.050420168067216</v>
      </c>
      <c r="Q183" s="93">
        <v>35.799999999999997</v>
      </c>
      <c r="R183" s="92">
        <f t="shared" si="23"/>
        <v>0.28011204481791119</v>
      </c>
    </row>
    <row r="184" spans="2:20" x14ac:dyDescent="0.25">
      <c r="B184" s="143"/>
      <c r="C184" s="143"/>
      <c r="D184" s="58"/>
      <c r="E184" s="58"/>
      <c r="F184" s="143"/>
      <c r="G184" s="58" t="s">
        <v>381</v>
      </c>
      <c r="H184" s="62">
        <v>27</v>
      </c>
      <c r="I184" s="63">
        <v>41.4</v>
      </c>
      <c r="J184" s="63">
        <v>33.4</v>
      </c>
      <c r="K184" s="92">
        <v>36.9</v>
      </c>
      <c r="L184" s="92">
        <f t="shared" si="20"/>
        <v>10.479041916167665</v>
      </c>
      <c r="M184" s="93">
        <v>69.2</v>
      </c>
      <c r="N184" s="100">
        <f t="shared" si="21"/>
        <v>107.18562874251498</v>
      </c>
      <c r="O184" s="93">
        <v>42</v>
      </c>
      <c r="P184" s="92">
        <f t="shared" si="22"/>
        <v>25.748502994011979</v>
      </c>
      <c r="Q184" s="93">
        <v>35</v>
      </c>
      <c r="R184" s="92">
        <f t="shared" si="23"/>
        <v>4.7904191616766507</v>
      </c>
    </row>
    <row r="185" spans="2:20" x14ac:dyDescent="0.25">
      <c r="B185" s="143"/>
      <c r="C185" s="143"/>
      <c r="D185" s="58"/>
      <c r="E185" s="58"/>
      <c r="F185" s="143"/>
      <c r="G185" s="58" t="s">
        <v>382</v>
      </c>
      <c r="H185" s="62">
        <v>27</v>
      </c>
      <c r="I185" s="63">
        <v>35</v>
      </c>
      <c r="J185" s="63">
        <v>37.799999999999997</v>
      </c>
      <c r="K185" s="92">
        <v>40.200000000000003</v>
      </c>
      <c r="L185" s="92">
        <f t="shared" si="20"/>
        <v>6.349206349206364</v>
      </c>
      <c r="M185" s="93">
        <v>88.7</v>
      </c>
      <c r="N185" s="100">
        <f t="shared" si="21"/>
        <v>134.65608465608469</v>
      </c>
      <c r="O185" s="93">
        <v>46.4</v>
      </c>
      <c r="P185" s="92">
        <f t="shared" si="22"/>
        <v>22.751322751322757</v>
      </c>
      <c r="Q185" s="93">
        <v>36.200000000000003</v>
      </c>
      <c r="R185" s="92">
        <f t="shared" si="23"/>
        <v>-4.2328042328042184</v>
      </c>
    </row>
    <row r="186" spans="2:20" x14ac:dyDescent="0.25">
      <c r="B186" s="143"/>
      <c r="C186" s="143"/>
      <c r="D186" s="58"/>
      <c r="E186" s="58"/>
      <c r="F186" s="143"/>
      <c r="G186" s="58" t="s">
        <v>383</v>
      </c>
      <c r="H186" s="62">
        <v>27</v>
      </c>
      <c r="I186" s="63">
        <v>41.1</v>
      </c>
      <c r="J186" s="63">
        <v>37</v>
      </c>
      <c r="K186" s="92">
        <v>38.200000000000003</v>
      </c>
      <c r="L186" s="92">
        <f t="shared" si="20"/>
        <v>3.243243243243251</v>
      </c>
      <c r="M186" s="93">
        <v>77.3</v>
      </c>
      <c r="N186" s="100">
        <f t="shared" si="21"/>
        <v>108.91891891891892</v>
      </c>
      <c r="O186" s="93">
        <v>43.8</v>
      </c>
      <c r="P186" s="92">
        <f t="shared" si="22"/>
        <v>18.378378378378372</v>
      </c>
      <c r="Q186" s="93">
        <v>35.4</v>
      </c>
      <c r="R186" s="92">
        <f t="shared" si="23"/>
        <v>-4.3243243243243281</v>
      </c>
    </row>
    <row r="187" spans="2:20" x14ac:dyDescent="0.25">
      <c r="B187" s="144"/>
      <c r="C187" s="144"/>
      <c r="D187" s="60"/>
      <c r="E187" s="60"/>
      <c r="F187" s="144"/>
      <c r="G187" s="60" t="s">
        <v>375</v>
      </c>
      <c r="H187" s="60"/>
      <c r="I187" s="60"/>
      <c r="J187" s="60"/>
      <c r="K187" s="97"/>
      <c r="L187" s="99" t="s">
        <v>395</v>
      </c>
      <c r="M187" s="98"/>
      <c r="N187" s="101" t="s">
        <v>400</v>
      </c>
      <c r="O187" s="98"/>
      <c r="P187" s="101" t="s">
        <v>401</v>
      </c>
      <c r="Q187" s="98"/>
      <c r="R187" s="99" t="s">
        <v>399</v>
      </c>
      <c r="S187" s="18"/>
      <c r="T187" s="18"/>
    </row>
    <row r="188" spans="2:20" x14ac:dyDescent="0.25">
      <c r="B188" s="140" t="s">
        <v>47</v>
      </c>
      <c r="C188" s="140" t="s">
        <v>184</v>
      </c>
      <c r="D188" s="90" t="s">
        <v>247</v>
      </c>
      <c r="E188" s="90" t="s">
        <v>263</v>
      </c>
      <c r="F188" s="140" t="s">
        <v>37</v>
      </c>
      <c r="G188" s="58" t="s">
        <v>376</v>
      </c>
      <c r="H188" s="66">
        <v>13</v>
      </c>
      <c r="I188" s="66">
        <v>110.2</v>
      </c>
      <c r="J188" s="66">
        <v>125.9</v>
      </c>
      <c r="K188" s="66">
        <v>108.8</v>
      </c>
      <c r="L188" s="67">
        <f>(K188-J188)/J188*100</f>
        <v>-13.582208101667998</v>
      </c>
      <c r="M188" s="66">
        <v>118.7</v>
      </c>
      <c r="N188" s="69">
        <f>(M188-J188)/J188*100</f>
        <v>-5.7188244638602086</v>
      </c>
      <c r="O188" s="67">
        <v>104.2</v>
      </c>
      <c r="P188" s="69">
        <f>(O188-J188)/J188*100</f>
        <v>-17.235901509134237</v>
      </c>
      <c r="Q188" s="67">
        <v>100.3</v>
      </c>
      <c r="R188" s="67">
        <f>(Q188-J188)/J188*100</f>
        <v>-20.333598093725186</v>
      </c>
    </row>
    <row r="189" spans="2:20" x14ac:dyDescent="0.25">
      <c r="B189" s="157"/>
      <c r="C189" s="139"/>
      <c r="D189" s="78"/>
      <c r="E189" s="78"/>
      <c r="F189" s="143"/>
      <c r="G189" s="58" t="s">
        <v>377</v>
      </c>
      <c r="H189" s="68">
        <v>13</v>
      </c>
      <c r="I189" s="68">
        <v>110.2</v>
      </c>
      <c r="J189" s="68">
        <v>127.6</v>
      </c>
      <c r="K189" s="68">
        <v>108.1</v>
      </c>
      <c r="L189" s="69">
        <f t="shared" ref="L189:L203" si="24">(K189-J189)/J189*100</f>
        <v>-15.282131661442008</v>
      </c>
      <c r="M189" s="68">
        <v>115.6</v>
      </c>
      <c r="N189" s="69">
        <f t="shared" ref="N189:N203" si="25">(M189-J189)/J189*100</f>
        <v>-9.4043887147335425</v>
      </c>
      <c r="O189" s="69">
        <v>103.1</v>
      </c>
      <c r="P189" s="69">
        <f t="shared" ref="P189:P203" si="26">(O189-J189)/J189*100</f>
        <v>-19.20062695924765</v>
      </c>
      <c r="Q189" s="69">
        <v>100.1</v>
      </c>
      <c r="R189" s="69">
        <f t="shared" ref="R189:R203" si="27">(Q189-J189)/J189*100</f>
        <v>-21.551724137931036</v>
      </c>
    </row>
    <row r="190" spans="2:20" x14ac:dyDescent="0.25">
      <c r="B190" s="157"/>
      <c r="C190" s="139"/>
      <c r="D190" s="78"/>
      <c r="E190" s="78"/>
      <c r="F190" s="143"/>
      <c r="G190" s="58" t="s">
        <v>378</v>
      </c>
      <c r="H190" s="68">
        <v>13</v>
      </c>
      <c r="I190" s="68">
        <v>110.2</v>
      </c>
      <c r="J190" s="68">
        <v>129.5</v>
      </c>
      <c r="K190" s="68">
        <v>110.1</v>
      </c>
      <c r="L190" s="69">
        <f t="shared" si="24"/>
        <v>-14.980694980694986</v>
      </c>
      <c r="M190" s="68">
        <v>124.4</v>
      </c>
      <c r="N190" s="69">
        <f t="shared" si="25"/>
        <v>-3.9382239382239339</v>
      </c>
      <c r="O190" s="69">
        <v>106.1</v>
      </c>
      <c r="P190" s="69">
        <f t="shared" si="26"/>
        <v>-18.069498069498074</v>
      </c>
      <c r="Q190" s="69">
        <v>100.7</v>
      </c>
      <c r="R190" s="69">
        <f t="shared" si="27"/>
        <v>-22.239382239382238</v>
      </c>
    </row>
    <row r="191" spans="2:20" x14ac:dyDescent="0.25">
      <c r="B191" s="157"/>
      <c r="C191" s="139"/>
      <c r="D191" s="78"/>
      <c r="E191" s="78"/>
      <c r="F191" s="143"/>
      <c r="G191" s="58" t="s">
        <v>379</v>
      </c>
      <c r="H191" s="68">
        <v>13</v>
      </c>
      <c r="I191" s="68">
        <v>110.2</v>
      </c>
      <c r="J191" s="68">
        <v>126.4</v>
      </c>
      <c r="K191" s="68">
        <v>108.9</v>
      </c>
      <c r="L191" s="69">
        <f t="shared" si="24"/>
        <v>-13.844936708860759</v>
      </c>
      <c r="M191" s="68">
        <v>119.2</v>
      </c>
      <c r="N191" s="69">
        <f t="shared" si="25"/>
        <v>-5.6962025316455716</v>
      </c>
      <c r="O191" s="69">
        <v>104.2</v>
      </c>
      <c r="P191" s="69">
        <f t="shared" si="26"/>
        <v>-17.563291139240508</v>
      </c>
      <c r="Q191" s="69">
        <v>100.3</v>
      </c>
      <c r="R191" s="69">
        <f t="shared" si="27"/>
        <v>-20.648734177215193</v>
      </c>
    </row>
    <row r="192" spans="2:20" x14ac:dyDescent="0.25">
      <c r="B192" s="157"/>
      <c r="C192" s="139"/>
      <c r="D192" s="78"/>
      <c r="E192" s="78"/>
      <c r="F192" s="143"/>
      <c r="G192" s="58" t="s">
        <v>380</v>
      </c>
      <c r="H192" s="68">
        <v>13</v>
      </c>
      <c r="I192" s="68">
        <v>110.2</v>
      </c>
      <c r="J192" s="68">
        <v>126.8</v>
      </c>
      <c r="K192" s="68">
        <v>111.4</v>
      </c>
      <c r="L192" s="69">
        <f t="shared" si="24"/>
        <v>-12.145110410094631</v>
      </c>
      <c r="M192" s="68">
        <v>129.69999999999999</v>
      </c>
      <c r="N192" s="69">
        <f t="shared" si="25"/>
        <v>2.2870662460567757</v>
      </c>
      <c r="O192" s="69">
        <v>107.5</v>
      </c>
      <c r="P192" s="69">
        <f t="shared" si="26"/>
        <v>-15.220820189274445</v>
      </c>
      <c r="Q192" s="69">
        <v>101.1</v>
      </c>
      <c r="R192" s="69">
        <f t="shared" si="27"/>
        <v>-20.268138801261831</v>
      </c>
    </row>
    <row r="193" spans="2:20" x14ac:dyDescent="0.25">
      <c r="B193" s="157"/>
      <c r="C193" s="139"/>
      <c r="D193" s="78"/>
      <c r="E193" s="78"/>
      <c r="F193" s="143"/>
      <c r="G193" s="58" t="s">
        <v>381</v>
      </c>
      <c r="H193" s="68">
        <v>13</v>
      </c>
      <c r="I193" s="68">
        <v>110.2</v>
      </c>
      <c r="J193" s="68">
        <v>128.1</v>
      </c>
      <c r="K193" s="68">
        <v>109.6</v>
      </c>
      <c r="L193" s="69">
        <f t="shared" si="24"/>
        <v>-14.441842310694769</v>
      </c>
      <c r="M193" s="68">
        <v>122.3</v>
      </c>
      <c r="N193" s="69">
        <f t="shared" si="25"/>
        <v>-4.5277127244340338</v>
      </c>
      <c r="O193" s="69">
        <v>105</v>
      </c>
      <c r="P193" s="69">
        <f t="shared" si="26"/>
        <v>-18.032786885245898</v>
      </c>
      <c r="Q193" s="69">
        <v>100.5</v>
      </c>
      <c r="R193" s="69">
        <f t="shared" si="27"/>
        <v>-21.545667447306787</v>
      </c>
    </row>
    <row r="194" spans="2:20" x14ac:dyDescent="0.25">
      <c r="B194" s="157"/>
      <c r="C194" s="139"/>
      <c r="D194" s="78"/>
      <c r="E194" s="78"/>
      <c r="F194" s="143"/>
      <c r="G194" s="58" t="s">
        <v>382</v>
      </c>
      <c r="H194" s="68">
        <v>13</v>
      </c>
      <c r="I194" s="68">
        <v>110.2</v>
      </c>
      <c r="J194" s="68">
        <v>132</v>
      </c>
      <c r="K194" s="68">
        <v>111.3</v>
      </c>
      <c r="L194" s="69">
        <f t="shared" si="24"/>
        <v>-15.681818181818183</v>
      </c>
      <c r="M194" s="68">
        <v>128.9</v>
      </c>
      <c r="N194" s="69">
        <f t="shared" si="25"/>
        <v>-2.3484848484848442</v>
      </c>
      <c r="O194" s="69">
        <v>107.3</v>
      </c>
      <c r="P194" s="69">
        <f t="shared" si="26"/>
        <v>-18.712121212121215</v>
      </c>
      <c r="Q194" s="69">
        <v>101</v>
      </c>
      <c r="R194" s="69">
        <f t="shared" si="27"/>
        <v>-23.484848484848484</v>
      </c>
    </row>
    <row r="195" spans="2:20" x14ac:dyDescent="0.25">
      <c r="B195" s="157"/>
      <c r="C195" s="139"/>
      <c r="D195" s="78"/>
      <c r="E195" s="78"/>
      <c r="F195" s="143"/>
      <c r="G195" s="58" t="s">
        <v>383</v>
      </c>
      <c r="H195" s="68">
        <v>13</v>
      </c>
      <c r="I195" s="68">
        <v>110.2</v>
      </c>
      <c r="J195" s="68">
        <v>128.4</v>
      </c>
      <c r="K195" s="68">
        <v>104.8</v>
      </c>
      <c r="L195" s="69">
        <f t="shared" si="24"/>
        <v>-18.380062305295954</v>
      </c>
      <c r="M195" s="68">
        <v>122.3</v>
      </c>
      <c r="N195" s="69">
        <f t="shared" si="25"/>
        <v>-4.750778816199384</v>
      </c>
      <c r="O195" s="69">
        <v>105</v>
      </c>
      <c r="P195" s="69">
        <f t="shared" si="26"/>
        <v>-18.224299065420567</v>
      </c>
      <c r="Q195" s="69">
        <v>100.5</v>
      </c>
      <c r="R195" s="69">
        <f t="shared" si="27"/>
        <v>-21.728971962616825</v>
      </c>
    </row>
    <row r="196" spans="2:20" x14ac:dyDescent="0.25">
      <c r="B196" s="157"/>
      <c r="C196" s="139"/>
      <c r="D196" s="78"/>
      <c r="E196" s="78"/>
      <c r="F196" s="143"/>
      <c r="G196" s="58" t="s">
        <v>376</v>
      </c>
      <c r="H196" s="68">
        <v>27</v>
      </c>
      <c r="I196" s="68">
        <v>110.2</v>
      </c>
      <c r="J196" s="68">
        <v>118.9</v>
      </c>
      <c r="K196" s="69">
        <v>105</v>
      </c>
      <c r="L196" s="69">
        <f t="shared" si="24"/>
        <v>-11.690496215306984</v>
      </c>
      <c r="M196" s="69">
        <v>128.1</v>
      </c>
      <c r="N196" s="69">
        <f t="shared" si="25"/>
        <v>7.737594617325473</v>
      </c>
      <c r="O196" s="69">
        <v>102.5</v>
      </c>
      <c r="P196" s="69">
        <f t="shared" si="26"/>
        <v>-13.793103448275868</v>
      </c>
      <c r="Q196" s="69">
        <v>92.5</v>
      </c>
      <c r="R196" s="69">
        <f t="shared" si="27"/>
        <v>-22.20353238015139</v>
      </c>
    </row>
    <row r="197" spans="2:20" x14ac:dyDescent="0.25">
      <c r="B197" s="157"/>
      <c r="C197" s="139"/>
      <c r="D197" s="78"/>
      <c r="E197" s="78"/>
      <c r="F197" s="143"/>
      <c r="G197" s="58" t="s">
        <v>377</v>
      </c>
      <c r="H197" s="68">
        <v>27</v>
      </c>
      <c r="I197" s="68">
        <v>110.2</v>
      </c>
      <c r="J197" s="68">
        <v>119.3</v>
      </c>
      <c r="K197" s="69">
        <v>103.6</v>
      </c>
      <c r="L197" s="69">
        <f t="shared" si="24"/>
        <v>-13.16010058675608</v>
      </c>
      <c r="M197" s="68">
        <v>120.4</v>
      </c>
      <c r="N197" s="69">
        <f t="shared" si="25"/>
        <v>0.9220452640402419</v>
      </c>
      <c r="O197" s="69">
        <v>100.8</v>
      </c>
      <c r="P197" s="69">
        <f t="shared" si="26"/>
        <v>-15.50712489522213</v>
      </c>
      <c r="Q197" s="69">
        <v>92.1</v>
      </c>
      <c r="R197" s="69">
        <f t="shared" si="27"/>
        <v>-22.799664710813079</v>
      </c>
    </row>
    <row r="198" spans="2:20" x14ac:dyDescent="0.25">
      <c r="B198" s="157"/>
      <c r="C198" s="139"/>
      <c r="D198" s="78"/>
      <c r="E198" s="78"/>
      <c r="F198" s="143"/>
      <c r="G198" s="58" t="s">
        <v>378</v>
      </c>
      <c r="H198" s="68">
        <v>27</v>
      </c>
      <c r="I198" s="68">
        <v>110.2</v>
      </c>
      <c r="J198" s="68">
        <v>123.1</v>
      </c>
      <c r="K198" s="68">
        <v>106.3</v>
      </c>
      <c r="L198" s="69">
        <f t="shared" si="24"/>
        <v>-13.647441104792849</v>
      </c>
      <c r="M198" s="68">
        <v>139.4</v>
      </c>
      <c r="N198" s="69">
        <f t="shared" si="25"/>
        <v>13.241267262388313</v>
      </c>
      <c r="O198" s="69">
        <v>104.2</v>
      </c>
      <c r="P198" s="69">
        <f t="shared" si="26"/>
        <v>-15.353371242891953</v>
      </c>
      <c r="Q198" s="69">
        <v>93.2</v>
      </c>
      <c r="R198" s="69">
        <f t="shared" si="27"/>
        <v>-24.289195775792034</v>
      </c>
    </row>
    <row r="199" spans="2:20" x14ac:dyDescent="0.25">
      <c r="B199" s="157"/>
      <c r="C199" s="139"/>
      <c r="D199" s="78"/>
      <c r="E199" s="78"/>
      <c r="F199" s="143"/>
      <c r="G199" s="58" t="s">
        <v>379</v>
      </c>
      <c r="H199" s="68">
        <v>27</v>
      </c>
      <c r="I199" s="68">
        <v>110.2</v>
      </c>
      <c r="J199" s="68">
        <v>123.3</v>
      </c>
      <c r="K199" s="68">
        <v>104.6</v>
      </c>
      <c r="L199" s="69">
        <f t="shared" si="24"/>
        <v>-15.166261151662614</v>
      </c>
      <c r="M199" s="68">
        <v>128.19999999999999</v>
      </c>
      <c r="N199" s="69">
        <f t="shared" si="25"/>
        <v>3.9740470397404639</v>
      </c>
      <c r="O199" s="69">
        <v>102.1</v>
      </c>
      <c r="P199" s="69">
        <f t="shared" si="26"/>
        <v>-17.193836171938365</v>
      </c>
      <c r="Q199" s="69">
        <v>92.5</v>
      </c>
      <c r="R199" s="69">
        <f t="shared" si="27"/>
        <v>-24.979724249797243</v>
      </c>
    </row>
    <row r="200" spans="2:20" x14ac:dyDescent="0.25">
      <c r="B200" s="157"/>
      <c r="C200" s="139"/>
      <c r="D200" s="78"/>
      <c r="E200" s="78"/>
      <c r="F200" s="143"/>
      <c r="G200" s="58" t="s">
        <v>380</v>
      </c>
      <c r="H200" s="68">
        <v>27</v>
      </c>
      <c r="I200" s="68">
        <v>110.2</v>
      </c>
      <c r="J200" s="69">
        <v>120</v>
      </c>
      <c r="K200" s="68">
        <v>107.8</v>
      </c>
      <c r="L200" s="69">
        <f t="shared" si="24"/>
        <v>-10.16666666666667</v>
      </c>
      <c r="M200" s="68">
        <v>150.19999999999999</v>
      </c>
      <c r="N200" s="69">
        <f t="shared" si="25"/>
        <v>25.166666666666661</v>
      </c>
      <c r="O200" s="69">
        <v>105.9</v>
      </c>
      <c r="P200" s="69">
        <f t="shared" si="26"/>
        <v>-11.749999999999995</v>
      </c>
      <c r="Q200" s="69">
        <v>93.9</v>
      </c>
      <c r="R200" s="69">
        <f t="shared" si="27"/>
        <v>-21.749999999999993</v>
      </c>
    </row>
    <row r="201" spans="2:20" x14ac:dyDescent="0.25">
      <c r="B201" s="157"/>
      <c r="C201" s="139"/>
      <c r="D201" s="78"/>
      <c r="E201" s="78"/>
      <c r="F201" s="143"/>
      <c r="G201" s="58" t="s">
        <v>381</v>
      </c>
      <c r="H201" s="68">
        <v>27</v>
      </c>
      <c r="I201" s="68">
        <v>110.2</v>
      </c>
      <c r="J201" s="68">
        <v>117.2</v>
      </c>
      <c r="K201" s="68">
        <v>105.5</v>
      </c>
      <c r="L201" s="69">
        <f t="shared" si="24"/>
        <v>-9.9829351535836199</v>
      </c>
      <c r="M201" s="68">
        <v>135.5</v>
      </c>
      <c r="N201" s="69">
        <f t="shared" si="25"/>
        <v>15.614334470989757</v>
      </c>
      <c r="O201" s="69">
        <v>103.1</v>
      </c>
      <c r="P201" s="69">
        <f t="shared" si="26"/>
        <v>-12.030716723549496</v>
      </c>
      <c r="Q201" s="69">
        <v>93</v>
      </c>
      <c r="R201" s="69">
        <f t="shared" si="27"/>
        <v>-20.648464163822528</v>
      </c>
    </row>
    <row r="202" spans="2:20" x14ac:dyDescent="0.25">
      <c r="B202" s="157"/>
      <c r="C202" s="139"/>
      <c r="D202" s="78"/>
      <c r="E202" s="78"/>
      <c r="F202" s="143"/>
      <c r="G202" s="58" t="s">
        <v>382</v>
      </c>
      <c r="H202" s="68">
        <v>27</v>
      </c>
      <c r="I202" s="68">
        <v>110.2</v>
      </c>
      <c r="J202" s="68">
        <v>126.1</v>
      </c>
      <c r="K202" s="68">
        <v>107.9</v>
      </c>
      <c r="L202" s="69">
        <f t="shared" si="24"/>
        <v>-14.432989690721639</v>
      </c>
      <c r="M202" s="68">
        <v>150.5</v>
      </c>
      <c r="N202" s="69">
        <f t="shared" si="25"/>
        <v>19.349722442505954</v>
      </c>
      <c r="O202" s="69">
        <v>106.1</v>
      </c>
      <c r="P202" s="69">
        <f t="shared" si="26"/>
        <v>-15.860428231562254</v>
      </c>
      <c r="Q202" s="69">
        <v>93.9</v>
      </c>
      <c r="R202" s="69">
        <f t="shared" si="27"/>
        <v>-25.535289452815217</v>
      </c>
    </row>
    <row r="203" spans="2:20" x14ac:dyDescent="0.25">
      <c r="B203" s="157"/>
      <c r="C203" s="139"/>
      <c r="D203" s="78"/>
      <c r="E203" s="78"/>
      <c r="F203" s="143"/>
      <c r="G203" s="58" t="s">
        <v>383</v>
      </c>
      <c r="H203" s="68">
        <v>27</v>
      </c>
      <c r="I203" s="68">
        <v>110.2</v>
      </c>
      <c r="J203" s="68">
        <v>121.4</v>
      </c>
      <c r="K203" s="68">
        <v>105.6</v>
      </c>
      <c r="L203" s="69">
        <f t="shared" si="24"/>
        <v>-13.014827018121919</v>
      </c>
      <c r="M203" s="68">
        <v>135.4</v>
      </c>
      <c r="N203" s="69">
        <f t="shared" si="25"/>
        <v>11.532125205930807</v>
      </c>
      <c r="O203" s="69">
        <v>103.2</v>
      </c>
      <c r="P203" s="69">
        <f t="shared" si="26"/>
        <v>-14.991762767710052</v>
      </c>
      <c r="Q203" s="69">
        <v>93</v>
      </c>
      <c r="R203" s="69">
        <f t="shared" si="27"/>
        <v>-23.393739703459641</v>
      </c>
    </row>
    <row r="204" spans="2:20" x14ac:dyDescent="0.25">
      <c r="B204" s="144"/>
      <c r="C204" s="142"/>
      <c r="D204" s="70"/>
      <c r="E204" s="70"/>
      <c r="F204" s="144"/>
      <c r="G204" s="60" t="s">
        <v>375</v>
      </c>
      <c r="H204" s="70"/>
      <c r="I204" s="70"/>
      <c r="J204" s="70"/>
      <c r="K204" s="102"/>
      <c r="L204" s="103" t="s">
        <v>394</v>
      </c>
      <c r="M204" s="104"/>
      <c r="N204" s="103" t="s">
        <v>403</v>
      </c>
      <c r="O204" s="102"/>
      <c r="P204" s="103" t="s">
        <v>404</v>
      </c>
      <c r="Q204" s="102"/>
      <c r="R204" s="103" t="s">
        <v>402</v>
      </c>
      <c r="S204" s="18"/>
      <c r="T204" s="18"/>
    </row>
    <row r="205" spans="2:20" x14ac:dyDescent="0.25">
      <c r="B205" s="157" t="s">
        <v>54</v>
      </c>
      <c r="C205" s="140" t="s">
        <v>55</v>
      </c>
      <c r="D205" s="71" t="s">
        <v>264</v>
      </c>
      <c r="E205" s="71" t="s">
        <v>265</v>
      </c>
      <c r="F205" s="140" t="s">
        <v>15</v>
      </c>
      <c r="G205" s="58" t="s">
        <v>58</v>
      </c>
      <c r="H205" s="62">
        <v>9</v>
      </c>
      <c r="I205" s="62" t="s">
        <v>266</v>
      </c>
      <c r="J205" s="62" t="s">
        <v>267</v>
      </c>
      <c r="K205" s="93">
        <v>47.9</v>
      </c>
      <c r="L205" s="92">
        <f>(K205-49.5)/49.5*100</f>
        <v>-3.2323232323232349</v>
      </c>
      <c r="M205" s="92">
        <v>55.7</v>
      </c>
      <c r="N205" s="92">
        <f>(M205-49.5)/49.5*100</f>
        <v>12.525252525252531</v>
      </c>
      <c r="O205" s="94">
        <v>47.7</v>
      </c>
      <c r="P205" s="92">
        <f>(O205-49.5)/49.5*100</f>
        <v>-3.6363636363636305</v>
      </c>
      <c r="Q205" s="94">
        <v>45</v>
      </c>
      <c r="R205" s="92">
        <f>(Q205-49.5)/49.5*100</f>
        <v>-9.0909090909090917</v>
      </c>
    </row>
    <row r="206" spans="2:20" x14ac:dyDescent="0.25">
      <c r="B206" s="143"/>
      <c r="C206" s="139"/>
      <c r="D206" s="58"/>
      <c r="E206" s="58"/>
      <c r="F206" s="139"/>
      <c r="G206" s="58" t="s">
        <v>59</v>
      </c>
      <c r="H206" s="62">
        <v>9</v>
      </c>
      <c r="I206" s="62" t="s">
        <v>332</v>
      </c>
      <c r="J206" s="62" t="s">
        <v>268</v>
      </c>
      <c r="K206" s="93">
        <v>53.2</v>
      </c>
      <c r="L206" s="92">
        <f>(K206-45.8)/45.8*100</f>
        <v>16.157205240174687</v>
      </c>
      <c r="M206" s="92">
        <v>52.3</v>
      </c>
      <c r="N206" s="92">
        <f>(M206-45.8)/45.8*100</f>
        <v>14.192139737991265</v>
      </c>
      <c r="O206" s="94">
        <v>47</v>
      </c>
      <c r="P206" s="92">
        <f>(O206-45.8)/45.8*100</f>
        <v>2.620087336244548</v>
      </c>
      <c r="Q206" s="94">
        <v>44.7</v>
      </c>
      <c r="R206" s="92">
        <f>(Q206-45.8)/45.8*100</f>
        <v>-2.4017467248908178</v>
      </c>
    </row>
    <row r="207" spans="2:20" x14ac:dyDescent="0.25">
      <c r="B207" s="143"/>
      <c r="C207" s="139"/>
      <c r="D207" s="58"/>
      <c r="E207" s="58"/>
      <c r="F207" s="139"/>
      <c r="G207" s="58" t="s">
        <v>60</v>
      </c>
      <c r="H207" s="62">
        <v>9</v>
      </c>
      <c r="I207" s="62" t="s">
        <v>333</v>
      </c>
      <c r="J207" s="62" t="s">
        <v>269</v>
      </c>
      <c r="K207" s="93">
        <v>59.7</v>
      </c>
      <c r="L207" s="92">
        <f>(K207-53.8)/53.8*100</f>
        <v>10.96654275092938</v>
      </c>
      <c r="M207" s="92">
        <v>53.8</v>
      </c>
      <c r="N207" s="92">
        <f>(M207-53.8)/53.8*100</f>
        <v>0</v>
      </c>
      <c r="O207" s="92">
        <v>47.3</v>
      </c>
      <c r="P207" s="92">
        <f>(O207-53.8)/53.8*100</f>
        <v>-12.0817843866171</v>
      </c>
      <c r="Q207" s="92">
        <v>44.8</v>
      </c>
      <c r="R207" s="92">
        <f>(Q207-53.8)/53.8*100</f>
        <v>-16.728624535315987</v>
      </c>
    </row>
    <row r="208" spans="2:20" x14ac:dyDescent="0.25">
      <c r="B208" s="143"/>
      <c r="C208" s="139"/>
      <c r="D208" s="58"/>
      <c r="E208" s="58"/>
      <c r="F208" s="139"/>
      <c r="G208" s="58" t="s">
        <v>58</v>
      </c>
      <c r="H208" s="62">
        <v>14</v>
      </c>
      <c r="I208" s="62" t="s">
        <v>266</v>
      </c>
      <c r="J208" s="62" t="s">
        <v>270</v>
      </c>
      <c r="K208" s="92">
        <v>47.5</v>
      </c>
      <c r="L208" s="92">
        <f>(K208-48.2)/48.2*100</f>
        <v>-1.4522821576763543</v>
      </c>
      <c r="M208" s="92">
        <v>58.1</v>
      </c>
      <c r="N208" s="92">
        <f>(M208-48.2)/48.2*100</f>
        <v>20.539419087136928</v>
      </c>
      <c r="O208" s="94">
        <v>47.4</v>
      </c>
      <c r="P208" s="92">
        <f>(O208-48.2)/48.2*100</f>
        <v>-1.6597510373444071</v>
      </c>
      <c r="Q208" s="94">
        <v>44.2</v>
      </c>
      <c r="R208" s="92">
        <f>(Q208-48.2)/48.2*100</f>
        <v>-8.2987551867219906</v>
      </c>
    </row>
    <row r="209" spans="2:18" x14ac:dyDescent="0.25">
      <c r="B209" s="143"/>
      <c r="C209" s="139"/>
      <c r="D209" s="58"/>
      <c r="E209" s="58"/>
      <c r="F209" s="139"/>
      <c r="G209" s="58" t="s">
        <v>59</v>
      </c>
      <c r="H209" s="62">
        <v>14</v>
      </c>
      <c r="I209" s="62" t="s">
        <v>332</v>
      </c>
      <c r="J209" s="62" t="s">
        <v>271</v>
      </c>
      <c r="K209" s="93">
        <v>52.7</v>
      </c>
      <c r="L209" s="92">
        <f>(K209-47.6)/47.6*100</f>
        <v>10.714285714285717</v>
      </c>
      <c r="M209" s="92">
        <v>53.5</v>
      </c>
      <c r="N209" s="92">
        <f>(M209-47.6)/47.6*100</f>
        <v>12.394957983193274</v>
      </c>
      <c r="O209" s="94">
        <v>46.7</v>
      </c>
      <c r="P209" s="92">
        <f>(O209-47.6)/47.6*100</f>
        <v>-1.8907563025210055</v>
      </c>
      <c r="Q209" s="94">
        <v>43.9</v>
      </c>
      <c r="R209" s="92">
        <f>(Q209-47.6)/47.6*100</f>
        <v>-7.7731092436974851</v>
      </c>
    </row>
    <row r="210" spans="2:18" x14ac:dyDescent="0.25">
      <c r="B210" s="143"/>
      <c r="C210" s="139"/>
      <c r="D210" s="58"/>
      <c r="E210" s="58"/>
      <c r="F210" s="139"/>
      <c r="G210" s="58" t="s">
        <v>60</v>
      </c>
      <c r="H210" s="62">
        <v>14</v>
      </c>
      <c r="I210" s="62" t="s">
        <v>333</v>
      </c>
      <c r="J210" s="62" t="s">
        <v>272</v>
      </c>
      <c r="K210" s="93">
        <v>58.9</v>
      </c>
      <c r="L210" s="92">
        <f>(K210-51)/51*100</f>
        <v>15.490196078431371</v>
      </c>
      <c r="M210" s="92">
        <v>55.3</v>
      </c>
      <c r="N210" s="92">
        <f>(M210-51)/51*100</f>
        <v>8.4313725490196028</v>
      </c>
      <c r="O210" s="92">
        <v>46.9</v>
      </c>
      <c r="P210" s="92">
        <f>(O210-51)/51*100</f>
        <v>-8.0392156862745132</v>
      </c>
      <c r="Q210" s="92">
        <v>44</v>
      </c>
      <c r="R210" s="92">
        <f>(Q210-51)/51*100</f>
        <v>-13.725490196078432</v>
      </c>
    </row>
    <row r="211" spans="2:18" x14ac:dyDescent="0.25">
      <c r="B211" s="143"/>
      <c r="C211" s="139"/>
      <c r="D211" s="58"/>
      <c r="E211" s="58"/>
      <c r="F211" s="139"/>
      <c r="G211" s="58" t="s">
        <v>58</v>
      </c>
      <c r="H211" s="62">
        <v>23</v>
      </c>
      <c r="I211" s="62" t="s">
        <v>266</v>
      </c>
      <c r="J211" s="62" t="s">
        <v>273</v>
      </c>
      <c r="K211" s="93">
        <v>46.2</v>
      </c>
      <c r="L211" s="92">
        <f>(K211-50.1)/50.1*100</f>
        <v>-7.7844311377245488</v>
      </c>
      <c r="M211" s="92">
        <v>58.3</v>
      </c>
      <c r="N211" s="92">
        <f>(M211-50.1)/50.1*100</f>
        <v>16.367265469061866</v>
      </c>
      <c r="O211" s="92">
        <v>47.2</v>
      </c>
      <c r="P211" s="92">
        <f>(O211-50.1)/50.1*100</f>
        <v>-5.7884231536926114</v>
      </c>
      <c r="Q211" s="92">
        <v>42.6</v>
      </c>
      <c r="R211" s="92">
        <f>(Q211-50.1)/50.1*100</f>
        <v>-14.97005988023952</v>
      </c>
    </row>
    <row r="212" spans="2:18" x14ac:dyDescent="0.25">
      <c r="B212" s="143"/>
      <c r="C212" s="139"/>
      <c r="D212" s="58"/>
      <c r="E212" s="58"/>
      <c r="F212" s="139"/>
      <c r="G212" s="58" t="s">
        <v>59</v>
      </c>
      <c r="H212" s="62">
        <v>23</v>
      </c>
      <c r="I212" s="62" t="s">
        <v>332</v>
      </c>
      <c r="J212" s="62" t="s">
        <v>274</v>
      </c>
      <c r="K212" s="93">
        <v>51.2</v>
      </c>
      <c r="L212" s="92">
        <f>(K212-54.1)/54.1*100</f>
        <v>-5.3604436229205144</v>
      </c>
      <c r="M212" s="92">
        <v>53.4</v>
      </c>
      <c r="N212" s="92">
        <f>(M212-54.1)/54.1*100</f>
        <v>-1.2939001848428888</v>
      </c>
      <c r="O212" s="92">
        <v>46.5</v>
      </c>
      <c r="P212" s="92">
        <f>(O212-54.1)/54.1*100</f>
        <v>-14.048059149722739</v>
      </c>
      <c r="Q212" s="92">
        <v>42.3</v>
      </c>
      <c r="R212" s="92">
        <f>(Q212-54.1)/54.1*100</f>
        <v>-21.811460258780045</v>
      </c>
    </row>
    <row r="213" spans="2:18" x14ac:dyDescent="0.25">
      <c r="B213" s="143"/>
      <c r="C213" s="139"/>
      <c r="D213" s="58"/>
      <c r="E213" s="58"/>
      <c r="F213" s="139"/>
      <c r="G213" s="58" t="s">
        <v>60</v>
      </c>
      <c r="H213" s="62">
        <v>23</v>
      </c>
      <c r="I213" s="62" t="s">
        <v>333</v>
      </c>
      <c r="J213" s="62" t="s">
        <v>275</v>
      </c>
      <c r="K213" s="92">
        <v>57.3</v>
      </c>
      <c r="L213" s="92">
        <f>(K213-51.8)/51.8*100</f>
        <v>10.617760617760618</v>
      </c>
      <c r="M213" s="92">
        <v>55.4</v>
      </c>
      <c r="N213" s="92">
        <f>(M213-51.8)/51.8*100</f>
        <v>6.9498069498069528</v>
      </c>
      <c r="O213" s="92">
        <v>46.8</v>
      </c>
      <c r="P213" s="92">
        <f>(O213-51.8)/51.8*100</f>
        <v>-9.6525096525096519</v>
      </c>
      <c r="Q213" s="92">
        <v>42.4</v>
      </c>
      <c r="R213" s="92">
        <f>(Q213-51.8)/51.8*100</f>
        <v>-18.146718146718143</v>
      </c>
    </row>
    <row r="214" spans="2:18" x14ac:dyDescent="0.25">
      <c r="B214" s="143"/>
      <c r="C214" s="139"/>
      <c r="D214" s="58"/>
      <c r="E214" s="58"/>
      <c r="F214" s="139"/>
      <c r="G214" s="58" t="s">
        <v>58</v>
      </c>
      <c r="H214" s="62">
        <v>26</v>
      </c>
      <c r="I214" s="62" t="s">
        <v>266</v>
      </c>
      <c r="J214" s="62" t="s">
        <v>276</v>
      </c>
      <c r="K214" s="93">
        <v>46.2</v>
      </c>
      <c r="L214" s="92">
        <f>(K214-51.8)/51.8*100</f>
        <v>-10.8108108108108</v>
      </c>
      <c r="M214" s="92">
        <v>61.8</v>
      </c>
      <c r="N214" s="92">
        <f>(M214-51.8)/51.8*100</f>
        <v>19.305019305019304</v>
      </c>
      <c r="O214" s="92">
        <v>47.6</v>
      </c>
      <c r="P214" s="92">
        <f>(O214-51.8)/51.8*100</f>
        <v>-8.1081081081080999</v>
      </c>
      <c r="Q214" s="92">
        <v>42.1</v>
      </c>
      <c r="R214" s="92">
        <f>(Q214-51.8)/51.8*100</f>
        <v>-18.725868725868718</v>
      </c>
    </row>
    <row r="215" spans="2:18" x14ac:dyDescent="0.25">
      <c r="B215" s="143"/>
      <c r="C215" s="139"/>
      <c r="D215" s="58"/>
      <c r="E215" s="58"/>
      <c r="F215" s="139"/>
      <c r="G215" s="58" t="s">
        <v>59</v>
      </c>
      <c r="H215" s="62">
        <v>26</v>
      </c>
      <c r="I215" s="62" t="s">
        <v>332</v>
      </c>
      <c r="J215" s="62" t="s">
        <v>277</v>
      </c>
      <c r="K215" s="93">
        <v>51.2</v>
      </c>
      <c r="L215" s="92">
        <f>(K215-56.5)/56.5*100</f>
        <v>-9.3805309734513216</v>
      </c>
      <c r="M215" s="92">
        <v>55.3</v>
      </c>
      <c r="N215" s="92">
        <f>(M215-56.5)/56.5*100</f>
        <v>-2.1238938053097396</v>
      </c>
      <c r="O215" s="92">
        <v>46.6</v>
      </c>
      <c r="P215" s="92">
        <f>(O215-56.5)/56.5*100</f>
        <v>-17.522123893805308</v>
      </c>
      <c r="Q215" s="92">
        <v>41.7</v>
      </c>
      <c r="R215" s="92">
        <f>(Q215-56.5)/56.5*100</f>
        <v>-26.19469026548672</v>
      </c>
    </row>
    <row r="216" spans="2:18" x14ac:dyDescent="0.25">
      <c r="B216" s="143"/>
      <c r="C216" s="139"/>
      <c r="D216" s="58"/>
      <c r="E216" s="58"/>
      <c r="F216" s="139"/>
      <c r="G216" s="58" t="s">
        <v>60</v>
      </c>
      <c r="H216" s="62">
        <v>26</v>
      </c>
      <c r="I216" s="62" t="s">
        <v>333</v>
      </c>
      <c r="J216" s="62" t="s">
        <v>278</v>
      </c>
      <c r="K216" s="92">
        <v>57.4</v>
      </c>
      <c r="L216" s="92">
        <f>(K216-54.3)/54.3*100</f>
        <v>5.7090239410681427</v>
      </c>
      <c r="M216" s="92">
        <v>57.7</v>
      </c>
      <c r="N216" s="92">
        <f>(M216-54.3)/54.3*100</f>
        <v>6.2615101289134545</v>
      </c>
      <c r="O216" s="92">
        <v>47</v>
      </c>
      <c r="P216" s="92">
        <f>(O216-54.3)/54.3*100</f>
        <v>-13.44383057090239</v>
      </c>
      <c r="Q216" s="92">
        <v>41.8</v>
      </c>
      <c r="R216" s="92">
        <f>(Q216-54.3)/54.3*100</f>
        <v>-23.020257826887665</v>
      </c>
    </row>
    <row r="217" spans="2:18" x14ac:dyDescent="0.25">
      <c r="B217" s="143"/>
      <c r="C217" s="139"/>
      <c r="D217" s="58"/>
      <c r="E217" s="58"/>
      <c r="F217" s="139"/>
      <c r="G217" s="58" t="s">
        <v>58</v>
      </c>
      <c r="H217" s="62">
        <v>29</v>
      </c>
      <c r="I217" s="62" t="s">
        <v>266</v>
      </c>
      <c r="J217" s="62" t="s">
        <v>279</v>
      </c>
      <c r="K217" s="93">
        <v>45.9</v>
      </c>
      <c r="L217" s="92">
        <f>(K217-51.6)/51.6*100</f>
        <v>-11.046511627906982</v>
      </c>
      <c r="M217" s="92">
        <v>64.2</v>
      </c>
      <c r="N217" s="92">
        <f>(M217-51.6)/51.6*100</f>
        <v>24.418604651162791</v>
      </c>
      <c r="O217" s="92">
        <v>48.1</v>
      </c>
      <c r="P217" s="92">
        <f>(O217-51.6)/51.6*100</f>
        <v>-6.7829457364341081</v>
      </c>
      <c r="Q217" s="92">
        <v>41.6</v>
      </c>
      <c r="R217" s="92">
        <f>(Q217-51.6)/51.6*100</f>
        <v>-19.379844961240309</v>
      </c>
    </row>
    <row r="218" spans="2:18" x14ac:dyDescent="0.25">
      <c r="B218" s="143"/>
      <c r="C218" s="139"/>
      <c r="D218" s="58"/>
      <c r="E218" s="58"/>
      <c r="F218" s="139"/>
      <c r="G218" s="58" t="s">
        <v>59</v>
      </c>
      <c r="H218" s="62">
        <v>29</v>
      </c>
      <c r="I218" s="62" t="s">
        <v>332</v>
      </c>
      <c r="J218" s="62" t="s">
        <v>280</v>
      </c>
      <c r="K218" s="92">
        <v>51</v>
      </c>
      <c r="L218" s="92">
        <f>(K218-54.9)/54.9*100</f>
        <v>-7.10382513661202</v>
      </c>
      <c r="M218" s="92">
        <v>56.4</v>
      </c>
      <c r="N218" s="92">
        <f>(M218-54.9)/54.9*100</f>
        <v>2.7322404371584699</v>
      </c>
      <c r="O218" s="92">
        <v>46.6</v>
      </c>
      <c r="P218" s="92">
        <f>(O218-54.9)/54.9*100</f>
        <v>-15.118397085610196</v>
      </c>
      <c r="Q218" s="92">
        <v>41.1</v>
      </c>
      <c r="R218" s="92">
        <f>(Q218-54.9)/54.9*100</f>
        <v>-25.136612021857918</v>
      </c>
    </row>
    <row r="219" spans="2:18" x14ac:dyDescent="0.25">
      <c r="B219" s="143"/>
      <c r="C219" s="139"/>
      <c r="D219" s="58"/>
      <c r="E219" s="58"/>
      <c r="F219" s="139"/>
      <c r="G219" s="58" t="s">
        <v>60</v>
      </c>
      <c r="H219" s="62">
        <v>29</v>
      </c>
      <c r="I219" s="62" t="s">
        <v>333</v>
      </c>
      <c r="J219" s="62" t="s">
        <v>281</v>
      </c>
      <c r="K219" s="93">
        <v>57.4</v>
      </c>
      <c r="L219" s="92">
        <f>(K219-59.4)/59.4*100</f>
        <v>-3.3670033670033668</v>
      </c>
      <c r="M219" s="92">
        <v>59.4</v>
      </c>
      <c r="N219" s="92">
        <f>(M219-59.4)/59.4*100</f>
        <v>0</v>
      </c>
      <c r="O219" s="92">
        <v>47.2</v>
      </c>
      <c r="P219" s="92">
        <f>(O219-59.4)/59.4*100</f>
        <v>-20.538720538720533</v>
      </c>
      <c r="Q219" s="92">
        <v>41.3</v>
      </c>
      <c r="R219" s="92">
        <f>(Q219-59.4)/59.4*100</f>
        <v>-30.471380471380478</v>
      </c>
    </row>
    <row r="220" spans="2:18" x14ac:dyDescent="0.25">
      <c r="B220" s="143"/>
      <c r="C220" s="139"/>
      <c r="D220" s="58"/>
      <c r="E220" s="58"/>
      <c r="F220" s="139"/>
      <c r="G220" s="58" t="s">
        <v>58</v>
      </c>
      <c r="H220" s="62">
        <v>32</v>
      </c>
      <c r="I220" s="62" t="s">
        <v>266</v>
      </c>
      <c r="J220" s="62" t="s">
        <v>282</v>
      </c>
      <c r="K220" s="93">
        <v>45.8</v>
      </c>
      <c r="L220" s="92">
        <f>(K220-51.6)/51.6*100</f>
        <v>-11.240310077519387</v>
      </c>
      <c r="M220" s="92">
        <v>67.099999999999994</v>
      </c>
      <c r="N220" s="92">
        <f>(M220-51.6)/51.6*100</f>
        <v>30.038759689922468</v>
      </c>
      <c r="O220" s="92">
        <v>48.5</v>
      </c>
      <c r="P220" s="92">
        <f>(O220-51.6)/51.6*100</f>
        <v>-6.0077519379844988</v>
      </c>
      <c r="Q220" s="92">
        <v>41.2</v>
      </c>
      <c r="R220" s="92">
        <f>(Q220-51.6)/51.6*100</f>
        <v>-20.155038759689919</v>
      </c>
    </row>
    <row r="221" spans="2:18" x14ac:dyDescent="0.25">
      <c r="B221" s="143"/>
      <c r="C221" s="139"/>
      <c r="D221" s="58"/>
      <c r="E221" s="58"/>
      <c r="F221" s="139"/>
      <c r="G221" s="58" t="s">
        <v>59</v>
      </c>
      <c r="H221" s="62">
        <v>32</v>
      </c>
      <c r="I221" s="62" t="s">
        <v>332</v>
      </c>
      <c r="J221" s="62" t="s">
        <v>283</v>
      </c>
      <c r="K221" s="93">
        <v>50.8</v>
      </c>
      <c r="L221" s="92">
        <f>(K221-57.4)/57.4*100</f>
        <v>-11.498257839721257</v>
      </c>
      <c r="M221" s="92">
        <v>58.2</v>
      </c>
      <c r="N221" s="92">
        <f>(M221-57.4)/57.4*100</f>
        <v>1.3937282229965231</v>
      </c>
      <c r="O221" s="92">
        <v>46.9</v>
      </c>
      <c r="P221" s="92">
        <f>(O221-57.4)/57.4*100</f>
        <v>-18.292682926829269</v>
      </c>
      <c r="Q221" s="92">
        <v>40.700000000000003</v>
      </c>
      <c r="R221" s="92">
        <f>(Q221-57.4)/57.4*100</f>
        <v>-29.094076655052259</v>
      </c>
    </row>
    <row r="222" spans="2:18" x14ac:dyDescent="0.25">
      <c r="B222" s="143"/>
      <c r="C222" s="139"/>
      <c r="D222" s="58"/>
      <c r="E222" s="58"/>
      <c r="F222" s="139"/>
      <c r="G222" s="58" t="s">
        <v>60</v>
      </c>
      <c r="H222" s="62">
        <v>32</v>
      </c>
      <c r="I222" s="62" t="s">
        <v>333</v>
      </c>
      <c r="J222" s="62" t="s">
        <v>284</v>
      </c>
      <c r="K222" s="92">
        <v>57</v>
      </c>
      <c r="L222" s="92">
        <f>(K222-59.6)/59.6*100</f>
        <v>-4.3624161073825523</v>
      </c>
      <c r="M222" s="92">
        <v>61.6</v>
      </c>
      <c r="N222" s="92">
        <f>(M222-59.6)/59.6*100</f>
        <v>3.3557046979865772</v>
      </c>
      <c r="O222" s="92">
        <v>47.5</v>
      </c>
      <c r="P222" s="92">
        <f>(O222-59.6)/59.6*100</f>
        <v>-20.302013422818792</v>
      </c>
      <c r="Q222" s="92">
        <v>40.9</v>
      </c>
      <c r="R222" s="92">
        <f>(Q222-59.6)/59.6*100</f>
        <v>-31.375838926174499</v>
      </c>
    </row>
    <row r="223" spans="2:18" x14ac:dyDescent="0.25">
      <c r="B223" s="143"/>
      <c r="C223" s="139"/>
      <c r="D223" s="58"/>
      <c r="E223" s="58"/>
      <c r="F223" s="139"/>
      <c r="G223" s="58" t="s">
        <v>58</v>
      </c>
      <c r="H223" s="62">
        <v>36</v>
      </c>
      <c r="I223" s="62" t="s">
        <v>266</v>
      </c>
      <c r="J223" s="62" t="s">
        <v>285</v>
      </c>
      <c r="K223" s="92">
        <v>45.4</v>
      </c>
      <c r="L223" s="92">
        <f>(K223-54.1)/54.1*100</f>
        <v>-16.081330868761555</v>
      </c>
      <c r="M223" s="92">
        <v>69.400000000000006</v>
      </c>
      <c r="N223" s="92">
        <f>(M223-54.1)/54.1*100</f>
        <v>28.280961182994464</v>
      </c>
      <c r="O223" s="92">
        <v>48</v>
      </c>
      <c r="P223" s="92">
        <f>(O223-54.1)/54.1*100</f>
        <v>-11.275415896487988</v>
      </c>
      <c r="Q223" s="92">
        <v>40.6</v>
      </c>
      <c r="R223" s="92">
        <f>(Q223-54.1)/54.1*100</f>
        <v>-24.953789279112755</v>
      </c>
    </row>
    <row r="224" spans="2:18" x14ac:dyDescent="0.25">
      <c r="B224" s="143"/>
      <c r="C224" s="139"/>
      <c r="D224" s="58"/>
      <c r="E224" s="58"/>
      <c r="F224" s="139"/>
      <c r="G224" s="58" t="s">
        <v>59</v>
      </c>
      <c r="H224" s="62">
        <v>36</v>
      </c>
      <c r="I224" s="62" t="s">
        <v>332</v>
      </c>
      <c r="J224" s="62" t="s">
        <v>286</v>
      </c>
      <c r="K224" s="92">
        <v>50.4</v>
      </c>
      <c r="L224" s="92">
        <f>(K224-58.2)/58.2*100</f>
        <v>-13.402061855670111</v>
      </c>
      <c r="M224" s="92">
        <v>59.7</v>
      </c>
      <c r="N224" s="92">
        <f>(M224-58.2)/58.2*100</f>
        <v>2.5773195876288657</v>
      </c>
      <c r="O224" s="92">
        <v>46.8</v>
      </c>
      <c r="P224" s="92">
        <f>(O224-58.2)/58.2*100</f>
        <v>-19.58762886597939</v>
      </c>
      <c r="Q224" s="92">
        <v>40</v>
      </c>
      <c r="R224" s="92">
        <f>(Q224-58.2)/58.2*100</f>
        <v>-31.271477663230247</v>
      </c>
    </row>
    <row r="225" spans="2:20" x14ac:dyDescent="0.25">
      <c r="B225" s="143"/>
      <c r="C225" s="139"/>
      <c r="D225" s="58"/>
      <c r="E225" s="58"/>
      <c r="F225" s="139"/>
      <c r="G225" s="58" t="s">
        <v>60</v>
      </c>
      <c r="H225" s="62">
        <v>36</v>
      </c>
      <c r="I225" s="62" t="s">
        <v>333</v>
      </c>
      <c r="J225" s="62" t="s">
        <v>287</v>
      </c>
      <c r="K225" s="93">
        <v>56.7</v>
      </c>
      <c r="L225" s="92">
        <f>(K225-62.2)/62.2*100</f>
        <v>-8.8424437299035361</v>
      </c>
      <c r="M225" s="92">
        <v>63.4</v>
      </c>
      <c r="N225" s="92">
        <f>(M225-62.2)/62.2*100</f>
        <v>1.9292604501607649</v>
      </c>
      <c r="O225" s="92">
        <v>47.1</v>
      </c>
      <c r="P225" s="92">
        <f>(O225-62.2)/62.2*100</f>
        <v>-24.276527331189712</v>
      </c>
      <c r="Q225" s="92">
        <v>40.200000000000003</v>
      </c>
      <c r="R225" s="92">
        <f>(Q225-62.2)/62.2*100</f>
        <v>-35.369774919614144</v>
      </c>
    </row>
    <row r="226" spans="2:20" x14ac:dyDescent="0.25">
      <c r="B226" s="144"/>
      <c r="C226" s="142"/>
      <c r="D226" s="60"/>
      <c r="E226" s="60"/>
      <c r="F226" s="142"/>
      <c r="G226" s="60" t="s">
        <v>375</v>
      </c>
      <c r="H226" s="60"/>
      <c r="I226" s="60"/>
      <c r="J226" s="60"/>
      <c r="K226" s="97"/>
      <c r="L226" s="99" t="s">
        <v>429</v>
      </c>
      <c r="M226" s="105"/>
      <c r="N226" s="99" t="s">
        <v>426</v>
      </c>
      <c r="O226" s="105"/>
      <c r="P226" s="99" t="s">
        <v>427</v>
      </c>
      <c r="Q226" s="105"/>
      <c r="R226" s="99" t="s">
        <v>428</v>
      </c>
      <c r="S226" s="18"/>
      <c r="T226" s="18"/>
    </row>
    <row r="227" spans="2:20" x14ac:dyDescent="0.25">
      <c r="B227" s="140" t="s">
        <v>54</v>
      </c>
      <c r="C227" s="140" t="s">
        <v>84</v>
      </c>
      <c r="D227" s="71" t="s">
        <v>264</v>
      </c>
      <c r="E227" s="71" t="s">
        <v>265</v>
      </c>
      <c r="F227" s="140" t="s">
        <v>15</v>
      </c>
      <c r="G227" s="72" t="s">
        <v>19</v>
      </c>
      <c r="H227" s="62">
        <v>3</v>
      </c>
      <c r="I227" s="63">
        <v>56</v>
      </c>
      <c r="J227" s="62" t="s">
        <v>86</v>
      </c>
      <c r="K227" s="93">
        <v>55.9</v>
      </c>
      <c r="L227" s="92">
        <f>(K227-50.3)/50.3*100</f>
        <v>11.133200795228632</v>
      </c>
      <c r="M227" s="94">
        <v>50.3</v>
      </c>
      <c r="N227" s="92">
        <f>(M227-50.3)/50.3*100</f>
        <v>0</v>
      </c>
      <c r="O227" s="94">
        <v>48.4</v>
      </c>
      <c r="P227" s="92">
        <f>(O227-50.3)/50.3*100</f>
        <v>-3.777335984095425</v>
      </c>
      <c r="Q227" s="94">
        <v>48.7</v>
      </c>
      <c r="R227" s="92">
        <f>(Q227-50.3)/50.3*100</f>
        <v>-3.1809145129224539</v>
      </c>
    </row>
    <row r="228" spans="2:20" x14ac:dyDescent="0.25">
      <c r="B228" s="143"/>
      <c r="C228" s="143"/>
      <c r="D228" s="58"/>
      <c r="E228" s="58"/>
      <c r="F228" s="139"/>
      <c r="G228" s="72" t="s">
        <v>85</v>
      </c>
      <c r="H228" s="62">
        <v>3</v>
      </c>
      <c r="I228" s="62">
        <v>54.2</v>
      </c>
      <c r="J228" s="62" t="s">
        <v>90</v>
      </c>
      <c r="K228" s="93">
        <v>55.9</v>
      </c>
      <c r="L228" s="92">
        <f>(K228-49.1)/49.1*100</f>
        <v>13.849287169042764</v>
      </c>
      <c r="M228" s="94">
        <v>50.3</v>
      </c>
      <c r="N228" s="92">
        <f>(M228-49.1)/49.1*100</f>
        <v>2.4439918533604801</v>
      </c>
      <c r="O228" s="94">
        <v>48.5</v>
      </c>
      <c r="P228" s="92">
        <f>(O228-49.1)/49.1*100</f>
        <v>-1.2219959266802474</v>
      </c>
      <c r="Q228" s="94">
        <v>48.7</v>
      </c>
      <c r="R228" s="92">
        <f>(Q228-49.1)/49.1*100</f>
        <v>-0.8146639511201601</v>
      </c>
    </row>
    <row r="229" spans="2:20" x14ac:dyDescent="0.25">
      <c r="B229" s="143"/>
      <c r="C229" s="143"/>
      <c r="D229" s="58"/>
      <c r="E229" s="58"/>
      <c r="F229" s="139"/>
      <c r="G229" s="72" t="s">
        <v>60</v>
      </c>
      <c r="H229" s="62">
        <v>3</v>
      </c>
      <c r="I229" s="62">
        <v>55.7</v>
      </c>
      <c r="J229" s="62" t="s">
        <v>94</v>
      </c>
      <c r="K229" s="93">
        <v>56.3</v>
      </c>
      <c r="L229" s="92">
        <f>(K229-54.4)/54.4*100</f>
        <v>3.4926470588235268</v>
      </c>
      <c r="M229" s="92">
        <v>50.6</v>
      </c>
      <c r="N229" s="92">
        <f>(M229-54.4)/54.4*100</f>
        <v>-6.9852941176470535</v>
      </c>
      <c r="O229" s="92">
        <v>48.9</v>
      </c>
      <c r="P229" s="92">
        <f>(O229-54.4)/54.4*100</f>
        <v>-10.11029411764706</v>
      </c>
      <c r="Q229" s="92">
        <v>48.8</v>
      </c>
      <c r="R229" s="92">
        <f>(Q229-54.4)/54.4*100</f>
        <v>-10.294117647058826</v>
      </c>
    </row>
    <row r="230" spans="2:20" x14ac:dyDescent="0.25">
      <c r="B230" s="143"/>
      <c r="C230" s="143"/>
      <c r="D230" s="58"/>
      <c r="E230" s="58"/>
      <c r="F230" s="139"/>
      <c r="G230" s="72" t="s">
        <v>19</v>
      </c>
      <c r="H230" s="62">
        <v>6</v>
      </c>
      <c r="I230" s="63">
        <v>56</v>
      </c>
      <c r="J230" s="62" t="s">
        <v>288</v>
      </c>
      <c r="K230" s="92">
        <v>56</v>
      </c>
      <c r="L230" s="92">
        <f>(K230-50.8)/50.8*100</f>
        <v>10.236220472440952</v>
      </c>
      <c r="M230" s="94">
        <v>52.2</v>
      </c>
      <c r="N230" s="92">
        <f>(M230-50.8)/50.8*100</f>
        <v>2.7559055118110352</v>
      </c>
      <c r="O230" s="94">
        <v>48.3</v>
      </c>
      <c r="P230" s="92">
        <f>(O230-50.8)/50.8*100</f>
        <v>-4.9212598425196852</v>
      </c>
      <c r="Q230" s="94">
        <v>47.5</v>
      </c>
      <c r="R230" s="92">
        <f>(Q230-50.8)/50.8*100</f>
        <v>-6.4960629921259798</v>
      </c>
    </row>
    <row r="231" spans="2:20" x14ac:dyDescent="0.25">
      <c r="B231" s="143"/>
      <c r="C231" s="143"/>
      <c r="D231" s="58"/>
      <c r="E231" s="58"/>
      <c r="F231" s="139"/>
      <c r="G231" s="72" t="s">
        <v>85</v>
      </c>
      <c r="H231" s="62">
        <v>6</v>
      </c>
      <c r="I231" s="62">
        <v>54.2</v>
      </c>
      <c r="J231" s="62" t="s">
        <v>289</v>
      </c>
      <c r="K231" s="93">
        <v>56.1</v>
      </c>
      <c r="L231" s="92">
        <f>(K231-51)/51*100</f>
        <v>10.000000000000004</v>
      </c>
      <c r="M231" s="94">
        <v>52.6</v>
      </c>
      <c r="N231" s="92">
        <f>(M231-51)/51*100</f>
        <v>3.1372549019607869</v>
      </c>
      <c r="O231" s="94">
        <v>48.4</v>
      </c>
      <c r="P231" s="92">
        <f>(O231-51)/51*100</f>
        <v>-5.0980392156862768</v>
      </c>
      <c r="Q231" s="94">
        <v>47.5</v>
      </c>
      <c r="R231" s="92">
        <f>(Q231-51)/51*100</f>
        <v>-6.8627450980392162</v>
      </c>
    </row>
    <row r="232" spans="2:20" x14ac:dyDescent="0.25">
      <c r="B232" s="143"/>
      <c r="C232" s="143"/>
      <c r="D232" s="58"/>
      <c r="E232" s="58"/>
      <c r="F232" s="139"/>
      <c r="G232" s="72" t="s">
        <v>60</v>
      </c>
      <c r="H232" s="62">
        <v>6</v>
      </c>
      <c r="I232" s="62">
        <v>55.7</v>
      </c>
      <c r="J232" s="62" t="s">
        <v>290</v>
      </c>
      <c r="K232" s="93">
        <v>56.4</v>
      </c>
      <c r="L232" s="92">
        <f>(K232-58.8)/58.8*100</f>
        <v>-4.0816326530612219</v>
      </c>
      <c r="M232" s="92">
        <v>53.7</v>
      </c>
      <c r="N232" s="92">
        <f>(M232-58.8)/58.8*100</f>
        <v>-8.6734693877550928</v>
      </c>
      <c r="O232" s="92">
        <v>48.9</v>
      </c>
      <c r="P232" s="92">
        <f>(O232-58.8)/58.8*100</f>
        <v>-16.836734693877549</v>
      </c>
      <c r="Q232" s="92">
        <v>47.7</v>
      </c>
      <c r="R232" s="92">
        <f>(Q232-58.8)/58.8*100</f>
        <v>-18.877551020408152</v>
      </c>
    </row>
    <row r="233" spans="2:20" x14ac:dyDescent="0.25">
      <c r="B233" s="143"/>
      <c r="C233" s="143"/>
      <c r="D233" s="58"/>
      <c r="E233" s="58"/>
      <c r="F233" s="139"/>
      <c r="G233" s="72" t="s">
        <v>19</v>
      </c>
      <c r="H233" s="62">
        <v>9</v>
      </c>
      <c r="I233" s="63">
        <v>56</v>
      </c>
      <c r="J233" s="62" t="s">
        <v>291</v>
      </c>
      <c r="K233" s="92">
        <v>56</v>
      </c>
      <c r="L233" s="92">
        <f>(K233-53.7)/53.7*100</f>
        <v>4.2830540037243896</v>
      </c>
      <c r="M233" s="92">
        <v>53.9</v>
      </c>
      <c r="N233" s="92">
        <f>(M233-53.7)/53.7*100</f>
        <v>0.37243947858472204</v>
      </c>
      <c r="O233" s="92">
        <v>48.2</v>
      </c>
      <c r="P233" s="92">
        <f>(O233-53.7)/53.7*100</f>
        <v>-10.242085661080074</v>
      </c>
      <c r="Q233" s="92">
        <v>46.4</v>
      </c>
      <c r="R233" s="92">
        <f>(Q233-53.7)/53.7*100</f>
        <v>-13.594040968342652</v>
      </c>
    </row>
    <row r="234" spans="2:20" x14ac:dyDescent="0.25">
      <c r="B234" s="143"/>
      <c r="C234" s="143"/>
      <c r="D234" s="58"/>
      <c r="E234" s="58"/>
      <c r="F234" s="139"/>
      <c r="G234" s="72" t="s">
        <v>85</v>
      </c>
      <c r="H234" s="62">
        <v>9</v>
      </c>
      <c r="I234" s="62">
        <v>54.2</v>
      </c>
      <c r="J234" s="62" t="s">
        <v>292</v>
      </c>
      <c r="K234" s="93">
        <v>56.2</v>
      </c>
      <c r="L234" s="92">
        <f>(K234-53.9)/53.9*100</f>
        <v>4.2671614100185611</v>
      </c>
      <c r="M234" s="92">
        <v>54.7</v>
      </c>
      <c r="N234" s="92">
        <f>(M234-53.9)/53.9*100</f>
        <v>1.4842300556586352</v>
      </c>
      <c r="O234" s="92">
        <v>48.4</v>
      </c>
      <c r="P234" s="92">
        <f>(O234-53.9)/53.9*100</f>
        <v>-10.204081632653061</v>
      </c>
      <c r="Q234" s="92">
        <v>46.5</v>
      </c>
      <c r="R234" s="92">
        <f>(Q234-53.9)/53.9*100</f>
        <v>-13.729128014842299</v>
      </c>
    </row>
    <row r="235" spans="2:20" x14ac:dyDescent="0.25">
      <c r="B235" s="143"/>
      <c r="C235" s="143"/>
      <c r="D235" s="58"/>
      <c r="E235" s="58"/>
      <c r="F235" s="139"/>
      <c r="G235" s="72" t="s">
        <v>60</v>
      </c>
      <c r="H235" s="62">
        <v>9</v>
      </c>
      <c r="I235" s="62">
        <v>55.7</v>
      </c>
      <c r="J235" s="62" t="s">
        <v>293</v>
      </c>
      <c r="K235" s="93">
        <v>56.8</v>
      </c>
      <c r="L235" s="92">
        <f>(K235-59)/59*100</f>
        <v>-3.7288135593220391</v>
      </c>
      <c r="M235" s="92">
        <v>56.6</v>
      </c>
      <c r="N235" s="92">
        <f>(M235-59)/59*100</f>
        <v>-4.0677966101694896</v>
      </c>
      <c r="O235" s="92">
        <v>49</v>
      </c>
      <c r="P235" s="92">
        <f>(O235-59)/59*100</f>
        <v>-16.949152542372879</v>
      </c>
      <c r="Q235" s="92">
        <v>46.7</v>
      </c>
      <c r="R235" s="92">
        <f>(Q235-59)/59*100</f>
        <v>-20.84745762711864</v>
      </c>
    </row>
    <row r="236" spans="2:20" x14ac:dyDescent="0.25">
      <c r="B236" s="143"/>
      <c r="C236" s="143"/>
      <c r="D236" s="58"/>
      <c r="E236" s="58"/>
      <c r="F236" s="139"/>
      <c r="G236" s="72" t="s">
        <v>19</v>
      </c>
      <c r="H236" s="62">
        <v>17</v>
      </c>
      <c r="I236" s="63">
        <v>56</v>
      </c>
      <c r="J236" s="62" t="s">
        <v>294</v>
      </c>
      <c r="K236" s="93">
        <v>55.2</v>
      </c>
      <c r="L236" s="92">
        <f>(K236-53)/53*100</f>
        <v>4.1509433962264204</v>
      </c>
      <c r="M236" s="92">
        <v>57.6</v>
      </c>
      <c r="N236" s="92">
        <f>(M236-53)/53*100</f>
        <v>8.6792452830188704</v>
      </c>
      <c r="O236" s="92">
        <v>47.7</v>
      </c>
      <c r="P236" s="92">
        <f>(O236-53)/53*100</f>
        <v>-9.9999999999999947</v>
      </c>
      <c r="Q236" s="92">
        <v>44.4</v>
      </c>
      <c r="R236" s="92">
        <f>(Q236-53)/53*100</f>
        <v>-16.226415094339625</v>
      </c>
    </row>
    <row r="237" spans="2:20" x14ac:dyDescent="0.25">
      <c r="B237" s="143"/>
      <c r="C237" s="143"/>
      <c r="D237" s="58"/>
      <c r="E237" s="58"/>
      <c r="F237" s="139"/>
      <c r="G237" s="72" t="s">
        <v>85</v>
      </c>
      <c r="H237" s="62">
        <v>17</v>
      </c>
      <c r="I237" s="62">
        <v>54.2</v>
      </c>
      <c r="J237" s="62" t="s">
        <v>295</v>
      </c>
      <c r="K237" s="92">
        <v>55.4</v>
      </c>
      <c r="L237" s="92">
        <f>(K237-56.2)/56.2*100</f>
        <v>-1.4234875444839934</v>
      </c>
      <c r="M237" s="92">
        <v>58.7</v>
      </c>
      <c r="N237" s="92">
        <f>(M237-56.2)/56.2*100</f>
        <v>4.4483985765124547</v>
      </c>
      <c r="O237" s="92">
        <v>47.9</v>
      </c>
      <c r="P237" s="92">
        <f>(O237-56.2)/56.2*100</f>
        <v>-14.76868327402136</v>
      </c>
      <c r="Q237" s="92">
        <v>44.4</v>
      </c>
      <c r="R237" s="92">
        <f>(Q237-56.2)/56.2*100</f>
        <v>-20.996441281138797</v>
      </c>
    </row>
    <row r="238" spans="2:20" x14ac:dyDescent="0.25">
      <c r="B238" s="143"/>
      <c r="C238" s="143"/>
      <c r="D238" s="58"/>
      <c r="E238" s="58"/>
      <c r="F238" s="139"/>
      <c r="G238" s="72" t="s">
        <v>60</v>
      </c>
      <c r="H238" s="62">
        <v>17</v>
      </c>
      <c r="I238" s="62">
        <v>55.7</v>
      </c>
      <c r="J238" s="62" t="s">
        <v>296</v>
      </c>
      <c r="K238" s="93">
        <v>56.1</v>
      </c>
      <c r="L238" s="92">
        <f>(K238-66.1)/66.1*100</f>
        <v>-15.128593040847191</v>
      </c>
      <c r="M238" s="92">
        <v>61.5</v>
      </c>
      <c r="N238" s="92">
        <f>(M238-66.1)/66.1*100</f>
        <v>-6.9591527987897042</v>
      </c>
      <c r="O238" s="92">
        <v>48.6</v>
      </c>
      <c r="P238" s="92">
        <f>(O238-66.1)/66.1*100</f>
        <v>-26.475037821482594</v>
      </c>
      <c r="Q238" s="92">
        <v>44.6</v>
      </c>
      <c r="R238" s="92">
        <f>(Q238-66.1)/66.1*100</f>
        <v>-32.52647503782147</v>
      </c>
    </row>
    <row r="239" spans="2:20" x14ac:dyDescent="0.25">
      <c r="B239" s="144"/>
      <c r="C239" s="144"/>
      <c r="D239" s="60"/>
      <c r="E239" s="60"/>
      <c r="F239" s="142"/>
      <c r="G239" s="60" t="s">
        <v>375</v>
      </c>
      <c r="H239" s="60"/>
      <c r="I239" s="60"/>
      <c r="J239" s="60"/>
      <c r="K239" s="97"/>
      <c r="L239" s="99" t="s">
        <v>393</v>
      </c>
      <c r="M239" s="105"/>
      <c r="N239" s="99" t="s">
        <v>423</v>
      </c>
      <c r="O239" s="105"/>
      <c r="P239" s="99" t="s">
        <v>424</v>
      </c>
      <c r="Q239" s="105"/>
      <c r="R239" s="99" t="s">
        <v>425</v>
      </c>
      <c r="S239" s="18"/>
      <c r="T239" s="18"/>
    </row>
    <row r="240" spans="2:20" x14ac:dyDescent="0.25">
      <c r="B240" s="140" t="s">
        <v>99</v>
      </c>
      <c r="C240" s="140" t="s">
        <v>100</v>
      </c>
      <c r="D240" s="71" t="s">
        <v>297</v>
      </c>
      <c r="E240" s="71" t="s">
        <v>298</v>
      </c>
      <c r="F240" s="140" t="s">
        <v>15</v>
      </c>
      <c r="G240" s="58" t="s">
        <v>384</v>
      </c>
      <c r="H240" s="62">
        <v>28</v>
      </c>
      <c r="I240" s="62">
        <v>30.5</v>
      </c>
      <c r="J240" s="62">
        <v>31.9</v>
      </c>
      <c r="K240" s="93">
        <v>34.299999999999997</v>
      </c>
      <c r="L240" s="92">
        <f>(K240-J240)/J240*100</f>
        <v>7.5235109717868305</v>
      </c>
      <c r="M240" s="92">
        <v>67</v>
      </c>
      <c r="N240" s="92">
        <f>(M240-J240)/J240*100</f>
        <v>110.03134796238245</v>
      </c>
      <c r="O240" s="92">
        <v>34.700000000000003</v>
      </c>
      <c r="P240" s="92">
        <f>(O240-J240)/J240*100</f>
        <v>8.7774294670846533</v>
      </c>
      <c r="Q240" s="92">
        <v>26.8</v>
      </c>
      <c r="R240" s="92">
        <f>(Q240-J240)/J240*100</f>
        <v>-15.987460815047017</v>
      </c>
    </row>
    <row r="241" spans="2:20" x14ac:dyDescent="0.25">
      <c r="B241" s="143"/>
      <c r="C241" s="139"/>
      <c r="D241" s="58"/>
      <c r="E241" s="58"/>
      <c r="F241" s="139"/>
      <c r="G241" s="58" t="s">
        <v>385</v>
      </c>
      <c r="H241" s="62">
        <v>28</v>
      </c>
      <c r="I241" s="62">
        <v>30.5</v>
      </c>
      <c r="J241" s="62">
        <v>30.4</v>
      </c>
      <c r="K241" s="93">
        <v>33.5</v>
      </c>
      <c r="L241" s="92">
        <f t="shared" ref="L241:L245" si="28">(K241-J241)/J241*100</f>
        <v>10.197368421052637</v>
      </c>
      <c r="M241" s="93">
        <v>61.9</v>
      </c>
      <c r="N241" s="92">
        <f t="shared" ref="N241:N245" si="29">(M241-J241)/J241*100</f>
        <v>103.61842105263159</v>
      </c>
      <c r="O241" s="92">
        <v>33.700000000000003</v>
      </c>
      <c r="P241" s="92">
        <f t="shared" ref="P241:P245" si="30">(O241-J241)/J241*100</f>
        <v>10.85526315789475</v>
      </c>
      <c r="Q241" s="92">
        <v>26.5</v>
      </c>
      <c r="R241" s="92">
        <f t="shared" ref="R241:R245" si="31">(Q241-J241)/J241*100</f>
        <v>-12.828947368421048</v>
      </c>
    </row>
    <row r="242" spans="2:20" x14ac:dyDescent="0.25">
      <c r="B242" s="143"/>
      <c r="C242" s="139"/>
      <c r="D242" s="58"/>
      <c r="E242" s="58"/>
      <c r="F242" s="139"/>
      <c r="G242" s="58" t="s">
        <v>384</v>
      </c>
      <c r="H242" s="62">
        <v>37</v>
      </c>
      <c r="I242" s="62">
        <v>30.5</v>
      </c>
      <c r="J242" s="62">
        <v>36.1</v>
      </c>
      <c r="K242" s="93">
        <v>34.9</v>
      </c>
      <c r="L242" s="92">
        <f t="shared" si="28"/>
        <v>-3.3240997229916975</v>
      </c>
      <c r="M242" s="93">
        <v>81.900000000000006</v>
      </c>
      <c r="N242" s="92">
        <f t="shared" si="29"/>
        <v>126.86980609418283</v>
      </c>
      <c r="O242" s="92">
        <v>36.4</v>
      </c>
      <c r="P242" s="92">
        <f t="shared" si="30"/>
        <v>0.8310249307479145</v>
      </c>
      <c r="Q242" s="92">
        <v>26.4</v>
      </c>
      <c r="R242" s="92">
        <f t="shared" si="31"/>
        <v>-26.869806094182831</v>
      </c>
    </row>
    <row r="243" spans="2:20" x14ac:dyDescent="0.25">
      <c r="B243" s="143"/>
      <c r="C243" s="139"/>
      <c r="D243" s="58"/>
      <c r="E243" s="58"/>
      <c r="F243" s="139"/>
      <c r="G243" s="58" t="s">
        <v>385</v>
      </c>
      <c r="H243" s="62">
        <v>37</v>
      </c>
      <c r="I243" s="62">
        <v>30.5</v>
      </c>
      <c r="J243" s="62">
        <v>35.9</v>
      </c>
      <c r="K243" s="93">
        <v>33.9</v>
      </c>
      <c r="L243" s="92">
        <f t="shared" si="28"/>
        <v>-5.5710306406685239</v>
      </c>
      <c r="M243" s="93">
        <v>75.099999999999994</v>
      </c>
      <c r="N243" s="92">
        <f t="shared" si="29"/>
        <v>109.19220055710306</v>
      </c>
      <c r="O243" s="92">
        <v>35.1</v>
      </c>
      <c r="P243" s="92">
        <f t="shared" si="30"/>
        <v>-2.2284122562674016</v>
      </c>
      <c r="Q243" s="92">
        <v>26</v>
      </c>
      <c r="R243" s="92">
        <f t="shared" si="31"/>
        <v>-27.576601671309188</v>
      </c>
    </row>
    <row r="244" spans="2:20" x14ac:dyDescent="0.25">
      <c r="B244" s="143"/>
      <c r="C244" s="139"/>
      <c r="D244" s="58"/>
      <c r="E244" s="58"/>
      <c r="F244" s="139"/>
      <c r="G244" s="58" t="s">
        <v>384</v>
      </c>
      <c r="H244" s="62">
        <v>48</v>
      </c>
      <c r="I244" s="62">
        <v>30.5</v>
      </c>
      <c r="J244" s="62">
        <v>35.4</v>
      </c>
      <c r="K244" s="92">
        <v>33.6</v>
      </c>
      <c r="L244" s="92">
        <f t="shared" si="28"/>
        <v>-5.0847457627118562</v>
      </c>
      <c r="M244" s="93">
        <v>93</v>
      </c>
      <c r="N244" s="92">
        <f t="shared" si="29"/>
        <v>162.71186440677968</v>
      </c>
      <c r="O244" s="92">
        <v>36</v>
      </c>
      <c r="P244" s="92">
        <f t="shared" si="30"/>
        <v>1.6949152542372923</v>
      </c>
      <c r="Q244" s="92">
        <v>25.7</v>
      </c>
      <c r="R244" s="92">
        <f t="shared" si="31"/>
        <v>-27.401129943502823</v>
      </c>
    </row>
    <row r="245" spans="2:20" x14ac:dyDescent="0.25">
      <c r="B245" s="143"/>
      <c r="C245" s="139"/>
      <c r="D245" s="58"/>
      <c r="E245" s="58"/>
      <c r="F245" s="139"/>
      <c r="G245" s="58" t="s">
        <v>385</v>
      </c>
      <c r="H245" s="62">
        <v>48</v>
      </c>
      <c r="I245" s="62">
        <v>30.5</v>
      </c>
      <c r="J245" s="62">
        <v>34.4</v>
      </c>
      <c r="K245" s="93">
        <v>32.700000000000003</v>
      </c>
      <c r="L245" s="92">
        <f t="shared" si="28"/>
        <v>-4.9418604651162674</v>
      </c>
      <c r="M245" s="93">
        <v>85</v>
      </c>
      <c r="N245" s="92">
        <f t="shared" si="29"/>
        <v>147.09302325581396</v>
      </c>
      <c r="O245" s="92">
        <v>34.799999999999997</v>
      </c>
      <c r="P245" s="92">
        <f t="shared" si="30"/>
        <v>1.1627906976744147</v>
      </c>
      <c r="Q245" s="92">
        <v>25.3</v>
      </c>
      <c r="R245" s="92">
        <f t="shared" si="31"/>
        <v>-26.45348837209302</v>
      </c>
    </row>
    <row r="246" spans="2:20" x14ac:dyDescent="0.25">
      <c r="B246" s="144"/>
      <c r="C246" s="142"/>
      <c r="D246" s="60"/>
      <c r="E246" s="60"/>
      <c r="F246" s="142"/>
      <c r="G246" s="60" t="s">
        <v>375</v>
      </c>
      <c r="H246" s="60"/>
      <c r="I246" s="60"/>
      <c r="J246" s="65"/>
      <c r="K246" s="98"/>
      <c r="L246" s="99" t="s">
        <v>389</v>
      </c>
      <c r="M246" s="106"/>
      <c r="N246" s="99" t="s">
        <v>412</v>
      </c>
      <c r="O246" s="105"/>
      <c r="P246" s="99" t="s">
        <v>413</v>
      </c>
      <c r="Q246" s="105"/>
      <c r="R246" s="99" t="s">
        <v>411</v>
      </c>
      <c r="T246" s="18"/>
    </row>
    <row r="247" spans="2:20" x14ac:dyDescent="0.25">
      <c r="B247" s="140" t="s">
        <v>104</v>
      </c>
      <c r="C247" s="140" t="s">
        <v>100</v>
      </c>
      <c r="D247" s="71" t="s">
        <v>299</v>
      </c>
      <c r="E247" s="71" t="s">
        <v>300</v>
      </c>
      <c r="F247" s="140" t="s">
        <v>108</v>
      </c>
      <c r="G247" s="58" t="s">
        <v>301</v>
      </c>
      <c r="H247" s="62">
        <v>23</v>
      </c>
      <c r="I247" s="62" t="s">
        <v>302</v>
      </c>
      <c r="J247" s="62" t="s">
        <v>303</v>
      </c>
      <c r="K247" s="93">
        <v>80.099999999999994</v>
      </c>
      <c r="L247" s="92">
        <f>(K247-77.3)/77.3*100</f>
        <v>3.6222509702457919</v>
      </c>
      <c r="M247" s="92">
        <v>120.3</v>
      </c>
      <c r="N247" s="92">
        <f>(M247-77.3)/77.3*100</f>
        <v>55.627425614488999</v>
      </c>
      <c r="O247" s="92">
        <v>86.6</v>
      </c>
      <c r="P247" s="92">
        <f>(O247-77.3)/77.3*100</f>
        <v>12.031047865459247</v>
      </c>
      <c r="Q247" s="92">
        <v>72</v>
      </c>
      <c r="R247" s="92">
        <f>(Q247-77.3)/77.3*100</f>
        <v>-6.8564036222509674</v>
      </c>
    </row>
    <row r="248" spans="2:20" x14ac:dyDescent="0.25">
      <c r="B248" s="143"/>
      <c r="C248" s="139"/>
      <c r="D248" s="58"/>
      <c r="E248" s="58"/>
      <c r="F248" s="139"/>
      <c r="G248" s="58" t="s">
        <v>304</v>
      </c>
      <c r="H248" s="62">
        <v>23</v>
      </c>
      <c r="I248" s="62" t="s">
        <v>305</v>
      </c>
      <c r="J248" s="62" t="s">
        <v>306</v>
      </c>
      <c r="K248" s="93">
        <v>83.4</v>
      </c>
      <c r="L248" s="92">
        <f>(83.4-95.2)/95.2*100</f>
        <v>-12.394957983193274</v>
      </c>
      <c r="M248" s="92">
        <v>96.3</v>
      </c>
      <c r="N248" s="92">
        <f>(M248-95.2)/95.2*100</f>
        <v>1.1554621848739435</v>
      </c>
      <c r="O248" s="92">
        <v>84.1</v>
      </c>
      <c r="P248" s="92">
        <f>(O248-95.2)/95.2*100</f>
        <v>-11.659663865546227</v>
      </c>
      <c r="Q248" s="92">
        <v>71</v>
      </c>
      <c r="R248" s="92">
        <f>(Q248-95.2)/95.2*100</f>
        <v>-25.420168067226896</v>
      </c>
    </row>
    <row r="249" spans="2:20" x14ac:dyDescent="0.25">
      <c r="B249" s="143"/>
      <c r="C249" s="139"/>
      <c r="D249" s="58"/>
      <c r="E249" s="58"/>
      <c r="F249" s="139"/>
      <c r="G249" s="58" t="s">
        <v>307</v>
      </c>
      <c r="H249" s="62">
        <v>23</v>
      </c>
      <c r="I249" s="62" t="s">
        <v>308</v>
      </c>
      <c r="J249" s="62" t="s">
        <v>309</v>
      </c>
      <c r="K249" s="93">
        <v>84.4</v>
      </c>
      <c r="L249" s="92">
        <f>(84.4-87.7)/87.7*100</f>
        <v>-3.7628278221208631</v>
      </c>
      <c r="M249" s="92">
        <v>106.5</v>
      </c>
      <c r="N249" s="92">
        <f>(M249-87.7)/87.7*100</f>
        <v>21.436716077537056</v>
      </c>
      <c r="O249" s="92">
        <v>85.1</v>
      </c>
      <c r="P249" s="92">
        <f>(O249-87.7)/87.7*100</f>
        <v>-2.964652223489177</v>
      </c>
      <c r="Q249" s="92">
        <v>71.400000000000006</v>
      </c>
      <c r="R249" s="92">
        <f>(Q249-87.7)/87.7*100</f>
        <v>-18.5860889395667</v>
      </c>
    </row>
    <row r="250" spans="2:20" x14ac:dyDescent="0.25">
      <c r="B250" s="144"/>
      <c r="C250" s="142"/>
      <c r="D250" s="60"/>
      <c r="E250" s="60"/>
      <c r="F250" s="142"/>
      <c r="G250" s="60" t="s">
        <v>375</v>
      </c>
      <c r="H250" s="60"/>
      <c r="I250" s="60"/>
      <c r="J250" s="60"/>
      <c r="K250" s="97"/>
      <c r="L250" s="99" t="s">
        <v>390</v>
      </c>
      <c r="M250" s="105"/>
      <c r="N250" s="99" t="s">
        <v>420</v>
      </c>
      <c r="O250" s="105"/>
      <c r="P250" s="99" t="s">
        <v>421</v>
      </c>
      <c r="Q250" s="105"/>
      <c r="R250" s="99" t="s">
        <v>422</v>
      </c>
      <c r="S250" s="18"/>
      <c r="T250" s="18"/>
    </row>
    <row r="251" spans="2:20" x14ac:dyDescent="0.25">
      <c r="B251" s="140" t="s">
        <v>110</v>
      </c>
      <c r="C251" s="140" t="s">
        <v>111</v>
      </c>
      <c r="D251" s="71" t="s">
        <v>311</v>
      </c>
      <c r="E251" s="71" t="s">
        <v>312</v>
      </c>
      <c r="F251" s="140" t="s">
        <v>108</v>
      </c>
      <c r="G251" s="58" t="s">
        <v>112</v>
      </c>
      <c r="H251" s="62">
        <v>18</v>
      </c>
      <c r="I251" s="62" t="s">
        <v>313</v>
      </c>
      <c r="J251" s="62" t="s">
        <v>314</v>
      </c>
      <c r="K251" s="93">
        <v>76.2</v>
      </c>
      <c r="L251" s="92">
        <f>(76.2-76.5)/76.5*100</f>
        <v>-0.39215686274509431</v>
      </c>
      <c r="M251" s="94">
        <v>76.3</v>
      </c>
      <c r="N251" s="92">
        <f>(M251-76.5)/76.5*100</f>
        <v>-0.26143790849673576</v>
      </c>
      <c r="O251" s="94">
        <v>71.2</v>
      </c>
      <c r="P251" s="92">
        <f>(O251-76.5)/76.5*100</f>
        <v>-6.9281045751633945</v>
      </c>
      <c r="Q251" s="94">
        <v>60.4</v>
      </c>
      <c r="R251" s="92">
        <f>(Q251-76.5)/76.5*100</f>
        <v>-21.045751633986931</v>
      </c>
    </row>
    <row r="252" spans="2:20" x14ac:dyDescent="0.25">
      <c r="B252" s="143"/>
      <c r="C252" s="139"/>
      <c r="D252" s="58"/>
      <c r="E252" s="58"/>
      <c r="F252" s="139"/>
      <c r="G252" s="58" t="s">
        <v>113</v>
      </c>
      <c r="H252" s="62">
        <v>18</v>
      </c>
      <c r="I252" s="62" t="s">
        <v>315</v>
      </c>
      <c r="J252" s="62" t="s">
        <v>316</v>
      </c>
      <c r="K252" s="93">
        <v>82.4</v>
      </c>
      <c r="L252" s="92">
        <f>(82.4-84.9)/84.9*100</f>
        <v>-2.9446407538280326</v>
      </c>
      <c r="M252" s="94">
        <v>111.7</v>
      </c>
      <c r="N252" s="92">
        <f>(M252-84.9)/84.9*100</f>
        <v>31.56654888103651</v>
      </c>
      <c r="O252" s="94">
        <v>76.7</v>
      </c>
      <c r="P252" s="92">
        <f>(O252-84.9)/84.9*100</f>
        <v>-9.6584216725559493</v>
      </c>
      <c r="Q252" s="94">
        <v>62.1</v>
      </c>
      <c r="R252" s="92">
        <f>(Q252-84.9)/84.9*100</f>
        <v>-26.855123674911663</v>
      </c>
    </row>
    <row r="253" spans="2:20" x14ac:dyDescent="0.25">
      <c r="B253" s="144"/>
      <c r="C253" s="142"/>
      <c r="D253" s="60"/>
      <c r="E253" s="60"/>
      <c r="F253" s="142"/>
      <c r="G253" s="60" t="s">
        <v>375</v>
      </c>
      <c r="H253" s="60"/>
      <c r="I253" s="60"/>
      <c r="J253" s="60"/>
      <c r="K253" s="97"/>
      <c r="L253" s="99" t="s">
        <v>391</v>
      </c>
      <c r="M253" s="97"/>
      <c r="N253" s="99" t="s">
        <v>406</v>
      </c>
      <c r="O253" s="97"/>
      <c r="P253" s="99" t="s">
        <v>407</v>
      </c>
      <c r="Q253" s="97"/>
      <c r="R253" s="99" t="s">
        <v>405</v>
      </c>
      <c r="S253" s="18"/>
      <c r="T253" s="18"/>
    </row>
    <row r="254" spans="2:20" x14ac:dyDescent="0.25">
      <c r="B254" s="140" t="s">
        <v>110</v>
      </c>
      <c r="C254" s="140" t="s">
        <v>115</v>
      </c>
      <c r="D254" s="71" t="s">
        <v>311</v>
      </c>
      <c r="E254" s="71" t="s">
        <v>312</v>
      </c>
      <c r="F254" s="140" t="s">
        <v>374</v>
      </c>
      <c r="G254" s="58" t="s">
        <v>116</v>
      </c>
      <c r="H254" s="62">
        <v>6</v>
      </c>
      <c r="I254" s="62" t="s">
        <v>320</v>
      </c>
      <c r="J254" s="62" t="s">
        <v>321</v>
      </c>
      <c r="K254" s="92">
        <v>90.7</v>
      </c>
      <c r="L254" s="92">
        <f>(K254-78.3)/78.3*100</f>
        <v>15.836526181353774</v>
      </c>
      <c r="M254" s="92">
        <v>88.8</v>
      </c>
      <c r="N254" s="92">
        <f>(M254-78.3)/78.3*100</f>
        <v>13.409961685823754</v>
      </c>
      <c r="O254" s="92">
        <v>77.599999999999994</v>
      </c>
      <c r="P254" s="92">
        <f>(O254-78.3)/78.3*100</f>
        <v>-0.89399744572158724</v>
      </c>
      <c r="Q254" s="92">
        <v>73.3</v>
      </c>
      <c r="R254" s="92">
        <f>(Q254-78.3)/78.3*100</f>
        <v>-6.3856960408684547</v>
      </c>
    </row>
    <row r="255" spans="2:20" x14ac:dyDescent="0.25">
      <c r="B255" s="143"/>
      <c r="C255" s="139"/>
      <c r="D255" s="58"/>
      <c r="E255" s="58"/>
      <c r="F255" s="139"/>
      <c r="G255" s="58" t="s">
        <v>117</v>
      </c>
      <c r="H255" s="62">
        <v>6</v>
      </c>
      <c r="I255" s="62" t="s">
        <v>320</v>
      </c>
      <c r="J255" s="62" t="s">
        <v>322</v>
      </c>
      <c r="K255" s="93">
        <v>91.5</v>
      </c>
      <c r="L255" s="92">
        <f>(K255-77.5)/77.5*100</f>
        <v>18.064516129032256</v>
      </c>
      <c r="M255" s="92">
        <v>105.9</v>
      </c>
      <c r="N255" s="92">
        <f>(M255-77.5)/77.5*100</f>
        <v>36.645161290322584</v>
      </c>
      <c r="O255" s="92">
        <v>77.3</v>
      </c>
      <c r="P255" s="92">
        <f>(O255-77.5)/77.5*100</f>
        <v>-0.25806451612903597</v>
      </c>
      <c r="Q255" s="92">
        <v>73.400000000000006</v>
      </c>
      <c r="R255" s="92">
        <f>(Q255-77.5)/77.5*100</f>
        <v>-5.2903225806451539</v>
      </c>
    </row>
    <row r="256" spans="2:20" x14ac:dyDescent="0.25">
      <c r="B256" s="143"/>
      <c r="C256" s="139"/>
      <c r="D256" s="58"/>
      <c r="E256" s="58"/>
      <c r="F256" s="139"/>
      <c r="G256" s="58" t="s">
        <v>118</v>
      </c>
      <c r="H256" s="62">
        <v>6</v>
      </c>
      <c r="I256" s="62" t="s">
        <v>320</v>
      </c>
      <c r="J256" s="62" t="s">
        <v>323</v>
      </c>
      <c r="K256" s="93">
        <v>92.4</v>
      </c>
      <c r="L256" s="92">
        <f>(K256-104.3)/104.3*100</f>
        <v>-11.409395973154353</v>
      </c>
      <c r="M256" s="92">
        <v>90.1</v>
      </c>
      <c r="N256" s="92">
        <f>(M256-104.3)/104.3*100</f>
        <v>-13.614573346116973</v>
      </c>
      <c r="O256" s="92">
        <v>78.2</v>
      </c>
      <c r="P256" s="92">
        <f>(O256-104.3)/104.3*100</f>
        <v>-25.023969319271327</v>
      </c>
      <c r="Q256" s="92">
        <v>73.599999999999994</v>
      </c>
      <c r="R256" s="92">
        <f>(Q256-104.3)/104.3*100</f>
        <v>-29.434324065196556</v>
      </c>
    </row>
    <row r="257" spans="2:20" x14ac:dyDescent="0.25">
      <c r="B257" s="143"/>
      <c r="C257" s="139"/>
      <c r="D257" s="58"/>
      <c r="E257" s="58"/>
      <c r="F257" s="139"/>
      <c r="G257" s="58" t="s">
        <v>119</v>
      </c>
      <c r="H257" s="62">
        <v>6</v>
      </c>
      <c r="I257" s="62" t="s">
        <v>320</v>
      </c>
      <c r="J257" s="62" t="s">
        <v>324</v>
      </c>
      <c r="K257" s="93">
        <v>92.5</v>
      </c>
      <c r="L257" s="92">
        <f>(K257-79.7)/79.7*100</f>
        <v>16.060225846925967</v>
      </c>
      <c r="M257" s="92">
        <v>117.4</v>
      </c>
      <c r="N257" s="92">
        <f>(M257-79.7)/79.7*100</f>
        <v>47.30238393977416</v>
      </c>
      <c r="O257" s="92">
        <v>79.599999999999994</v>
      </c>
      <c r="P257" s="92">
        <f>(O257-79.7)/79.7*100</f>
        <v>-0.12547051442911986</v>
      </c>
      <c r="Q257" s="92">
        <v>73.599999999999994</v>
      </c>
      <c r="R257" s="92">
        <f>(Q257-79.7)/79.7*100</f>
        <v>-7.6537013801756686</v>
      </c>
    </row>
    <row r="258" spans="2:20" x14ac:dyDescent="0.25">
      <c r="B258" s="143"/>
      <c r="C258" s="139"/>
      <c r="D258" s="58"/>
      <c r="E258" s="58"/>
      <c r="F258" s="139"/>
      <c r="G258" s="58" t="s">
        <v>116</v>
      </c>
      <c r="H258" s="62">
        <v>14</v>
      </c>
      <c r="I258" s="62" t="s">
        <v>320</v>
      </c>
      <c r="J258" s="63" t="s">
        <v>325</v>
      </c>
      <c r="K258" s="93">
        <v>91.4</v>
      </c>
      <c r="L258" s="92">
        <f>(K258-92)/92*100</f>
        <v>-0.65217391304347205</v>
      </c>
      <c r="M258" s="92">
        <v>92.9</v>
      </c>
      <c r="N258" s="92">
        <f>(M258-92)/92*100</f>
        <v>0.97826086956522351</v>
      </c>
      <c r="O258" s="92">
        <v>79</v>
      </c>
      <c r="P258" s="92">
        <f>(O258-92)/92*100</f>
        <v>-14.130434782608695</v>
      </c>
      <c r="Q258" s="92">
        <v>65.900000000000006</v>
      </c>
      <c r="R258" s="92">
        <f>(Q258-92)/92*100</f>
        <v>-28.369565217391298</v>
      </c>
    </row>
    <row r="259" spans="2:20" x14ac:dyDescent="0.25">
      <c r="B259" s="143"/>
      <c r="C259" s="139"/>
      <c r="D259" s="58"/>
      <c r="E259" s="58"/>
      <c r="F259" s="139"/>
      <c r="G259" s="58" t="s">
        <v>117</v>
      </c>
      <c r="H259" s="62">
        <v>14</v>
      </c>
      <c r="I259" s="62" t="s">
        <v>320</v>
      </c>
      <c r="J259" s="62" t="s">
        <v>326</v>
      </c>
      <c r="K259" s="93">
        <v>94.5</v>
      </c>
      <c r="L259" s="92">
        <f>(K259-95.9)/95.9*100</f>
        <v>-1.4598540145985459</v>
      </c>
      <c r="M259" s="92">
        <v>126.8</v>
      </c>
      <c r="N259" s="92">
        <f>(M259-95.9)/95.9*100</f>
        <v>32.221063607924911</v>
      </c>
      <c r="O259" s="92">
        <v>82</v>
      </c>
      <c r="P259" s="92">
        <f>(O259-95.9)/95.9*100</f>
        <v>-14.494264859228368</v>
      </c>
      <c r="Q259" s="92">
        <v>66.599999999999994</v>
      </c>
      <c r="R259" s="92">
        <f>(Q259-95.9)/95.9*100</f>
        <v>-30.552659019812317</v>
      </c>
    </row>
    <row r="260" spans="2:20" x14ac:dyDescent="0.25">
      <c r="B260" s="143"/>
      <c r="C260" s="139"/>
      <c r="D260" s="73"/>
      <c r="E260" s="73"/>
      <c r="F260" s="139"/>
      <c r="G260" s="73" t="s">
        <v>118</v>
      </c>
      <c r="H260" s="74">
        <v>14</v>
      </c>
      <c r="I260" s="62" t="s">
        <v>320</v>
      </c>
      <c r="J260" s="74" t="s">
        <v>327</v>
      </c>
      <c r="K260" s="107">
        <v>96.8</v>
      </c>
      <c r="L260" s="94">
        <f>(K260-101.4)/101.4*100</f>
        <v>-4.5364891518737753</v>
      </c>
      <c r="M260" s="94">
        <v>92.7</v>
      </c>
      <c r="N260" s="92">
        <f>(M260-101.4)/101.4*100</f>
        <v>-8.5798816568047354</v>
      </c>
      <c r="O260" s="92">
        <v>79.099999999999994</v>
      </c>
      <c r="P260" s="92">
        <f>(O260-101.4)/101.4*100</f>
        <v>-21.992110453648923</v>
      </c>
      <c r="Q260" s="92">
        <v>67.2</v>
      </c>
      <c r="R260" s="92">
        <f>(Q260-101.4)/101.4*100</f>
        <v>-33.727810650887577</v>
      </c>
    </row>
    <row r="261" spans="2:20" x14ac:dyDescent="0.25">
      <c r="B261" s="143"/>
      <c r="C261" s="139"/>
      <c r="D261" s="73"/>
      <c r="E261" s="73"/>
      <c r="F261" s="139"/>
      <c r="G261" s="73" t="s">
        <v>119</v>
      </c>
      <c r="H261" s="74">
        <v>14</v>
      </c>
      <c r="I261" s="62" t="s">
        <v>320</v>
      </c>
      <c r="J261" s="74" t="s">
        <v>328</v>
      </c>
      <c r="K261" s="94">
        <v>97.2</v>
      </c>
      <c r="L261" s="94">
        <f>(K261-88.7)/88.7*100</f>
        <v>9.5828635851183765</v>
      </c>
      <c r="M261" s="94">
        <v>128.69999999999999</v>
      </c>
      <c r="N261" s="92">
        <f>(M261-98.4)/98.4*100</f>
        <v>30.792682926829251</v>
      </c>
      <c r="O261" s="92">
        <v>82.3</v>
      </c>
      <c r="P261" s="92">
        <f>(O261-98.4)/98.4*100</f>
        <v>-16.361788617886187</v>
      </c>
      <c r="Q261" s="92">
        <v>67.3</v>
      </c>
      <c r="R261" s="92">
        <f>(Q261-98.4)/98.4*100</f>
        <v>-31.60569105691058</v>
      </c>
    </row>
    <row r="262" spans="2:20" ht="15.75" thickBot="1" x14ac:dyDescent="0.3">
      <c r="B262" s="156"/>
      <c r="C262" s="141"/>
      <c r="D262" s="75"/>
      <c r="E262" s="75"/>
      <c r="F262" s="141"/>
      <c r="G262" s="75" t="s">
        <v>375</v>
      </c>
      <c r="H262" s="75"/>
      <c r="I262" s="75"/>
      <c r="J262" s="75"/>
      <c r="K262" s="108"/>
      <c r="L262" s="109" t="s">
        <v>392</v>
      </c>
      <c r="M262" s="110"/>
      <c r="N262" s="109" t="s">
        <v>410</v>
      </c>
      <c r="O262" s="110"/>
      <c r="P262" s="109" t="s">
        <v>409</v>
      </c>
      <c r="Q262" s="110"/>
      <c r="R262" s="109" t="s">
        <v>408</v>
      </c>
      <c r="S262" s="18"/>
      <c r="T262" s="18"/>
    </row>
    <row r="263" spans="2:20" x14ac:dyDescent="0.25">
      <c r="B263" s="76" t="s">
        <v>121</v>
      </c>
      <c r="C263" s="58"/>
      <c r="D263" s="58"/>
      <c r="E263" s="58"/>
      <c r="F263" s="58"/>
      <c r="G263" s="58"/>
      <c r="H263" s="58"/>
      <c r="I263" s="58"/>
      <c r="J263" s="58"/>
      <c r="K263" s="58"/>
      <c r="L263" s="77" t="s">
        <v>430</v>
      </c>
      <c r="M263" s="58"/>
      <c r="N263" s="77" t="s">
        <v>431</v>
      </c>
      <c r="O263" s="58"/>
      <c r="P263" s="77" t="s">
        <v>432</v>
      </c>
      <c r="Q263" s="58"/>
      <c r="R263" s="77" t="s">
        <v>433</v>
      </c>
    </row>
    <row r="264" spans="2:20" x14ac:dyDescent="0.25">
      <c r="B264" s="58"/>
      <c r="C264" s="58"/>
      <c r="D264" s="58"/>
      <c r="E264" s="58"/>
      <c r="F264" s="58"/>
      <c r="G264" s="58"/>
      <c r="H264" s="58"/>
      <c r="I264" s="58"/>
      <c r="J264" s="58"/>
      <c r="K264" s="58"/>
      <c r="L264" s="63">
        <f>AVERAGE(2.1,7.5, 8.4, -13.7, -2.6, 3.1, -0.2, -1.7, 5.2, -4.2)</f>
        <v>0.39000000000000012</v>
      </c>
      <c r="M264" s="58"/>
      <c r="N264" s="63">
        <f>AVERAGE(16, 14, 73.6, 4, 9.9, -0.3, 126.6, 26.1, 15.7,17.4)</f>
        <v>30.3</v>
      </c>
      <c r="O264" s="58"/>
      <c r="P264" s="63">
        <f>AVERAGE(-4.6, -4.5, 22.4, -16.2, -11.2, -10.9, 3.5, -0.9, -8.3, -11.7)</f>
        <v>-4.24</v>
      </c>
      <c r="Q264" s="58"/>
      <c r="R264" s="63">
        <f>AVERAGE(-19.7, -16.5, 6.5, -22.3, -20.4, -13.7, -22.9, -17, -24, -21.6)</f>
        <v>-17.16</v>
      </c>
    </row>
    <row r="265" spans="2:20" x14ac:dyDescent="0.25">
      <c r="B265" s="58"/>
      <c r="C265" s="58"/>
      <c r="D265" s="58"/>
      <c r="E265" s="58"/>
      <c r="F265" s="58"/>
      <c r="G265" s="58"/>
      <c r="H265" s="58"/>
      <c r="I265" s="58"/>
      <c r="J265" s="58"/>
      <c r="K265" s="58"/>
      <c r="L265" s="63">
        <f>_xlfn.STDEV.P(2.1,7.5, 8.4, -13.7, -2.6, 3.1, -0.2, -1.7, 5.2, -4.2)</f>
        <v>6.1755080762638466</v>
      </c>
      <c r="M265" s="58"/>
      <c r="N265" s="63">
        <f>_xlfn.STDEV.P(16, 14, 73.6, 4, 9.9, -0.3, 126.6, 26.1, 15.7,17.4)</f>
        <v>37.496906539073315</v>
      </c>
      <c r="O265" s="58"/>
      <c r="P265" s="63">
        <f>_xlfn.STDEV.P(-4.6, -4.5, 22.4, -16.2, -11.2, -10.9, 3.5, -0.9, -8.3, -11.7)</f>
        <v>10.43515213113829</v>
      </c>
      <c r="Q265" s="58"/>
      <c r="R265" s="63">
        <f>_xlfn.STDEV.P(-19.7, -16.5, 6.5, -22.3, -20.4, -13.7, -22.9, -17, -24, -21.6)</f>
        <v>8.4560274360955106</v>
      </c>
    </row>
  </sheetData>
  <mergeCells count="86">
    <mergeCell ref="B251:B253"/>
    <mergeCell ref="C251:C253"/>
    <mergeCell ref="F251:F253"/>
    <mergeCell ref="B254:B262"/>
    <mergeCell ref="C254:C262"/>
    <mergeCell ref="F254:F262"/>
    <mergeCell ref="B240:B246"/>
    <mergeCell ref="C240:C246"/>
    <mergeCell ref="F240:F246"/>
    <mergeCell ref="B247:B250"/>
    <mergeCell ref="C247:C250"/>
    <mergeCell ref="F247:F250"/>
    <mergeCell ref="B205:B226"/>
    <mergeCell ref="C205:C226"/>
    <mergeCell ref="F205:F226"/>
    <mergeCell ref="B227:B239"/>
    <mergeCell ref="C227:C239"/>
    <mergeCell ref="F227:F239"/>
    <mergeCell ref="B171:B187"/>
    <mergeCell ref="C171:C187"/>
    <mergeCell ref="F171:F187"/>
    <mergeCell ref="B188:B204"/>
    <mergeCell ref="C188:C204"/>
    <mergeCell ref="F188:F204"/>
    <mergeCell ref="I139:K139"/>
    <mergeCell ref="B140:B160"/>
    <mergeCell ref="C140:C160"/>
    <mergeCell ref="F140:F160"/>
    <mergeCell ref="B161:B170"/>
    <mergeCell ref="C161:C170"/>
    <mergeCell ref="F161:F170"/>
    <mergeCell ref="G136:G138"/>
    <mergeCell ref="H136:H138"/>
    <mergeCell ref="K136:R136"/>
    <mergeCell ref="K137:L137"/>
    <mergeCell ref="M137:N137"/>
    <mergeCell ref="O137:P137"/>
    <mergeCell ref="Q137:R137"/>
    <mergeCell ref="B136:B138"/>
    <mergeCell ref="C136:C138"/>
    <mergeCell ref="D136:D138"/>
    <mergeCell ref="E136:E138"/>
    <mergeCell ref="F136:F138"/>
    <mergeCell ref="B107:B113"/>
    <mergeCell ref="B114:B117"/>
    <mergeCell ref="B118:B120"/>
    <mergeCell ref="B121:B129"/>
    <mergeCell ref="B55:B71"/>
    <mergeCell ref="B72:B93"/>
    <mergeCell ref="B94:B106"/>
    <mergeCell ref="C55:C71"/>
    <mergeCell ref="C28:C37"/>
    <mergeCell ref="C7:C27"/>
    <mergeCell ref="F55:F71"/>
    <mergeCell ref="F72:F93"/>
    <mergeCell ref="F7:F27"/>
    <mergeCell ref="F28:F37"/>
    <mergeCell ref="I6:K6"/>
    <mergeCell ref="B7:B27"/>
    <mergeCell ref="B28:B37"/>
    <mergeCell ref="B38:B54"/>
    <mergeCell ref="C38:C54"/>
    <mergeCell ref="F38:F54"/>
    <mergeCell ref="H3:H5"/>
    <mergeCell ref="K3:R3"/>
    <mergeCell ref="K4:L4"/>
    <mergeCell ref="M4:N4"/>
    <mergeCell ref="O4:P4"/>
    <mergeCell ref="Q4:R4"/>
    <mergeCell ref="G3:G5"/>
    <mergeCell ref="B3:B5"/>
    <mergeCell ref="C3:C5"/>
    <mergeCell ref="D3:D5"/>
    <mergeCell ref="E3:E5"/>
    <mergeCell ref="F3:F5"/>
    <mergeCell ref="C114:C117"/>
    <mergeCell ref="C118:C120"/>
    <mergeCell ref="C121:C129"/>
    <mergeCell ref="C107:C113"/>
    <mergeCell ref="C72:C93"/>
    <mergeCell ref="C94:C106"/>
    <mergeCell ref="F121:F129"/>
    <mergeCell ref="F118:F120"/>
    <mergeCell ref="F114:F117"/>
    <mergeCell ref="F107:F113"/>
    <mergeCell ref="F94:F106"/>
  </mergeCells>
  <pageMargins left="0.7" right="0.7"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8"/>
  <sheetViews>
    <sheetView workbookViewId="0">
      <selection activeCell="B2" sqref="B2:M7"/>
    </sheetView>
  </sheetViews>
  <sheetFormatPr defaultRowHeight="15" x14ac:dyDescent="0.25"/>
  <cols>
    <col min="2" max="2" width="12" customWidth="1"/>
    <col min="11" max="11" width="4.7109375" customWidth="1"/>
    <col min="12" max="12" width="9.140625" hidden="1" customWidth="1"/>
    <col min="13" max="13" width="4.140625" customWidth="1"/>
  </cols>
  <sheetData>
    <row r="2" spans="2:13" ht="15.75" thickBot="1" x14ac:dyDescent="0.3">
      <c r="B2" s="159" t="s">
        <v>334</v>
      </c>
      <c r="C2" s="160"/>
      <c r="D2" s="160"/>
      <c r="E2" s="160"/>
      <c r="F2" s="160"/>
      <c r="G2" s="160"/>
      <c r="H2" s="160"/>
      <c r="I2" s="160"/>
      <c r="J2" s="160"/>
      <c r="K2" s="160"/>
      <c r="L2" s="160"/>
      <c r="M2" s="160"/>
    </row>
    <row r="3" spans="2:13" ht="15.75" thickBot="1" x14ac:dyDescent="0.3">
      <c r="B3" s="20" t="s">
        <v>193</v>
      </c>
      <c r="C3" s="161" t="s">
        <v>194</v>
      </c>
      <c r="D3" s="161"/>
      <c r="E3" s="161"/>
      <c r="F3" s="161"/>
      <c r="G3" s="161"/>
      <c r="H3" s="161"/>
      <c r="I3" s="161"/>
      <c r="J3" s="20"/>
      <c r="K3" s="20"/>
      <c r="L3" s="20"/>
      <c r="M3" s="20"/>
    </row>
    <row r="4" spans="2:13" ht="99" customHeight="1" x14ac:dyDescent="0.25">
      <c r="B4" s="82" t="s">
        <v>195</v>
      </c>
      <c r="C4" s="162" t="s">
        <v>199</v>
      </c>
      <c r="D4" s="162"/>
      <c r="E4" s="162"/>
      <c r="F4" s="162"/>
      <c r="G4" s="162"/>
      <c r="H4" s="162"/>
      <c r="I4" s="162"/>
      <c r="J4" s="163"/>
      <c r="K4" s="163"/>
      <c r="L4" s="163"/>
      <c r="M4" s="163"/>
    </row>
    <row r="5" spans="2:13" ht="105" customHeight="1" x14ac:dyDescent="0.25">
      <c r="B5" s="84" t="s">
        <v>196</v>
      </c>
      <c r="C5" s="163" t="s">
        <v>200</v>
      </c>
      <c r="D5" s="163"/>
      <c r="E5" s="163"/>
      <c r="F5" s="163"/>
      <c r="G5" s="163"/>
      <c r="H5" s="163"/>
      <c r="I5" s="163"/>
      <c r="J5" s="163"/>
      <c r="K5" s="163"/>
      <c r="L5" s="163"/>
      <c r="M5" s="163"/>
    </row>
    <row r="6" spans="2:13" ht="87.75" customHeight="1" x14ac:dyDescent="0.25">
      <c r="B6" s="82" t="s">
        <v>335</v>
      </c>
      <c r="C6" s="163" t="s">
        <v>197</v>
      </c>
      <c r="D6" s="163"/>
      <c r="E6" s="163"/>
      <c r="F6" s="163"/>
      <c r="G6" s="163"/>
      <c r="H6" s="163"/>
      <c r="I6" s="163"/>
      <c r="J6" s="163"/>
      <c r="K6" s="163"/>
      <c r="L6" s="163"/>
      <c r="M6" s="163"/>
    </row>
    <row r="7" spans="2:13" ht="51.75" customHeight="1" thickBot="1" x14ac:dyDescent="0.3">
      <c r="B7" s="83" t="s">
        <v>198</v>
      </c>
      <c r="C7" s="158" t="s">
        <v>336</v>
      </c>
      <c r="D7" s="158"/>
      <c r="E7" s="158"/>
      <c r="F7" s="158"/>
      <c r="G7" s="158"/>
      <c r="H7" s="158"/>
      <c r="I7" s="158"/>
      <c r="J7" s="158"/>
      <c r="K7" s="158"/>
      <c r="L7" s="158"/>
      <c r="M7" s="158"/>
    </row>
    <row r="8" spans="2:13" x14ac:dyDescent="0.25">
      <c r="B8" s="43"/>
      <c r="C8" s="43"/>
      <c r="D8" s="43"/>
      <c r="E8" s="43"/>
      <c r="F8" s="43"/>
      <c r="G8" s="43"/>
      <c r="H8" s="43"/>
      <c r="I8" s="43"/>
      <c r="J8" s="43"/>
      <c r="K8" s="43"/>
      <c r="L8" s="43"/>
      <c r="M8" s="43"/>
    </row>
  </sheetData>
  <mergeCells count="6">
    <mergeCell ref="C7:M7"/>
    <mergeCell ref="B2:M2"/>
    <mergeCell ref="C3:I3"/>
    <mergeCell ref="C4:M4"/>
    <mergeCell ref="C5:M5"/>
    <mergeCell ref="C6:M6"/>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Q21" sqref="Q21"/>
    </sheetView>
  </sheetViews>
  <sheetFormatPr defaultRowHeight="15" x14ac:dyDescent="0.25"/>
  <cols>
    <col min="2" max="2" width="10.85546875" customWidth="1"/>
    <col min="3" max="3" width="10.140625" customWidth="1"/>
    <col min="5" max="5" width="13.140625" customWidth="1"/>
    <col min="6" max="6" width="10.7109375" customWidth="1"/>
    <col min="7" max="7" width="10.140625" customWidth="1"/>
    <col min="8" max="8" width="9.28515625" customWidth="1"/>
    <col min="9" max="9" width="8.42578125" customWidth="1"/>
    <col min="10" max="10" width="9.85546875" customWidth="1"/>
    <col min="11" max="11" width="13.28515625" customWidth="1"/>
    <col min="12" max="12" width="17.85546875" customWidth="1"/>
  </cols>
  <sheetData>
    <row r="1" spans="2:13" x14ac:dyDescent="0.25">
      <c r="L1" s="22"/>
      <c r="M1" s="22"/>
    </row>
    <row r="2" spans="2:13" ht="15.75" thickBot="1" x14ac:dyDescent="0.3">
      <c r="B2" s="19" t="s">
        <v>337</v>
      </c>
      <c r="C2" s="19"/>
      <c r="D2" s="19"/>
      <c r="E2" s="19"/>
      <c r="F2" s="19"/>
      <c r="G2" s="19"/>
      <c r="H2" s="19"/>
      <c r="I2" s="19"/>
      <c r="J2" s="19"/>
      <c r="K2" s="19"/>
      <c r="L2" s="19"/>
      <c r="M2" s="22"/>
    </row>
    <row r="3" spans="2:13" s="1" customFormat="1" ht="27" customHeight="1" x14ac:dyDescent="0.2">
      <c r="B3" s="55" t="s">
        <v>0</v>
      </c>
      <c r="C3" s="55" t="s">
        <v>10</v>
      </c>
      <c r="D3" s="55" t="s">
        <v>231</v>
      </c>
      <c r="E3" s="56" t="s">
        <v>232</v>
      </c>
      <c r="F3" s="56" t="s">
        <v>233</v>
      </c>
      <c r="G3" s="57" t="s">
        <v>100</v>
      </c>
      <c r="H3" s="57" t="s">
        <v>204</v>
      </c>
      <c r="I3" s="56" t="s">
        <v>201</v>
      </c>
      <c r="J3" s="56" t="s">
        <v>202</v>
      </c>
      <c r="K3" s="57" t="s">
        <v>203</v>
      </c>
      <c r="L3" s="57" t="s">
        <v>207</v>
      </c>
      <c r="M3" s="13"/>
    </row>
    <row r="4" spans="2:13" s="1" customFormat="1" ht="39" customHeight="1" x14ac:dyDescent="0.2">
      <c r="B4" s="82" t="s">
        <v>11</v>
      </c>
      <c r="C4" s="46" t="s">
        <v>12</v>
      </c>
      <c r="D4" s="49" t="s">
        <v>338</v>
      </c>
      <c r="E4" s="49" t="s">
        <v>234</v>
      </c>
      <c r="F4" s="49" t="s">
        <v>235</v>
      </c>
      <c r="G4" s="81" t="s">
        <v>208</v>
      </c>
      <c r="H4" s="47" t="s">
        <v>205</v>
      </c>
      <c r="I4" s="47">
        <v>1912</v>
      </c>
      <c r="J4" s="81" t="s">
        <v>206</v>
      </c>
      <c r="K4" s="48" t="s">
        <v>209</v>
      </c>
      <c r="L4" s="48" t="s">
        <v>215</v>
      </c>
    </row>
    <row r="5" spans="2:13" s="1" customFormat="1" ht="36" customHeight="1" x14ac:dyDescent="0.2">
      <c r="B5" s="82" t="s">
        <v>11</v>
      </c>
      <c r="C5" s="44" t="s">
        <v>23</v>
      </c>
      <c r="D5" s="49" t="s">
        <v>339</v>
      </c>
      <c r="E5" s="49" t="s">
        <v>234</v>
      </c>
      <c r="F5" s="49" t="s">
        <v>235</v>
      </c>
      <c r="G5" s="81" t="s">
        <v>208</v>
      </c>
      <c r="H5" s="44"/>
      <c r="I5" s="45">
        <v>1951</v>
      </c>
      <c r="J5" s="79" t="s">
        <v>206</v>
      </c>
      <c r="K5" s="44" t="s">
        <v>212</v>
      </c>
      <c r="L5" s="41" t="s">
        <v>216</v>
      </c>
    </row>
    <row r="6" spans="2:13" s="1" customFormat="1" ht="59.25" customHeight="1" x14ac:dyDescent="0.2">
      <c r="B6" s="80" t="s">
        <v>35</v>
      </c>
      <c r="C6" s="41" t="s">
        <v>36</v>
      </c>
      <c r="D6" s="49" t="s">
        <v>340</v>
      </c>
      <c r="E6" s="49" t="s">
        <v>236</v>
      </c>
      <c r="F6" s="49" t="s">
        <v>237</v>
      </c>
      <c r="G6" s="80" t="s">
        <v>37</v>
      </c>
      <c r="H6" s="41" t="s">
        <v>213</v>
      </c>
      <c r="I6" s="45">
        <v>1983</v>
      </c>
      <c r="J6" s="79" t="s">
        <v>214</v>
      </c>
      <c r="K6" s="44" t="s">
        <v>217</v>
      </c>
      <c r="L6" s="41" t="s">
        <v>218</v>
      </c>
    </row>
    <row r="7" spans="2:13" s="1" customFormat="1" ht="56.25" x14ac:dyDescent="0.2">
      <c r="B7" s="80" t="s">
        <v>47</v>
      </c>
      <c r="C7" s="41" t="s">
        <v>36</v>
      </c>
      <c r="D7" s="49" t="s">
        <v>341</v>
      </c>
      <c r="E7" s="49" t="s">
        <v>238</v>
      </c>
      <c r="F7" s="49" t="s">
        <v>239</v>
      </c>
      <c r="G7" s="80" t="s">
        <v>37</v>
      </c>
      <c r="H7" s="41" t="s">
        <v>213</v>
      </c>
      <c r="I7" s="45">
        <v>1983</v>
      </c>
      <c r="J7" s="79" t="s">
        <v>214</v>
      </c>
      <c r="K7" s="44" t="s">
        <v>217</v>
      </c>
      <c r="L7" s="41" t="s">
        <v>218</v>
      </c>
    </row>
    <row r="8" spans="2:13" s="1" customFormat="1" ht="33.75" x14ac:dyDescent="0.2">
      <c r="B8" s="80" t="s">
        <v>54</v>
      </c>
      <c r="C8" s="44" t="s">
        <v>55</v>
      </c>
      <c r="D8" s="50" t="s">
        <v>342</v>
      </c>
      <c r="E8" s="49" t="s">
        <v>240</v>
      </c>
      <c r="F8" s="49" t="s">
        <v>241</v>
      </c>
      <c r="G8" s="80" t="s">
        <v>208</v>
      </c>
      <c r="H8" s="44" t="s">
        <v>219</v>
      </c>
      <c r="I8" s="45">
        <v>1967</v>
      </c>
      <c r="J8" s="79" t="s">
        <v>206</v>
      </c>
      <c r="K8" s="41" t="s">
        <v>220</v>
      </c>
      <c r="L8" s="41" t="s">
        <v>216</v>
      </c>
    </row>
    <row r="9" spans="2:13" s="1" customFormat="1" ht="33.75" x14ac:dyDescent="0.2">
      <c r="B9" s="80" t="s">
        <v>54</v>
      </c>
      <c r="C9" s="41" t="s">
        <v>84</v>
      </c>
      <c r="D9" s="50" t="s">
        <v>342</v>
      </c>
      <c r="E9" s="49" t="s">
        <v>240</v>
      </c>
      <c r="F9" s="49" t="s">
        <v>241</v>
      </c>
      <c r="G9" s="80" t="s">
        <v>221</v>
      </c>
      <c r="H9" s="41"/>
      <c r="I9" s="42">
        <v>1987</v>
      </c>
      <c r="J9" s="79" t="s">
        <v>206</v>
      </c>
      <c r="K9" s="41" t="s">
        <v>222</v>
      </c>
      <c r="L9" s="41" t="s">
        <v>216</v>
      </c>
    </row>
    <row r="10" spans="2:13" s="1" customFormat="1" ht="48.75" customHeight="1" x14ac:dyDescent="0.2">
      <c r="B10" s="80" t="s">
        <v>99</v>
      </c>
      <c r="C10" s="41" t="s">
        <v>100</v>
      </c>
      <c r="D10" s="50" t="s">
        <v>343</v>
      </c>
      <c r="E10" s="49" t="s">
        <v>242</v>
      </c>
      <c r="F10" s="49" t="s">
        <v>243</v>
      </c>
      <c r="G10" s="80" t="s">
        <v>19</v>
      </c>
      <c r="H10" s="41" t="s">
        <v>219</v>
      </c>
      <c r="I10" s="42">
        <v>1960</v>
      </c>
      <c r="J10" s="79" t="s">
        <v>206</v>
      </c>
      <c r="K10" s="41" t="s">
        <v>223</v>
      </c>
      <c r="L10" s="41" t="s">
        <v>476</v>
      </c>
    </row>
    <row r="11" spans="2:13" s="1" customFormat="1" ht="36.75" x14ac:dyDescent="0.2">
      <c r="B11" s="80" t="s">
        <v>104</v>
      </c>
      <c r="C11" s="44" t="s">
        <v>100</v>
      </c>
      <c r="D11" s="50" t="s">
        <v>344</v>
      </c>
      <c r="E11" s="49" t="s">
        <v>244</v>
      </c>
      <c r="F11" s="49" t="s">
        <v>245</v>
      </c>
      <c r="G11" s="80" t="s">
        <v>108</v>
      </c>
      <c r="H11" s="41" t="s">
        <v>224</v>
      </c>
      <c r="I11" s="45">
        <v>1992</v>
      </c>
      <c r="J11" s="79" t="s">
        <v>214</v>
      </c>
      <c r="K11" s="44" t="s">
        <v>225</v>
      </c>
      <c r="L11" s="41" t="s">
        <v>216</v>
      </c>
    </row>
    <row r="12" spans="2:13" s="1" customFormat="1" ht="33.75" x14ac:dyDescent="0.2">
      <c r="B12" s="80" t="s">
        <v>110</v>
      </c>
      <c r="C12" s="41" t="s">
        <v>100</v>
      </c>
      <c r="D12" s="50" t="s">
        <v>345</v>
      </c>
      <c r="E12" s="50" t="s">
        <v>346</v>
      </c>
      <c r="F12" s="50" t="s">
        <v>347</v>
      </c>
      <c r="G12" s="80" t="s">
        <v>108</v>
      </c>
      <c r="H12" s="41" t="s">
        <v>226</v>
      </c>
      <c r="I12" s="42">
        <v>1958</v>
      </c>
      <c r="J12" s="79" t="s">
        <v>214</v>
      </c>
      <c r="K12" s="41" t="s">
        <v>227</v>
      </c>
      <c r="L12" s="41" t="s">
        <v>216</v>
      </c>
    </row>
    <row r="13" spans="2:13" s="1" customFormat="1" ht="34.5" thickBot="1" x14ac:dyDescent="0.25">
      <c r="B13" s="51" t="s">
        <v>110</v>
      </c>
      <c r="C13" s="51" t="s">
        <v>100</v>
      </c>
      <c r="D13" s="52" t="s">
        <v>345</v>
      </c>
      <c r="E13" s="52" t="s">
        <v>346</v>
      </c>
      <c r="F13" s="52" t="s">
        <v>347</v>
      </c>
      <c r="G13" s="51" t="s">
        <v>228</v>
      </c>
      <c r="H13" s="51" t="s">
        <v>230</v>
      </c>
      <c r="I13" s="53">
        <v>2004</v>
      </c>
      <c r="J13" s="53" t="s">
        <v>214</v>
      </c>
      <c r="K13" s="51" t="s">
        <v>229</v>
      </c>
      <c r="L13" s="51" t="s">
        <v>216</v>
      </c>
    </row>
    <row r="14" spans="2:13" s="1" customFormat="1" ht="11.25" x14ac:dyDescent="0.2"/>
    <row r="15" spans="2:13" s="1" customFormat="1" ht="11.25" x14ac:dyDescent="0.2"/>
    <row r="16" spans="2:13" s="1" customFormat="1" ht="11.25" x14ac:dyDescent="0.2"/>
    <row r="17" s="1" customFormat="1" ht="11.25" x14ac:dyDescent="0.2"/>
  </sheetData>
  <pageMargins left="0.7" right="0.7" top="0.75" bottom="0.75" header="0.3" footer="0.3"/>
  <pageSetup paperSize="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workbookViewId="0">
      <selection activeCell="J30" sqref="J30"/>
    </sheetView>
  </sheetViews>
  <sheetFormatPr defaultRowHeight="15" x14ac:dyDescent="0.25"/>
  <cols>
    <col min="2" max="2" width="19" customWidth="1"/>
    <col min="3" max="3" width="21" customWidth="1"/>
    <col min="4" max="4" width="22.85546875" customWidth="1"/>
    <col min="5" max="5" width="17" customWidth="1"/>
  </cols>
  <sheetData>
    <row r="2" spans="2:5" ht="28.5" customHeight="1" thickBot="1" x14ac:dyDescent="0.3">
      <c r="B2" s="164" t="s">
        <v>369</v>
      </c>
      <c r="C2" s="164"/>
      <c r="D2" s="164"/>
      <c r="E2" s="164"/>
    </row>
    <row r="3" spans="2:5" ht="15.75" thickBot="1" x14ac:dyDescent="0.3">
      <c r="B3" s="85" t="s">
        <v>0</v>
      </c>
      <c r="C3" s="85" t="s">
        <v>10</v>
      </c>
      <c r="D3" s="85" t="s">
        <v>348</v>
      </c>
      <c r="E3" s="85" t="s">
        <v>370</v>
      </c>
    </row>
    <row r="4" spans="2:5" x14ac:dyDescent="0.25">
      <c r="B4" s="165" t="s">
        <v>11</v>
      </c>
      <c r="C4" s="165" t="s">
        <v>12</v>
      </c>
      <c r="D4" s="58" t="s">
        <v>18</v>
      </c>
      <c r="E4" s="58" t="s">
        <v>349</v>
      </c>
    </row>
    <row r="5" spans="2:5" x14ac:dyDescent="0.25">
      <c r="B5" s="143"/>
      <c r="C5" s="143"/>
      <c r="D5" s="58" t="s">
        <v>19</v>
      </c>
      <c r="E5" s="58" t="s">
        <v>350</v>
      </c>
    </row>
    <row r="6" spans="2:5" x14ac:dyDescent="0.25">
      <c r="B6" s="143"/>
      <c r="C6" s="143"/>
      <c r="D6" s="58" t="s">
        <v>351</v>
      </c>
      <c r="E6" s="86">
        <v>1.2</v>
      </c>
    </row>
    <row r="7" spans="2:5" x14ac:dyDescent="0.25">
      <c r="B7" s="143" t="s">
        <v>11</v>
      </c>
      <c r="C7" s="143" t="s">
        <v>23</v>
      </c>
      <c r="D7" s="58" t="s">
        <v>18</v>
      </c>
      <c r="E7" s="58" t="s">
        <v>352</v>
      </c>
    </row>
    <row r="8" spans="2:5" x14ac:dyDescent="0.25">
      <c r="B8" s="143"/>
      <c r="C8" s="143"/>
      <c r="D8" s="58" t="s">
        <v>19</v>
      </c>
      <c r="E8" s="58" t="s">
        <v>353</v>
      </c>
    </row>
    <row r="9" spans="2:5" x14ac:dyDescent="0.25">
      <c r="B9" s="143"/>
      <c r="C9" s="143"/>
      <c r="D9" s="58" t="s">
        <v>351</v>
      </c>
      <c r="E9" s="87">
        <v>1.21</v>
      </c>
    </row>
    <row r="10" spans="2:5" x14ac:dyDescent="0.25">
      <c r="B10" s="58" t="s">
        <v>47</v>
      </c>
      <c r="C10" s="58" t="s">
        <v>36</v>
      </c>
      <c r="D10" s="58" t="s">
        <v>371</v>
      </c>
      <c r="E10" s="58" t="s">
        <v>354</v>
      </c>
    </row>
    <row r="11" spans="2:5" x14ac:dyDescent="0.25">
      <c r="B11" s="58" t="s">
        <v>35</v>
      </c>
      <c r="C11" s="58" t="s">
        <v>36</v>
      </c>
      <c r="D11" s="58" t="s">
        <v>371</v>
      </c>
      <c r="E11" s="58" t="s">
        <v>355</v>
      </c>
    </row>
    <row r="12" spans="2:5" x14ac:dyDescent="0.25">
      <c r="B12" s="143" t="s">
        <v>54</v>
      </c>
      <c r="C12" s="143" t="s">
        <v>356</v>
      </c>
      <c r="D12" s="58" t="s">
        <v>18</v>
      </c>
      <c r="E12" s="58" t="s">
        <v>359</v>
      </c>
    </row>
    <row r="13" spans="2:5" x14ac:dyDescent="0.25">
      <c r="B13" s="143"/>
      <c r="C13" s="143"/>
      <c r="D13" s="58" t="s">
        <v>19</v>
      </c>
      <c r="E13" s="58" t="s">
        <v>358</v>
      </c>
    </row>
    <row r="14" spans="2:5" x14ac:dyDescent="0.25">
      <c r="B14" s="143"/>
      <c r="C14" s="143"/>
      <c r="D14" s="58" t="s">
        <v>351</v>
      </c>
      <c r="E14" s="87">
        <v>1.1100000000000001</v>
      </c>
    </row>
    <row r="15" spans="2:5" x14ac:dyDescent="0.25">
      <c r="B15" s="143" t="s">
        <v>54</v>
      </c>
      <c r="C15" s="143" t="s">
        <v>357</v>
      </c>
      <c r="D15" s="58" t="s">
        <v>19</v>
      </c>
      <c r="E15" s="58" t="s">
        <v>360</v>
      </c>
    </row>
    <row r="16" spans="2:5" x14ac:dyDescent="0.25">
      <c r="B16" s="143"/>
      <c r="C16" s="143"/>
      <c r="D16" s="58" t="s">
        <v>85</v>
      </c>
      <c r="E16" s="58" t="s">
        <v>361</v>
      </c>
    </row>
    <row r="17" spans="2:5" x14ac:dyDescent="0.25">
      <c r="B17" s="143"/>
      <c r="C17" s="143"/>
      <c r="D17" s="58" t="s">
        <v>351</v>
      </c>
      <c r="E17" s="87">
        <v>1.05</v>
      </c>
    </row>
    <row r="18" spans="2:5" x14ac:dyDescent="0.25">
      <c r="B18" s="58" t="s">
        <v>99</v>
      </c>
      <c r="C18" s="58" t="s">
        <v>100</v>
      </c>
      <c r="D18" s="58" t="s">
        <v>19</v>
      </c>
      <c r="E18" s="58" t="s">
        <v>362</v>
      </c>
    </row>
    <row r="19" spans="2:5" x14ac:dyDescent="0.25">
      <c r="B19" s="58" t="s">
        <v>104</v>
      </c>
      <c r="C19" s="58" t="s">
        <v>100</v>
      </c>
      <c r="D19" s="58" t="s">
        <v>372</v>
      </c>
      <c r="E19" s="58" t="s">
        <v>363</v>
      </c>
    </row>
    <row r="20" spans="2:5" x14ac:dyDescent="0.25">
      <c r="B20" s="58" t="s">
        <v>110</v>
      </c>
      <c r="C20" s="58" t="s">
        <v>365</v>
      </c>
      <c r="D20" s="58" t="s">
        <v>226</v>
      </c>
      <c r="E20" s="58" t="s">
        <v>364</v>
      </c>
    </row>
    <row r="21" spans="2:5" ht="15.75" thickBot="1" x14ac:dyDescent="0.3">
      <c r="B21" s="75" t="s">
        <v>110</v>
      </c>
      <c r="C21" s="75" t="s">
        <v>366</v>
      </c>
      <c r="D21" s="75" t="s">
        <v>367</v>
      </c>
      <c r="E21" s="75" t="s">
        <v>368</v>
      </c>
    </row>
    <row r="22" spans="2:5" ht="24" customHeight="1" x14ac:dyDescent="0.25">
      <c r="B22" s="166" t="s">
        <v>373</v>
      </c>
      <c r="C22" s="165"/>
      <c r="D22" s="165"/>
      <c r="E22" s="165"/>
    </row>
  </sheetData>
  <mergeCells count="10">
    <mergeCell ref="B12:B14"/>
    <mergeCell ref="C12:C14"/>
    <mergeCell ref="B15:B17"/>
    <mergeCell ref="C15:C17"/>
    <mergeCell ref="B22:E22"/>
    <mergeCell ref="B2:E2"/>
    <mergeCell ref="B4:B6"/>
    <mergeCell ref="C4:C6"/>
    <mergeCell ref="B7:B9"/>
    <mergeCell ref="C7:C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Ellerslie_Tillage</vt:lpstr>
      <vt:lpstr>Summary</vt:lpstr>
      <vt:lpstr>Models</vt:lpstr>
      <vt:lpstr>Study_Sites</vt:lpstr>
      <vt:lpstr>REcrop</vt:lpstr>
    </vt:vector>
  </TitlesOfParts>
  <Company>AAFC-AAC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 Chang</dc:creator>
  <cp:lastModifiedBy>Thiagarajan,Arumugam [NCR]</cp:lastModifiedBy>
  <cp:lastPrinted>2019-06-12T11:28:29Z</cp:lastPrinted>
  <dcterms:created xsi:type="dcterms:W3CDTF">2019-03-06T18:48:19Z</dcterms:created>
  <dcterms:modified xsi:type="dcterms:W3CDTF">2021-02-22T12:40:47Z</dcterms:modified>
</cp:coreProperties>
</file>