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BB70F2DC-EFFD-4A93-8956-2635D78B882B}" xr6:coauthVersionLast="47" xr6:coauthVersionMax="47" xr10:uidLastSave="{00000000-0000-0000-0000-000000000000}"/>
  <bookViews>
    <workbookView xWindow="-108" yWindow="-108" windowWidth="23256" windowHeight="12456" firstSheet="5" activeTab="10"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CO2" sheetId="4" r:id="rId7"/>
    <sheet name="CO2_TRANSPORT" sheetId="19" r:id="rId8"/>
    <sheet name="METHANOL" sheetId="5" r:id="rId9"/>
    <sheet name="METHANOL_TRANSPORT" sheetId="20" r:id="rId10"/>
    <sheet name="JET FUEL" sheetId="6" r:id="rId11"/>
    <sheet name="Jetfuel_TRANSPORT" sheetId="21" r:id="rId12"/>
    <sheet name="111 1 el Main distri50-60kVcabl" sheetId="8" r:id="rId13"/>
    <sheet name="H2 140" sheetId="9" r:id="rId14"/>
    <sheet name="NH3_DATA_PIPE" sheetId="10" r:id="rId15"/>
    <sheet name="Ship Transport" sheetId="11" r:id="rId16"/>
    <sheet name="CO2 PIPELINE" sheetId="13" r:id="rId17"/>
    <sheet name="CO2 SHIP"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 i="2" l="1"/>
  <c r="T11" i="5"/>
  <c r="V11" i="3"/>
  <c r="Q12" i="15"/>
  <c r="Q13" i="15"/>
  <c r="Q11" i="15"/>
  <c r="G37" i="1"/>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R13" i="15"/>
  <c r="R12" i="15"/>
  <c r="R11" i="15"/>
  <c r="K13" i="20"/>
  <c r="K12" i="20"/>
  <c r="K11" i="20"/>
  <c r="R13" i="19"/>
  <c r="R12" i="19"/>
  <c r="R11" i="19"/>
  <c r="Q13" i="19"/>
  <c r="Q12" i="19"/>
  <c r="Q11" i="19"/>
  <c r="R13" i="18"/>
  <c r="R12" i="18"/>
  <c r="R11" i="18"/>
  <c r="Q13" i="18"/>
  <c r="Q12" i="18"/>
  <c r="Q11" i="18"/>
  <c r="K16" i="16"/>
  <c r="K15" i="16"/>
  <c r="K14" i="16"/>
  <c r="R13" i="16"/>
  <c r="R12" i="16"/>
  <c r="R11" i="16"/>
  <c r="Q12" i="16"/>
  <c r="Q13" i="16"/>
  <c r="Q11" i="16"/>
  <c r="J57" i="1"/>
  <c r="E27" i="1"/>
  <c r="L15" i="19"/>
  <c r="L17" i="19"/>
  <c r="L19" i="19"/>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3" i="20"/>
  <c r="R12" i="20"/>
  <c r="R11" i="20"/>
  <c r="R16" i="16"/>
  <c r="R15" i="16"/>
  <c r="R14" i="16"/>
  <c r="Q16" i="16"/>
  <c r="Q15" i="16"/>
  <c r="Q14" i="16"/>
  <c r="R16" i="18"/>
  <c r="R15" i="18"/>
  <c r="R14" i="18"/>
  <c r="Q16" i="18"/>
  <c r="Q15" i="18"/>
  <c r="Q14" i="18"/>
  <c r="Q12" i="20"/>
  <c r="Q11" i="20"/>
  <c r="Q13" i="20"/>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K28"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29" i="5"/>
  <c r="I20" i="5"/>
  <c r="I19" i="5"/>
  <c r="I18"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L26" i="5" s="1"/>
  <c r="I26" i="5"/>
  <c r="K26" i="5" s="1"/>
  <c r="J11" i="5"/>
  <c r="R18" i="5"/>
  <c r="I11" i="5"/>
  <c r="T18" i="4"/>
  <c r="T19" i="4"/>
  <c r="S19" i="4"/>
  <c r="S18" i="4"/>
  <c r="R14" i="4"/>
  <c r="R15" i="4"/>
  <c r="Q15" i="4"/>
  <c r="Q14" i="4"/>
  <c r="Q10" i="4"/>
  <c r="Q11" i="4"/>
  <c r="P11" i="4"/>
  <c r="P10" i="4"/>
  <c r="R18" i="19"/>
  <c r="R16" i="19"/>
  <c r="R14" i="19"/>
  <c r="Q18" i="19"/>
  <c r="Q16" i="19"/>
  <c r="Q14" i="19"/>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M21" i="2" l="1"/>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20" i="4"/>
  <c r="F11" i="4"/>
  <c r="F9" i="4"/>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DB894AA6-8781-444E-B1C8-C6CBE49743A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2242F78-CE06-4984-BE8B-B3F918C3C49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7275DA3-27F4-4CA1-930D-B64B3690B19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1A72D5C-E150-45E4-AA19-92A9ADA2BA9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C0EF3AF8-6302-45DD-840B-74B93D1921FE}">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ACD8A8D3-A99E-4044-865D-6D266EA0726E}">
      <text>
        <r>
          <rPr>
            <sz val="8"/>
            <color indexed="81"/>
            <rFont val="Tahoma"/>
            <family val="2"/>
          </rPr>
          <t>Comm-IN-A 
indicates an auxillary input, thus not consider with respect the efficiency</t>
        </r>
      </text>
    </comment>
    <comment ref="H8" authorId="2" shapeId="0" xr:uid="{FD8FFE56-98CF-4DCB-96CE-2CB0845F27D1}">
      <text>
        <r>
          <rPr>
            <sz val="8"/>
            <color indexed="81"/>
            <rFont val="Tahoma"/>
            <family val="2"/>
          </rPr>
          <t>Comm-OUT-A 
indicates an auxillary output, thus not consider with respect the efficiency</t>
        </r>
      </text>
    </comment>
    <comment ref="AD12" authorId="2" shapeId="0" xr:uid="{CC11ABB9-9E90-4006-948B-1C336CD9104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6BA0384D-4561-4D1D-827A-B1D405750648}">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476B53F6-B623-4A48-B816-2507A5449F4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8787421C-9E1B-4927-8C26-AE190D27A7E3}">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<sst xmlns="http://schemas.openxmlformats.org/spreadsheetml/2006/main" count="1125" uniqueCount="363">
  <si>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</si>
  <si>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</si>
  <si>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</si>
  <si>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</si>
  <si>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</si>
  <si>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</si>
  <si>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</si>
  <si>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</si>
  <si>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</si>
  <si>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</si>
  <si>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</si>
  <si>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</si>
  <si>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</si>
  <si>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</si>
  <si>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</si>
  <si>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</si>
  <si>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</si>
  <si>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</si>
  <si>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</si>
  <si>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</si>
  <si>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</si>
  <si>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</si>
  <si>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</si>
  <si>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</si>
  <si>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</si>
  <si>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</si>
  <si>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</si>
  <si>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</si>
  <si>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</si>
  <si>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</si>
  <si>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</si>
  <si>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</si>
  <si>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</si>
  <si>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</si>
  <si>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</si>
  <si>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</si>
  <si>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</si>
  <si>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</si>
  <si>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</si>
  <si>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</si>
  <si>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</si>
  <si>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</si>
  <si>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</si>
  <si>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</si>
  <si>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</si>
  <si>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</si>
  <si>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</si>
  <si>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</si>
  <si>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</si>
  <si>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</si>
  <si>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</si>
  <si>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</si>
  <si>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</si>
  <si>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</si>
  <si>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</si>
  <si>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</si>
  <si>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</si>
  <si>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</si>
  <si>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</si>
  <si>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</si>
  <si>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</si>
  <si>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</si>
  <si>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</si>
  <si>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</si>
  <si>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</si>
  <si>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</si>
  <si>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</si>
  <si>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</si>
  <si>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</si>
  <si>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</si>
  <si>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</si>
  <si>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</si>
  <si>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</si>
  <si>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</si>
  <si>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</si>
  <si>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</si>
  <si>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</si>
  <si>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</si>
  <si>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</si>
  <si>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</si>
  <si>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</si>
  <si>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</si>
  <si>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</si>
  <si>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</si>
  <si>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</si>
  <si>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</si>
  <si>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</si>
  <si>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</si>
  <si>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</si>
  <si>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</si>
  <si>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</si>
  <si>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</si>
  <si>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</si>
  <si>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</si>
  <si>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</si>
  <si>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</si>
  <si>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</si>
  <si>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</si>
  <si>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</si>
  <si>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</si>
  <si>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</si>
  <si>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</si>
  <si>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</si>
  <si>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</si>
  <si>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</si>
  <si>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</si>
  <si>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</si>
  <si>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</si>
  <si>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</si>
  <si>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</si>
  <si>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</si>
  <si>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</si>
  <si>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</si>
  <si>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</si>
  <si>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</si>
  <si>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</si>
  <si>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</si>
  <si>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</si>
  <si>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</si>
  <si>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</si>
  <si>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</si>
  <si>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</si>
  <si>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</si>
  <si>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</si>
  <si>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</si>
  <si>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</si>
  <si>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</si>
  <si>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</si>
  <si>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</si>
  <si>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</si>
  <si>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</si>
  <si>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</si>
  <si>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</si>
  <si>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</si>
  <si>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</si>
  <si>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</si>
  <si>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</si>
  <si>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</si>
  <si>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</si>
  <si>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</si>
  <si>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</si>
  <si>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</si>
  <si>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</si>
  <si>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</si>
  <si>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</si>
  <si>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</si>
  <si>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</si>
  <si>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</si>
  <si>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</si>
  <si>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</si>
  <si>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</si>
  <si>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</si>
  <si>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</si>
  <si>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</si>
  <si>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</si>
  <si>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</si>
  <si>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</si>
  <si>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</si>
  <si>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</si>
  <si>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</si>
  <si>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</si>
  <si>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</si>
  <si>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</si>
  <si>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</si>
  <si>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 xml:space="preserve">CO2 pipeline transport </t>
  </si>
  <si>
    <t>Investment costs; onshore pipeline, gas phase, 10 t CO₂/h [EUR/(tCO2/h)/m]</t>
  </si>
  <si>
    <t>Investment costs; onshore pipeline, dense phase, 30 t CO₂/h [EUR/(tCO2/h)/m]</t>
  </si>
  <si>
    <t>Investment costs; onshore pipeline, dense phase, 80 t CO₂/h [EUR/(tCO2/h)/m]</t>
  </si>
  <si>
    <t>Investment costs; onshore pipeline, dense phase, 120 t CO₂/h [EUR/(tCO2/h)/m]</t>
  </si>
  <si>
    <t>Investment costs; offhore single line, 120 t CO₂/h [EUR/(tCO2/h)/m]</t>
  </si>
  <si>
    <t>Fixed O&amp;M [EUR/(tCO2/h)/year/km]</t>
  </si>
  <si>
    <t>Variable O&amp;M [EUR/(tCO2/h)/km]</t>
  </si>
  <si>
    <t>Technology specific data</t>
  </si>
  <si>
    <t>1. Technology Catalogue Natural gas Main Distribution Lines, Table 6</t>
  </si>
  <si>
    <t>2. COWI estimate 2023</t>
  </si>
  <si>
    <t>3. The Costs of CO₂ transport, Zero Emission Platform (ZEP), Report 2010</t>
  </si>
  <si>
    <t>A. Estimate includes cost for permitting, landowner compensation, soil works, cathodic protection and coating. Sectionalisation valve assumed every 15 km. Installation costs are based om experienced cost for NG pipeline installation in Denmark. The 10 t CO2/h gas phase and 30 t CO2/h dense phase capacity are based on cost of a 6" pipeline. The 80 t CO2/h is based on cost of a 8" pipeline. The 120 t CO2/h is based on cost of a 10" pipeline.</t>
  </si>
  <si>
    <t>B. Offshore pipeline installation is more costly than onshore pipeline.</t>
  </si>
  <si>
    <t xml:space="preserve">C. Operating cost is assumed to be fixed for each pipeline. Estimate is based on cost of 12" pipeline in [2] and excludes pumping/compression cost. </t>
  </si>
  <si>
    <t>D. Variable O&amp;M are negigible.</t>
  </si>
  <si>
    <t>CO₂ ship transportation</t>
  </si>
  <si>
    <t>ctrl</t>
  </si>
  <si>
    <t>lower</t>
  </si>
  <si>
    <t>upper</t>
  </si>
  <si>
    <t>Energy demand, 4,000 t CO₂ ship (MWh/day)</t>
  </si>
  <si>
    <t>Energy demand, 10,000 t CO₂ ship (MWh/day)</t>
  </si>
  <si>
    <t>Technical life time CO₂ carrier [years]</t>
  </si>
  <si>
    <t xml:space="preserve">Investments, 4000 t CO₂ ship (EUR/t CO₂) </t>
  </si>
  <si>
    <r>
      <t>Investments,10,000 t CO</t>
    </r>
    <r>
      <rPr>
        <vertAlign val="subscript"/>
        <sz val="8"/>
        <rFont val="Calibri"/>
        <family val="2"/>
        <scheme val="minor"/>
      </rPr>
      <t>2</t>
    </r>
    <r>
      <rPr>
        <sz val="8"/>
        <rFont val="Calibri"/>
        <family val="2"/>
        <scheme val="minor"/>
      </rPr>
      <t xml:space="preserve"> ship (EUR/t CO₂) </t>
    </r>
  </si>
  <si>
    <t>Fixed O&amp;M 4000 t CO₂ Ship (EUR/t CO₂/year)</t>
  </si>
  <si>
    <t>Fixed O&amp;M 10000 t CO₂ Ship (EUR/t CO₂/year)</t>
  </si>
  <si>
    <t>Variable O&amp;M  4000 t CO₂ ship (EUR/[t CO₂])</t>
  </si>
  <si>
    <t>Variable O&amp;M  14000 t CO₂ ship (EUR/[t CO₂/h]/)</t>
  </si>
  <si>
    <t>1. Based on input from Knutsen shipping</t>
  </si>
  <si>
    <t>2. The Cost of CO₂ Transport – Post-demonstration CCS in the EU. ZEP report 2010</t>
  </si>
  <si>
    <t>3. Shipping CO₂ - UK cost estimation study. ElementEnergy, Final report for Business, Energy &amp; Industrial Strategy Department, Nov 2018.</t>
  </si>
  <si>
    <t xml:space="preserve">A. Energy consumption based on fuel LHV at cruising speed 15 knots or 28 km/h and average of full and empty cargo. Typical LHV of Heavy Fuel Oil (HFO) is 40.4 MJ /kg. </t>
  </si>
  <si>
    <t>B. Ship cost is based on CO₂ pressure conditions of 15 bara, -25°C. Significantly lower cost is reported in literature for low pressure 7 bara and -50°C, however no experience exists with transportation of CO₂ at these conditions.</t>
  </si>
  <si>
    <t>C. Fixed O&amp;M of ships is taken as 5% of CAPEX incl. Pilot assistance and docking fee to harbor</t>
  </si>
  <si>
    <t xml:space="preserve">D. Variable O&amp;M exlcuding fuel costs is assumed to be insignificant. Tax on tonnage of CO₂ shipped is also excluded as this will be highly dependent on the specific port. </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</si>
  <si>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</si>
  <si>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</si>
  <si>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</si>
  <si>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</si>
  <si>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</si>
  <si>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</si>
  <si>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</si>
  <si>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</si>
  <si>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</si>
  <si>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</si>
  <si>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</si>
  <si>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</si>
  <si>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</si>
  <si>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</si>
  <si>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DOES IT MAKE SENSE TO USE MW IN CO2??</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</si>
  <si>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</si>
  <si>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</si>
  <si>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</si>
  <si>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</si>
  <si>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</si>
  <si>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</si>
  <si>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</si>
  <si>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</si>
  <si>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</si>
  <si>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</si>
  <si>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</si>
  <si>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</si>
  <si>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</si>
  <si>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</si>
  <si>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</si>
  <si>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</si>
  <si>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</si>
  <si>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</si>
  <si>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</si>
  <si>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</si>
  <si>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</si>
  <si>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</si>
  <si>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</si>
  <si>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</si>
  <si>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</si>
  <si>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</si>
  <si>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</si>
  <si>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</si>
  <si>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</si>
  <si>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</si>
  <si>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</si>
  <si>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</si>
  <si>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</si>
  <si>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</si>
  <si>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</si>
  <si>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</si>
  <si>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</si>
  <si>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</si>
  <si>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</si>
  <si>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</si>
  <si>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</si>
  <si>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</si>
  <si>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</si>
  <si>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</si>
  <si>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</si>
  <si>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</si>
  <si>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</si>
  <si>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</si>
  <si>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</si>
  <si>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</si>
  <si>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</si>
  <si>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</si>
  <si>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</si>
  <si>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</si>
  <si>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</si>
  <si>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</si>
  <si>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</si>
  <si>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</si>
  <si>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</si>
  <si>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</si>
  <si>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</si>
  <si>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</si>
  <si>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</si>
  <si>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</si>
  <si>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</si>
  <si>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</si>
  <si>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</si>
  <si>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meur/kta/m</t>
  </si>
  <si>
    <t>meur/kta/year/km</t>
  </si>
  <si>
    <t>INVCOST (MEUR/kta)</t>
  </si>
  <si>
    <t>FIXEDCOST (MEUR/kta/year)</t>
  </si>
  <si>
    <t>TRANS_LINE</t>
  </si>
  <si>
    <t xml:space="preserve">Transmission line </t>
  </si>
  <si>
    <t>ELC</t>
  </si>
  <si>
    <t>EXP_ELC</t>
  </si>
  <si>
    <t>MEUR/GW</t>
  </si>
  <si>
    <t>EXP_H2</t>
  </si>
  <si>
    <t>h2_pipe</t>
  </si>
  <si>
    <t>h2_ship</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</si>
  <si>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</si>
  <si>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</si>
  <si>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</si>
  <si>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</si>
  <si>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</si>
  <si>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</si>
  <si>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</si>
  <si>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</si>
  <si>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</si>
  <si>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</si>
  <si>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</si>
  <si>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</si>
  <si>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EXP_AMM</t>
  </si>
  <si>
    <t>nh3_pipe</t>
  </si>
  <si>
    <t>nh3_ship</t>
  </si>
  <si>
    <t>Ammonia Pipeline</t>
  </si>
  <si>
    <t>Ammonia ship</t>
  </si>
  <si>
    <t>AMM</t>
  </si>
  <si>
    <t>pj</t>
  </si>
  <si>
    <t>pj/km</t>
  </si>
  <si>
    <t>L20: Investment cost [MEUR/PJ]</t>
  </si>
  <si>
    <t>L20:Fixed O&amp;M cost [MEUR/PJ/y]</t>
  </si>
  <si>
    <t>L20: Port cost [MEUR/PJ]</t>
  </si>
  <si>
    <t>IMP_CO2</t>
  </si>
  <si>
    <t>kt</t>
  </si>
  <si>
    <t>co2_pipe</t>
  </si>
  <si>
    <t>co2_ship</t>
  </si>
  <si>
    <t>CO2 Pipeline</t>
  </si>
  <si>
    <t>CO2 ship</t>
  </si>
  <si>
    <t>kta</t>
  </si>
  <si>
    <t>CO2</t>
  </si>
  <si>
    <t>HFO</t>
  </si>
  <si>
    <t>PJ/kt</t>
  </si>
  <si>
    <t>M€ /kta</t>
  </si>
  <si>
    <t>According to technology cathalogue, it is able to do 700 km per day</t>
  </si>
  <si>
    <t>MWh/km</t>
  </si>
  <si>
    <t>100km</t>
  </si>
  <si>
    <t>MWh</t>
  </si>
  <si>
    <t>EXP_METH</t>
  </si>
  <si>
    <t>METH_ship</t>
  </si>
  <si>
    <t>METH ship</t>
  </si>
  <si>
    <t>LHC: Investment cost [MEUR/PJ]</t>
  </si>
  <si>
    <t>LHC: Fixed O&amp;M cost [MEUR/PJ/y]</t>
  </si>
  <si>
    <t>LHC: Port cost [MEUR/PJ]</t>
  </si>
  <si>
    <t>LHC: Energy demand [pJ/km]</t>
  </si>
  <si>
    <t>EXP_KRE</t>
  </si>
  <si>
    <t>KRE_ship</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</si>
  <si>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</si>
  <si>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</si>
  <si>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</si>
  <si>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</si>
  <si>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</si>
  <si>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</si>
  <si>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</si>
  <si>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</si>
  <si>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</si>
  <si>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</si>
  <si>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</si>
  <si>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</si>
  <si>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</si>
  <si>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</si>
  <si>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</si>
  <si>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</si>
  <si>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</si>
  <si>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</si>
  <si>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</si>
  <si>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DENMARK CONNECTION</t>
  </si>
  <si>
    <t>meur/gw</t>
  </si>
  <si>
    <t>PJ/TON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</si>
</sst>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38">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8"/>
      <name val="Calibri  "/>
    </font>
    <font>
      <sz val="8"/>
      <color rgb="FF969696"/>
      <name val="Calibri  "/>
    </font>
    <font>
      <b/>
      <sz val="8"/>
      <color theme="1"/>
      <name val="Calibri  "/>
    </font>
    <font>
      <b/>
      <sz val="8"/>
      <color rgb="FF969696"/>
      <name val="Calibri  "/>
    </font>
    <font>
      <sz val="8"/>
      <color theme="1"/>
      <name val="Calibri  "/>
    </font>
    <font>
      <b/>
      <sz val="8"/>
      <color rgb="FF000000"/>
      <name val="Calibri  "/>
    </font>
    <font>
      <sz val="8"/>
      <color rgb="FF000000"/>
      <name val="Calibri  "/>
    </font>
    <font>
      <b/>
      <sz val="8"/>
      <color rgb="FF000000"/>
      <name val="Calibri"/>
      <family val="2"/>
      <scheme val="minor"/>
    </font>
    <font>
      <b/>
      <sz val="8"/>
      <color rgb="FF969696"/>
      <name val="Calibri"/>
      <family val="2"/>
      <scheme val="minor"/>
    </font>
    <font>
      <sz val="8"/>
      <color rgb="FF000000"/>
      <name val="Calibri"/>
      <family val="2"/>
      <scheme val="minor"/>
    </font>
    <font>
      <vertAlign val="subscrip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9">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rgb="FFF0F0F0"/>
      </patternFill>
    </fill>
    <fill>
      <patternFill patternType="solid">
        <fgColor theme="0" tint="-4.9989318521683403E-2"/>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7" borderId="0" applyNumberFormat="0" applyBorder="0" applyAlignment="0" applyProtection="0"/>
    <xf numFmtId="0" fontId="34" fillId="0" borderId="0"/>
    <xf numFmtId="0" fontId="34" fillId="0" borderId="0"/>
  </cellStyleXfs>
  <cellXfs count="162">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0" fontId="18" fillId="3" borderId="0" xfId="0" applyFont="1" applyFill="1"/>
    <xf numFmtId="0" fontId="8" fillId="3" borderId="0" xfId="3" applyFont="1" applyAlignment="1"/>
    <xf numFmtId="0" fontId="9" fillId="3" borderId="0" xfId="3" applyFont="1">
      <alignment horizontal="center"/>
    </xf>
    <xf numFmtId="0" fontId="18" fillId="3" borderId="0" xfId="3">
      <alignment horizontal="center"/>
    </xf>
    <xf numFmtId="0" fontId="9" fillId="3" borderId="0" xfId="3" applyFont="1" applyAlignment="1">
      <alignment vertical="top"/>
    </xf>
    <xf numFmtId="0" fontId="9" fillId="3" borderId="0" xfId="3" applyFont="1" applyAlignment="1">
      <alignment horizontal="center" vertical="top"/>
    </xf>
    <xf numFmtId="0" fontId="18" fillId="3" borderId="0" xfId="0" applyFont="1" applyFill="1" applyAlignment="1">
      <alignment horizontal="center"/>
    </xf>
    <xf numFmtId="0" fontId="22" fillId="2" borderId="1" xfId="3" applyFont="1" applyFill="1" applyBorder="1" applyAlignment="1">
      <alignment vertical="top"/>
    </xf>
    <xf numFmtId="0" fontId="23" fillId="2" borderId="1" xfId="3" applyFont="1" applyFill="1" applyBorder="1" applyAlignment="1">
      <alignment horizontal="left" vertical="top"/>
    </xf>
    <xf numFmtId="0" fontId="22" fillId="2" borderId="1" xfId="3" applyFont="1" applyFill="1" applyBorder="1" applyAlignment="1">
      <alignment horizontal="left" vertical="top"/>
    </xf>
    <xf numFmtId="0" fontId="24" fillId="2" borderId="1" xfId="3" applyFont="1" applyFill="1" applyBorder="1" applyAlignment="1">
      <alignment horizontal="centerContinuous" vertical="top" wrapText="1"/>
    </xf>
    <xf numFmtId="0" fontId="24" fillId="2" borderId="1" xfId="3" applyFont="1" applyFill="1" applyBorder="1" applyAlignment="1">
      <alignment horizontal="center" vertical="top" wrapText="1"/>
    </xf>
    <xf numFmtId="0" fontId="18" fillId="3" borderId="1" xfId="0" applyFont="1" applyFill="1" applyBorder="1"/>
    <xf numFmtId="0" fontId="23" fillId="2" borderId="1" xfId="3" applyFont="1" applyFill="1" applyBorder="1" applyAlignment="1">
      <alignment vertical="top"/>
    </xf>
    <xf numFmtId="0" fontId="6" fillId="2" borderId="1" xfId="0" applyFont="1" applyFill="1" applyBorder="1" applyAlignment="1">
      <alignment horizontal="right" vertical="top"/>
    </xf>
    <xf numFmtId="0" fontId="10" fillId="2" borderId="1" xfId="0" applyFont="1" applyFill="1" applyBorder="1" applyAlignment="1">
      <alignment horizontal="right" vertical="top"/>
    </xf>
    <xf numFmtId="0" fontId="10" fillId="2" borderId="1" xfId="0" applyFont="1" applyFill="1" applyBorder="1" applyAlignment="1">
      <alignment horizontal="center" vertical="top"/>
    </xf>
    <xf numFmtId="0" fontId="25" fillId="2" borderId="1" xfId="3" applyFont="1" applyFill="1" applyBorder="1" applyAlignment="1">
      <alignment vertical="top"/>
    </xf>
    <xf numFmtId="0" fontId="25" fillId="3" borderId="1" xfId="3" applyFont="1" applyBorder="1" applyAlignment="1">
      <alignment vertical="top"/>
    </xf>
    <xf numFmtId="0" fontId="25" fillId="3" borderId="1" xfId="3" applyFont="1" applyBorder="1" applyAlignment="1">
      <alignment horizontal="left" vertical="top"/>
    </xf>
    <xf numFmtId="0" fontId="26" fillId="3" borderId="1" xfId="0" applyFont="1" applyFill="1" applyBorder="1"/>
    <xf numFmtId="0" fontId="27" fillId="3" borderId="1" xfId="3" applyFont="1" applyBorder="1" applyAlignment="1">
      <alignment horizontal="right" vertical="top"/>
    </xf>
    <xf numFmtId="0" fontId="26" fillId="3" borderId="1" xfId="3" applyFont="1" applyBorder="1" applyAlignment="1">
      <alignment horizontal="right" vertical="top"/>
    </xf>
    <xf numFmtId="0" fontId="27" fillId="3" borderId="1" xfId="3" applyFont="1" applyBorder="1" applyAlignment="1">
      <alignment horizontal="center" vertical="top"/>
    </xf>
    <xf numFmtId="0" fontId="24" fillId="3" borderId="1" xfId="3" applyFont="1" applyBorder="1" applyAlignment="1">
      <alignment vertical="top"/>
    </xf>
    <xf numFmtId="0" fontId="26" fillId="3" borderId="1" xfId="3" applyFont="1" applyBorder="1" applyAlignment="1">
      <alignment horizontal="left" vertical="top"/>
    </xf>
    <xf numFmtId="0" fontId="27" fillId="3" borderId="1" xfId="3" applyFont="1" applyBorder="1" applyAlignment="1">
      <alignment horizontal="left" vertical="top"/>
    </xf>
    <xf numFmtId="0" fontId="28" fillId="3" borderId="1" xfId="3" applyFont="1" applyBorder="1" applyAlignment="1">
      <alignment horizontal="center" vertical="top"/>
    </xf>
    <xf numFmtId="0" fontId="26" fillId="3" borderId="1" xfId="3" applyFont="1" applyBorder="1" applyAlignment="1">
      <alignment horizontal="center" vertical="top"/>
    </xf>
    <xf numFmtId="1" fontId="26" fillId="3" borderId="1" xfId="3" applyNumberFormat="1" applyFont="1" applyBorder="1" applyAlignment="1">
      <alignment horizontal="right" vertical="top"/>
    </xf>
    <xf numFmtId="0" fontId="28" fillId="3" borderId="1" xfId="3" applyFont="1" applyBorder="1" applyAlignment="1">
      <alignment horizontal="right" vertical="top"/>
    </xf>
    <xf numFmtId="0" fontId="24" fillId="3" borderId="1" xfId="3" applyFont="1" applyBorder="1" applyAlignment="1">
      <alignment vertical="center"/>
    </xf>
    <xf numFmtId="0" fontId="26" fillId="3" borderId="1" xfId="3" applyFont="1" applyBorder="1" applyAlignment="1">
      <alignment vertical="center"/>
    </xf>
    <xf numFmtId="0" fontId="28" fillId="3" borderId="1" xfId="3" applyFont="1" applyBorder="1" applyAlignment="1">
      <alignment horizontal="center" vertical="center"/>
    </xf>
    <xf numFmtId="0" fontId="10" fillId="3" borderId="0" xfId="0" applyFont="1" applyFill="1"/>
    <xf numFmtId="0" fontId="21" fillId="3" borderId="0" xfId="0" applyFont="1" applyFill="1" applyAlignment="1">
      <alignment horizontal="right" vertical="top"/>
    </xf>
    <xf numFmtId="0" fontId="21" fillId="3" borderId="0" xfId="0" applyFont="1" applyFill="1" applyAlignment="1">
      <alignment vertical="center"/>
    </xf>
    <xf numFmtId="0" fontId="21" fillId="3" borderId="0" xfId="0" applyFont="1" applyFill="1" applyAlignment="1">
      <alignment vertical="center" wrapText="1"/>
    </xf>
    <xf numFmtId="0" fontId="21" fillId="3" borderId="0" xfId="0" applyFont="1" applyFill="1"/>
    <xf numFmtId="0" fontId="21" fillId="3" borderId="0" xfId="0" applyFont="1" applyFill="1" applyAlignment="1">
      <alignment vertical="top"/>
    </xf>
    <xf numFmtId="0" fontId="21" fillId="3" borderId="0" xfId="0" applyFont="1" applyFill="1" applyAlignment="1">
      <alignment vertical="top" wrapText="1"/>
    </xf>
    <xf numFmtId="0" fontId="29" fillId="2" borderId="1" xfId="0" applyFont="1" applyFill="1" applyBorder="1" applyAlignment="1">
      <alignment horizontal="left" vertical="top"/>
    </xf>
    <xf numFmtId="0" fontId="29" fillId="5" borderId="1" xfId="0" applyFont="1" applyFill="1" applyBorder="1" applyAlignment="1">
      <alignment horizontal="center"/>
    </xf>
    <xf numFmtId="0" fontId="30" fillId="2" borderId="1" xfId="0" applyFont="1" applyFill="1" applyBorder="1" applyAlignment="1">
      <alignment horizontal="left" vertical="top"/>
    </xf>
    <xf numFmtId="0" fontId="30" fillId="6" borderId="1" xfId="0" applyFont="1" applyFill="1" applyBorder="1" applyAlignment="1">
      <alignment horizontal="left" vertical="top"/>
    </xf>
    <xf numFmtId="0" fontId="18" fillId="6" borderId="1" xfId="0" applyFont="1" applyFill="1" applyBorder="1" applyAlignment="1">
      <alignment horizontal="right" vertical="top"/>
    </xf>
    <xf numFmtId="0" fontId="29" fillId="6" borderId="1" xfId="0" applyFont="1" applyFill="1" applyBorder="1" applyAlignment="1">
      <alignment horizontal="right" vertical="top"/>
    </xf>
    <xf numFmtId="0" fontId="29" fillId="6" borderId="1" xfId="0" applyFont="1" applyFill="1" applyBorder="1" applyAlignment="1">
      <alignment horizontal="center" vertical="top"/>
    </xf>
    <xf numFmtId="0" fontId="29" fillId="3" borderId="1" xfId="0" applyFont="1" applyFill="1" applyBorder="1" applyAlignment="1">
      <alignment horizontal="right" vertical="top"/>
    </xf>
    <xf numFmtId="0" fontId="18" fillId="3" borderId="1" xfId="0" applyFont="1" applyFill="1" applyBorder="1" applyAlignment="1">
      <alignment horizontal="right" vertical="top"/>
    </xf>
    <xf numFmtId="0" fontId="29" fillId="3" borderId="1" xfId="0" applyFont="1" applyFill="1" applyBorder="1" applyAlignment="1">
      <alignment horizontal="center" vertical="top"/>
    </xf>
    <xf numFmtId="1" fontId="31" fillId="3" borderId="1" xfId="0" applyNumberFormat="1" applyFont="1" applyFill="1" applyBorder="1" applyAlignment="1">
      <alignment horizontal="right" vertical="top"/>
    </xf>
    <xf numFmtId="0" fontId="31" fillId="3" borderId="1" xfId="0" applyFont="1" applyFill="1" applyBorder="1" applyAlignment="1">
      <alignment horizontal="right" vertical="top"/>
    </xf>
    <xf numFmtId="0" fontId="31" fillId="3" borderId="1" xfId="0" applyFont="1" applyFill="1" applyBorder="1" applyAlignment="1">
      <alignment horizontal="center" vertical="top"/>
    </xf>
    <xf numFmtId="0" fontId="31" fillId="3" borderId="1" xfId="0" quotePrefix="1" applyFont="1" applyFill="1" applyBorder="1" applyAlignment="1">
      <alignment horizontal="right" vertical="top"/>
    </xf>
    <xf numFmtId="1" fontId="31" fillId="3" borderId="1" xfId="0" quotePrefix="1" applyNumberFormat="1" applyFont="1" applyFill="1" applyBorder="1" applyAlignment="1">
      <alignment horizontal="right" vertical="top"/>
    </xf>
    <xf numFmtId="0" fontId="18" fillId="3" borderId="1" xfId="0" quotePrefix="1" applyFont="1" applyFill="1" applyBorder="1" applyAlignment="1">
      <alignment horizontal="left" vertical="top"/>
    </xf>
    <xf numFmtId="0" fontId="21" fillId="3" borderId="1" xfId="0" quotePrefix="1" applyFont="1" applyFill="1" applyBorder="1" applyAlignment="1">
      <alignment horizontal="left" vertical="top"/>
    </xf>
    <xf numFmtId="0" fontId="21" fillId="3" borderId="1" xfId="0" applyFont="1" applyFill="1" applyBorder="1" applyAlignment="1">
      <alignment horizontal="left" vertical="top"/>
    </xf>
    <xf numFmtId="0" fontId="6" fillId="3" borderId="1" xfId="0" applyFont="1" applyFill="1" applyBorder="1" applyAlignment="1">
      <alignment vertical="center" wrapText="1"/>
    </xf>
    <xf numFmtId="0" fontId="31" fillId="3" borderId="1" xfId="0" applyFont="1" applyFill="1" applyBorder="1" applyAlignment="1">
      <alignment horizontal="center" vertical="center" wrapText="1"/>
    </xf>
    <xf numFmtId="164" fontId="0" fillId="4" borderId="0" xfId="0" applyNumberFormat="1" applyFill="1"/>
    <xf numFmtId="166" fontId="33" fillId="0" borderId="0" xfId="0" applyNumberFormat="1" applyFont="1"/>
    <xf numFmtId="166" fontId="34" fillId="0" borderId="0" xfId="0" applyNumberFormat="1" applyFont="1"/>
    <xf numFmtId="166" fontId="35" fillId="8" borderId="2" xfId="0" applyNumberFormat="1" applyFont="1" applyFill="1" applyBorder="1" applyAlignment="1">
      <alignment horizontal="left"/>
    </xf>
    <xf numFmtId="166" fontId="15" fillId="7" borderId="3" xfId="4" applyNumberFormat="1" applyFont="1" applyBorder="1" applyAlignment="1">
      <alignment horizontal="left" wrapText="1"/>
    </xf>
    <xf numFmtId="0" fontId="33" fillId="0" borderId="0" xfId="5" applyFont="1"/>
    <xf numFmtId="0" fontId="34" fillId="0" borderId="0" xfId="5"/>
    <xf numFmtId="166" fontId="15" fillId="7" borderId="2" xfId="4" applyNumberFormat="1" applyFont="1" applyBorder="1" applyAlignment="1">
      <alignment horizontal="left" wrapText="1"/>
    </xf>
    <xf numFmtId="0" fontId="34" fillId="0" borderId="4" xfId="5" applyBorder="1"/>
    <xf numFmtId="1" fontId="34" fillId="0" borderId="4" xfId="5" applyNumberFormat="1" applyBorder="1"/>
    <xf numFmtId="2" fontId="34" fillId="0" borderId="0" xfId="6" applyNumberFormat="1"/>
    <xf numFmtId="1" fontId="34" fillId="0" borderId="0" xfId="5" applyNumberFormat="1"/>
    <xf numFmtId="166" fontId="34" fillId="0" borderId="0" xfId="5" applyNumberFormat="1"/>
    <xf numFmtId="0" fontId="34" fillId="0" borderId="0" xfId="6"/>
    <xf numFmtId="0" fontId="0" fillId="0" borderId="2" xfId="0" applyBorder="1"/>
    <xf numFmtId="1" fontId="34" fillId="0" borderId="2" xfId="5" applyNumberFormat="1" applyBorder="1"/>
    <xf numFmtId="2" fontId="34" fillId="0" borderId="2" xfId="6" applyNumberFormat="1" applyBorder="1"/>
    <xf numFmtId="167" fontId="0" fillId="0" borderId="0" xfId="0" applyNumberFormat="1"/>
    <xf numFmtId="166" fontId="35"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6"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444125</xdr:colOff>
      <xdr:row>20</xdr:row>
      <xdr:rowOff>16154</xdr:rowOff>
    </xdr:from>
    <xdr:to>
      <xdr:col>18</xdr:col>
      <xdr:colOff>82594</xdr:colOff>
      <xdr:row>35</xdr:row>
      <xdr:rowOff>16154</xdr:rowOff>
    </xdr:to>
    <xdr:pic>
      <xdr:nvPicPr>
        <xdr:cNvPr id="2" name="Picture 1" descr="A screenshot of a computer&#10;&#10;Description automatically generated">
          <a:extLst>
            <a:ext uri="{FF2B5EF4-FFF2-40B4-BE49-F238E27FC236}">
              <a16:creationId xmlns:a16="http://schemas.microsoft.com/office/drawing/2014/main" id="{EB8E6CC5-74EC-FB07-61D5-F826A68BA6EC}"/>
            </a:ext>
          </a:extLst>
        </xdr:cNvPr>
        <xdr:cNvPicPr>
          <a:picLocks noChangeAspect="1"/>
        </xdr:cNvPicPr>
      </xdr:nvPicPr>
      <xdr:blipFill rotWithShape="1">
        <a:blip xmlns:r="http://schemas.openxmlformats.org/officeDocument/2006/relationships" r:embed="rId1"/>
        <a:srcRect l="31911" t="45355" r="32531" b="27268"/>
        <a:stretch/>
      </xdr:blipFill>
      <xdr:spPr>
        <a:xfrm>
          <a:off x="10057851" y="3826154"/>
          <a:ext cx="6506907" cy="281835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E20" zoomScale="52" workbookViewId="0">
      <selection activeCell="L92" sqref="L92"/>
    </sheetView>
  </sheetViews>
  <sheetFormatPr defaultRowHeight="14.4"/>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c r="E2" t="s">
        <v>148</v>
      </c>
      <c r="G2">
        <f>'111 1 el Main distri50-60kVcabl'!C18</f>
        <v>3.2964554258000005</v>
      </c>
      <c r="H2" t="s">
        <v>150</v>
      </c>
    </row>
    <row r="3" spans="5:18">
      <c r="G3" s="63">
        <f>G2*1000000/1000000</f>
        <v>3.2964554258000005</v>
      </c>
      <c r="H3" s="63" t="s">
        <v>205</v>
      </c>
      <c r="O3" t="s">
        <v>153</v>
      </c>
      <c r="P3" t="s">
        <v>213</v>
      </c>
      <c r="Q3" t="s">
        <v>211</v>
      </c>
      <c r="R3" t="s">
        <v>212</v>
      </c>
    </row>
    <row r="4" spans="5:18">
      <c r="O4">
        <v>10</v>
      </c>
      <c r="P4">
        <f>$E$27*O4+$J$57+$J$63</f>
        <v>423.99463806970505</v>
      </c>
      <c r="Q4">
        <f>$H$8*O4</f>
        <v>0.2747186596076775</v>
      </c>
      <c r="R4">
        <f>$I$8*O4</f>
        <v>0.28803853116380018</v>
      </c>
    </row>
    <row r="5" spans="5:18">
      <c r="O5">
        <v>20</v>
      </c>
      <c r="P5">
        <f t="shared" ref="P5:P68" si="0">$E$27*O5+$J$57+$J$63</f>
        <v>439.14209115281506</v>
      </c>
      <c r="Q5">
        <f t="shared" ref="Q5:Q15" si="1">$H$8*O5</f>
        <v>0.54943731921535499</v>
      </c>
      <c r="R5">
        <f t="shared" ref="R5:R15" si="2">$I$8*O5</f>
        <v>0.57607706232760036</v>
      </c>
    </row>
    <row r="6" spans="5:18">
      <c r="G6">
        <v>2020</v>
      </c>
      <c r="H6">
        <v>2030</v>
      </c>
      <c r="I6">
        <v>2050</v>
      </c>
      <c r="O6">
        <v>30</v>
      </c>
      <c r="P6">
        <f t="shared" si="0"/>
        <v>454.28954423592495</v>
      </c>
      <c r="Q6">
        <f t="shared" si="1"/>
        <v>0.8241559788230326</v>
      </c>
      <c r="R6">
        <f t="shared" si="2"/>
        <v>0.86411559349140066</v>
      </c>
    </row>
    <row r="7" spans="5:18">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c r="G8" s="63">
        <f>G7*1000/1000000</f>
        <v>2.6201474376260067E-2</v>
      </c>
      <c r="H8" s="63">
        <f t="shared" ref="H8:I8" si="3">H7*1000/1000000</f>
        <v>2.7471865960767752E-2</v>
      </c>
      <c r="I8" s="63">
        <f t="shared" si="3"/>
        <v>2.8803853116380021E-2</v>
      </c>
      <c r="J8" t="s">
        <v>206</v>
      </c>
      <c r="O8">
        <v>50</v>
      </c>
      <c r="P8">
        <f t="shared" si="0"/>
        <v>484.58445040214474</v>
      </c>
      <c r="Q8">
        <f t="shared" si="1"/>
        <v>1.3735932980383876</v>
      </c>
      <c r="R8">
        <f t="shared" si="2"/>
        <v>1.440192655819001</v>
      </c>
    </row>
    <row r="9" spans="5:18">
      <c r="O9">
        <v>60</v>
      </c>
      <c r="P9">
        <f t="shared" si="0"/>
        <v>499.73190348525475</v>
      </c>
      <c r="Q9">
        <f t="shared" si="1"/>
        <v>1.6483119576460652</v>
      </c>
      <c r="R9">
        <f t="shared" si="2"/>
        <v>1.7282311869828013</v>
      </c>
    </row>
    <row r="10" spans="5:18">
      <c r="O10">
        <v>70</v>
      </c>
      <c r="P10">
        <f t="shared" si="0"/>
        <v>514.87935656836464</v>
      </c>
      <c r="Q10">
        <f t="shared" si="1"/>
        <v>1.9230306172537426</v>
      </c>
      <c r="R10">
        <f t="shared" si="2"/>
        <v>2.0162697181466016</v>
      </c>
    </row>
    <row r="11" spans="5:18">
      <c r="E11" t="s">
        <v>152</v>
      </c>
      <c r="H11" s="64">
        <v>3.0000000000000001E-3</v>
      </c>
      <c r="O11">
        <v>80</v>
      </c>
      <c r="P11">
        <f t="shared" si="0"/>
        <v>530.02680965147454</v>
      </c>
      <c r="Q11">
        <f t="shared" si="1"/>
        <v>2.19774927686142</v>
      </c>
      <c r="R11">
        <f t="shared" si="2"/>
        <v>2.3043082493104015</v>
      </c>
    </row>
    <row r="12" spans="5:18">
      <c r="O12">
        <v>90</v>
      </c>
      <c r="P12">
        <f t="shared" si="0"/>
        <v>545.17426273458443</v>
      </c>
      <c r="Q12">
        <f t="shared" si="1"/>
        <v>2.4724679364690978</v>
      </c>
      <c r="R12">
        <f t="shared" si="2"/>
        <v>2.5923467804742018</v>
      </c>
    </row>
    <row r="13" spans="5:18">
      <c r="E13" s="27" t="s">
        <v>25</v>
      </c>
      <c r="F13" s="22">
        <v>40</v>
      </c>
      <c r="O13">
        <v>100</v>
      </c>
      <c r="P13">
        <f t="shared" si="0"/>
        <v>560.32171581769433</v>
      </c>
      <c r="Q13">
        <f t="shared" si="1"/>
        <v>2.7471865960767752</v>
      </c>
      <c r="R13">
        <f t="shared" si="2"/>
        <v>2.880385311638002</v>
      </c>
    </row>
    <row r="14" spans="5:18">
      <c r="E14" s="27" t="s">
        <v>27</v>
      </c>
      <c r="F14" s="31">
        <v>0.45</v>
      </c>
      <c r="O14">
        <v>110</v>
      </c>
      <c r="P14">
        <f t="shared" si="0"/>
        <v>575.46916890080433</v>
      </c>
      <c r="Q14">
        <f t="shared" si="1"/>
        <v>3.0219052556844526</v>
      </c>
      <c r="R14">
        <f t="shared" si="2"/>
        <v>3.1684238428018023</v>
      </c>
    </row>
    <row r="15" spans="5:18">
      <c r="E15" s="27" t="s">
        <v>29</v>
      </c>
      <c r="F15" s="22">
        <v>1.5</v>
      </c>
      <c r="O15">
        <v>120</v>
      </c>
      <c r="P15">
        <f t="shared" si="0"/>
        <v>590.61662198391423</v>
      </c>
      <c r="Q15">
        <f t="shared" si="1"/>
        <v>3.2966239152921304</v>
      </c>
      <c r="R15">
        <f t="shared" si="2"/>
        <v>3.4564623739656026</v>
      </c>
    </row>
    <row r="16" spans="5:18">
      <c r="O16">
        <v>130</v>
      </c>
      <c r="P16">
        <f t="shared" si="0"/>
        <v>605.76407506702412</v>
      </c>
      <c r="Q16">
        <f t="shared" ref="Q16:Q79" si="4">$H$8*O16</f>
        <v>3.5713425748998078</v>
      </c>
      <c r="R16">
        <f t="shared" ref="R16:R79" si="5">$I$8*O16</f>
        <v>3.7445009051294029</v>
      </c>
    </row>
    <row r="17" spans="4:18">
      <c r="E17" s="27" t="s">
        <v>43</v>
      </c>
      <c r="F17" s="33">
        <v>16801</v>
      </c>
      <c r="G17">
        <f>F17*1000/1000000</f>
        <v>16.800999999999998</v>
      </c>
      <c r="H17" t="s">
        <v>290</v>
      </c>
      <c r="O17">
        <v>140</v>
      </c>
      <c r="P17">
        <f t="shared" si="0"/>
        <v>620.91152815013402</v>
      </c>
      <c r="Q17">
        <f t="shared" si="4"/>
        <v>3.8460612345074852</v>
      </c>
      <c r="R17">
        <f t="shared" si="5"/>
        <v>4.0325394362932032</v>
      </c>
    </row>
    <row r="18" spans="4:18">
      <c r="E18" s="27" t="s">
        <v>45</v>
      </c>
      <c r="F18" s="33">
        <v>80816.326568000004</v>
      </c>
      <c r="G18">
        <f t="shared" ref="G18:G19" si="6">F18*1000/1000000</f>
        <v>80.816326568000008</v>
      </c>
      <c r="H18" t="s">
        <v>290</v>
      </c>
      <c r="O18">
        <v>150</v>
      </c>
      <c r="P18">
        <f t="shared" si="0"/>
        <v>636.05898123324403</v>
      </c>
      <c r="Q18">
        <f t="shared" si="4"/>
        <v>4.120779894115163</v>
      </c>
      <c r="R18">
        <f t="shared" si="5"/>
        <v>4.3205779674570035</v>
      </c>
    </row>
    <row r="19" spans="4:18">
      <c r="E19" s="27" t="s">
        <v>47</v>
      </c>
      <c r="F19" s="22">
        <v>4759.6562857680001</v>
      </c>
      <c r="G19">
        <f t="shared" si="6"/>
        <v>4.759656285768</v>
      </c>
      <c r="H19" t="s">
        <v>290</v>
      </c>
      <c r="O19">
        <v>160</v>
      </c>
      <c r="P19">
        <f t="shared" si="0"/>
        <v>651.20643431635392</v>
      </c>
      <c r="Q19">
        <f t="shared" si="4"/>
        <v>4.3954985537228399</v>
      </c>
      <c r="R19">
        <f t="shared" si="5"/>
        <v>4.6086164986208029</v>
      </c>
    </row>
    <row r="20" spans="4:18">
      <c r="O20">
        <v>170</v>
      </c>
      <c r="P20">
        <f t="shared" si="0"/>
        <v>666.35388739946382</v>
      </c>
      <c r="Q20">
        <f t="shared" si="4"/>
        <v>4.6702172133305178</v>
      </c>
      <c r="R20">
        <f t="shared" si="5"/>
        <v>4.8966550297846032</v>
      </c>
    </row>
    <row r="21" spans="4:18" ht="15" thickBot="1">
      <c r="O21">
        <v>180</v>
      </c>
      <c r="P21">
        <f t="shared" si="0"/>
        <v>681.50134048257371</v>
      </c>
      <c r="Q21">
        <f t="shared" si="4"/>
        <v>4.9449358729381956</v>
      </c>
      <c r="R21">
        <f t="shared" si="5"/>
        <v>5.1846935609484035</v>
      </c>
    </row>
    <row r="22" spans="4:18">
      <c r="D22" s="148"/>
      <c r="E22" s="149"/>
      <c r="F22" s="149"/>
      <c r="G22" s="149"/>
      <c r="H22" s="149"/>
      <c r="I22" s="149"/>
      <c r="J22" s="149"/>
      <c r="K22" s="149"/>
      <c r="L22" s="150"/>
      <c r="O22">
        <v>190</v>
      </c>
      <c r="P22">
        <f t="shared" si="0"/>
        <v>696.6487935656836</v>
      </c>
      <c r="Q22">
        <f t="shared" si="4"/>
        <v>5.2196545325458725</v>
      </c>
      <c r="R22">
        <f t="shared" si="5"/>
        <v>5.4727320921122038</v>
      </c>
    </row>
    <row r="23" spans="4:18">
      <c r="D23" s="151"/>
      <c r="E23" s="152" t="s">
        <v>345</v>
      </c>
      <c r="L23" s="153"/>
      <c r="O23">
        <v>200</v>
      </c>
      <c r="P23">
        <f t="shared" si="0"/>
        <v>711.7962466487935</v>
      </c>
      <c r="Q23">
        <f t="shared" si="4"/>
        <v>5.4943731921535504</v>
      </c>
      <c r="R23">
        <f t="shared" si="5"/>
        <v>5.7607706232760041</v>
      </c>
    </row>
    <row r="24" spans="4:18">
      <c r="D24" s="151"/>
      <c r="L24" s="153"/>
      <c r="O24">
        <v>210</v>
      </c>
      <c r="P24">
        <f t="shared" si="0"/>
        <v>726.94369973190351</v>
      </c>
      <c r="Q24">
        <f t="shared" si="4"/>
        <v>5.7690918517612282</v>
      </c>
      <c r="R24">
        <f t="shared" si="5"/>
        <v>6.0488091544398044</v>
      </c>
    </row>
    <row r="25" spans="4:18">
      <c r="D25" s="151" t="s">
        <v>358</v>
      </c>
      <c r="E25">
        <v>11.3</v>
      </c>
      <c r="F25" t="s">
        <v>346</v>
      </c>
      <c r="H25">
        <v>7.46</v>
      </c>
      <c r="I25" t="s">
        <v>351</v>
      </c>
      <c r="L25" s="153"/>
      <c r="O25">
        <v>220</v>
      </c>
      <c r="P25">
        <f t="shared" si="0"/>
        <v>742.0911528150134</v>
      </c>
      <c r="Q25">
        <f t="shared" si="4"/>
        <v>6.0438105113689051</v>
      </c>
      <c r="R25">
        <f t="shared" si="5"/>
        <v>6.3368476856036047</v>
      </c>
    </row>
    <row r="26" spans="4:18">
      <c r="D26" s="151" t="s">
        <v>359</v>
      </c>
      <c r="E26">
        <v>10.8</v>
      </c>
      <c r="F26" t="s">
        <v>346</v>
      </c>
      <c r="J26" t="s">
        <v>349</v>
      </c>
      <c r="L26" s="153"/>
      <c r="O26">
        <v>230</v>
      </c>
      <c r="P26">
        <f t="shared" si="0"/>
        <v>757.23860589812341</v>
      </c>
      <c r="Q26">
        <f t="shared" si="4"/>
        <v>6.318529170976583</v>
      </c>
      <c r="R26">
        <f t="shared" si="5"/>
        <v>6.624886216767405</v>
      </c>
    </row>
    <row r="27" spans="4:18">
      <c r="D27" s="157" t="s">
        <v>358</v>
      </c>
      <c r="E27" s="63">
        <f>E25/H25</f>
        <v>1.5147453083109921</v>
      </c>
      <c r="F27" s="63" t="s">
        <v>347</v>
      </c>
      <c r="L27" s="153"/>
      <c r="O27">
        <v>240</v>
      </c>
      <c r="P27">
        <f t="shared" si="0"/>
        <v>772.3860589812333</v>
      </c>
      <c r="Q27">
        <f t="shared" si="4"/>
        <v>6.5932478305842608</v>
      </c>
      <c r="R27">
        <f t="shared" si="5"/>
        <v>6.9129247479312053</v>
      </c>
    </row>
    <row r="28" spans="4:18">
      <c r="D28" s="157" t="s">
        <v>359</v>
      </c>
      <c r="E28" s="63">
        <f>E26/H25</f>
        <v>1.447721179624665</v>
      </c>
      <c r="F28" s="63" t="s">
        <v>347</v>
      </c>
      <c r="L28" s="153"/>
      <c r="O28">
        <v>250</v>
      </c>
      <c r="P28">
        <f t="shared" si="0"/>
        <v>787.5335120643432</v>
      </c>
      <c r="Q28">
        <f t="shared" si="4"/>
        <v>6.8679664901919377</v>
      </c>
      <c r="R28">
        <f t="shared" si="5"/>
        <v>7.2009632790950056</v>
      </c>
    </row>
    <row r="29" spans="4:18">
      <c r="D29" s="151"/>
      <c r="E29" t="s">
        <v>348</v>
      </c>
      <c r="L29" s="153"/>
      <c r="O29">
        <v>260</v>
      </c>
      <c r="P29">
        <f t="shared" si="0"/>
        <v>802.68096514745309</v>
      </c>
      <c r="Q29">
        <f t="shared" si="4"/>
        <v>7.1426851497996156</v>
      </c>
      <c r="R29">
        <f t="shared" si="5"/>
        <v>7.4890018102588058</v>
      </c>
    </row>
    <row r="30" spans="4:18" ht="15" thickBot="1">
      <c r="D30" s="154"/>
      <c r="E30" s="155"/>
      <c r="F30" s="155"/>
      <c r="G30" s="155"/>
      <c r="H30" s="155"/>
      <c r="I30" s="155"/>
      <c r="J30" s="155"/>
      <c r="K30" s="155"/>
      <c r="L30" s="156"/>
      <c r="O30">
        <v>270</v>
      </c>
      <c r="P30">
        <f t="shared" si="0"/>
        <v>817.82841823056299</v>
      </c>
      <c r="Q30">
        <f t="shared" si="4"/>
        <v>7.4174038094072934</v>
      </c>
      <c r="R30">
        <f t="shared" si="5"/>
        <v>7.7770403414226053</v>
      </c>
    </row>
    <row r="31" spans="4:18">
      <c r="O31">
        <v>280</v>
      </c>
      <c r="P31">
        <f t="shared" si="0"/>
        <v>832.97587131367288</v>
      </c>
      <c r="Q31">
        <f t="shared" si="4"/>
        <v>7.6921224690149703</v>
      </c>
      <c r="R31">
        <f t="shared" si="5"/>
        <v>8.0650788725864064</v>
      </c>
    </row>
    <row r="32" spans="4:18">
      <c r="O32">
        <v>290</v>
      </c>
      <c r="P32">
        <f t="shared" si="0"/>
        <v>848.12332439678278</v>
      </c>
      <c r="Q32">
        <f t="shared" si="4"/>
        <v>7.9668411286226481</v>
      </c>
      <c r="R32">
        <f t="shared" si="5"/>
        <v>8.3531174037502058</v>
      </c>
    </row>
    <row r="33" spans="5:18">
      <c r="O33">
        <v>300</v>
      </c>
      <c r="P33">
        <f t="shared" si="0"/>
        <v>863.27077747989279</v>
      </c>
      <c r="Q33">
        <f t="shared" si="4"/>
        <v>8.241559788230326</v>
      </c>
      <c r="R33">
        <f t="shared" si="5"/>
        <v>8.641155934914007</v>
      </c>
    </row>
    <row r="34" spans="5:18" ht="18">
      <c r="E34" s="65" t="s">
        <v>356</v>
      </c>
      <c r="F34" s="147" t="s">
        <v>350</v>
      </c>
      <c r="O34">
        <v>310</v>
      </c>
      <c r="P34">
        <f t="shared" si="0"/>
        <v>878.41823056300268</v>
      </c>
      <c r="Q34">
        <f t="shared" si="4"/>
        <v>8.5162784478380029</v>
      </c>
      <c r="R34">
        <f t="shared" si="5"/>
        <v>8.9291944660778064</v>
      </c>
    </row>
    <row r="35" spans="5:18">
      <c r="O35">
        <v>320</v>
      </c>
      <c r="P35">
        <f t="shared" si="0"/>
        <v>893.56568364611269</v>
      </c>
      <c r="Q35">
        <f t="shared" si="4"/>
        <v>8.7909971074456799</v>
      </c>
      <c r="R35">
        <f t="shared" si="5"/>
        <v>9.2172329972416058</v>
      </c>
    </row>
    <row r="36" spans="5:18">
      <c r="O36">
        <v>330</v>
      </c>
      <c r="P36">
        <f t="shared" si="0"/>
        <v>908.71313672922258</v>
      </c>
      <c r="Q36">
        <f t="shared" si="4"/>
        <v>9.0657157670533586</v>
      </c>
      <c r="R36">
        <f t="shared" si="5"/>
        <v>9.505271528405407</v>
      </c>
    </row>
    <row r="37" spans="5:18" ht="18">
      <c r="E37" s="158" t="s">
        <v>360</v>
      </c>
      <c r="F37" s="158"/>
      <c r="G37" s="158">
        <f>E27*120+E28*80+J57+J63</f>
        <v>706.43431635388743</v>
      </c>
      <c r="H37" s="158" t="s">
        <v>361</v>
      </c>
      <c r="I37" s="158"/>
      <c r="O37">
        <v>340</v>
      </c>
      <c r="P37">
        <f t="shared" si="0"/>
        <v>923.86058981233248</v>
      </c>
      <c r="Q37">
        <f t="shared" si="4"/>
        <v>9.3404344266610355</v>
      </c>
      <c r="R37">
        <f t="shared" si="5"/>
        <v>9.7933100595692064</v>
      </c>
    </row>
    <row r="38" spans="5:18">
      <c r="O38">
        <v>350</v>
      </c>
      <c r="P38">
        <f t="shared" si="0"/>
        <v>939.00804289544237</v>
      </c>
      <c r="Q38">
        <f t="shared" si="4"/>
        <v>9.6151530862687125</v>
      </c>
      <c r="R38">
        <f t="shared" si="5"/>
        <v>10.081348590733008</v>
      </c>
    </row>
    <row r="39" spans="5:18" ht="18">
      <c r="E39" s="65" t="s">
        <v>355</v>
      </c>
      <c r="O39">
        <v>360</v>
      </c>
      <c r="P39">
        <f t="shared" si="0"/>
        <v>954.15549597855227</v>
      </c>
      <c r="Q39">
        <f t="shared" si="4"/>
        <v>9.8898717458763912</v>
      </c>
      <c r="R39">
        <f t="shared" si="5"/>
        <v>10.369387121896807</v>
      </c>
    </row>
    <row r="40" spans="5:18">
      <c r="O40">
        <v>370</v>
      </c>
      <c r="P40">
        <f t="shared" si="0"/>
        <v>969.30294906166228</v>
      </c>
      <c r="Q40">
        <f t="shared" si="4"/>
        <v>10.164590405484068</v>
      </c>
      <c r="R40">
        <f t="shared" si="5"/>
        <v>10.657425653060608</v>
      </c>
    </row>
    <row r="41" spans="5:18">
      <c r="O41">
        <v>380</v>
      </c>
      <c r="P41">
        <f t="shared" si="0"/>
        <v>984.45040214477217</v>
      </c>
      <c r="Q41">
        <f t="shared" si="4"/>
        <v>10.439309065091745</v>
      </c>
      <c r="R41">
        <f t="shared" si="5"/>
        <v>10.945464184224408</v>
      </c>
    </row>
    <row r="42" spans="5:18">
      <c r="O42">
        <v>390</v>
      </c>
      <c r="P42">
        <f t="shared" si="0"/>
        <v>999.59785522788206</v>
      </c>
      <c r="Q42">
        <f t="shared" si="4"/>
        <v>10.714027724699424</v>
      </c>
      <c r="R42">
        <f t="shared" si="5"/>
        <v>11.233502715388209</v>
      </c>
    </row>
    <row r="43" spans="5:18">
      <c r="O43">
        <v>400</v>
      </c>
      <c r="P43">
        <f t="shared" si="0"/>
        <v>1014.745308310992</v>
      </c>
      <c r="Q43">
        <f t="shared" si="4"/>
        <v>10.988746384307101</v>
      </c>
      <c r="R43">
        <f t="shared" si="5"/>
        <v>11.521541246552008</v>
      </c>
    </row>
    <row r="44" spans="5:18">
      <c r="O44">
        <v>410</v>
      </c>
      <c r="P44">
        <f t="shared" si="0"/>
        <v>1029.8927613941019</v>
      </c>
      <c r="Q44">
        <f t="shared" si="4"/>
        <v>11.263465043914778</v>
      </c>
      <c r="R44">
        <f t="shared" si="5"/>
        <v>11.809579777715809</v>
      </c>
    </row>
    <row r="45" spans="5:18">
      <c r="O45">
        <v>420</v>
      </c>
      <c r="P45">
        <f t="shared" si="0"/>
        <v>1045.040214477212</v>
      </c>
      <c r="Q45">
        <f t="shared" si="4"/>
        <v>11.538183703522456</v>
      </c>
      <c r="R45">
        <f t="shared" si="5"/>
        <v>12.097618308879609</v>
      </c>
    </row>
    <row r="46" spans="5:18">
      <c r="O46">
        <v>430</v>
      </c>
      <c r="P46">
        <f t="shared" si="0"/>
        <v>1060.1876675603219</v>
      </c>
      <c r="Q46">
        <f t="shared" si="4"/>
        <v>11.812902363130133</v>
      </c>
      <c r="R46">
        <f t="shared" si="5"/>
        <v>12.385656840043408</v>
      </c>
    </row>
    <row r="47" spans="5:18">
      <c r="O47">
        <v>440</v>
      </c>
      <c r="P47">
        <f t="shared" si="0"/>
        <v>1075.3351206434318</v>
      </c>
      <c r="Q47">
        <f t="shared" si="4"/>
        <v>12.08762102273781</v>
      </c>
      <c r="R47">
        <f t="shared" si="5"/>
        <v>12.673695371207209</v>
      </c>
    </row>
    <row r="48" spans="5:18">
      <c r="O48">
        <v>450</v>
      </c>
      <c r="P48">
        <f t="shared" si="0"/>
        <v>1090.4825737265417</v>
      </c>
      <c r="Q48">
        <f t="shared" si="4"/>
        <v>12.362339682345489</v>
      </c>
      <c r="R48">
        <f t="shared" si="5"/>
        <v>12.961733902371009</v>
      </c>
    </row>
    <row r="49" spans="9:18" ht="18">
      <c r="I49" s="65"/>
      <c r="J49" s="65"/>
      <c r="K49" s="65"/>
      <c r="L49" s="65"/>
      <c r="M49" s="65"/>
      <c r="O49">
        <v>460</v>
      </c>
      <c r="P49">
        <f t="shared" si="0"/>
        <v>1105.6300268096516</v>
      </c>
      <c r="Q49">
        <f t="shared" si="4"/>
        <v>12.637058341953166</v>
      </c>
      <c r="R49">
        <f t="shared" si="5"/>
        <v>13.24977243353481</v>
      </c>
    </row>
    <row r="50" spans="9:18" ht="18">
      <c r="I50" s="65"/>
      <c r="J50" s="65"/>
      <c r="K50" s="65"/>
      <c r="L50" s="65"/>
      <c r="M50" s="65"/>
      <c r="O50">
        <v>470</v>
      </c>
      <c r="P50">
        <f t="shared" si="0"/>
        <v>1120.7774798927614</v>
      </c>
      <c r="Q50">
        <f t="shared" si="4"/>
        <v>12.911777001560843</v>
      </c>
      <c r="R50">
        <f t="shared" si="5"/>
        <v>13.537810964698609</v>
      </c>
    </row>
    <row r="51" spans="9:18" ht="18">
      <c r="I51" s="65"/>
      <c r="J51" s="65"/>
      <c r="K51" s="65"/>
      <c r="L51" s="65"/>
      <c r="M51" s="65"/>
      <c r="O51">
        <v>480</v>
      </c>
      <c r="P51">
        <f t="shared" si="0"/>
        <v>1135.9249329758713</v>
      </c>
      <c r="Q51">
        <f t="shared" si="4"/>
        <v>13.186495661168522</v>
      </c>
      <c r="R51">
        <f t="shared" si="5"/>
        <v>13.825849495862411</v>
      </c>
    </row>
    <row r="52" spans="9:18" ht="18">
      <c r="I52" s="65"/>
      <c r="J52" s="65"/>
      <c r="K52" s="65"/>
      <c r="L52" s="65"/>
      <c r="M52" s="65"/>
      <c r="O52">
        <v>490</v>
      </c>
      <c r="P52">
        <f t="shared" si="0"/>
        <v>1151.0723860589812</v>
      </c>
      <c r="Q52">
        <f t="shared" si="4"/>
        <v>13.461214320776199</v>
      </c>
      <c r="R52">
        <f t="shared" si="5"/>
        <v>14.11388802702621</v>
      </c>
    </row>
    <row r="53" spans="9:18" ht="18">
      <c r="I53" s="65"/>
      <c r="J53" s="65" t="s">
        <v>354</v>
      </c>
      <c r="K53" s="65"/>
      <c r="L53" s="65"/>
      <c r="M53" s="65"/>
      <c r="O53">
        <v>500</v>
      </c>
      <c r="P53">
        <f t="shared" si="0"/>
        <v>1166.2198391420914</v>
      </c>
      <c r="Q53">
        <f t="shared" si="4"/>
        <v>13.735932980383875</v>
      </c>
      <c r="R53">
        <f t="shared" si="5"/>
        <v>14.401926558190011</v>
      </c>
    </row>
    <row r="54" spans="9:18" ht="18">
      <c r="I54" s="65"/>
      <c r="J54" s="65"/>
      <c r="K54" s="65"/>
      <c r="L54" s="65"/>
      <c r="M54" s="65"/>
      <c r="O54">
        <v>510</v>
      </c>
      <c r="P54">
        <f t="shared" si="0"/>
        <v>1181.3672922252013</v>
      </c>
      <c r="Q54">
        <f t="shared" si="4"/>
        <v>14.010651639991554</v>
      </c>
      <c r="R54">
        <f t="shared" si="5"/>
        <v>14.689965089353811</v>
      </c>
    </row>
    <row r="55" spans="9:18" ht="18">
      <c r="I55" s="65"/>
      <c r="J55" s="65">
        <v>1830</v>
      </c>
      <c r="K55" s="65" t="s">
        <v>352</v>
      </c>
      <c r="L55" s="65"/>
      <c r="M55" s="65"/>
      <c r="O55">
        <v>520</v>
      </c>
      <c r="P55">
        <f t="shared" si="0"/>
        <v>1196.5147453083111</v>
      </c>
      <c r="Q55">
        <f t="shared" si="4"/>
        <v>14.285370299599231</v>
      </c>
      <c r="R55">
        <f t="shared" si="5"/>
        <v>14.978003620517612</v>
      </c>
    </row>
    <row r="56" spans="9:18" ht="18">
      <c r="I56" s="65"/>
      <c r="J56" s="65"/>
      <c r="K56" s="65"/>
      <c r="L56" s="65"/>
      <c r="M56" s="65"/>
      <c r="O56">
        <v>530</v>
      </c>
      <c r="P56">
        <f t="shared" si="0"/>
        <v>1211.662198391421</v>
      </c>
      <c r="Q56">
        <f t="shared" si="4"/>
        <v>14.560088959206908</v>
      </c>
      <c r="R56">
        <f t="shared" si="5"/>
        <v>15.266042151681411</v>
      </c>
    </row>
    <row r="57" spans="9:18" ht="18">
      <c r="I57" s="65"/>
      <c r="J57" s="65">
        <f>J55/H25</f>
        <v>245.30831099195711</v>
      </c>
      <c r="K57" s="65" t="s">
        <v>353</v>
      </c>
      <c r="L57" s="65"/>
      <c r="M57" s="65"/>
      <c r="O57">
        <v>540</v>
      </c>
      <c r="P57">
        <f t="shared" si="0"/>
        <v>1226.8096514745309</v>
      </c>
      <c r="Q57">
        <f t="shared" si="4"/>
        <v>14.834807618814587</v>
      </c>
      <c r="R57">
        <f t="shared" si="5"/>
        <v>15.554080682845211</v>
      </c>
    </row>
    <row r="58" spans="9:18" ht="18">
      <c r="I58" s="65"/>
      <c r="J58" s="65"/>
      <c r="K58" s="65"/>
      <c r="L58" s="65"/>
      <c r="M58" s="65"/>
      <c r="O58">
        <v>550</v>
      </c>
      <c r="P58">
        <f t="shared" si="0"/>
        <v>1241.9571045576411</v>
      </c>
      <c r="Q58">
        <f t="shared" si="4"/>
        <v>15.109526278422264</v>
      </c>
      <c r="R58">
        <f t="shared" si="5"/>
        <v>15.842119214009012</v>
      </c>
    </row>
    <row r="59" spans="9:18" ht="18">
      <c r="I59" s="65"/>
      <c r="J59" s="65"/>
      <c r="K59" s="65"/>
      <c r="L59" s="65"/>
      <c r="M59" s="65"/>
      <c r="O59">
        <v>560</v>
      </c>
      <c r="P59">
        <f t="shared" si="0"/>
        <v>1257.1045576407507</v>
      </c>
      <c r="Q59">
        <f t="shared" si="4"/>
        <v>15.384244938029941</v>
      </c>
      <c r="R59">
        <f t="shared" si="5"/>
        <v>16.130157745172813</v>
      </c>
    </row>
    <row r="60" spans="9:18" ht="18">
      <c r="I60" s="65"/>
      <c r="J60" s="65" t="s">
        <v>357</v>
      </c>
      <c r="K60" s="65"/>
      <c r="L60" s="65"/>
      <c r="M60" s="65"/>
      <c r="O60">
        <v>570</v>
      </c>
      <c r="P60">
        <f t="shared" si="0"/>
        <v>1272.2520107238608</v>
      </c>
      <c r="Q60">
        <f t="shared" si="4"/>
        <v>15.658963597637618</v>
      </c>
      <c r="R60">
        <f t="shared" si="5"/>
        <v>16.418196276336612</v>
      </c>
    </row>
    <row r="61" spans="9:18" ht="18">
      <c r="I61" s="65"/>
      <c r="J61" s="65">
        <f>1220</f>
        <v>1220</v>
      </c>
      <c r="K61" s="65" t="s">
        <v>352</v>
      </c>
      <c r="L61" s="65"/>
      <c r="M61" s="65"/>
      <c r="O61">
        <v>580</v>
      </c>
      <c r="P61">
        <f t="shared" si="0"/>
        <v>1287.3994638069705</v>
      </c>
      <c r="Q61">
        <f t="shared" si="4"/>
        <v>15.933682257245296</v>
      </c>
      <c r="R61">
        <f t="shared" si="5"/>
        <v>16.706234807500412</v>
      </c>
    </row>
    <row r="62" spans="9:18" ht="18">
      <c r="I62" s="65"/>
      <c r="J62" s="65"/>
      <c r="K62" s="65"/>
      <c r="L62" s="65"/>
      <c r="M62" s="65"/>
      <c r="O62">
        <v>590</v>
      </c>
      <c r="P62">
        <f t="shared" si="0"/>
        <v>1302.5469168900806</v>
      </c>
      <c r="Q62">
        <f t="shared" si="4"/>
        <v>16.208400916852973</v>
      </c>
      <c r="R62">
        <f t="shared" si="5"/>
        <v>16.994273338664211</v>
      </c>
    </row>
    <row r="63" spans="9:18" ht="18">
      <c r="I63" s="65"/>
      <c r="J63" s="65">
        <f>J61/H25</f>
        <v>163.53887399463807</v>
      </c>
      <c r="K63" s="65" t="s">
        <v>353</v>
      </c>
      <c r="L63" s="65"/>
      <c r="M63" s="65"/>
      <c r="O63">
        <v>600</v>
      </c>
      <c r="P63">
        <f t="shared" si="0"/>
        <v>1317.6943699731905</v>
      </c>
      <c r="Q63">
        <f t="shared" si="4"/>
        <v>16.483119576460652</v>
      </c>
      <c r="R63">
        <f t="shared" si="5"/>
        <v>17.282311869828014</v>
      </c>
    </row>
    <row r="64" spans="9:18" ht="18">
      <c r="I64" s="65"/>
      <c r="J64" s="65"/>
      <c r="K64" s="65"/>
      <c r="L64" s="65"/>
      <c r="M64" s="65"/>
      <c r="O64">
        <v>610</v>
      </c>
      <c r="P64">
        <f t="shared" si="0"/>
        <v>1332.8418230563004</v>
      </c>
      <c r="Q64">
        <f t="shared" si="4"/>
        <v>16.757838236068327</v>
      </c>
      <c r="R64">
        <f t="shared" si="5"/>
        <v>17.570350400991813</v>
      </c>
    </row>
    <row r="65" spans="9:18" ht="18">
      <c r="I65" s="65"/>
      <c r="J65" s="65"/>
      <c r="K65" s="65"/>
      <c r="L65" s="65"/>
      <c r="M65" s="65"/>
      <c r="O65">
        <v>620</v>
      </c>
      <c r="P65">
        <f t="shared" si="0"/>
        <v>1347.9892761394103</v>
      </c>
      <c r="Q65">
        <f t="shared" si="4"/>
        <v>17.032556895676006</v>
      </c>
      <c r="R65">
        <f t="shared" si="5"/>
        <v>17.858388932155613</v>
      </c>
    </row>
    <row r="66" spans="9:18" ht="18">
      <c r="I66" s="65"/>
      <c r="J66" s="65"/>
      <c r="K66" s="65"/>
      <c r="L66" s="65"/>
      <c r="M66" s="65"/>
      <c r="O66">
        <v>630</v>
      </c>
      <c r="P66">
        <f t="shared" si="0"/>
        <v>1363.1367292225202</v>
      </c>
      <c r="Q66">
        <f t="shared" si="4"/>
        <v>17.307275555283685</v>
      </c>
      <c r="R66">
        <f t="shared" si="5"/>
        <v>18.146427463319412</v>
      </c>
    </row>
    <row r="67" spans="9:18" ht="18">
      <c r="I67" s="65"/>
      <c r="J67" s="65"/>
      <c r="K67" s="65"/>
      <c r="L67" s="65"/>
      <c r="M67" s="65"/>
      <c r="O67">
        <v>640</v>
      </c>
      <c r="P67">
        <f t="shared" si="0"/>
        <v>1378.2841823056303</v>
      </c>
      <c r="Q67">
        <f t="shared" si="4"/>
        <v>17.58199421489136</v>
      </c>
      <c r="R67">
        <f t="shared" si="5"/>
        <v>18.434465994483212</v>
      </c>
    </row>
    <row r="68" spans="9:18">
      <c r="O68">
        <v>650</v>
      </c>
      <c r="P68">
        <f t="shared" si="0"/>
        <v>1393.43163538874</v>
      </c>
      <c r="Q68">
        <f t="shared" si="4"/>
        <v>17.856712874499038</v>
      </c>
      <c r="R68">
        <f t="shared" si="5"/>
        <v>18.722504525647015</v>
      </c>
    </row>
    <row r="69" spans="9:18">
      <c r="O69">
        <v>660</v>
      </c>
      <c r="P69">
        <f t="shared" ref="P69:P103" si="7">$E$27*O69+$J$57+$J$63</f>
        <v>1408.5790884718501</v>
      </c>
      <c r="Q69">
        <f t="shared" si="4"/>
        <v>18.131431534106717</v>
      </c>
      <c r="R69">
        <f t="shared" si="5"/>
        <v>19.010543056810814</v>
      </c>
    </row>
    <row r="70" spans="9:18">
      <c r="O70">
        <v>670</v>
      </c>
      <c r="P70">
        <f t="shared" si="7"/>
        <v>1423.7265415549598</v>
      </c>
      <c r="Q70">
        <f t="shared" si="4"/>
        <v>18.406150193714392</v>
      </c>
      <c r="R70">
        <f t="shared" si="5"/>
        <v>19.298581587974613</v>
      </c>
    </row>
    <row r="71" spans="9:18">
      <c r="O71">
        <v>680</v>
      </c>
      <c r="P71">
        <f t="shared" si="7"/>
        <v>1438.8739946380699</v>
      </c>
      <c r="Q71">
        <f t="shared" si="4"/>
        <v>18.680868853322071</v>
      </c>
      <c r="R71">
        <f t="shared" si="5"/>
        <v>19.586620119138413</v>
      </c>
    </row>
    <row r="72" spans="9:18">
      <c r="O72">
        <v>690</v>
      </c>
      <c r="P72">
        <f t="shared" si="7"/>
        <v>1454.0214477211798</v>
      </c>
      <c r="Q72">
        <f t="shared" si="4"/>
        <v>18.95558751292975</v>
      </c>
      <c r="R72">
        <f t="shared" si="5"/>
        <v>19.874658650302216</v>
      </c>
    </row>
    <row r="73" spans="9:18">
      <c r="O73">
        <v>700</v>
      </c>
      <c r="P73">
        <f t="shared" si="7"/>
        <v>1469.1689008042897</v>
      </c>
      <c r="Q73">
        <f t="shared" si="4"/>
        <v>19.230306172537425</v>
      </c>
      <c r="R73">
        <f t="shared" si="5"/>
        <v>20.162697181466015</v>
      </c>
    </row>
    <row r="74" spans="9:18">
      <c r="O74">
        <v>710</v>
      </c>
      <c r="P74">
        <f t="shared" si="7"/>
        <v>1484.3163538873996</v>
      </c>
      <c r="Q74">
        <f t="shared" si="4"/>
        <v>19.505024832145104</v>
      </c>
      <c r="R74">
        <f t="shared" si="5"/>
        <v>20.450735712629815</v>
      </c>
    </row>
    <row r="75" spans="9:18">
      <c r="O75">
        <v>720</v>
      </c>
      <c r="P75">
        <f t="shared" si="7"/>
        <v>1499.4638069705095</v>
      </c>
      <c r="Q75">
        <f t="shared" si="4"/>
        <v>19.779743491752782</v>
      </c>
      <c r="R75">
        <f t="shared" si="5"/>
        <v>20.738774243793614</v>
      </c>
    </row>
    <row r="76" spans="9:18">
      <c r="O76">
        <v>730</v>
      </c>
      <c r="P76">
        <f t="shared" si="7"/>
        <v>1514.6112600536194</v>
      </c>
      <c r="Q76">
        <f t="shared" si="4"/>
        <v>20.054462151360458</v>
      </c>
      <c r="R76">
        <f t="shared" si="5"/>
        <v>21.026812774957417</v>
      </c>
    </row>
    <row r="77" spans="9:18">
      <c r="O77">
        <v>740</v>
      </c>
      <c r="P77">
        <f t="shared" si="7"/>
        <v>1529.7587131367295</v>
      </c>
      <c r="Q77">
        <f t="shared" si="4"/>
        <v>20.329180810968136</v>
      </c>
      <c r="R77">
        <f t="shared" si="5"/>
        <v>21.314851306121216</v>
      </c>
    </row>
    <row r="78" spans="9:18">
      <c r="O78">
        <v>750</v>
      </c>
      <c r="P78">
        <f t="shared" si="7"/>
        <v>1544.9061662198394</v>
      </c>
      <c r="Q78">
        <f t="shared" si="4"/>
        <v>20.603899470575815</v>
      </c>
      <c r="R78">
        <f t="shared" si="5"/>
        <v>21.602889837285016</v>
      </c>
    </row>
    <row r="79" spans="9:18">
      <c r="O79">
        <v>760</v>
      </c>
      <c r="P79">
        <f t="shared" si="7"/>
        <v>1560.0536193029493</v>
      </c>
      <c r="Q79">
        <f t="shared" si="4"/>
        <v>20.87861813018349</v>
      </c>
      <c r="R79">
        <f t="shared" si="5"/>
        <v>21.890928368448815</v>
      </c>
    </row>
    <row r="80" spans="9:18">
      <c r="O80">
        <v>770</v>
      </c>
      <c r="P80">
        <f t="shared" si="7"/>
        <v>1575.2010723860592</v>
      </c>
      <c r="Q80">
        <f t="shared" ref="Q80:Q103" si="8">$H$8*O80</f>
        <v>21.153336789791169</v>
      </c>
      <c r="R80">
        <f t="shared" ref="R80:R103" si="9">$I$8*O80</f>
        <v>22.178966899612615</v>
      </c>
    </row>
    <row r="81" spans="15:18">
      <c r="O81">
        <v>780</v>
      </c>
      <c r="P81">
        <f t="shared" si="7"/>
        <v>1590.3485254691691</v>
      </c>
      <c r="Q81">
        <f t="shared" si="8"/>
        <v>21.428055449398848</v>
      </c>
      <c r="R81">
        <f t="shared" si="9"/>
        <v>22.467005430776418</v>
      </c>
    </row>
    <row r="82" spans="15:18">
      <c r="O82">
        <v>790</v>
      </c>
      <c r="P82">
        <f t="shared" si="7"/>
        <v>1605.495978552279</v>
      </c>
      <c r="Q82">
        <f t="shared" si="8"/>
        <v>21.702774109006523</v>
      </c>
      <c r="R82">
        <f t="shared" si="9"/>
        <v>22.755043961940217</v>
      </c>
    </row>
    <row r="83" spans="15:18">
      <c r="O83">
        <v>800</v>
      </c>
      <c r="P83">
        <f t="shared" si="7"/>
        <v>1620.6434316353889</v>
      </c>
      <c r="Q83">
        <f t="shared" si="8"/>
        <v>21.977492768614201</v>
      </c>
      <c r="R83">
        <f t="shared" si="9"/>
        <v>23.043082493104016</v>
      </c>
    </row>
    <row r="84" spans="15:18">
      <c r="O84">
        <v>810</v>
      </c>
      <c r="P84">
        <f t="shared" si="7"/>
        <v>1635.7908847184988</v>
      </c>
      <c r="Q84">
        <f t="shared" si="8"/>
        <v>22.25221142822188</v>
      </c>
      <c r="R84">
        <f t="shared" si="9"/>
        <v>23.331121024267816</v>
      </c>
    </row>
    <row r="85" spans="15:18">
      <c r="O85">
        <v>820</v>
      </c>
      <c r="P85">
        <f t="shared" si="7"/>
        <v>1650.9383378016087</v>
      </c>
      <c r="Q85">
        <f t="shared" si="8"/>
        <v>22.526930087829555</v>
      </c>
      <c r="R85">
        <f t="shared" si="9"/>
        <v>23.619159555431619</v>
      </c>
    </row>
    <row r="86" spans="15:18">
      <c r="O86">
        <v>830</v>
      </c>
      <c r="P86">
        <f t="shared" si="7"/>
        <v>1666.0857908847188</v>
      </c>
      <c r="Q86">
        <f t="shared" si="8"/>
        <v>22.801648747437234</v>
      </c>
      <c r="R86">
        <f t="shared" si="9"/>
        <v>23.907198086595418</v>
      </c>
    </row>
    <row r="87" spans="15:18">
      <c r="O87">
        <v>840</v>
      </c>
      <c r="P87">
        <f t="shared" si="7"/>
        <v>1681.2332439678287</v>
      </c>
      <c r="Q87">
        <f t="shared" si="8"/>
        <v>23.076367407044913</v>
      </c>
      <c r="R87">
        <f t="shared" si="9"/>
        <v>24.195236617759218</v>
      </c>
    </row>
    <row r="88" spans="15:18">
      <c r="O88">
        <v>850</v>
      </c>
      <c r="P88">
        <f t="shared" si="7"/>
        <v>1696.3806970509386</v>
      </c>
      <c r="Q88">
        <f t="shared" si="8"/>
        <v>23.351086066652588</v>
      </c>
      <c r="R88">
        <f t="shared" si="9"/>
        <v>24.483275148923017</v>
      </c>
    </row>
    <row r="89" spans="15:18">
      <c r="O89">
        <v>860</v>
      </c>
      <c r="P89">
        <f t="shared" si="7"/>
        <v>1711.5281501340485</v>
      </c>
      <c r="Q89">
        <f t="shared" si="8"/>
        <v>23.625804726260267</v>
      </c>
      <c r="R89">
        <f t="shared" si="9"/>
        <v>24.771313680086816</v>
      </c>
    </row>
    <row r="90" spans="15:18">
      <c r="O90">
        <v>870</v>
      </c>
      <c r="P90">
        <f t="shared" si="7"/>
        <v>1726.6756032171584</v>
      </c>
      <c r="Q90">
        <f t="shared" si="8"/>
        <v>23.900523385867945</v>
      </c>
      <c r="R90">
        <f t="shared" si="9"/>
        <v>25.059352211250619</v>
      </c>
    </row>
    <row r="91" spans="15:18">
      <c r="O91">
        <v>880</v>
      </c>
      <c r="P91">
        <f t="shared" si="7"/>
        <v>1741.8230563002683</v>
      </c>
      <c r="Q91">
        <f t="shared" si="8"/>
        <v>24.175242045475621</v>
      </c>
      <c r="R91">
        <f t="shared" si="9"/>
        <v>25.347390742414419</v>
      </c>
    </row>
    <row r="92" spans="15:18">
      <c r="O92">
        <v>890</v>
      </c>
      <c r="P92">
        <f t="shared" si="7"/>
        <v>1756.9705093833782</v>
      </c>
      <c r="Q92">
        <f t="shared" si="8"/>
        <v>24.449960705083299</v>
      </c>
      <c r="R92">
        <f t="shared" si="9"/>
        <v>25.635429273578218</v>
      </c>
    </row>
    <row r="93" spans="15:18">
      <c r="O93">
        <v>900</v>
      </c>
      <c r="P93">
        <f t="shared" si="7"/>
        <v>1772.1179624664881</v>
      </c>
      <c r="Q93">
        <f t="shared" si="8"/>
        <v>24.724679364690978</v>
      </c>
      <c r="R93">
        <f t="shared" si="9"/>
        <v>25.923467804742018</v>
      </c>
    </row>
    <row r="94" spans="15:18">
      <c r="O94">
        <v>910</v>
      </c>
      <c r="P94">
        <f t="shared" si="7"/>
        <v>1787.2654155495979</v>
      </c>
      <c r="Q94">
        <f t="shared" si="8"/>
        <v>24.999398024298653</v>
      </c>
      <c r="R94">
        <f t="shared" si="9"/>
        <v>26.21150633590582</v>
      </c>
    </row>
    <row r="95" spans="15:18">
      <c r="O95">
        <v>920</v>
      </c>
      <c r="P95">
        <f t="shared" si="7"/>
        <v>1802.4128686327081</v>
      </c>
      <c r="Q95">
        <f t="shared" si="8"/>
        <v>25.274116683906332</v>
      </c>
      <c r="R95">
        <f t="shared" si="9"/>
        <v>26.49954486706962</v>
      </c>
    </row>
    <row r="96" spans="15:18">
      <c r="O96">
        <v>930</v>
      </c>
      <c r="P96">
        <f t="shared" si="7"/>
        <v>1817.560321715818</v>
      </c>
      <c r="Q96">
        <f t="shared" si="8"/>
        <v>25.548835343514011</v>
      </c>
      <c r="R96">
        <f t="shared" si="9"/>
        <v>26.787583398233419</v>
      </c>
    </row>
    <row r="97" spans="15:18">
      <c r="O97">
        <v>940</v>
      </c>
      <c r="P97">
        <f t="shared" si="7"/>
        <v>1832.7077747989279</v>
      </c>
      <c r="Q97">
        <f t="shared" si="8"/>
        <v>25.823554003121686</v>
      </c>
      <c r="R97">
        <f t="shared" si="9"/>
        <v>27.075621929397219</v>
      </c>
    </row>
    <row r="98" spans="15:18">
      <c r="O98">
        <v>950</v>
      </c>
      <c r="P98">
        <f t="shared" si="7"/>
        <v>1847.8552278820378</v>
      </c>
      <c r="Q98">
        <f t="shared" si="8"/>
        <v>26.098272662729364</v>
      </c>
      <c r="R98">
        <f t="shared" si="9"/>
        <v>27.363660460561022</v>
      </c>
    </row>
    <row r="99" spans="15:18">
      <c r="O99">
        <v>960</v>
      </c>
      <c r="P99">
        <f t="shared" si="7"/>
        <v>1863.0026809651476</v>
      </c>
      <c r="Q99">
        <f t="shared" si="8"/>
        <v>26.372991322337043</v>
      </c>
      <c r="R99">
        <f t="shared" si="9"/>
        <v>27.651698991724821</v>
      </c>
    </row>
    <row r="100" spans="15:18">
      <c r="O100">
        <v>970</v>
      </c>
      <c r="P100">
        <f t="shared" si="7"/>
        <v>1878.1501340482575</v>
      </c>
      <c r="Q100">
        <f t="shared" si="8"/>
        <v>26.647709981944718</v>
      </c>
      <c r="R100">
        <f t="shared" si="9"/>
        <v>27.93973752288862</v>
      </c>
    </row>
    <row r="101" spans="15:18">
      <c r="O101">
        <v>980</v>
      </c>
      <c r="P101">
        <f t="shared" si="7"/>
        <v>1893.2975871313674</v>
      </c>
      <c r="Q101">
        <f t="shared" si="8"/>
        <v>26.922428641552397</v>
      </c>
      <c r="R101">
        <f t="shared" si="9"/>
        <v>28.22777605405242</v>
      </c>
    </row>
    <row r="102" spans="15:18">
      <c r="O102">
        <v>990</v>
      </c>
      <c r="P102">
        <f t="shared" si="7"/>
        <v>1908.4450402144773</v>
      </c>
      <c r="Q102">
        <f t="shared" si="8"/>
        <v>27.197147301160076</v>
      </c>
      <c r="R102">
        <f t="shared" si="9"/>
        <v>28.515814585216219</v>
      </c>
    </row>
    <row r="103" spans="15:18">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K11" sqref="K11"/>
    </sheetView>
  </sheetViews>
  <sheetFormatPr defaultRowHeight="14.4"/>
  <cols>
    <col min="4" max="4" width="12.33203125" bestFit="1" customWidth="1"/>
    <col min="5" max="5" width="13.88671875" bestFit="1" customWidth="1"/>
    <col min="6" max="6" width="11.44140625" bestFit="1" customWidth="1"/>
    <col min="7" max="7" width="14.218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333</v>
      </c>
      <c r="D11" t="s">
        <v>334</v>
      </c>
      <c r="F11" s="141" t="s">
        <v>343</v>
      </c>
      <c r="G11" t="s">
        <v>332</v>
      </c>
      <c r="I11" s="141">
        <v>2020</v>
      </c>
      <c r="J11" s="141">
        <v>2030</v>
      </c>
      <c r="K11" s="141">
        <f>METHANOL!K45</f>
        <v>0.55446444808146933</v>
      </c>
      <c r="L11" s="141"/>
      <c r="N11" s="141">
        <v>0.95</v>
      </c>
      <c r="O11" s="142">
        <v>20</v>
      </c>
      <c r="P11" s="141">
        <v>1</v>
      </c>
      <c r="Q11" s="141">
        <f>(METHANOL!I18+METHANOL!I20)*4/365</f>
        <v>0.38946766540468286</v>
      </c>
      <c r="R11" s="141">
        <f>METHANOL!I19*4/365</f>
        <v>2.1191852426468579E-3</v>
      </c>
      <c r="S11" s="143"/>
      <c r="T11" s="143"/>
      <c r="Y11" s="128" t="s">
        <v>263</v>
      </c>
      <c r="Z11" s="129"/>
      <c r="AA11" s="129"/>
      <c r="AB11" s="129"/>
      <c r="AC11" s="129"/>
      <c r="AD11" s="129"/>
      <c r="AE11" s="129"/>
      <c r="AF11" s="129"/>
    </row>
    <row r="12" spans="3:32">
      <c r="I12" s="133">
        <v>2030</v>
      </c>
      <c r="J12" s="133"/>
      <c r="K12" s="141">
        <f>METHANOL!K45</f>
        <v>0.55446444808146933</v>
      </c>
      <c r="N12">
        <v>0.95</v>
      </c>
      <c r="O12" s="138">
        <v>20</v>
      </c>
      <c r="P12" s="140">
        <v>1</v>
      </c>
      <c r="Q12" s="141">
        <f>(METHANOL!I18+METHANOL!I20)*4/365</f>
        <v>0.38946766540468286</v>
      </c>
      <c r="R12" s="141">
        <f>METHANOL!I19*4/365</f>
        <v>2.1191852426468579E-3</v>
      </c>
      <c r="S12" s="137"/>
      <c r="T12" s="137"/>
      <c r="Y12" s="130" t="s">
        <v>264</v>
      </c>
      <c r="Z12" s="130" t="s">
        <v>222</v>
      </c>
      <c r="AA12" s="130" t="s">
        <v>223</v>
      </c>
      <c r="AB12" s="130" t="s">
        <v>265</v>
      </c>
      <c r="AC12" s="130" t="s">
        <v>266</v>
      </c>
      <c r="AD12" s="130" t="s">
        <v>267</v>
      </c>
      <c r="AE12" s="130" t="s">
        <v>268</v>
      </c>
      <c r="AF12" s="130" t="s">
        <v>269</v>
      </c>
    </row>
    <row r="13" spans="3:32" ht="42.6" thickBot="1">
      <c r="I13">
        <v>2050</v>
      </c>
      <c r="K13">
        <f>METHANOL!L45</f>
        <v>0.65347234850780955</v>
      </c>
      <c r="N13">
        <v>0.95</v>
      </c>
      <c r="O13" s="138">
        <v>20</v>
      </c>
      <c r="P13" s="140">
        <v>1</v>
      </c>
      <c r="Q13" s="141">
        <f>(METHANOL!I18+METHANOL!I20)*4/365</f>
        <v>0.38946766540468286</v>
      </c>
      <c r="R13" s="141">
        <f>METHANOL!I19*4/365</f>
        <v>2.1191852426468579E-3</v>
      </c>
      <c r="S13" s="137"/>
      <c r="T13" s="137"/>
      <c r="Y13" s="131" t="s">
        <v>270</v>
      </c>
      <c r="Z13" s="131" t="s">
        <v>271</v>
      </c>
      <c r="AA13" s="131" t="s">
        <v>241</v>
      </c>
      <c r="AB13" s="131" t="s">
        <v>272</v>
      </c>
      <c r="AC13" s="131" t="s">
        <v>273</v>
      </c>
      <c r="AD13" s="131" t="s">
        <v>274</v>
      </c>
      <c r="AE13" s="131" t="s">
        <v>275</v>
      </c>
      <c r="AF13" s="131" t="s">
        <v>276</v>
      </c>
    </row>
    <row r="14" spans="3:32" ht="15" thickBot="1">
      <c r="Y14" s="131" t="s">
        <v>277</v>
      </c>
      <c r="Z14" s="131"/>
      <c r="AA14" s="131"/>
      <c r="AB14" s="131"/>
      <c r="AC14" s="131"/>
      <c r="AD14" s="131"/>
      <c r="AE14" s="131"/>
      <c r="AF14" s="131"/>
    </row>
    <row r="15" spans="3:32">
      <c r="Y15" t="s">
        <v>278</v>
      </c>
      <c r="Z15" t="s">
        <v>333</v>
      </c>
      <c r="AA15" t="s">
        <v>334</v>
      </c>
      <c r="AB15" t="s">
        <v>221</v>
      </c>
      <c r="AC15" t="s">
        <v>296</v>
      </c>
      <c r="AD15" s="133" t="s">
        <v>219</v>
      </c>
      <c r="AE15" t="s">
        <v>332</v>
      </c>
      <c r="AF15" t="s">
        <v>279</v>
      </c>
    </row>
    <row r="18" spans="15:16">
      <c r="O18" s="138"/>
      <c r="P18" s="140"/>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abSelected="1" topLeftCell="B1" workbookViewId="0">
      <selection activeCell="K25" sqref="K25"/>
    </sheetView>
  </sheetViews>
  <sheetFormatPr defaultRowHeight="14.4"/>
  <cols>
    <col min="9" max="9" width="30.33203125" customWidth="1"/>
    <col min="10" max="10" width="13.5546875" customWidth="1"/>
  </cols>
  <sheetData>
    <row r="2" spans="2:19" ht="18">
      <c r="B2" t="s">
        <v>215</v>
      </c>
      <c r="I2" s="65" t="s">
        <v>155</v>
      </c>
    </row>
    <row r="3" spans="2:19">
      <c r="I3" t="s">
        <v>218</v>
      </c>
      <c r="P3" t="s">
        <v>1</v>
      </c>
    </row>
    <row r="5" spans="2:19">
      <c r="I5" s="47" t="s">
        <v>25</v>
      </c>
      <c r="J5" s="52">
        <v>20</v>
      </c>
    </row>
    <row r="7" spans="2:19">
      <c r="P7" t="s">
        <v>217</v>
      </c>
    </row>
    <row r="8" spans="2:19">
      <c r="P8">
        <v>11.95</v>
      </c>
      <c r="Q8" t="s">
        <v>157</v>
      </c>
    </row>
    <row r="9" spans="2:19">
      <c r="J9" t="s">
        <v>200</v>
      </c>
      <c r="K9">
        <v>2050</v>
      </c>
      <c r="P9">
        <v>11.95</v>
      </c>
      <c r="Q9" t="s">
        <v>158</v>
      </c>
    </row>
    <row r="10" spans="2:19">
      <c r="I10" s="27" t="s">
        <v>126</v>
      </c>
      <c r="J10" s="52">
        <v>2205</v>
      </c>
      <c r="K10" s="52">
        <v>1715</v>
      </c>
      <c r="P10">
        <v>11.95</v>
      </c>
      <c r="Q10" t="s">
        <v>159</v>
      </c>
      <c r="R10">
        <f>P10/1000</f>
        <v>1.1949999999999999E-2</v>
      </c>
      <c r="S10" t="s">
        <v>208</v>
      </c>
    </row>
    <row r="11" spans="2:19">
      <c r="I11" s="62" t="s">
        <v>131</v>
      </c>
      <c r="J11" s="52">
        <v>780.22546079682832</v>
      </c>
      <c r="P11">
        <f>P9/1000</f>
        <v>1.1949999999999999E-2</v>
      </c>
      <c r="Q11" t="s">
        <v>160</v>
      </c>
    </row>
    <row r="12" spans="2:19">
      <c r="I12" s="62" t="s">
        <v>134</v>
      </c>
      <c r="J12" s="52">
        <v>4.2534908720000004</v>
      </c>
    </row>
    <row r="13" spans="2:19">
      <c r="I13" s="62" t="s">
        <v>137</v>
      </c>
      <c r="J13" s="52">
        <v>1.4887218052</v>
      </c>
    </row>
    <row r="17" spans="9:20">
      <c r="I17" s="27" t="s">
        <v>338</v>
      </c>
      <c r="J17">
        <f>J10/1000000</f>
        <v>2.2049999999999999E-3</v>
      </c>
      <c r="K17">
        <f>K10/1000000</f>
        <v>1.7149999999999999E-3</v>
      </c>
    </row>
    <row r="18" spans="9:20">
      <c r="I18" s="62" t="s">
        <v>335</v>
      </c>
      <c r="J18" s="63">
        <f>J11/(1000000*$P$19*$P$9)</f>
        <v>18.136342649856541</v>
      </c>
      <c r="P18" t="s">
        <v>161</v>
      </c>
      <c r="S18" t="s">
        <v>297</v>
      </c>
    </row>
    <row r="19" spans="9:20">
      <c r="I19" s="62" t="s">
        <v>336</v>
      </c>
      <c r="J19" s="63">
        <f>J12/(1000000*$P$19*$P$9)</f>
        <v>9.8872405206880537E-2</v>
      </c>
      <c r="P19">
        <v>3.5999999999999998E-6</v>
      </c>
      <c r="S19">
        <v>45000</v>
      </c>
      <c r="T19" t="s">
        <v>298</v>
      </c>
    </row>
    <row r="20" spans="9:20">
      <c r="I20" s="62" t="s">
        <v>337</v>
      </c>
      <c r="J20" s="63">
        <f>J13/(1000000*$P$19*$P$9)</f>
        <v>3.4605341822408188E-2</v>
      </c>
    </row>
    <row r="22" spans="9:20">
      <c r="S22">
        <f>P9*P19*S19</f>
        <v>1.9359</v>
      </c>
    </row>
    <row r="24" spans="9:20">
      <c r="I24" t="s">
        <v>153</v>
      </c>
      <c r="L24" t="s">
        <v>300</v>
      </c>
      <c r="M24" t="s">
        <v>301</v>
      </c>
    </row>
    <row r="25" spans="9:20">
      <c r="I25">
        <v>10</v>
      </c>
      <c r="J25">
        <f>I25*$J$17</f>
        <v>2.205E-2</v>
      </c>
      <c r="K25">
        <f t="shared" ref="K25:K66" si="0">$K$17*I25</f>
        <v>1.7149999999999999E-2</v>
      </c>
    </row>
    <row r="26" spans="9:20">
      <c r="I26">
        <v>20</v>
      </c>
      <c r="J26">
        <f>I26*$J$17</f>
        <v>4.41E-2</v>
      </c>
      <c r="K26">
        <f t="shared" si="0"/>
        <v>3.4299999999999997E-2</v>
      </c>
    </row>
    <row r="27" spans="9:20">
      <c r="I27">
        <v>30</v>
      </c>
      <c r="J27">
        <f t="shared" ref="J27:J89" si="1">I27*$J$17</f>
        <v>6.615E-2</v>
      </c>
      <c r="K27">
        <f t="shared" si="0"/>
        <v>5.1449999999999996E-2</v>
      </c>
    </row>
    <row r="28" spans="9:20">
      <c r="I28">
        <v>40</v>
      </c>
      <c r="J28">
        <f>I28*$J$17</f>
        <v>8.8200000000000001E-2</v>
      </c>
      <c r="K28">
        <f t="shared" si="0"/>
        <v>6.8599999999999994E-2</v>
      </c>
    </row>
    <row r="29" spans="9:20">
      <c r="I29">
        <v>50</v>
      </c>
      <c r="J29">
        <f>I29*$J$17</f>
        <v>0.11025</v>
      </c>
      <c r="K29">
        <f t="shared" si="0"/>
        <v>8.5749999999999993E-2</v>
      </c>
    </row>
    <row r="30" spans="9:20">
      <c r="I30">
        <v>60</v>
      </c>
      <c r="J30">
        <f t="shared" si="1"/>
        <v>0.1323</v>
      </c>
      <c r="K30">
        <f t="shared" si="0"/>
        <v>0.10289999999999999</v>
      </c>
    </row>
    <row r="31" spans="9:20">
      <c r="I31">
        <v>70</v>
      </c>
      <c r="J31">
        <f t="shared" si="1"/>
        <v>0.15434999999999999</v>
      </c>
      <c r="K31">
        <f t="shared" si="0"/>
        <v>0.12004999999999999</v>
      </c>
    </row>
    <row r="32" spans="9:20">
      <c r="I32">
        <v>80</v>
      </c>
      <c r="J32">
        <f>I32*$J$17</f>
        <v>0.1764</v>
      </c>
      <c r="K32">
        <f t="shared" si="0"/>
        <v>0.13719999999999999</v>
      </c>
    </row>
    <row r="33" spans="9:11">
      <c r="I33">
        <v>90</v>
      </c>
      <c r="J33">
        <f t="shared" si="1"/>
        <v>0.19844999999999999</v>
      </c>
      <c r="K33">
        <f t="shared" si="0"/>
        <v>0.15434999999999999</v>
      </c>
    </row>
    <row r="34" spans="9:11">
      <c r="I34">
        <v>100</v>
      </c>
      <c r="J34">
        <f t="shared" si="1"/>
        <v>0.2205</v>
      </c>
      <c r="K34">
        <f t="shared" si="0"/>
        <v>0.17149999999999999</v>
      </c>
    </row>
    <row r="35" spans="9:11">
      <c r="I35">
        <v>110</v>
      </c>
      <c r="J35">
        <f t="shared" si="1"/>
        <v>0.24254999999999999</v>
      </c>
      <c r="K35">
        <f t="shared" si="0"/>
        <v>0.18864999999999998</v>
      </c>
    </row>
    <row r="36" spans="9:11">
      <c r="I36">
        <v>120</v>
      </c>
      <c r="J36">
        <f t="shared" si="1"/>
        <v>0.2646</v>
      </c>
      <c r="K36">
        <f t="shared" si="0"/>
        <v>0.20579999999999998</v>
      </c>
    </row>
    <row r="37" spans="9:11">
      <c r="I37">
        <v>130</v>
      </c>
      <c r="J37">
        <f t="shared" si="1"/>
        <v>0.28665000000000002</v>
      </c>
      <c r="K37">
        <f t="shared" si="0"/>
        <v>0.22294999999999998</v>
      </c>
    </row>
    <row r="38" spans="9:11">
      <c r="I38">
        <v>140</v>
      </c>
      <c r="J38">
        <f t="shared" si="1"/>
        <v>0.30869999999999997</v>
      </c>
      <c r="K38">
        <f t="shared" si="0"/>
        <v>0.24009999999999998</v>
      </c>
    </row>
    <row r="39" spans="9:11">
      <c r="I39">
        <v>150</v>
      </c>
      <c r="J39">
        <f t="shared" si="1"/>
        <v>0.33074999999999999</v>
      </c>
      <c r="K39">
        <f t="shared" si="0"/>
        <v>0.25724999999999998</v>
      </c>
    </row>
    <row r="40" spans="9:11">
      <c r="I40">
        <v>160</v>
      </c>
      <c r="J40">
        <f t="shared" si="1"/>
        <v>0.3528</v>
      </c>
      <c r="K40">
        <f t="shared" si="0"/>
        <v>0.27439999999999998</v>
      </c>
    </row>
    <row r="41" spans="9:11">
      <c r="I41">
        <v>170</v>
      </c>
      <c r="J41">
        <f t="shared" si="1"/>
        <v>0.37484999999999996</v>
      </c>
      <c r="K41">
        <f t="shared" si="0"/>
        <v>0.29154999999999998</v>
      </c>
    </row>
    <row r="42" spans="9:11">
      <c r="I42">
        <v>180</v>
      </c>
      <c r="J42">
        <f t="shared" si="1"/>
        <v>0.39689999999999998</v>
      </c>
      <c r="K42">
        <f t="shared" si="0"/>
        <v>0.30869999999999997</v>
      </c>
    </row>
    <row r="43" spans="9:11">
      <c r="I43">
        <v>190</v>
      </c>
      <c r="J43">
        <f t="shared" si="1"/>
        <v>0.41894999999999999</v>
      </c>
      <c r="K43">
        <f t="shared" si="0"/>
        <v>0.32584999999999997</v>
      </c>
    </row>
    <row r="44" spans="9:11">
      <c r="I44">
        <v>200</v>
      </c>
      <c r="J44">
        <f t="shared" si="1"/>
        <v>0.441</v>
      </c>
      <c r="K44">
        <f t="shared" si="0"/>
        <v>0.34299999999999997</v>
      </c>
    </row>
    <row r="45" spans="9:11">
      <c r="I45">
        <v>210</v>
      </c>
      <c r="J45">
        <f t="shared" si="1"/>
        <v>0.46304999999999996</v>
      </c>
      <c r="K45">
        <f t="shared" si="0"/>
        <v>0.36014999999999997</v>
      </c>
    </row>
    <row r="46" spans="9:11">
      <c r="I46">
        <v>220</v>
      </c>
      <c r="J46">
        <f t="shared" si="1"/>
        <v>0.48509999999999998</v>
      </c>
      <c r="K46">
        <f t="shared" si="0"/>
        <v>0.37729999999999997</v>
      </c>
    </row>
    <row r="47" spans="9:11">
      <c r="I47">
        <v>230</v>
      </c>
      <c r="J47">
        <f t="shared" si="1"/>
        <v>0.50714999999999999</v>
      </c>
      <c r="K47">
        <f t="shared" si="0"/>
        <v>0.39444999999999997</v>
      </c>
    </row>
    <row r="48" spans="9:11">
      <c r="I48">
        <v>240</v>
      </c>
      <c r="J48">
        <f t="shared" si="1"/>
        <v>0.5292</v>
      </c>
      <c r="K48">
        <f t="shared" si="0"/>
        <v>0.41159999999999997</v>
      </c>
    </row>
    <row r="49" spans="9:11">
      <c r="I49">
        <v>250</v>
      </c>
      <c r="J49">
        <f t="shared" si="1"/>
        <v>0.55125000000000002</v>
      </c>
      <c r="K49">
        <f t="shared" si="0"/>
        <v>0.42874999999999996</v>
      </c>
    </row>
    <row r="50" spans="9:11">
      <c r="I50">
        <v>260</v>
      </c>
      <c r="J50">
        <f t="shared" si="1"/>
        <v>0.57330000000000003</v>
      </c>
      <c r="K50">
        <f t="shared" si="0"/>
        <v>0.44589999999999996</v>
      </c>
    </row>
    <row r="51" spans="9:11">
      <c r="I51">
        <v>270</v>
      </c>
      <c r="J51">
        <f t="shared" si="1"/>
        <v>0.59534999999999993</v>
      </c>
      <c r="K51">
        <f t="shared" si="0"/>
        <v>0.46304999999999996</v>
      </c>
    </row>
    <row r="52" spans="9:11">
      <c r="I52">
        <v>280</v>
      </c>
      <c r="J52">
        <f t="shared" si="1"/>
        <v>0.61739999999999995</v>
      </c>
      <c r="K52">
        <f t="shared" si="0"/>
        <v>0.48019999999999996</v>
      </c>
    </row>
    <row r="53" spans="9:11">
      <c r="I53">
        <v>290</v>
      </c>
      <c r="J53">
        <f t="shared" si="1"/>
        <v>0.63944999999999996</v>
      </c>
      <c r="K53">
        <f t="shared" si="0"/>
        <v>0.49734999999999996</v>
      </c>
    </row>
    <row r="54" spans="9:11">
      <c r="I54">
        <v>300</v>
      </c>
      <c r="J54">
        <f t="shared" si="1"/>
        <v>0.66149999999999998</v>
      </c>
      <c r="K54">
        <f t="shared" si="0"/>
        <v>0.51449999999999996</v>
      </c>
    </row>
    <row r="55" spans="9:11">
      <c r="I55">
        <v>310</v>
      </c>
      <c r="J55">
        <f t="shared" si="1"/>
        <v>0.68354999999999999</v>
      </c>
      <c r="K55">
        <f t="shared" si="0"/>
        <v>0.53164999999999996</v>
      </c>
    </row>
    <row r="56" spans="9:11">
      <c r="I56">
        <v>320</v>
      </c>
      <c r="J56">
        <f t="shared" si="1"/>
        <v>0.7056</v>
      </c>
      <c r="K56">
        <f t="shared" si="0"/>
        <v>0.54879999999999995</v>
      </c>
    </row>
    <row r="57" spans="9:11">
      <c r="I57">
        <v>330</v>
      </c>
      <c r="J57">
        <f t="shared" si="1"/>
        <v>0.72765000000000002</v>
      </c>
      <c r="K57">
        <f t="shared" si="0"/>
        <v>0.56594999999999995</v>
      </c>
    </row>
    <row r="58" spans="9:11">
      <c r="I58">
        <v>340</v>
      </c>
      <c r="J58">
        <f t="shared" si="1"/>
        <v>0.74969999999999992</v>
      </c>
      <c r="K58">
        <f t="shared" si="0"/>
        <v>0.58309999999999995</v>
      </c>
    </row>
    <row r="59" spans="9:11">
      <c r="I59">
        <v>350</v>
      </c>
      <c r="J59">
        <f t="shared" si="1"/>
        <v>0.77174999999999994</v>
      </c>
      <c r="K59">
        <f t="shared" si="0"/>
        <v>0.60024999999999995</v>
      </c>
    </row>
    <row r="60" spans="9:11">
      <c r="I60">
        <v>360</v>
      </c>
      <c r="J60">
        <f t="shared" si="1"/>
        <v>0.79379999999999995</v>
      </c>
      <c r="K60">
        <f t="shared" si="0"/>
        <v>0.61739999999999995</v>
      </c>
    </row>
    <row r="61" spans="9:11">
      <c r="I61">
        <v>370</v>
      </c>
      <c r="J61">
        <f t="shared" si="1"/>
        <v>0.81584999999999996</v>
      </c>
      <c r="K61">
        <f t="shared" si="0"/>
        <v>0.63454999999999995</v>
      </c>
    </row>
    <row r="62" spans="9:11">
      <c r="I62">
        <v>380</v>
      </c>
      <c r="J62">
        <f t="shared" si="1"/>
        <v>0.83789999999999998</v>
      </c>
      <c r="K62">
        <f t="shared" si="0"/>
        <v>0.65169999999999995</v>
      </c>
    </row>
    <row r="63" spans="9:11">
      <c r="I63">
        <v>390</v>
      </c>
      <c r="J63">
        <f t="shared" si="1"/>
        <v>0.85994999999999999</v>
      </c>
      <c r="K63">
        <f t="shared" si="0"/>
        <v>0.66884999999999994</v>
      </c>
    </row>
    <row r="64" spans="9:11">
      <c r="I64">
        <v>400</v>
      </c>
      <c r="J64">
        <f t="shared" si="1"/>
        <v>0.88200000000000001</v>
      </c>
      <c r="K64">
        <f t="shared" si="0"/>
        <v>0.68599999999999994</v>
      </c>
    </row>
    <row r="65" spans="9:11">
      <c r="I65">
        <v>410</v>
      </c>
      <c r="J65">
        <f t="shared" si="1"/>
        <v>0.90405000000000002</v>
      </c>
      <c r="K65">
        <f t="shared" si="0"/>
        <v>0.70314999999999994</v>
      </c>
    </row>
    <row r="66" spans="9:11">
      <c r="I66">
        <v>420</v>
      </c>
      <c r="J66">
        <f t="shared" si="1"/>
        <v>0.92609999999999992</v>
      </c>
      <c r="K66">
        <f t="shared" si="0"/>
        <v>0.72029999999999994</v>
      </c>
    </row>
    <row r="67" spans="9:11">
      <c r="I67">
        <v>430</v>
      </c>
      <c r="J67">
        <f t="shared" si="1"/>
        <v>0.94814999999999994</v>
      </c>
      <c r="K67">
        <f t="shared" ref="K67:K89" si="2">$K$17*I67</f>
        <v>0.73744999999999994</v>
      </c>
    </row>
    <row r="68" spans="9:11">
      <c r="I68">
        <v>440</v>
      </c>
      <c r="J68">
        <f t="shared" si="1"/>
        <v>0.97019999999999995</v>
      </c>
      <c r="K68">
        <f t="shared" si="2"/>
        <v>0.75459999999999994</v>
      </c>
    </row>
    <row r="69" spans="9:11">
      <c r="I69">
        <v>450</v>
      </c>
      <c r="J69">
        <f t="shared" si="1"/>
        <v>0.99224999999999997</v>
      </c>
      <c r="K69">
        <f t="shared" si="2"/>
        <v>0.77174999999999994</v>
      </c>
    </row>
    <row r="70" spans="9:11">
      <c r="I70">
        <v>460</v>
      </c>
      <c r="J70">
        <f t="shared" si="1"/>
        <v>1.0143</v>
      </c>
      <c r="K70">
        <f t="shared" si="2"/>
        <v>0.78889999999999993</v>
      </c>
    </row>
    <row r="71" spans="9:11">
      <c r="I71">
        <v>470</v>
      </c>
      <c r="J71">
        <f t="shared" si="1"/>
        <v>1.0363499999999999</v>
      </c>
      <c r="K71">
        <f t="shared" si="2"/>
        <v>0.80604999999999993</v>
      </c>
    </row>
    <row r="72" spans="9:11">
      <c r="I72">
        <v>480</v>
      </c>
      <c r="J72">
        <f t="shared" si="1"/>
        <v>1.0584</v>
      </c>
      <c r="K72">
        <f t="shared" si="2"/>
        <v>0.82319999999999993</v>
      </c>
    </row>
    <row r="73" spans="9:11">
      <c r="I73">
        <v>490</v>
      </c>
      <c r="J73">
        <f t="shared" si="1"/>
        <v>1.0804499999999999</v>
      </c>
      <c r="K73">
        <f t="shared" si="2"/>
        <v>0.84034999999999993</v>
      </c>
    </row>
    <row r="74" spans="9:11">
      <c r="I74">
        <v>500</v>
      </c>
      <c r="J74">
        <f t="shared" si="1"/>
        <v>1.1025</v>
      </c>
      <c r="K74">
        <f t="shared" si="2"/>
        <v>0.85749999999999993</v>
      </c>
    </row>
    <row r="75" spans="9:11">
      <c r="I75">
        <v>510</v>
      </c>
      <c r="J75">
        <f t="shared" si="1"/>
        <v>1.1245499999999999</v>
      </c>
      <c r="K75">
        <f t="shared" si="2"/>
        <v>0.87464999999999993</v>
      </c>
    </row>
    <row r="76" spans="9:11">
      <c r="I76">
        <v>520</v>
      </c>
      <c r="J76">
        <f t="shared" si="1"/>
        <v>1.1466000000000001</v>
      </c>
      <c r="K76">
        <f t="shared" si="2"/>
        <v>0.89179999999999993</v>
      </c>
    </row>
    <row r="77" spans="9:11">
      <c r="I77">
        <v>530</v>
      </c>
      <c r="J77">
        <f t="shared" si="1"/>
        <v>1.16865</v>
      </c>
      <c r="K77">
        <f t="shared" si="2"/>
        <v>0.90894999999999992</v>
      </c>
    </row>
    <row r="78" spans="9:11">
      <c r="I78">
        <v>540</v>
      </c>
      <c r="J78">
        <f t="shared" si="1"/>
        <v>1.1906999999999999</v>
      </c>
      <c r="K78">
        <f t="shared" si="2"/>
        <v>0.92609999999999992</v>
      </c>
    </row>
    <row r="79" spans="9:11">
      <c r="I79">
        <v>550</v>
      </c>
      <c r="J79">
        <f t="shared" si="1"/>
        <v>1.21275</v>
      </c>
      <c r="K79">
        <f t="shared" si="2"/>
        <v>0.94324999999999992</v>
      </c>
    </row>
    <row r="80" spans="9:11">
      <c r="I80">
        <v>560</v>
      </c>
      <c r="J80">
        <f t="shared" si="1"/>
        <v>1.2347999999999999</v>
      </c>
      <c r="K80">
        <f t="shared" si="2"/>
        <v>0.96039999999999992</v>
      </c>
    </row>
    <row r="81" spans="9:11">
      <c r="I81">
        <v>570</v>
      </c>
      <c r="J81">
        <f t="shared" si="1"/>
        <v>1.25685</v>
      </c>
      <c r="K81">
        <f t="shared" si="2"/>
        <v>0.97754999999999992</v>
      </c>
    </row>
    <row r="82" spans="9:11">
      <c r="I82">
        <v>580</v>
      </c>
      <c r="J82">
        <f t="shared" si="1"/>
        <v>1.2788999999999999</v>
      </c>
      <c r="K82">
        <f t="shared" si="2"/>
        <v>0.99469999999999992</v>
      </c>
    </row>
    <row r="83" spans="9:11">
      <c r="I83">
        <v>590</v>
      </c>
      <c r="J83">
        <f t="shared" si="1"/>
        <v>1.3009500000000001</v>
      </c>
      <c r="K83">
        <f t="shared" si="2"/>
        <v>1.0118499999999999</v>
      </c>
    </row>
    <row r="84" spans="9:11">
      <c r="I84">
        <v>600</v>
      </c>
      <c r="J84">
        <f t="shared" si="1"/>
        <v>1.323</v>
      </c>
      <c r="K84">
        <f t="shared" si="2"/>
        <v>1.0289999999999999</v>
      </c>
    </row>
    <row r="85" spans="9:11">
      <c r="I85">
        <v>610</v>
      </c>
      <c r="J85">
        <f t="shared" si="1"/>
        <v>1.3450499999999999</v>
      </c>
      <c r="K85">
        <f t="shared" si="2"/>
        <v>1.0461499999999999</v>
      </c>
    </row>
    <row r="86" spans="9:11">
      <c r="I86">
        <v>620</v>
      </c>
      <c r="J86">
        <f t="shared" si="1"/>
        <v>1.3671</v>
      </c>
      <c r="K86">
        <f t="shared" si="2"/>
        <v>1.0632999999999999</v>
      </c>
    </row>
    <row r="87" spans="9:11">
      <c r="I87">
        <v>630</v>
      </c>
      <c r="J87">
        <f t="shared" si="1"/>
        <v>1.3891499999999999</v>
      </c>
      <c r="K87">
        <f t="shared" si="2"/>
        <v>1.0804499999999999</v>
      </c>
    </row>
    <row r="88" spans="9:11">
      <c r="I88">
        <v>640</v>
      </c>
      <c r="J88">
        <f t="shared" si="1"/>
        <v>1.4112</v>
      </c>
      <c r="K88">
        <f t="shared" si="2"/>
        <v>1.0975999999999999</v>
      </c>
    </row>
    <row r="89" spans="9:11">
      <c r="I89">
        <v>650</v>
      </c>
      <c r="J89">
        <f t="shared" si="1"/>
        <v>1.4332499999999999</v>
      </c>
      <c r="K89">
        <f t="shared" si="2"/>
        <v>1.1147499999999999</v>
      </c>
    </row>
    <row r="90" spans="9:11">
      <c r="I90">
        <v>660</v>
      </c>
      <c r="J90">
        <f t="shared" ref="J90:J124" si="3">I90*$J$17</f>
        <v>1.4553</v>
      </c>
      <c r="K90">
        <f t="shared" ref="K90:K124" si="4">$K$17*I90</f>
        <v>1.1318999999999999</v>
      </c>
    </row>
    <row r="91" spans="9:11">
      <c r="I91">
        <v>670</v>
      </c>
      <c r="J91">
        <f t="shared" si="3"/>
        <v>1.4773499999999999</v>
      </c>
      <c r="K91">
        <f t="shared" si="4"/>
        <v>1.1490499999999999</v>
      </c>
    </row>
    <row r="92" spans="9:11">
      <c r="I92">
        <v>680</v>
      </c>
      <c r="J92">
        <f t="shared" si="3"/>
        <v>1.4993999999999998</v>
      </c>
      <c r="K92">
        <f t="shared" si="4"/>
        <v>1.1661999999999999</v>
      </c>
    </row>
    <row r="93" spans="9:11">
      <c r="I93">
        <v>690</v>
      </c>
      <c r="J93">
        <f t="shared" si="3"/>
        <v>1.52145</v>
      </c>
      <c r="K93">
        <f t="shared" si="4"/>
        <v>1.1833499999999999</v>
      </c>
    </row>
    <row r="94" spans="9:11">
      <c r="I94">
        <v>700</v>
      </c>
      <c r="J94">
        <f t="shared" si="3"/>
        <v>1.5434999999999999</v>
      </c>
      <c r="K94">
        <f t="shared" si="4"/>
        <v>1.2004999999999999</v>
      </c>
    </row>
    <row r="95" spans="9:11">
      <c r="I95">
        <v>710</v>
      </c>
      <c r="J95">
        <f t="shared" si="3"/>
        <v>1.56555</v>
      </c>
      <c r="K95">
        <f t="shared" si="4"/>
        <v>1.2176499999999999</v>
      </c>
    </row>
    <row r="96" spans="9:11">
      <c r="I96">
        <v>720</v>
      </c>
      <c r="J96">
        <f t="shared" si="3"/>
        <v>1.5875999999999999</v>
      </c>
      <c r="K96">
        <f t="shared" si="4"/>
        <v>1.2347999999999999</v>
      </c>
    </row>
    <row r="97" spans="9:11">
      <c r="I97">
        <v>730</v>
      </c>
      <c r="J97">
        <f t="shared" si="3"/>
        <v>1.60965</v>
      </c>
      <c r="K97">
        <f t="shared" si="4"/>
        <v>1.2519499999999999</v>
      </c>
    </row>
    <row r="98" spans="9:11">
      <c r="I98">
        <v>740</v>
      </c>
      <c r="J98">
        <f t="shared" si="3"/>
        <v>1.6316999999999999</v>
      </c>
      <c r="K98">
        <f t="shared" si="4"/>
        <v>1.2690999999999999</v>
      </c>
    </row>
    <row r="99" spans="9:11">
      <c r="I99">
        <v>750</v>
      </c>
      <c r="J99">
        <f t="shared" si="3"/>
        <v>1.6537500000000001</v>
      </c>
      <c r="K99">
        <f t="shared" si="4"/>
        <v>1.2862499999999999</v>
      </c>
    </row>
    <row r="100" spans="9:11">
      <c r="I100">
        <v>760</v>
      </c>
      <c r="J100">
        <f t="shared" si="3"/>
        <v>1.6758</v>
      </c>
      <c r="K100">
        <f t="shared" si="4"/>
        <v>1.3033999999999999</v>
      </c>
    </row>
    <row r="101" spans="9:11">
      <c r="I101">
        <v>770</v>
      </c>
      <c r="J101">
        <f t="shared" si="3"/>
        <v>1.6978499999999999</v>
      </c>
      <c r="K101">
        <f t="shared" si="4"/>
        <v>1.3205499999999999</v>
      </c>
    </row>
    <row r="102" spans="9:11">
      <c r="I102">
        <v>780</v>
      </c>
      <c r="J102">
        <f t="shared" si="3"/>
        <v>1.7199</v>
      </c>
      <c r="K102">
        <f t="shared" si="4"/>
        <v>1.3376999999999999</v>
      </c>
    </row>
    <row r="103" spans="9:11">
      <c r="I103">
        <v>790</v>
      </c>
      <c r="J103">
        <f t="shared" si="3"/>
        <v>1.7419499999999999</v>
      </c>
      <c r="K103">
        <f t="shared" si="4"/>
        <v>1.3548499999999999</v>
      </c>
    </row>
    <row r="104" spans="9:11">
      <c r="I104">
        <v>800</v>
      </c>
      <c r="J104">
        <f t="shared" si="3"/>
        <v>1.764</v>
      </c>
      <c r="K104">
        <f t="shared" si="4"/>
        <v>1.3719999999999999</v>
      </c>
    </row>
    <row r="105" spans="9:11">
      <c r="I105">
        <v>810</v>
      </c>
      <c r="J105">
        <f t="shared" si="3"/>
        <v>1.7860499999999999</v>
      </c>
      <c r="K105">
        <f t="shared" si="4"/>
        <v>1.3891499999999999</v>
      </c>
    </row>
    <row r="106" spans="9:11">
      <c r="I106">
        <v>820</v>
      </c>
      <c r="J106">
        <f t="shared" si="3"/>
        <v>1.8081</v>
      </c>
      <c r="K106">
        <f t="shared" si="4"/>
        <v>1.4062999999999999</v>
      </c>
    </row>
    <row r="107" spans="9:11">
      <c r="I107">
        <v>830</v>
      </c>
      <c r="J107">
        <f t="shared" si="3"/>
        <v>1.8301499999999999</v>
      </c>
      <c r="K107">
        <f t="shared" si="4"/>
        <v>1.4234499999999999</v>
      </c>
    </row>
    <row r="108" spans="9:11">
      <c r="I108">
        <v>840</v>
      </c>
      <c r="J108">
        <f t="shared" si="3"/>
        <v>1.8521999999999998</v>
      </c>
      <c r="K108">
        <f t="shared" si="4"/>
        <v>1.4405999999999999</v>
      </c>
    </row>
    <row r="109" spans="9:11">
      <c r="I109">
        <v>850</v>
      </c>
      <c r="J109">
        <f t="shared" si="3"/>
        <v>1.87425</v>
      </c>
      <c r="K109">
        <f t="shared" si="4"/>
        <v>1.4577499999999999</v>
      </c>
    </row>
    <row r="110" spans="9:11">
      <c r="I110">
        <v>860</v>
      </c>
      <c r="J110">
        <f t="shared" si="3"/>
        <v>1.8962999999999999</v>
      </c>
      <c r="K110">
        <f t="shared" si="4"/>
        <v>1.4748999999999999</v>
      </c>
    </row>
    <row r="111" spans="9:11">
      <c r="I111">
        <v>870</v>
      </c>
      <c r="J111">
        <f t="shared" si="3"/>
        <v>1.91835</v>
      </c>
      <c r="K111">
        <f t="shared" si="4"/>
        <v>1.4920499999999999</v>
      </c>
    </row>
    <row r="112" spans="9:11">
      <c r="I112">
        <v>880</v>
      </c>
      <c r="J112">
        <f t="shared" si="3"/>
        <v>1.9403999999999999</v>
      </c>
      <c r="K112">
        <f t="shared" si="4"/>
        <v>1.5091999999999999</v>
      </c>
    </row>
    <row r="113" spans="9:11">
      <c r="I113">
        <v>890</v>
      </c>
      <c r="J113">
        <f t="shared" si="3"/>
        <v>1.96245</v>
      </c>
      <c r="K113">
        <f t="shared" si="4"/>
        <v>1.5263499999999999</v>
      </c>
    </row>
    <row r="114" spans="9:11">
      <c r="I114">
        <v>900</v>
      </c>
      <c r="J114">
        <f t="shared" si="3"/>
        <v>1.9844999999999999</v>
      </c>
      <c r="K114">
        <f t="shared" si="4"/>
        <v>1.5434999999999999</v>
      </c>
    </row>
    <row r="115" spans="9:11">
      <c r="I115">
        <v>910</v>
      </c>
      <c r="J115">
        <f t="shared" si="3"/>
        <v>2.0065499999999998</v>
      </c>
      <c r="K115">
        <f t="shared" si="4"/>
        <v>1.5606499999999999</v>
      </c>
    </row>
    <row r="116" spans="9:11">
      <c r="I116">
        <v>920</v>
      </c>
      <c r="J116">
        <f t="shared" si="3"/>
        <v>2.0286</v>
      </c>
      <c r="K116">
        <f t="shared" si="4"/>
        <v>1.5777999999999999</v>
      </c>
    </row>
    <row r="117" spans="9:11">
      <c r="I117">
        <v>930</v>
      </c>
      <c r="J117">
        <f t="shared" si="3"/>
        <v>2.0506500000000001</v>
      </c>
      <c r="K117">
        <f t="shared" si="4"/>
        <v>1.5949499999999999</v>
      </c>
    </row>
    <row r="118" spans="9:11">
      <c r="I118">
        <v>940</v>
      </c>
      <c r="J118">
        <f t="shared" si="3"/>
        <v>2.0726999999999998</v>
      </c>
      <c r="K118">
        <f t="shared" si="4"/>
        <v>1.6120999999999999</v>
      </c>
    </row>
    <row r="119" spans="9:11">
      <c r="I119">
        <v>950</v>
      </c>
      <c r="J119">
        <f t="shared" si="3"/>
        <v>2.0947499999999999</v>
      </c>
      <c r="K119">
        <f t="shared" si="4"/>
        <v>1.6292499999999999</v>
      </c>
    </row>
    <row r="120" spans="9:11">
      <c r="I120">
        <v>960</v>
      </c>
      <c r="J120">
        <f t="shared" si="3"/>
        <v>2.1168</v>
      </c>
      <c r="K120">
        <f t="shared" si="4"/>
        <v>1.6463999999999999</v>
      </c>
    </row>
    <row r="121" spans="9:11">
      <c r="I121">
        <v>970</v>
      </c>
      <c r="J121">
        <f t="shared" si="3"/>
        <v>2.1388500000000001</v>
      </c>
      <c r="K121">
        <f t="shared" si="4"/>
        <v>1.6635499999999999</v>
      </c>
    </row>
    <row r="122" spans="9:11">
      <c r="I122">
        <v>980</v>
      </c>
      <c r="J122">
        <f t="shared" si="3"/>
        <v>2.1608999999999998</v>
      </c>
      <c r="K122">
        <f t="shared" si="4"/>
        <v>1.6806999999999999</v>
      </c>
    </row>
    <row r="123" spans="9:11">
      <c r="I123">
        <v>990</v>
      </c>
      <c r="J123">
        <f t="shared" si="3"/>
        <v>2.1829499999999999</v>
      </c>
      <c r="K123">
        <f t="shared" si="4"/>
        <v>1.6978499999999999</v>
      </c>
    </row>
    <row r="124" spans="9:11">
      <c r="I124">
        <v>1000</v>
      </c>
      <c r="J124">
        <f t="shared" si="3"/>
        <v>2.2050000000000001</v>
      </c>
      <c r="K124">
        <f t="shared" si="4"/>
        <v>1.7149999999999999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opLeftCell="B1" zoomScale="71" workbookViewId="0">
      <selection activeCell="L12" sqref="L12"/>
    </sheetView>
  </sheetViews>
  <sheetFormatPr defaultRowHeight="14.4"/>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1.6">
      <c r="C10" s="134" t="s">
        <v>256</v>
      </c>
      <c r="D10" s="134"/>
      <c r="E10" s="134"/>
      <c r="F10" s="134"/>
      <c r="G10" s="134"/>
      <c r="H10" s="134"/>
      <c r="I10" s="134"/>
      <c r="J10" s="134"/>
      <c r="K10" s="134" t="s">
        <v>257</v>
      </c>
      <c r="L10" s="134" t="s">
        <v>258</v>
      </c>
      <c r="M10" s="134" t="s">
        <v>258</v>
      </c>
      <c r="N10" s="134" t="s">
        <v>259</v>
      </c>
      <c r="O10" s="134" t="s">
        <v>260</v>
      </c>
      <c r="P10" s="134" t="s">
        <v>261</v>
      </c>
      <c r="Q10" s="134" t="s">
        <v>302</v>
      </c>
      <c r="R10" s="134" t="s">
        <v>302</v>
      </c>
      <c r="S10" s="134" t="s">
        <v>262</v>
      </c>
      <c r="T10" s="134" t="s">
        <v>260</v>
      </c>
    </row>
    <row r="11" spans="3:32">
      <c r="C11" s="141" t="s">
        <v>340</v>
      </c>
      <c r="D11" s="141" t="s">
        <v>341</v>
      </c>
      <c r="E11" s="141"/>
      <c r="F11" s="141" t="s">
        <v>342</v>
      </c>
      <c r="G11" s="141" t="s">
        <v>339</v>
      </c>
      <c r="H11" s="141"/>
      <c r="I11" s="141">
        <v>2020</v>
      </c>
      <c r="J11" s="141">
        <v>2030</v>
      </c>
      <c r="K11" s="141">
        <v>1</v>
      </c>
      <c r="L11" s="141"/>
      <c r="M11" s="141"/>
      <c r="N11" s="141">
        <v>0.95</v>
      </c>
      <c r="O11" s="142">
        <v>20</v>
      </c>
      <c r="P11" s="141">
        <v>1</v>
      </c>
      <c r="Q11" s="141">
        <f>('JET FUEL'!$J$18+'JET FUEL'!$J$20)*4/365</f>
        <v>0.19913367662113918</v>
      </c>
      <c r="R11" s="141">
        <f>'JET FUEL'!$J$19*4/365</f>
        <v>1.0835332077466361E-3</v>
      </c>
      <c r="S11" s="141"/>
      <c r="T11" s="143"/>
      <c r="Y11" s="128" t="s">
        <v>263</v>
      </c>
      <c r="Z11" s="129"/>
      <c r="AA11" s="129"/>
      <c r="AB11" s="129"/>
      <c r="AC11" s="129"/>
      <c r="AD11" s="129"/>
      <c r="AE11" s="129"/>
      <c r="AF11" s="129"/>
    </row>
    <row r="12" spans="3:32">
      <c r="E12" t="s">
        <v>325</v>
      </c>
      <c r="I12">
        <v>2020</v>
      </c>
      <c r="J12" s="133"/>
      <c r="L12">
        <v>0.1</v>
      </c>
      <c r="T12" s="137"/>
      <c r="Y12" s="130" t="s">
        <v>264</v>
      </c>
      <c r="Z12" s="130" t="s">
        <v>222</v>
      </c>
      <c r="AA12" s="130" t="s">
        <v>223</v>
      </c>
      <c r="AB12" s="130" t="s">
        <v>265</v>
      </c>
      <c r="AC12" s="130" t="s">
        <v>266</v>
      </c>
      <c r="AD12" s="130" t="s">
        <v>267</v>
      </c>
      <c r="AE12" s="130" t="s">
        <v>268</v>
      </c>
      <c r="AF12" s="130" t="s">
        <v>269</v>
      </c>
    </row>
    <row r="13" spans="3:32" ht="42.6" thickBot="1">
      <c r="F13" t="s">
        <v>342</v>
      </c>
      <c r="G13" t="s">
        <v>339</v>
      </c>
      <c r="I13" s="133">
        <v>2030</v>
      </c>
      <c r="K13">
        <v>1</v>
      </c>
      <c r="N13">
        <v>0.95</v>
      </c>
      <c r="O13" s="138">
        <v>20</v>
      </c>
      <c r="P13" s="140">
        <v>1</v>
      </c>
      <c r="Q13">
        <f>('JET FUEL'!$J$18+'JET FUEL'!$J$20)*4/365</f>
        <v>0.19913367662113918</v>
      </c>
      <c r="R13">
        <f>'JET FUEL'!$J$19*4/365</f>
        <v>1.0835332077466361E-3</v>
      </c>
      <c r="T13" s="137"/>
      <c r="Y13" s="131" t="s">
        <v>270</v>
      </c>
      <c r="Z13" s="131" t="s">
        <v>271</v>
      </c>
      <c r="AA13" s="131" t="s">
        <v>241</v>
      </c>
      <c r="AB13" s="131" t="s">
        <v>272</v>
      </c>
      <c r="AC13" s="131" t="s">
        <v>273</v>
      </c>
      <c r="AD13" s="131" t="s">
        <v>274</v>
      </c>
      <c r="AE13" s="131" t="s">
        <v>275</v>
      </c>
      <c r="AF13" s="131" t="s">
        <v>276</v>
      </c>
    </row>
    <row r="14" spans="3:32" ht="15" thickBot="1">
      <c r="E14" t="s">
        <v>325</v>
      </c>
      <c r="I14" s="133">
        <v>2030</v>
      </c>
      <c r="L14">
        <v>0.1</v>
      </c>
      <c r="Y14" s="131" t="s">
        <v>277</v>
      </c>
      <c r="Z14" s="131"/>
      <c r="AA14" s="131"/>
      <c r="AB14" s="131"/>
      <c r="AC14" s="131"/>
      <c r="AD14" s="131"/>
      <c r="AE14" s="131"/>
      <c r="AF14" s="131"/>
    </row>
    <row r="15" spans="3:32">
      <c r="F15" t="s">
        <v>342</v>
      </c>
      <c r="G15" t="s">
        <v>339</v>
      </c>
      <c r="I15">
        <v>2050</v>
      </c>
      <c r="K15">
        <v>1</v>
      </c>
      <c r="N15">
        <v>0.95</v>
      </c>
      <c r="O15" s="138">
        <v>20</v>
      </c>
      <c r="P15" s="140">
        <v>1</v>
      </c>
      <c r="Q15">
        <f>('JET FUEL'!$J$18+'JET FUEL'!$J$20)*4/365</f>
        <v>0.19913367662113918</v>
      </c>
      <c r="R15">
        <f>'JET FUEL'!$J$19*4/365</f>
        <v>1.0835332077466361E-3</v>
      </c>
      <c r="Y15" t="s">
        <v>278</v>
      </c>
      <c r="Z15" t="s">
        <v>340</v>
      </c>
      <c r="AA15" t="s">
        <v>341</v>
      </c>
      <c r="AB15" t="s">
        <v>221</v>
      </c>
      <c r="AC15" t="s">
        <v>296</v>
      </c>
      <c r="AD15" s="133" t="s">
        <v>219</v>
      </c>
      <c r="AE15" t="s">
        <v>339</v>
      </c>
      <c r="AF15" t="s">
        <v>279</v>
      </c>
    </row>
    <row r="16" spans="3:32">
      <c r="E16" t="s">
        <v>325</v>
      </c>
      <c r="I16">
        <v>2050</v>
      </c>
      <c r="L16">
        <v>0.1</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cols>
    <col min="2" max="2" width="44.88671875" customWidth="1"/>
  </cols>
  <sheetData>
    <row r="1" spans="1:15">
      <c r="A1" s="12" t="s">
        <v>2</v>
      </c>
      <c r="B1" s="13"/>
      <c r="C1" s="159" t="s">
        <v>3</v>
      </c>
      <c r="D1" s="159"/>
      <c r="E1" s="159"/>
      <c r="F1" s="159"/>
      <c r="G1" s="159"/>
      <c r="H1" s="159"/>
      <c r="I1" s="159"/>
      <c r="J1" s="159"/>
      <c r="K1" s="159"/>
      <c r="L1" s="159"/>
    </row>
    <row r="2" spans="1:15">
      <c r="A2" s="14" t="s">
        <v>4</v>
      </c>
      <c r="B2" s="13"/>
      <c r="C2" s="15">
        <v>2015</v>
      </c>
      <c r="D2" s="15">
        <v>2020</v>
      </c>
      <c r="E2" s="16">
        <v>2030</v>
      </c>
      <c r="F2" s="16">
        <v>2050</v>
      </c>
      <c r="G2" s="17">
        <v>2020</v>
      </c>
      <c r="H2" s="17">
        <v>2020</v>
      </c>
      <c r="I2" s="17">
        <v>2050</v>
      </c>
      <c r="J2" s="17">
        <v>2050</v>
      </c>
      <c r="K2" s="18" t="s">
        <v>5</v>
      </c>
      <c r="L2" s="18" t="s">
        <v>6</v>
      </c>
      <c r="O2" t="s">
        <v>344</v>
      </c>
    </row>
    <row r="3" spans="1:15">
      <c r="A3" s="12" t="s">
        <v>7</v>
      </c>
      <c r="B3" s="13"/>
      <c r="C3" s="19" t="s">
        <v>8</v>
      </c>
      <c r="D3" s="19" t="s">
        <v>8</v>
      </c>
      <c r="E3" s="20" t="s">
        <v>8</v>
      </c>
      <c r="F3" s="20" t="s">
        <v>8</v>
      </c>
      <c r="G3" s="20" t="s">
        <v>9</v>
      </c>
      <c r="H3" s="20" t="s">
        <v>10</v>
      </c>
      <c r="I3" s="20" t="s">
        <v>9</v>
      </c>
      <c r="J3" s="20" t="s">
        <v>10</v>
      </c>
      <c r="K3" s="18" t="s">
        <v>11</v>
      </c>
      <c r="L3" s="18" t="s">
        <v>11</v>
      </c>
    </row>
    <row r="4" spans="1:15">
      <c r="A4" s="21" t="s">
        <v>12</v>
      </c>
      <c r="B4" s="21" t="s">
        <v>13</v>
      </c>
      <c r="C4" s="22"/>
      <c r="D4" s="23"/>
      <c r="E4" s="23"/>
      <c r="F4" s="23"/>
      <c r="G4" s="22"/>
      <c r="H4" s="22"/>
      <c r="I4" s="22"/>
      <c r="J4" s="22"/>
      <c r="K4" s="24"/>
      <c r="L4" s="24"/>
    </row>
    <row r="5" spans="1:15">
      <c r="A5" s="25" t="s">
        <v>14</v>
      </c>
      <c r="B5" s="26"/>
      <c r="C5" s="23"/>
      <c r="D5" s="23"/>
      <c r="E5" s="23"/>
      <c r="F5" s="23"/>
      <c r="G5" s="22"/>
      <c r="H5" s="22"/>
      <c r="I5" s="22"/>
      <c r="J5" s="22"/>
      <c r="K5" s="24"/>
      <c r="L5" s="24"/>
    </row>
    <row r="6" spans="1:15">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c r="A10" s="25"/>
      <c r="B10" s="27" t="s">
        <v>21</v>
      </c>
      <c r="C10" s="22" t="s">
        <v>22</v>
      </c>
      <c r="D10" s="22" t="s">
        <v>22</v>
      </c>
      <c r="E10" s="22" t="s">
        <v>22</v>
      </c>
      <c r="F10" s="22" t="s">
        <v>22</v>
      </c>
      <c r="G10" s="22" t="s">
        <v>22</v>
      </c>
      <c r="H10" s="22" t="s">
        <v>22</v>
      </c>
      <c r="I10" s="22" t="s">
        <v>22</v>
      </c>
      <c r="J10" s="22" t="s">
        <v>22</v>
      </c>
      <c r="K10" s="30" t="s">
        <v>23</v>
      </c>
      <c r="L10" s="30"/>
    </row>
    <row r="11" spans="1:15">
      <c r="A11" s="25"/>
      <c r="B11" s="27" t="s">
        <v>24</v>
      </c>
      <c r="C11" s="22" t="s">
        <v>22</v>
      </c>
      <c r="D11" s="22" t="s">
        <v>22</v>
      </c>
      <c r="E11" s="22" t="s">
        <v>22</v>
      </c>
      <c r="F11" s="22" t="s">
        <v>22</v>
      </c>
      <c r="G11" s="22" t="s">
        <v>22</v>
      </c>
      <c r="H11" s="22" t="s">
        <v>22</v>
      </c>
      <c r="I11" s="22" t="s">
        <v>22</v>
      </c>
      <c r="J11" s="22" t="s">
        <v>22</v>
      </c>
      <c r="K11" s="30" t="s">
        <v>23</v>
      </c>
      <c r="L11" s="30">
        <v>4</v>
      </c>
    </row>
    <row r="12" spans="1:15">
      <c r="A12" s="25"/>
      <c r="B12" s="27" t="s">
        <v>25</v>
      </c>
      <c r="C12" s="22">
        <v>40</v>
      </c>
      <c r="D12" s="22">
        <v>40</v>
      </c>
      <c r="E12" s="22">
        <v>40</v>
      </c>
      <c r="F12" s="22">
        <v>40</v>
      </c>
      <c r="G12" s="22">
        <v>35</v>
      </c>
      <c r="H12" s="22">
        <v>40</v>
      </c>
      <c r="I12" s="22">
        <v>40</v>
      </c>
      <c r="J12" s="22">
        <v>50</v>
      </c>
      <c r="K12" s="30" t="s">
        <v>26</v>
      </c>
      <c r="L12" s="30">
        <v>5</v>
      </c>
    </row>
    <row r="13" spans="1:15">
      <c r="A13" s="25"/>
      <c r="B13" s="27" t="s">
        <v>27</v>
      </c>
      <c r="C13" s="31">
        <v>0.45</v>
      </c>
      <c r="D13" s="31">
        <v>0.45</v>
      </c>
      <c r="E13" s="31">
        <v>0.45</v>
      </c>
      <c r="F13" s="31">
        <v>0.45</v>
      </c>
      <c r="G13" s="31">
        <v>0.45</v>
      </c>
      <c r="H13" s="31">
        <v>0.45</v>
      </c>
      <c r="I13" s="32">
        <f>C13*0.94</f>
        <v>0.42299999999999999</v>
      </c>
      <c r="J13" s="32">
        <f>C13*1.2</f>
        <v>0.54</v>
      </c>
      <c r="K13" s="30" t="s">
        <v>28</v>
      </c>
      <c r="L13" s="30"/>
    </row>
    <row r="14" spans="1:15">
      <c r="A14" s="25"/>
      <c r="B14" s="27" t="s">
        <v>29</v>
      </c>
      <c r="C14" s="22">
        <v>1.5</v>
      </c>
      <c r="D14" s="22">
        <v>1.5</v>
      </c>
      <c r="E14" s="22">
        <v>1.5</v>
      </c>
      <c r="F14" s="22">
        <v>1.5</v>
      </c>
      <c r="G14" s="22">
        <v>1</v>
      </c>
      <c r="H14" s="22">
        <v>5</v>
      </c>
      <c r="I14" s="22">
        <v>1</v>
      </c>
      <c r="J14" s="22">
        <v>5</v>
      </c>
      <c r="K14" s="30" t="s">
        <v>30</v>
      </c>
      <c r="L14" s="30"/>
    </row>
    <row r="15" spans="1:15">
      <c r="A15" s="25" t="s">
        <v>31</v>
      </c>
      <c r="B15" s="26"/>
      <c r="C15" s="23"/>
      <c r="D15" s="23"/>
      <c r="E15" s="23"/>
      <c r="F15" s="23"/>
      <c r="G15" s="23"/>
      <c r="H15" s="23"/>
      <c r="I15" s="23"/>
      <c r="J15" s="23"/>
      <c r="K15" s="24"/>
      <c r="L15" s="24"/>
    </row>
    <row r="16" spans="1:15">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c r="A19" s="25"/>
      <c r="B19" s="27" t="s">
        <v>39</v>
      </c>
      <c r="C19" s="22" t="s">
        <v>22</v>
      </c>
      <c r="D19" s="22" t="s">
        <v>22</v>
      </c>
      <c r="E19" s="22" t="s">
        <v>22</v>
      </c>
      <c r="F19" s="22" t="s">
        <v>22</v>
      </c>
      <c r="G19" s="22" t="s">
        <v>22</v>
      </c>
      <c r="H19" s="22" t="s">
        <v>22</v>
      </c>
      <c r="I19" s="22" t="s">
        <v>22</v>
      </c>
      <c r="J19" s="22" t="s">
        <v>22</v>
      </c>
      <c r="K19" s="30" t="s">
        <v>40</v>
      </c>
      <c r="L19" s="30">
        <v>6</v>
      </c>
    </row>
    <row r="20" spans="1:12">
      <c r="A20" s="25"/>
      <c r="B20" s="27" t="s">
        <v>41</v>
      </c>
      <c r="C20" s="22" t="s">
        <v>22</v>
      </c>
      <c r="D20" s="22" t="s">
        <v>22</v>
      </c>
      <c r="E20" s="22" t="s">
        <v>22</v>
      </c>
      <c r="F20" s="22" t="s">
        <v>22</v>
      </c>
      <c r="G20" s="22" t="s">
        <v>22</v>
      </c>
      <c r="H20" s="22" t="s">
        <v>22</v>
      </c>
      <c r="I20" s="22" t="s">
        <v>22</v>
      </c>
      <c r="J20" s="22" t="s">
        <v>22</v>
      </c>
      <c r="K20" s="30" t="s">
        <v>40</v>
      </c>
      <c r="L20" s="30">
        <v>7</v>
      </c>
    </row>
    <row r="21" spans="1:12">
      <c r="A21" s="25"/>
      <c r="B21" s="27" t="s">
        <v>42</v>
      </c>
      <c r="C21" s="22" t="s">
        <v>22</v>
      </c>
      <c r="D21" s="22" t="s">
        <v>22</v>
      </c>
      <c r="E21" s="22" t="s">
        <v>22</v>
      </c>
      <c r="F21" s="22" t="s">
        <v>22</v>
      </c>
      <c r="G21" s="22" t="s">
        <v>22</v>
      </c>
      <c r="H21" s="22" t="s">
        <v>22</v>
      </c>
      <c r="I21" s="22" t="s">
        <v>22</v>
      </c>
      <c r="J21" s="22" t="s">
        <v>22</v>
      </c>
      <c r="K21" s="30" t="s">
        <v>40</v>
      </c>
      <c r="L21" s="30">
        <v>8</v>
      </c>
    </row>
    <row r="22" spans="1:12">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c r="A25" s="25"/>
      <c r="B25" s="27" t="s">
        <v>49</v>
      </c>
      <c r="C25" s="31">
        <v>0.42</v>
      </c>
      <c r="D25" s="31">
        <v>0.42</v>
      </c>
      <c r="E25" s="31">
        <v>0.42</v>
      </c>
      <c r="F25" s="31">
        <v>0.42</v>
      </c>
      <c r="G25" s="31">
        <v>0.37370421561852107</v>
      </c>
      <c r="H25" s="31">
        <v>0.42</v>
      </c>
      <c r="I25" s="31">
        <v>0.32961145944602421</v>
      </c>
      <c r="J25" s="31">
        <v>0.42</v>
      </c>
      <c r="K25" s="30" t="s">
        <v>50</v>
      </c>
      <c r="L25" s="30">
        <v>6</v>
      </c>
    </row>
    <row r="26" spans="1:12">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c r="A28" s="25"/>
      <c r="B28" s="27" t="s">
        <v>54</v>
      </c>
      <c r="C28" s="22" t="s">
        <v>22</v>
      </c>
      <c r="D28" s="22" t="s">
        <v>22</v>
      </c>
      <c r="E28" s="22" t="s">
        <v>22</v>
      </c>
      <c r="F28" s="22" t="s">
        <v>22</v>
      </c>
      <c r="G28" s="22" t="s">
        <v>22</v>
      </c>
      <c r="H28" s="22" t="s">
        <v>22</v>
      </c>
      <c r="I28" s="22" t="s">
        <v>22</v>
      </c>
      <c r="J28" s="22" t="s">
        <v>22</v>
      </c>
      <c r="K28" s="30" t="s">
        <v>55</v>
      </c>
      <c r="L28" s="30"/>
    </row>
    <row r="29" spans="1:12">
      <c r="A29" s="25" t="s">
        <v>56</v>
      </c>
      <c r="B29" s="26"/>
      <c r="C29" s="22"/>
      <c r="D29" s="22"/>
      <c r="E29" s="22"/>
      <c r="F29" s="22"/>
      <c r="G29" s="22"/>
      <c r="H29" s="22"/>
      <c r="I29" s="22"/>
      <c r="J29" s="22"/>
      <c r="K29" s="30"/>
      <c r="L29" s="30"/>
    </row>
    <row r="30" spans="1:12">
      <c r="A30" s="2"/>
      <c r="B30" s="3"/>
      <c r="C30" s="1"/>
      <c r="D30" s="1"/>
      <c r="E30" s="1"/>
      <c r="F30" s="1"/>
      <c r="G30" s="1"/>
      <c r="H30" s="1"/>
      <c r="I30" s="1"/>
      <c r="J30" s="1"/>
      <c r="K30" s="5"/>
      <c r="L30" s="5"/>
    </row>
    <row r="31" spans="1:12">
      <c r="A31" s="6" t="s">
        <v>57</v>
      </c>
      <c r="B31" s="7"/>
      <c r="C31" s="7"/>
      <c r="D31" s="7"/>
      <c r="E31" s="7"/>
      <c r="F31" s="7"/>
      <c r="G31" s="7"/>
      <c r="H31" s="7"/>
      <c r="I31" s="7"/>
      <c r="J31" s="7"/>
      <c r="K31" s="7"/>
      <c r="L31" s="7"/>
    </row>
    <row r="32" spans="1:12">
      <c r="A32" s="1"/>
      <c r="B32" s="8" t="s">
        <v>58</v>
      </c>
      <c r="C32" s="7"/>
      <c r="D32" s="7"/>
      <c r="E32" s="7"/>
      <c r="F32" s="7"/>
      <c r="G32" s="7"/>
      <c r="H32" s="7"/>
      <c r="I32" s="7"/>
      <c r="J32" s="7"/>
      <c r="K32" s="7"/>
      <c r="L32" s="7"/>
    </row>
    <row r="33" spans="1:12">
      <c r="A33" s="1"/>
      <c r="B33" s="8" t="s">
        <v>59</v>
      </c>
      <c r="C33" s="7"/>
      <c r="D33" s="7"/>
      <c r="E33" s="7"/>
      <c r="F33" s="7"/>
      <c r="G33" s="7"/>
      <c r="H33" s="7"/>
      <c r="I33" s="7"/>
      <c r="J33" s="7"/>
      <c r="K33" s="7"/>
      <c r="L33" s="7"/>
    </row>
    <row r="34" spans="1:12">
      <c r="A34" s="1"/>
      <c r="B34" s="8" t="s">
        <v>60</v>
      </c>
      <c r="C34" s="7"/>
      <c r="D34" s="7"/>
      <c r="E34" s="7"/>
      <c r="F34" s="7"/>
      <c r="G34" s="7"/>
      <c r="H34" s="7"/>
      <c r="I34" s="7"/>
      <c r="J34" s="7"/>
      <c r="K34" s="7"/>
      <c r="L34" s="7"/>
    </row>
    <row r="35" spans="1:12">
      <c r="A35" s="1"/>
      <c r="B35" s="8" t="s">
        <v>61</v>
      </c>
      <c r="C35" s="7"/>
      <c r="D35" s="7"/>
      <c r="E35" s="7"/>
      <c r="F35" s="7"/>
      <c r="G35" s="7"/>
      <c r="H35" s="7"/>
      <c r="I35" s="7"/>
      <c r="J35" s="7"/>
      <c r="K35" s="7"/>
      <c r="L35" s="7"/>
    </row>
    <row r="36" spans="1:12">
      <c r="A36" s="1"/>
      <c r="B36" s="8" t="s">
        <v>62</v>
      </c>
      <c r="C36" s="7"/>
      <c r="D36" s="7"/>
      <c r="E36" s="7"/>
      <c r="F36" s="7"/>
      <c r="G36" s="7"/>
      <c r="H36" s="7"/>
      <c r="I36" s="7"/>
      <c r="J36" s="7"/>
      <c r="K36" s="7"/>
      <c r="L36" s="7"/>
    </row>
    <row r="37" spans="1:12">
      <c r="A37" s="1"/>
      <c r="B37" s="8" t="s">
        <v>63</v>
      </c>
      <c r="C37" s="7"/>
      <c r="D37" s="7"/>
      <c r="E37" s="7"/>
      <c r="F37" s="7"/>
      <c r="G37" s="7"/>
      <c r="H37" s="7"/>
      <c r="I37" s="7"/>
      <c r="J37" s="7"/>
      <c r="K37" s="7"/>
      <c r="L37" s="7"/>
    </row>
    <row r="38" spans="1:12">
      <c r="A38" s="1"/>
      <c r="B38" s="8" t="s">
        <v>64</v>
      </c>
      <c r="C38" s="7"/>
      <c r="D38" s="7"/>
      <c r="E38" s="7"/>
      <c r="F38" s="7"/>
      <c r="G38" s="7"/>
      <c r="H38" s="7"/>
      <c r="I38" s="7"/>
      <c r="J38" s="7"/>
      <c r="K38" s="7"/>
      <c r="L38" s="7"/>
    </row>
    <row r="39" spans="1:12">
      <c r="A39" s="1"/>
      <c r="B39" s="8" t="s">
        <v>65</v>
      </c>
      <c r="C39" s="7"/>
      <c r="D39" s="7"/>
      <c r="E39" s="7"/>
      <c r="F39" s="7"/>
      <c r="G39" s="7"/>
      <c r="H39" s="7"/>
      <c r="I39" s="7"/>
      <c r="J39" s="7"/>
      <c r="K39" s="7"/>
      <c r="L39" s="7"/>
    </row>
    <row r="40" spans="1:12">
      <c r="A40" s="1"/>
      <c r="B40" s="8" t="s">
        <v>66</v>
      </c>
      <c r="C40" s="7"/>
      <c r="D40" s="7"/>
      <c r="E40" s="7"/>
      <c r="F40" s="7"/>
      <c r="G40" s="7"/>
      <c r="H40" s="7"/>
      <c r="I40" s="7"/>
      <c r="J40" s="7"/>
      <c r="K40" s="7"/>
      <c r="L40" s="7"/>
    </row>
    <row r="41" spans="1:12">
      <c r="A41" s="1"/>
      <c r="B41" s="8"/>
      <c r="C41" s="7"/>
      <c r="D41" s="7"/>
      <c r="E41" s="7"/>
      <c r="F41" s="7"/>
      <c r="G41" s="7"/>
      <c r="H41" s="7"/>
      <c r="I41" s="7"/>
      <c r="J41" s="7"/>
      <c r="K41" s="7"/>
      <c r="L41" s="7"/>
    </row>
    <row r="42" spans="1:12">
      <c r="A42" s="6" t="s">
        <v>67</v>
      </c>
      <c r="B42" s="7"/>
      <c r="C42" s="9"/>
      <c r="D42" s="9"/>
      <c r="E42" s="9"/>
      <c r="F42" s="9"/>
      <c r="G42" s="9"/>
      <c r="H42" s="9"/>
      <c r="I42" s="9"/>
      <c r="J42" s="9"/>
      <c r="K42" s="9"/>
      <c r="L42" s="9"/>
    </row>
    <row r="43" spans="1:12">
      <c r="A43" s="1"/>
      <c r="B43" s="8" t="s">
        <v>68</v>
      </c>
      <c r="C43" s="10"/>
      <c r="D43" s="10"/>
      <c r="E43" s="10"/>
      <c r="F43" s="10"/>
      <c r="G43" s="10"/>
      <c r="H43" s="10"/>
      <c r="I43" s="10"/>
      <c r="J43" s="10"/>
      <c r="K43" s="10"/>
      <c r="L43" s="10"/>
    </row>
    <row r="44" spans="1:12">
      <c r="A44" s="1"/>
      <c r="B44" s="8" t="s">
        <v>69</v>
      </c>
      <c r="C44" s="10"/>
      <c r="D44" s="10"/>
      <c r="E44" s="10"/>
      <c r="F44" s="10"/>
      <c r="G44" s="10"/>
      <c r="H44" s="10"/>
      <c r="I44" s="10"/>
      <c r="J44" s="10"/>
      <c r="K44" s="10"/>
      <c r="L44" s="10"/>
    </row>
    <row r="45" spans="1:12">
      <c r="A45" s="1"/>
      <c r="B45" s="8" t="s">
        <v>70</v>
      </c>
      <c r="C45" s="11"/>
      <c r="D45" s="11"/>
      <c r="E45" s="11"/>
      <c r="F45" s="11"/>
      <c r="G45" s="11"/>
      <c r="H45" s="11"/>
      <c r="I45" s="11"/>
      <c r="J45" s="11"/>
      <c r="K45" s="11"/>
      <c r="L45" s="11"/>
    </row>
    <row r="46" spans="1:12">
      <c r="A46" s="1"/>
      <c r="B46" s="8" t="s">
        <v>71</v>
      </c>
      <c r="C46" s="11"/>
      <c r="D46" s="11"/>
      <c r="E46" s="11"/>
      <c r="F46" s="11"/>
      <c r="G46" s="11"/>
      <c r="H46" s="11"/>
      <c r="I46" s="11"/>
      <c r="J46" s="11"/>
      <c r="K46" s="11"/>
      <c r="L46" s="11"/>
    </row>
    <row r="47" spans="1:12">
      <c r="A47" s="1"/>
      <c r="B47" s="8" t="s">
        <v>72</v>
      </c>
      <c r="C47" s="11"/>
      <c r="D47" s="11"/>
      <c r="E47" s="11"/>
      <c r="F47" s="11"/>
      <c r="G47" s="11"/>
      <c r="H47" s="11"/>
      <c r="I47" s="11"/>
      <c r="J47" s="11"/>
      <c r="K47" s="11"/>
      <c r="L47" s="11"/>
    </row>
    <row r="48" spans="1:12">
      <c r="A48" s="1"/>
      <c r="B48" s="8" t="s">
        <v>73</v>
      </c>
      <c r="C48" s="10"/>
      <c r="D48" s="10"/>
      <c r="E48" s="10"/>
      <c r="F48" s="10"/>
      <c r="G48" s="10"/>
      <c r="H48" s="10"/>
      <c r="I48" s="10"/>
      <c r="J48" s="10"/>
      <c r="K48" s="10"/>
      <c r="L48" s="10"/>
    </row>
    <row r="49" spans="1:12">
      <c r="A49" s="1"/>
      <c r="B49" s="8" t="s">
        <v>74</v>
      </c>
      <c r="C49" s="10"/>
      <c r="D49" s="10"/>
      <c r="E49" s="10"/>
      <c r="F49" s="10"/>
      <c r="G49" s="10"/>
      <c r="H49" s="10"/>
      <c r="I49" s="10"/>
      <c r="J49" s="10"/>
      <c r="K49" s="10"/>
      <c r="L49" s="10"/>
    </row>
    <row r="50" spans="1:12">
      <c r="A50" s="1"/>
      <c r="B50" s="8" t="s">
        <v>75</v>
      </c>
      <c r="C50" s="10"/>
      <c r="D50" s="10"/>
      <c r="E50" s="10"/>
      <c r="F50" s="10"/>
      <c r="G50" s="10"/>
      <c r="H50" s="10"/>
      <c r="I50" s="10"/>
      <c r="J50" s="10"/>
      <c r="K50" s="10"/>
      <c r="L50" s="10"/>
    </row>
    <row r="51" spans="1:12">
      <c r="A51" s="1"/>
      <c r="B51" s="8" t="s">
        <v>76</v>
      </c>
      <c r="C51" s="10"/>
      <c r="D51" s="10"/>
      <c r="E51" s="10"/>
      <c r="F51" s="10"/>
      <c r="G51" s="10"/>
      <c r="H51" s="10"/>
      <c r="I51" s="10"/>
      <c r="J51" s="10"/>
      <c r="K51" s="10"/>
      <c r="L51" s="10"/>
    </row>
    <row r="52" spans="1:12">
      <c r="A52" s="1"/>
      <c r="B52" s="8" t="s">
        <v>77</v>
      </c>
      <c r="C52" s="10"/>
      <c r="D52" s="10"/>
      <c r="E52" s="10"/>
      <c r="F52" s="10"/>
      <c r="G52" s="10"/>
      <c r="H52" s="10"/>
      <c r="I52" s="10"/>
      <c r="J52" s="10"/>
      <c r="K52" s="10"/>
      <c r="L52" s="10"/>
    </row>
    <row r="53" spans="1:12">
      <c r="A53" s="1"/>
      <c r="B53" s="8" t="s">
        <v>78</v>
      </c>
      <c r="C53" s="10"/>
      <c r="D53" s="10"/>
      <c r="E53" s="10"/>
      <c r="F53" s="10"/>
      <c r="G53" s="10"/>
      <c r="H53" s="10"/>
      <c r="I53" s="10"/>
      <c r="J53" s="10"/>
      <c r="K53" s="10"/>
      <c r="L53" s="10"/>
    </row>
    <row r="54" spans="1:12">
      <c r="A54" s="1"/>
      <c r="B54" s="8" t="s">
        <v>79</v>
      </c>
      <c r="C54" s="10"/>
      <c r="D54" s="10"/>
      <c r="E54" s="10"/>
      <c r="F54" s="10"/>
      <c r="G54" s="10"/>
      <c r="H54" s="10"/>
      <c r="I54" s="10"/>
      <c r="J54" s="10"/>
      <c r="K54" s="10"/>
      <c r="L54" s="10"/>
    </row>
    <row r="55" spans="1:12">
      <c r="A55" s="1"/>
      <c r="B55" s="8" t="s">
        <v>80</v>
      </c>
      <c r="C55" s="10"/>
      <c r="D55" s="10"/>
      <c r="E55" s="10"/>
      <c r="F55" s="10"/>
      <c r="G55" s="10"/>
      <c r="H55" s="10"/>
      <c r="I55" s="10"/>
      <c r="J55" s="10"/>
      <c r="K55" s="10"/>
      <c r="L55" s="10"/>
    </row>
    <row r="56" spans="1:12">
      <c r="A56" s="1"/>
      <c r="B56" s="8" t="s">
        <v>81</v>
      </c>
      <c r="C56" s="10"/>
      <c r="D56" s="10"/>
      <c r="E56" s="10"/>
      <c r="F56" s="10"/>
      <c r="G56" s="10"/>
      <c r="H56" s="10"/>
      <c r="I56" s="10"/>
      <c r="J56" s="10"/>
      <c r="K56" s="10"/>
      <c r="L56" s="10"/>
    </row>
    <row r="57" spans="1:12">
      <c r="A57" s="1"/>
      <c r="B57" s="8" t="s">
        <v>82</v>
      </c>
      <c r="C57" s="10"/>
      <c r="D57" s="10"/>
      <c r="E57" s="10"/>
      <c r="F57" s="10"/>
      <c r="G57" s="10"/>
      <c r="H57" s="10"/>
      <c r="I57" s="10"/>
      <c r="J57" s="10"/>
      <c r="K57" s="10"/>
      <c r="L57" s="10"/>
    </row>
    <row r="58" spans="1:12">
      <c r="A58" s="1"/>
      <c r="B58" s="8" t="s">
        <v>83</v>
      </c>
      <c r="C58" s="10"/>
      <c r="D58" s="10"/>
      <c r="E58" s="10"/>
      <c r="F58" s="10"/>
      <c r="G58" s="10"/>
      <c r="H58" s="10"/>
      <c r="I58" s="10"/>
      <c r="J58" s="10"/>
      <c r="K58" s="10"/>
      <c r="L58" s="10"/>
    </row>
    <row r="59" spans="1:12">
      <c r="A59" s="1"/>
      <c r="B59" s="8" t="s">
        <v>84</v>
      </c>
      <c r="C59" s="11"/>
      <c r="D59" s="11"/>
      <c r="E59" s="11"/>
      <c r="F59" s="11"/>
      <c r="G59" s="11"/>
      <c r="H59" s="11"/>
      <c r="I59" s="11"/>
      <c r="J59" s="11"/>
      <c r="K59" s="11"/>
      <c r="L59" s="11"/>
    </row>
    <row r="60" spans="1:12">
      <c r="A60" s="1"/>
      <c r="B60" s="8" t="s">
        <v>85</v>
      </c>
      <c r="C60" s="11"/>
      <c r="D60" s="11"/>
      <c r="E60" s="11"/>
      <c r="F60" s="11"/>
      <c r="G60" s="11"/>
      <c r="H60" s="11"/>
      <c r="I60" s="11"/>
      <c r="J60" s="11"/>
      <c r="K60" s="11"/>
      <c r="L60" s="11"/>
    </row>
    <row r="61" spans="1:12">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cols>
    <col min="2" max="2" width="41.6640625" customWidth="1"/>
  </cols>
  <sheetData>
    <row r="1" spans="1:11">
      <c r="A1" s="12" t="s">
        <v>2</v>
      </c>
      <c r="B1" s="13"/>
      <c r="C1" s="160" t="s">
        <v>86</v>
      </c>
      <c r="D1" s="160"/>
      <c r="E1" s="160"/>
      <c r="F1" s="160"/>
      <c r="G1" s="160"/>
      <c r="H1" s="160"/>
      <c r="I1" s="160"/>
      <c r="J1" s="160"/>
      <c r="K1" s="160"/>
    </row>
    <row r="2" spans="1:11">
      <c r="A2" s="14" t="s">
        <v>4</v>
      </c>
      <c r="B2" s="13"/>
      <c r="C2" s="15">
        <v>2020</v>
      </c>
      <c r="D2" s="16">
        <v>2030</v>
      </c>
      <c r="E2" s="16">
        <v>2050</v>
      </c>
      <c r="F2" s="17">
        <v>2020</v>
      </c>
      <c r="G2" s="17">
        <v>2020</v>
      </c>
      <c r="H2" s="17">
        <v>2050</v>
      </c>
      <c r="I2" s="17">
        <v>2050</v>
      </c>
      <c r="J2" s="18" t="s">
        <v>5</v>
      </c>
      <c r="K2" s="18" t="s">
        <v>6</v>
      </c>
    </row>
    <row r="3" spans="1:11">
      <c r="A3" s="12" t="s">
        <v>7</v>
      </c>
      <c r="B3" s="13"/>
      <c r="C3" s="19" t="s">
        <v>8</v>
      </c>
      <c r="D3" s="20" t="s">
        <v>8</v>
      </c>
      <c r="E3" s="20" t="s">
        <v>8</v>
      </c>
      <c r="F3" s="20" t="s">
        <v>9</v>
      </c>
      <c r="G3" s="20" t="s">
        <v>10</v>
      </c>
      <c r="H3" s="20" t="s">
        <v>9</v>
      </c>
      <c r="I3" s="20" t="s">
        <v>10</v>
      </c>
      <c r="J3" s="18" t="s">
        <v>11</v>
      </c>
      <c r="K3" s="18" t="s">
        <v>11</v>
      </c>
    </row>
    <row r="4" spans="1:11">
      <c r="A4" s="21" t="s">
        <v>12</v>
      </c>
      <c r="B4" s="21" t="s">
        <v>13</v>
      </c>
      <c r="C4" s="42"/>
      <c r="D4" s="43"/>
      <c r="E4" s="43"/>
      <c r="F4" s="42"/>
      <c r="G4" s="42"/>
      <c r="H4" s="42"/>
      <c r="I4" s="42"/>
      <c r="J4" s="44"/>
      <c r="K4" s="44"/>
    </row>
    <row r="5" spans="1:11">
      <c r="A5" s="45" t="s">
        <v>14</v>
      </c>
      <c r="B5" s="46"/>
      <c r="C5" s="43"/>
      <c r="D5" s="43"/>
      <c r="E5" s="43"/>
      <c r="F5" s="42"/>
      <c r="G5" s="42"/>
      <c r="H5" s="42"/>
      <c r="I5" s="42"/>
      <c r="J5" s="44"/>
      <c r="K5" s="44"/>
    </row>
    <row r="6" spans="1:11">
      <c r="A6" s="45"/>
      <c r="B6" s="47" t="s">
        <v>87</v>
      </c>
      <c r="C6" s="48">
        <v>7.5</v>
      </c>
      <c r="D6" s="48">
        <v>7</v>
      </c>
      <c r="E6" s="48">
        <v>6.3</v>
      </c>
      <c r="F6" s="48">
        <v>6.2</v>
      </c>
      <c r="G6" s="48">
        <v>12.3</v>
      </c>
      <c r="H6" s="48">
        <v>5.5</v>
      </c>
      <c r="I6" s="48">
        <v>10.3</v>
      </c>
      <c r="J6" s="49" t="s">
        <v>88</v>
      </c>
      <c r="K6" s="49"/>
    </row>
    <row r="7" spans="1:11">
      <c r="A7" s="45"/>
      <c r="B7" s="47" t="s">
        <v>89</v>
      </c>
      <c r="C7" s="48">
        <v>6.4</v>
      </c>
      <c r="D7" s="48">
        <v>5.9</v>
      </c>
      <c r="E7" s="48">
        <v>5.3</v>
      </c>
      <c r="F7" s="48">
        <v>5.2</v>
      </c>
      <c r="G7" s="48">
        <v>10.4</v>
      </c>
      <c r="H7" s="48">
        <v>4.5999999999999996</v>
      </c>
      <c r="I7" s="48">
        <v>8.6999999999999993</v>
      </c>
      <c r="J7" s="49" t="s">
        <v>88</v>
      </c>
      <c r="K7" s="49"/>
    </row>
    <row r="8" spans="1:11">
      <c r="A8" s="45"/>
      <c r="B8" s="47" t="s">
        <v>90</v>
      </c>
      <c r="C8" s="48">
        <v>5.0999999999999996</v>
      </c>
      <c r="D8" s="48">
        <v>4.7</v>
      </c>
      <c r="E8" s="48">
        <v>4.2</v>
      </c>
      <c r="F8" s="48">
        <v>4.0999999999999996</v>
      </c>
      <c r="G8" s="48">
        <v>8.3000000000000007</v>
      </c>
      <c r="H8" s="48">
        <v>3.7</v>
      </c>
      <c r="I8" s="48">
        <v>6.9</v>
      </c>
      <c r="J8" s="49" t="s">
        <v>88</v>
      </c>
      <c r="K8" s="49"/>
    </row>
    <row r="9" spans="1:11">
      <c r="A9" s="45"/>
      <c r="B9" s="47" t="s">
        <v>91</v>
      </c>
      <c r="C9" s="48">
        <v>3.8</v>
      </c>
      <c r="D9" s="48">
        <v>3.5</v>
      </c>
      <c r="E9" s="48">
        <v>3.1</v>
      </c>
      <c r="F9" s="48">
        <v>3.1</v>
      </c>
      <c r="G9" s="48">
        <v>6.2</v>
      </c>
      <c r="H9" s="48">
        <v>2.7</v>
      </c>
      <c r="I9" s="48">
        <v>5.2</v>
      </c>
      <c r="J9" s="49" t="s">
        <v>88</v>
      </c>
      <c r="K9" s="49"/>
    </row>
    <row r="10" spans="1:11">
      <c r="A10" s="45"/>
      <c r="B10" s="47" t="s">
        <v>92</v>
      </c>
      <c r="C10" s="48">
        <v>2.7</v>
      </c>
      <c r="D10" s="48">
        <v>2.5</v>
      </c>
      <c r="E10" s="48">
        <v>2.2000000000000002</v>
      </c>
      <c r="F10" s="48">
        <v>2.2000000000000002</v>
      </c>
      <c r="G10" s="48">
        <v>4.3</v>
      </c>
      <c r="H10" s="48">
        <v>1.9</v>
      </c>
      <c r="I10" s="48">
        <v>3.6</v>
      </c>
      <c r="J10" s="49" t="s">
        <v>88</v>
      </c>
      <c r="K10" s="49"/>
    </row>
    <row r="11" spans="1:11">
      <c r="A11" s="45"/>
      <c r="B11" s="47" t="s">
        <v>93</v>
      </c>
      <c r="C11" s="50">
        <v>2.1</v>
      </c>
      <c r="D11" s="48">
        <v>1.9</v>
      </c>
      <c r="E11" s="48">
        <v>1.7</v>
      </c>
      <c r="F11" s="48">
        <v>1.7</v>
      </c>
      <c r="G11" s="48">
        <v>3.4</v>
      </c>
      <c r="H11" s="48">
        <v>1.5</v>
      </c>
      <c r="I11" s="48">
        <v>2.8</v>
      </c>
      <c r="J11" s="49" t="s">
        <v>88</v>
      </c>
      <c r="K11" s="49"/>
    </row>
    <row r="12" spans="1:11">
      <c r="A12" s="45"/>
      <c r="B12" s="47" t="s">
        <v>94</v>
      </c>
      <c r="C12" s="51">
        <v>1.5</v>
      </c>
      <c r="D12" s="51">
        <v>1.4</v>
      </c>
      <c r="E12" s="51">
        <v>1.3</v>
      </c>
      <c r="F12" s="51">
        <v>1.3</v>
      </c>
      <c r="G12" s="51">
        <v>2.5</v>
      </c>
      <c r="H12" s="51">
        <v>1.1000000000000001</v>
      </c>
      <c r="I12" s="51">
        <v>2.1</v>
      </c>
      <c r="J12" s="49" t="s">
        <v>88</v>
      </c>
      <c r="K12" s="49"/>
    </row>
    <row r="13" spans="1:11">
      <c r="A13" s="45"/>
      <c r="B13" s="47" t="s">
        <v>95</v>
      </c>
      <c r="C13" s="50">
        <v>2.1</v>
      </c>
      <c r="D13" s="51">
        <v>1.6800000000000002</v>
      </c>
      <c r="E13" s="51">
        <v>1.47</v>
      </c>
      <c r="F13" s="51">
        <v>1.47</v>
      </c>
      <c r="G13" s="51">
        <v>3.7</v>
      </c>
      <c r="H13" s="51">
        <v>0.9</v>
      </c>
      <c r="I13" s="51">
        <v>2.5</v>
      </c>
      <c r="J13" s="49" t="s">
        <v>96</v>
      </c>
      <c r="K13" s="49"/>
    </row>
    <row r="14" spans="1:11">
      <c r="A14" s="45"/>
      <c r="B14" s="47" t="s">
        <v>25</v>
      </c>
      <c r="C14" s="52">
        <v>50</v>
      </c>
      <c r="D14" s="52">
        <v>50</v>
      </c>
      <c r="E14" s="52">
        <v>50</v>
      </c>
      <c r="F14" s="52">
        <v>45</v>
      </c>
      <c r="G14" s="52">
        <v>55</v>
      </c>
      <c r="H14" s="52">
        <v>45</v>
      </c>
      <c r="I14" s="52">
        <v>55</v>
      </c>
      <c r="J14" s="49"/>
      <c r="K14" s="49"/>
    </row>
    <row r="15" spans="1:11">
      <c r="A15" s="45"/>
      <c r="B15" s="47" t="s">
        <v>29</v>
      </c>
      <c r="C15" s="52">
        <v>1</v>
      </c>
      <c r="D15" s="52">
        <v>1</v>
      </c>
      <c r="E15" s="52">
        <v>1</v>
      </c>
      <c r="F15" s="52">
        <v>0.5</v>
      </c>
      <c r="G15" s="52">
        <v>2</v>
      </c>
      <c r="H15" s="52">
        <v>0.5</v>
      </c>
      <c r="I15" s="52">
        <v>2</v>
      </c>
      <c r="J15" s="49"/>
      <c r="K15" s="49"/>
    </row>
    <row r="16" spans="1:11">
      <c r="A16" s="45" t="s">
        <v>31</v>
      </c>
      <c r="B16" s="46"/>
      <c r="C16" s="43"/>
      <c r="D16" s="43"/>
      <c r="E16" s="43"/>
      <c r="F16" s="43"/>
      <c r="G16" s="43"/>
      <c r="H16" s="43"/>
      <c r="I16" s="43"/>
      <c r="J16" s="44"/>
      <c r="K16" s="44"/>
    </row>
    <row r="17" spans="1:11">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c r="A23" s="45"/>
      <c r="B23" s="27" t="s">
        <v>100</v>
      </c>
      <c r="C23" s="53">
        <v>0.77500000000000002</v>
      </c>
      <c r="D23" s="53">
        <v>0.77500000000000002</v>
      </c>
      <c r="E23" s="53">
        <v>0.77500000000000002</v>
      </c>
      <c r="F23" s="53">
        <v>0.75</v>
      </c>
      <c r="G23" s="53">
        <v>0.8</v>
      </c>
      <c r="H23" s="53">
        <v>0.7</v>
      </c>
      <c r="I23" s="53">
        <v>0.8</v>
      </c>
      <c r="J23" s="49" t="s">
        <v>28</v>
      </c>
      <c r="K23" s="49">
        <v>0</v>
      </c>
    </row>
    <row r="24" spans="1:11">
      <c r="A24" s="45"/>
      <c r="B24" s="27" t="s">
        <v>101</v>
      </c>
      <c r="C24" s="53">
        <v>0.22500000000000001</v>
      </c>
      <c r="D24" s="53">
        <v>0.22500000000000001</v>
      </c>
      <c r="E24" s="53">
        <v>0.22500000000000001</v>
      </c>
      <c r="F24" s="53">
        <v>0.2</v>
      </c>
      <c r="G24" s="53">
        <v>0.25</v>
      </c>
      <c r="H24" s="53">
        <v>0.2</v>
      </c>
      <c r="I24" s="53">
        <v>0.3</v>
      </c>
      <c r="J24" s="49" t="s">
        <v>28</v>
      </c>
      <c r="K24" s="49">
        <v>0</v>
      </c>
    </row>
    <row r="25" spans="1:11">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c r="A26" s="45"/>
      <c r="B26" s="27" t="s">
        <v>103</v>
      </c>
      <c r="C26" s="52">
        <v>0</v>
      </c>
      <c r="D26" s="52">
        <v>0</v>
      </c>
      <c r="E26" s="52">
        <v>0</v>
      </c>
      <c r="F26" s="55">
        <v>0</v>
      </c>
      <c r="G26" s="55">
        <v>0</v>
      </c>
      <c r="H26" s="55">
        <v>0</v>
      </c>
      <c r="I26" s="55">
        <v>0</v>
      </c>
      <c r="J26" s="49">
        <v>0</v>
      </c>
      <c r="K26" s="49">
        <v>0</v>
      </c>
    </row>
    <row r="27" spans="1:11">
      <c r="A27" s="45" t="s">
        <v>56</v>
      </c>
      <c r="B27" s="46"/>
      <c r="C27" s="52"/>
      <c r="D27" s="52"/>
      <c r="E27" s="52"/>
      <c r="F27" s="52"/>
      <c r="G27" s="52"/>
      <c r="H27" s="52"/>
      <c r="I27" s="52"/>
      <c r="J27" s="49"/>
      <c r="K27" s="49"/>
    </row>
    <row r="28" spans="1:11">
      <c r="A28" s="45"/>
      <c r="B28" s="56"/>
      <c r="C28" s="42"/>
      <c r="D28" s="42"/>
      <c r="E28" s="42"/>
      <c r="F28" s="42"/>
      <c r="G28" s="42"/>
      <c r="H28" s="42"/>
      <c r="I28" s="42"/>
      <c r="J28" s="57"/>
      <c r="K28" s="57"/>
    </row>
    <row r="29" spans="1:11">
      <c r="A29" s="6" t="s">
        <v>67</v>
      </c>
      <c r="B29" s="35"/>
      <c r="C29" s="9"/>
      <c r="D29" s="9"/>
      <c r="E29" s="9"/>
      <c r="F29" s="9"/>
      <c r="G29" s="9"/>
      <c r="H29" s="9"/>
      <c r="I29" s="9"/>
      <c r="J29" s="9"/>
      <c r="K29" s="9"/>
    </row>
    <row r="30" spans="1:11">
      <c r="A30" s="1"/>
      <c r="B30" s="8" t="s">
        <v>104</v>
      </c>
      <c r="C30" s="36"/>
      <c r="D30" s="36"/>
      <c r="E30" s="36"/>
      <c r="F30" s="36"/>
      <c r="G30" s="36"/>
      <c r="H30" s="36"/>
      <c r="I30" s="36"/>
      <c r="J30" s="36"/>
      <c r="K30" s="36"/>
    </row>
    <row r="31" spans="1:11">
      <c r="A31" s="1"/>
      <c r="B31" s="4" t="s">
        <v>105</v>
      </c>
      <c r="C31" s="37"/>
      <c r="D31" s="37"/>
      <c r="E31" s="37"/>
      <c r="F31" s="37"/>
      <c r="G31" s="37"/>
      <c r="H31" s="37"/>
      <c r="I31" s="37"/>
      <c r="J31" s="37"/>
      <c r="K31" s="37"/>
    </row>
    <row r="32" spans="1:11">
      <c r="A32" s="1"/>
      <c r="B32" s="8" t="s">
        <v>106</v>
      </c>
      <c r="C32" s="10"/>
      <c r="D32" s="10"/>
      <c r="E32" s="10"/>
      <c r="F32" s="10"/>
      <c r="G32" s="10"/>
      <c r="H32" s="10"/>
      <c r="I32" s="10"/>
      <c r="J32" s="10"/>
      <c r="K32" s="10"/>
    </row>
    <row r="33" spans="1:11">
      <c r="A33" s="1"/>
      <c r="B33" s="38" t="s">
        <v>107</v>
      </c>
      <c r="C33" s="39"/>
      <c r="D33" s="39"/>
      <c r="E33" s="39"/>
      <c r="F33" s="39"/>
      <c r="G33" s="39"/>
      <c r="H33" s="39"/>
      <c r="I33" s="39"/>
      <c r="J33" s="39"/>
      <c r="K33" s="39"/>
    </row>
    <row r="34" spans="1:11">
      <c r="A34" s="1"/>
      <c r="B34" s="8" t="s">
        <v>108</v>
      </c>
      <c r="C34" s="10"/>
      <c r="D34" s="10"/>
      <c r="E34" s="10"/>
      <c r="F34" s="10"/>
      <c r="G34" s="10"/>
      <c r="H34" s="10"/>
      <c r="I34" s="10"/>
      <c r="J34" s="10"/>
      <c r="K34" s="10"/>
    </row>
    <row r="35" spans="1:11">
      <c r="A35" s="1"/>
      <c r="B35" s="8"/>
      <c r="C35" s="10"/>
      <c r="D35" s="10"/>
      <c r="E35" s="10"/>
      <c r="F35" s="10"/>
      <c r="G35" s="10"/>
      <c r="H35" s="10"/>
      <c r="I35" s="10"/>
      <c r="J35" s="10"/>
      <c r="K35" s="10"/>
    </row>
    <row r="36" spans="1:11">
      <c r="A36" s="40" t="s">
        <v>57</v>
      </c>
      <c r="B36" s="35"/>
      <c r="C36" s="35"/>
      <c r="D36" s="35"/>
      <c r="E36" s="35"/>
      <c r="F36" s="35"/>
      <c r="G36" s="35"/>
      <c r="H36" s="35"/>
      <c r="I36" s="35"/>
      <c r="J36" s="35"/>
      <c r="K36" s="35"/>
    </row>
    <row r="37" spans="1:11">
      <c r="A37" s="41"/>
      <c r="B37" s="41" t="s">
        <v>109</v>
      </c>
      <c r="C37" s="35"/>
      <c r="D37" s="35"/>
      <c r="E37" s="35"/>
      <c r="F37" s="35"/>
      <c r="G37" s="35"/>
      <c r="H37" s="35"/>
      <c r="I37" s="35"/>
      <c r="J37" s="35"/>
      <c r="K37" s="35"/>
    </row>
    <row r="38" spans="1:11">
      <c r="A38" s="35"/>
      <c r="B38" s="35"/>
      <c r="C38" s="35"/>
      <c r="D38" s="35"/>
      <c r="E38" s="35"/>
      <c r="F38" s="35"/>
      <c r="G38" s="35"/>
      <c r="H38" s="35"/>
      <c r="I38" s="35"/>
      <c r="J38" s="35"/>
      <c r="K38" s="35"/>
    </row>
    <row r="39" spans="1:11">
      <c r="A39" s="35"/>
      <c r="B39" s="35"/>
      <c r="C39" s="35"/>
      <c r="D39" s="35"/>
      <c r="E39" s="35"/>
      <c r="F39" s="35"/>
      <c r="G39" s="35"/>
      <c r="H39" s="35"/>
      <c r="I39" s="35"/>
      <c r="J39" s="35"/>
      <c r="K39" s="35"/>
    </row>
    <row r="40" spans="1:11">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cols>
    <col min="2" max="2" width="42.33203125" customWidth="1"/>
  </cols>
  <sheetData>
    <row r="1" spans="1:12">
      <c r="A1" s="12" t="s">
        <v>2</v>
      </c>
      <c r="B1" s="13"/>
      <c r="C1" s="160" t="s">
        <v>110</v>
      </c>
      <c r="D1" s="160"/>
      <c r="E1" s="160"/>
      <c r="F1" s="160"/>
      <c r="G1" s="160"/>
      <c r="H1" s="160"/>
      <c r="I1" s="160"/>
      <c r="J1" s="160"/>
      <c r="K1" s="160"/>
      <c r="L1" s="58"/>
    </row>
    <row r="2" spans="1:12">
      <c r="A2" s="14" t="s">
        <v>4</v>
      </c>
      <c r="B2" s="13"/>
      <c r="C2" s="15">
        <v>2020</v>
      </c>
      <c r="D2" s="16">
        <v>2030</v>
      </c>
      <c r="E2" s="16">
        <v>2050</v>
      </c>
      <c r="F2" s="17">
        <v>2020</v>
      </c>
      <c r="G2" s="17">
        <v>2020</v>
      </c>
      <c r="H2" s="17">
        <v>2050</v>
      </c>
      <c r="I2" s="17">
        <v>2050</v>
      </c>
      <c r="J2" s="18" t="s">
        <v>5</v>
      </c>
      <c r="K2" s="18" t="s">
        <v>6</v>
      </c>
      <c r="L2" s="58"/>
    </row>
    <row r="3" spans="1:12">
      <c r="A3" s="12" t="s">
        <v>7</v>
      </c>
      <c r="B3" s="13"/>
      <c r="C3" s="19" t="s">
        <v>8</v>
      </c>
      <c r="D3" s="20" t="s">
        <v>8</v>
      </c>
      <c r="E3" s="20" t="s">
        <v>8</v>
      </c>
      <c r="F3" s="20" t="s">
        <v>9</v>
      </c>
      <c r="G3" s="20" t="s">
        <v>10</v>
      </c>
      <c r="H3" s="20" t="s">
        <v>9</v>
      </c>
      <c r="I3" s="20" t="s">
        <v>10</v>
      </c>
      <c r="J3" s="18" t="s">
        <v>11</v>
      </c>
      <c r="K3" s="18" t="s">
        <v>11</v>
      </c>
      <c r="L3" s="58"/>
    </row>
    <row r="4" spans="1:12">
      <c r="A4" s="21" t="s">
        <v>12</v>
      </c>
      <c r="B4" s="21" t="s">
        <v>13</v>
      </c>
      <c r="C4" s="42"/>
      <c r="D4" s="43"/>
      <c r="E4" s="43"/>
      <c r="F4" s="42"/>
      <c r="G4" s="42"/>
      <c r="H4" s="42"/>
      <c r="I4" s="42"/>
      <c r="J4" s="44"/>
      <c r="K4" s="44"/>
      <c r="L4" s="58"/>
    </row>
    <row r="5" spans="1:12">
      <c r="A5" s="45" t="s">
        <v>14</v>
      </c>
      <c r="B5" s="46"/>
      <c r="C5" s="43"/>
      <c r="D5" s="43"/>
      <c r="E5" s="43"/>
      <c r="F5" s="42"/>
      <c r="G5" s="42"/>
      <c r="H5" s="42"/>
      <c r="I5" s="42"/>
      <c r="J5" s="44"/>
      <c r="K5" s="44"/>
      <c r="L5" s="58"/>
    </row>
    <row r="6" spans="1:12">
      <c r="A6" s="45"/>
      <c r="B6" s="47" t="s">
        <v>111</v>
      </c>
      <c r="C6" s="48" t="s">
        <v>112</v>
      </c>
      <c r="D6" s="48" t="s">
        <v>112</v>
      </c>
      <c r="E6" s="48" t="s">
        <v>112</v>
      </c>
      <c r="F6" s="54">
        <v>0.01</v>
      </c>
      <c r="G6" s="48">
        <v>0.1</v>
      </c>
      <c r="H6" s="54">
        <v>0.01</v>
      </c>
      <c r="I6" s="48">
        <v>0.1</v>
      </c>
      <c r="J6" s="49" t="s">
        <v>16</v>
      </c>
      <c r="K6" s="49"/>
      <c r="L6" s="58"/>
    </row>
    <row r="7" spans="1:12">
      <c r="A7" s="45"/>
      <c r="B7" s="47" t="s">
        <v>25</v>
      </c>
      <c r="C7" s="52">
        <v>50</v>
      </c>
      <c r="D7" s="52">
        <v>50</v>
      </c>
      <c r="E7" s="52">
        <v>50</v>
      </c>
      <c r="F7" s="52">
        <v>45</v>
      </c>
      <c r="G7" s="52">
        <v>55</v>
      </c>
      <c r="H7" s="52">
        <v>45</v>
      </c>
      <c r="I7" s="52">
        <v>55</v>
      </c>
      <c r="J7" s="49"/>
      <c r="K7" s="49"/>
      <c r="L7" s="58"/>
    </row>
    <row r="8" spans="1:12">
      <c r="A8" s="45"/>
      <c r="B8" s="47" t="s">
        <v>29</v>
      </c>
      <c r="C8" s="52">
        <v>1</v>
      </c>
      <c r="D8" s="52">
        <v>1</v>
      </c>
      <c r="E8" s="52">
        <v>1</v>
      </c>
      <c r="F8" s="52">
        <v>0.5</v>
      </c>
      <c r="G8" s="52">
        <v>2</v>
      </c>
      <c r="H8" s="52">
        <v>0.5</v>
      </c>
      <c r="I8" s="52">
        <v>2</v>
      </c>
      <c r="J8" s="49"/>
      <c r="K8" s="49"/>
      <c r="L8" s="58"/>
    </row>
    <row r="9" spans="1:12">
      <c r="A9" s="45" t="s">
        <v>31</v>
      </c>
      <c r="B9" s="46"/>
      <c r="C9" s="43"/>
      <c r="D9" s="43"/>
      <c r="E9" s="43"/>
      <c r="F9" s="43"/>
      <c r="G9" s="43"/>
      <c r="H9" s="43"/>
      <c r="I9" s="43"/>
      <c r="J9" s="44"/>
      <c r="K9" s="44"/>
      <c r="L9" s="58"/>
    </row>
    <row r="10" spans="1:12">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c r="A18" s="45"/>
      <c r="B18" s="27" t="s">
        <v>100</v>
      </c>
      <c r="C18" s="53">
        <v>0.87</v>
      </c>
      <c r="D18" s="53">
        <v>0.8264999999999999</v>
      </c>
      <c r="E18" s="53">
        <v>0.78299999999999992</v>
      </c>
      <c r="F18" s="53">
        <v>0.8</v>
      </c>
      <c r="G18" s="53">
        <v>0.9</v>
      </c>
      <c r="H18" s="53">
        <v>0.75</v>
      </c>
      <c r="I18" s="53">
        <v>0.9</v>
      </c>
      <c r="J18" s="49" t="s">
        <v>28</v>
      </c>
      <c r="K18" s="49">
        <v>0</v>
      </c>
      <c r="L18" s="58"/>
    </row>
    <row r="19" spans="1:12">
      <c r="A19" s="45"/>
      <c r="B19" s="27" t="s">
        <v>101</v>
      </c>
      <c r="C19" s="53">
        <v>0.13</v>
      </c>
      <c r="D19" s="53">
        <v>0.1735000000000001</v>
      </c>
      <c r="E19" s="53">
        <v>0.21700000000000003</v>
      </c>
      <c r="F19" s="53">
        <v>0.1</v>
      </c>
      <c r="G19" s="53">
        <v>0.2</v>
      </c>
      <c r="H19" s="53">
        <v>0.1</v>
      </c>
      <c r="I19" s="53">
        <v>0.25</v>
      </c>
      <c r="J19" s="49" t="s">
        <v>26</v>
      </c>
      <c r="K19" s="49">
        <v>0</v>
      </c>
      <c r="L19" s="58"/>
    </row>
    <row r="20" spans="1:12">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c r="A21" s="45"/>
      <c r="B21" s="27" t="s">
        <v>103</v>
      </c>
      <c r="C21" s="52">
        <v>0</v>
      </c>
      <c r="D21" s="52">
        <v>0</v>
      </c>
      <c r="E21" s="52">
        <v>0</v>
      </c>
      <c r="F21" s="55">
        <v>0</v>
      </c>
      <c r="G21" s="55">
        <v>0</v>
      </c>
      <c r="H21" s="55">
        <v>0</v>
      </c>
      <c r="I21" s="55">
        <v>0</v>
      </c>
      <c r="J21" s="49">
        <v>0</v>
      </c>
      <c r="K21" s="49">
        <v>0</v>
      </c>
      <c r="L21" s="58"/>
    </row>
    <row r="22" spans="1:12">
      <c r="A22" s="45" t="s">
        <v>56</v>
      </c>
      <c r="B22" s="46"/>
      <c r="C22" s="52"/>
      <c r="D22" s="52"/>
      <c r="E22" s="52"/>
      <c r="F22" s="52"/>
      <c r="G22" s="52"/>
      <c r="H22" s="52"/>
      <c r="I22" s="52"/>
      <c r="J22" s="49"/>
      <c r="K22" s="49"/>
      <c r="L22" s="58"/>
    </row>
    <row r="23" spans="1:12">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cols>
    <col min="2" max="2" width="34.6640625" customWidth="1"/>
  </cols>
  <sheetData>
    <row r="1" spans="1:15">
      <c r="A1" s="12" t="s">
        <v>2</v>
      </c>
      <c r="B1" s="13"/>
      <c r="C1" s="160" t="s">
        <v>122</v>
      </c>
      <c r="D1" s="160"/>
      <c r="E1" s="160"/>
      <c r="F1" s="160"/>
      <c r="G1" s="160"/>
      <c r="H1" s="160"/>
      <c r="I1" s="160"/>
      <c r="J1" s="160"/>
      <c r="K1" s="160"/>
      <c r="L1" s="58"/>
      <c r="M1" s="58"/>
      <c r="N1" s="58"/>
      <c r="O1" s="61"/>
    </row>
    <row r="2" spans="1:15">
      <c r="A2" s="14" t="s">
        <v>4</v>
      </c>
      <c r="B2" s="13"/>
      <c r="C2" s="15">
        <v>2020</v>
      </c>
      <c r="D2" s="16">
        <v>2030</v>
      </c>
      <c r="E2" s="16">
        <v>2050</v>
      </c>
      <c r="F2" s="17">
        <v>2020</v>
      </c>
      <c r="G2" s="17">
        <v>2020</v>
      </c>
      <c r="H2" s="17">
        <v>2050</v>
      </c>
      <c r="I2" s="17">
        <v>2050</v>
      </c>
      <c r="J2" s="18" t="s">
        <v>5</v>
      </c>
      <c r="K2" s="18" t="s">
        <v>6</v>
      </c>
      <c r="L2" s="58"/>
      <c r="M2" s="58"/>
      <c r="N2" s="58"/>
      <c r="O2" s="61"/>
    </row>
    <row r="3" spans="1:15">
      <c r="A3" s="12" t="s">
        <v>7</v>
      </c>
      <c r="B3" s="13"/>
      <c r="C3" s="19" t="s">
        <v>8</v>
      </c>
      <c r="D3" s="20" t="s">
        <v>8</v>
      </c>
      <c r="E3" s="20" t="s">
        <v>8</v>
      </c>
      <c r="F3" s="20" t="s">
        <v>9</v>
      </c>
      <c r="G3" s="20" t="s">
        <v>10</v>
      </c>
      <c r="H3" s="20" t="s">
        <v>9</v>
      </c>
      <c r="I3" s="20" t="s">
        <v>10</v>
      </c>
      <c r="J3" s="18" t="s">
        <v>11</v>
      </c>
      <c r="K3" s="18" t="s">
        <v>11</v>
      </c>
      <c r="L3" s="58"/>
      <c r="M3" s="58"/>
      <c r="N3" s="58"/>
      <c r="O3" s="61"/>
    </row>
    <row r="4" spans="1:15">
      <c r="A4" s="21" t="s">
        <v>12</v>
      </c>
      <c r="B4" s="21" t="s">
        <v>13</v>
      </c>
      <c r="C4" s="42"/>
      <c r="D4" s="43"/>
      <c r="E4" s="43"/>
      <c r="F4" s="42"/>
      <c r="G4" s="42"/>
      <c r="H4" s="42"/>
      <c r="I4" s="42"/>
      <c r="J4" s="44"/>
      <c r="K4" s="44"/>
      <c r="L4" s="58"/>
      <c r="M4" s="58"/>
      <c r="N4" s="58"/>
      <c r="O4" s="61"/>
    </row>
    <row r="5" spans="1:15">
      <c r="A5" s="45" t="s">
        <v>14</v>
      </c>
      <c r="B5" s="46"/>
      <c r="C5" s="43"/>
      <c r="D5" s="43"/>
      <c r="E5" s="43"/>
      <c r="F5" s="42"/>
      <c r="G5" s="42"/>
      <c r="H5" s="42"/>
      <c r="I5" s="42"/>
      <c r="J5" s="44"/>
      <c r="K5" s="44"/>
      <c r="L5" s="58"/>
      <c r="M5" s="58"/>
      <c r="N5" s="58"/>
      <c r="O5" s="61"/>
    </row>
    <row r="6" spans="1:15">
      <c r="A6" s="45"/>
      <c r="B6" s="27" t="s">
        <v>123</v>
      </c>
      <c r="C6" s="52">
        <v>2250</v>
      </c>
      <c r="D6" s="52">
        <f>+C6*0.9</f>
        <v>2025</v>
      </c>
      <c r="E6" s="52">
        <f>+C6*0.7</f>
        <v>1575</v>
      </c>
      <c r="F6" s="52"/>
      <c r="G6" s="52"/>
      <c r="H6" s="52"/>
      <c r="I6" s="52"/>
      <c r="J6" s="49" t="s">
        <v>124</v>
      </c>
      <c r="K6" s="49"/>
      <c r="L6" s="58"/>
      <c r="M6" s="58"/>
      <c r="N6" s="58"/>
      <c r="O6" s="61"/>
    </row>
    <row r="7" spans="1:15">
      <c r="A7" s="45"/>
      <c r="B7" s="27" t="s">
        <v>125</v>
      </c>
      <c r="C7" s="52">
        <v>2450</v>
      </c>
      <c r="D7" s="52">
        <f t="shared" ref="D7:D8" si="0">+C7*0.9</f>
        <v>2205</v>
      </c>
      <c r="E7" s="52">
        <f t="shared" ref="E7:E8" si="1">+C7*0.7</f>
        <v>1715</v>
      </c>
      <c r="F7" s="52"/>
      <c r="G7" s="52"/>
      <c r="H7" s="52"/>
      <c r="I7" s="52"/>
      <c r="J7" s="49" t="s">
        <v>124</v>
      </c>
      <c r="K7" s="49"/>
      <c r="L7" s="58"/>
      <c r="M7" s="58"/>
      <c r="N7" s="58"/>
      <c r="O7" s="61"/>
    </row>
    <row r="8" spans="1:15">
      <c r="A8" s="45"/>
      <c r="B8" s="27" t="s">
        <v>126</v>
      </c>
      <c r="C8" s="52">
        <v>2450</v>
      </c>
      <c r="D8" s="52">
        <f t="shared" si="0"/>
        <v>2205</v>
      </c>
      <c r="E8" s="52">
        <f t="shared" si="1"/>
        <v>1715</v>
      </c>
      <c r="F8" s="52"/>
      <c r="G8" s="52"/>
      <c r="H8" s="52"/>
      <c r="I8" s="52"/>
      <c r="J8" s="49" t="s">
        <v>124</v>
      </c>
      <c r="K8" s="49"/>
      <c r="L8" s="58"/>
      <c r="M8" s="58"/>
      <c r="N8" s="58"/>
      <c r="O8" s="61"/>
    </row>
    <row r="9" spans="1:15">
      <c r="A9" s="45"/>
      <c r="B9" s="47" t="s">
        <v>25</v>
      </c>
      <c r="C9" s="52">
        <v>20</v>
      </c>
      <c r="D9" s="52">
        <v>20</v>
      </c>
      <c r="E9" s="52">
        <v>20</v>
      </c>
      <c r="F9" s="52"/>
      <c r="G9" s="52"/>
      <c r="H9" s="52"/>
      <c r="I9" s="52"/>
      <c r="J9" s="49"/>
      <c r="K9" s="49">
        <v>1</v>
      </c>
      <c r="L9" s="58"/>
      <c r="M9" s="58"/>
      <c r="N9" s="58"/>
      <c r="O9" s="61"/>
    </row>
    <row r="10" spans="1:15">
      <c r="A10" s="45" t="s">
        <v>31</v>
      </c>
      <c r="B10" s="46"/>
      <c r="C10" s="43"/>
      <c r="D10" s="43"/>
      <c r="E10" s="43"/>
      <c r="F10" s="43"/>
      <c r="G10" s="43"/>
      <c r="H10" s="43"/>
      <c r="I10" s="43"/>
      <c r="J10" s="44"/>
      <c r="K10" s="44"/>
      <c r="L10" s="58"/>
      <c r="M10" s="58"/>
      <c r="N10" s="58"/>
      <c r="O10" s="61"/>
    </row>
    <row r="11" spans="1:15">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c r="A20" s="45" t="s">
        <v>56</v>
      </c>
      <c r="B20" s="46"/>
      <c r="C20" s="52"/>
      <c r="D20" s="52"/>
      <c r="E20" s="52"/>
      <c r="F20" s="52"/>
      <c r="G20" s="52"/>
      <c r="H20" s="52"/>
      <c r="I20" s="52"/>
      <c r="J20" s="49"/>
      <c r="K20" s="49"/>
      <c r="L20" s="58"/>
      <c r="M20" s="58"/>
      <c r="N20" s="58"/>
      <c r="O20" s="61"/>
    </row>
    <row r="21" spans="1:15">
      <c r="A21" s="45"/>
      <c r="B21" s="46"/>
      <c r="C21" s="52"/>
      <c r="D21" s="52"/>
      <c r="E21" s="52"/>
      <c r="F21" s="52"/>
      <c r="G21" s="52"/>
      <c r="H21" s="52"/>
      <c r="I21" s="52"/>
      <c r="J21" s="49"/>
      <c r="K21" s="49"/>
      <c r="L21" s="58"/>
      <c r="M21" s="58"/>
      <c r="N21" s="58"/>
      <c r="O21" s="61"/>
    </row>
    <row r="22" spans="1:15">
      <c r="A22" s="6" t="s">
        <v>57</v>
      </c>
      <c r="B22" s="35"/>
      <c r="C22" s="35"/>
      <c r="D22" s="35"/>
      <c r="E22" s="35"/>
      <c r="F22" s="35"/>
      <c r="G22" s="35"/>
      <c r="H22" s="35"/>
      <c r="I22" s="35"/>
      <c r="J22" s="35"/>
      <c r="K22" s="35"/>
      <c r="L22" s="35"/>
      <c r="M22" s="35"/>
      <c r="N22" s="35"/>
    </row>
    <row r="23" spans="1:15">
      <c r="A23" s="1"/>
      <c r="B23" s="59" t="s">
        <v>138</v>
      </c>
      <c r="C23" s="60"/>
      <c r="D23" s="60"/>
      <c r="E23" s="60"/>
      <c r="F23" s="60"/>
      <c r="G23" s="60"/>
      <c r="H23" s="60"/>
      <c r="I23" s="60"/>
      <c r="J23" s="60"/>
      <c r="K23" s="60"/>
      <c r="L23" s="35"/>
      <c r="M23" s="35"/>
      <c r="N23" s="35"/>
    </row>
    <row r="24" spans="1:15">
      <c r="A24" s="1"/>
      <c r="B24" s="59" t="s">
        <v>139</v>
      </c>
      <c r="C24" s="60"/>
      <c r="D24" s="60"/>
      <c r="E24" s="60"/>
      <c r="F24" s="60"/>
      <c r="G24" s="60"/>
      <c r="H24" s="60"/>
      <c r="I24" s="60"/>
      <c r="J24" s="60"/>
      <c r="K24" s="60"/>
      <c r="L24" s="35"/>
      <c r="M24" s="35"/>
      <c r="N24" s="35"/>
    </row>
    <row r="25" spans="1:15">
      <c r="A25" s="1"/>
      <c r="B25" s="59" t="s">
        <v>140</v>
      </c>
      <c r="C25" s="60"/>
      <c r="D25" s="60"/>
      <c r="E25" s="60"/>
      <c r="F25" s="60"/>
      <c r="G25" s="60"/>
      <c r="H25" s="60"/>
      <c r="I25" s="60"/>
      <c r="J25" s="60"/>
      <c r="K25" s="60"/>
      <c r="L25" s="35"/>
      <c r="M25" s="35"/>
      <c r="N25" s="35"/>
    </row>
    <row r="26" spans="1:15">
      <c r="A26" s="1"/>
      <c r="B26" s="59"/>
      <c r="C26" s="60"/>
      <c r="D26" s="60"/>
      <c r="E26" s="60"/>
      <c r="F26" s="60"/>
      <c r="G26" s="60"/>
      <c r="H26" s="60"/>
      <c r="I26" s="60"/>
      <c r="J26" s="60"/>
      <c r="K26" s="60"/>
      <c r="L26" s="35"/>
      <c r="M26" s="35"/>
      <c r="N26" s="35"/>
    </row>
    <row r="27" spans="1:15">
      <c r="A27" s="6" t="s">
        <v>67</v>
      </c>
      <c r="B27" s="35"/>
      <c r="C27" s="35"/>
      <c r="D27" s="35"/>
      <c r="E27" s="35"/>
      <c r="F27" s="35"/>
      <c r="G27" s="35"/>
      <c r="H27" s="35"/>
      <c r="I27" s="35"/>
      <c r="J27" s="35"/>
      <c r="K27" s="35"/>
      <c r="L27" s="35"/>
      <c r="M27" s="35"/>
      <c r="N27" s="35"/>
    </row>
    <row r="28" spans="1:15">
      <c r="A28" s="1"/>
      <c r="B28" s="8" t="s">
        <v>141</v>
      </c>
      <c r="C28" s="10"/>
      <c r="D28" s="10"/>
      <c r="E28" s="10"/>
      <c r="F28" s="10"/>
      <c r="G28" s="10"/>
      <c r="H28" s="10"/>
      <c r="I28" s="10"/>
      <c r="J28" s="10"/>
      <c r="K28" s="10"/>
      <c r="L28" s="35"/>
      <c r="M28" s="35"/>
      <c r="N28" s="35"/>
    </row>
    <row r="29" spans="1:15">
      <c r="A29" s="1"/>
      <c r="B29" s="8" t="s">
        <v>142</v>
      </c>
      <c r="C29" s="10"/>
      <c r="D29" s="10"/>
      <c r="E29" s="10"/>
      <c r="F29" s="10"/>
      <c r="G29" s="10"/>
      <c r="H29" s="10"/>
      <c r="I29" s="10"/>
      <c r="J29" s="10"/>
      <c r="K29" s="10"/>
      <c r="L29" s="35"/>
      <c r="M29" s="35"/>
      <c r="N29" s="35"/>
    </row>
    <row r="30" spans="1:15">
      <c r="A30" s="1"/>
      <c r="B30" s="8" t="s">
        <v>143</v>
      </c>
      <c r="C30" s="10"/>
      <c r="D30" s="10"/>
      <c r="E30" s="10"/>
      <c r="F30" s="10"/>
      <c r="G30" s="10"/>
      <c r="H30" s="10"/>
      <c r="I30" s="10"/>
      <c r="J30" s="10"/>
      <c r="K30" s="10"/>
      <c r="L30" s="35"/>
      <c r="M30" s="35"/>
      <c r="N30" s="35"/>
    </row>
    <row r="31" spans="1:15">
      <c r="A31" s="1"/>
      <c r="B31" s="8" t="s">
        <v>144</v>
      </c>
      <c r="C31" s="10"/>
      <c r="D31" s="10"/>
      <c r="E31" s="10"/>
      <c r="F31" s="10"/>
      <c r="G31" s="10"/>
      <c r="H31" s="10"/>
      <c r="I31" s="10"/>
      <c r="J31" s="10"/>
      <c r="K31" s="10"/>
      <c r="L31" s="35"/>
      <c r="M31" s="35"/>
      <c r="N31" s="35"/>
    </row>
    <row r="32" spans="1:15">
      <c r="A32" s="1"/>
      <c r="B32" s="8" t="s">
        <v>145</v>
      </c>
      <c r="C32" s="10"/>
      <c r="D32" s="10"/>
      <c r="E32" s="10"/>
      <c r="F32" s="10"/>
      <c r="G32" s="10"/>
      <c r="H32" s="10"/>
      <c r="I32" s="10"/>
      <c r="J32" s="10"/>
      <c r="K32" s="10"/>
      <c r="L32" s="35"/>
      <c r="M32" s="35"/>
      <c r="N32" s="35"/>
    </row>
    <row r="33" spans="1:14">
      <c r="A33" s="1"/>
      <c r="B33" s="8" t="s">
        <v>146</v>
      </c>
      <c r="C33" s="10"/>
      <c r="D33" s="10"/>
      <c r="E33" s="10"/>
      <c r="F33" s="10"/>
      <c r="G33" s="10"/>
      <c r="H33" s="10"/>
      <c r="I33" s="10"/>
      <c r="J33" s="10"/>
      <c r="K33" s="10"/>
      <c r="L33" s="35"/>
      <c r="M33" s="35"/>
      <c r="N33" s="35"/>
    </row>
    <row r="34" spans="1:14">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8EB2-52E2-45AF-A639-7AE64248E30D}">
  <sheetPr>
    <tabColor theme="4" tint="0.39997558519241921"/>
  </sheetPr>
  <dimension ref="A1:P31"/>
  <sheetViews>
    <sheetView workbookViewId="0">
      <selection activeCell="B14" sqref="B14:C14"/>
    </sheetView>
  </sheetViews>
  <sheetFormatPr defaultRowHeight="14.4"/>
  <cols>
    <col min="2" max="2" width="60.33203125" customWidth="1"/>
  </cols>
  <sheetData>
    <row r="1" spans="1:16">
      <c r="A1" s="73" t="s">
        <v>2</v>
      </c>
      <c r="B1" s="74"/>
      <c r="C1" s="75" t="s">
        <v>164</v>
      </c>
      <c r="D1" s="76"/>
      <c r="E1" s="76"/>
      <c r="F1" s="76"/>
      <c r="G1" s="76"/>
      <c r="H1" s="76"/>
      <c r="I1" s="76"/>
      <c r="J1" s="76"/>
      <c r="K1" s="76"/>
      <c r="L1" s="77"/>
      <c r="M1" s="77"/>
      <c r="N1" s="78"/>
      <c r="O1" s="78"/>
      <c r="P1" s="66"/>
    </row>
    <row r="2" spans="1:16">
      <c r="A2" s="79" t="s">
        <v>4</v>
      </c>
      <c r="B2" s="74"/>
      <c r="C2" s="80">
        <v>2020</v>
      </c>
      <c r="D2" s="81">
        <v>2025</v>
      </c>
      <c r="E2" s="81">
        <v>2030</v>
      </c>
      <c r="F2" s="81">
        <v>2040</v>
      </c>
      <c r="G2" s="81">
        <v>2050</v>
      </c>
      <c r="H2" s="81">
        <v>2025</v>
      </c>
      <c r="I2" s="81">
        <v>2025</v>
      </c>
      <c r="J2" s="81">
        <v>2050</v>
      </c>
      <c r="K2" s="81">
        <v>2050</v>
      </c>
      <c r="L2" s="82" t="s">
        <v>5</v>
      </c>
      <c r="M2" s="82" t="s">
        <v>6</v>
      </c>
      <c r="N2" s="78"/>
      <c r="O2" s="78"/>
      <c r="P2" s="66"/>
    </row>
    <row r="3" spans="1:16">
      <c r="A3" s="83" t="s">
        <v>7</v>
      </c>
      <c r="B3" s="74"/>
      <c r="C3" s="81" t="s">
        <v>8</v>
      </c>
      <c r="D3" s="81" t="s">
        <v>8</v>
      </c>
      <c r="E3" s="81" t="s">
        <v>8</v>
      </c>
      <c r="F3" s="81" t="s">
        <v>8</v>
      </c>
      <c r="G3" s="81" t="s">
        <v>8</v>
      </c>
      <c r="H3" s="81" t="s">
        <v>9</v>
      </c>
      <c r="I3" s="81" t="s">
        <v>10</v>
      </c>
      <c r="J3" s="81" t="s">
        <v>9</v>
      </c>
      <c r="K3" s="81" t="s">
        <v>10</v>
      </c>
      <c r="L3" s="82" t="s">
        <v>11</v>
      </c>
      <c r="M3" s="82" t="s">
        <v>11</v>
      </c>
      <c r="N3" s="78"/>
      <c r="O3" s="78"/>
      <c r="P3" s="66"/>
    </row>
    <row r="4" spans="1:16">
      <c r="A4" s="84" t="s">
        <v>12</v>
      </c>
      <c r="B4" s="85" t="s">
        <v>13</v>
      </c>
      <c r="C4" s="86"/>
      <c r="D4" s="87"/>
      <c r="E4" s="87"/>
      <c r="F4" s="87"/>
      <c r="G4" s="87"/>
      <c r="H4" s="88"/>
      <c r="I4" s="88"/>
      <c r="J4" s="88"/>
      <c r="K4" s="88"/>
      <c r="L4" s="89"/>
      <c r="M4" s="89"/>
      <c r="N4" s="78"/>
      <c r="O4" s="78"/>
      <c r="P4" s="66"/>
    </row>
    <row r="5" spans="1:16">
      <c r="A5" s="90" t="s">
        <v>14</v>
      </c>
      <c r="B5" s="91"/>
      <c r="C5" s="92"/>
      <c r="D5" s="87"/>
      <c r="E5" s="87"/>
      <c r="F5" s="87"/>
      <c r="G5" s="87"/>
      <c r="H5" s="88"/>
      <c r="I5" s="88"/>
      <c r="J5" s="88"/>
      <c r="K5" s="88"/>
      <c r="L5" s="89"/>
      <c r="M5" s="89"/>
      <c r="N5" s="78"/>
      <c r="O5" s="78"/>
      <c r="P5" s="66"/>
    </row>
    <row r="6" spans="1:16">
      <c r="A6" s="78"/>
      <c r="B6" s="91" t="s">
        <v>25</v>
      </c>
      <c r="C6" s="88">
        <v>50</v>
      </c>
      <c r="D6" s="88">
        <v>50</v>
      </c>
      <c r="E6" s="88">
        <v>50</v>
      </c>
      <c r="F6" s="88">
        <v>50</v>
      </c>
      <c r="G6" s="88">
        <v>50</v>
      </c>
      <c r="H6" s="88">
        <v>45</v>
      </c>
      <c r="I6" s="88">
        <v>55</v>
      </c>
      <c r="J6" s="88">
        <v>45</v>
      </c>
      <c r="K6" s="88">
        <v>55</v>
      </c>
      <c r="L6" s="93"/>
      <c r="M6" s="94">
        <v>1</v>
      </c>
      <c r="N6" s="78"/>
      <c r="O6" s="78"/>
      <c r="P6" s="66"/>
    </row>
    <row r="7" spans="1:16">
      <c r="A7" s="78"/>
      <c r="B7" s="91" t="s">
        <v>29</v>
      </c>
      <c r="C7" s="88">
        <v>1</v>
      </c>
      <c r="D7" s="88">
        <v>1</v>
      </c>
      <c r="E7" s="88">
        <v>1</v>
      </c>
      <c r="F7" s="88">
        <v>1</v>
      </c>
      <c r="G7" s="88">
        <v>1</v>
      </c>
      <c r="H7" s="88">
        <v>0.7</v>
      </c>
      <c r="I7" s="88">
        <v>1.5</v>
      </c>
      <c r="J7" s="88">
        <v>0.5</v>
      </c>
      <c r="K7" s="88">
        <v>1.5</v>
      </c>
      <c r="L7" s="93"/>
      <c r="M7" s="94">
        <v>1</v>
      </c>
      <c r="N7" s="78"/>
      <c r="O7" s="78"/>
      <c r="P7" s="66"/>
    </row>
    <row r="8" spans="1:16">
      <c r="A8" s="90" t="s">
        <v>31</v>
      </c>
      <c r="B8" s="91"/>
      <c r="C8" s="87"/>
      <c r="D8" s="87"/>
      <c r="E8" s="87"/>
      <c r="F8" s="87"/>
      <c r="G8" s="87"/>
      <c r="H8" s="87"/>
      <c r="I8" s="87"/>
      <c r="J8" s="87"/>
      <c r="K8" s="87"/>
      <c r="L8" s="89"/>
      <c r="M8" s="89"/>
      <c r="N8" s="78"/>
      <c r="O8" s="78"/>
      <c r="P8" s="66"/>
    </row>
    <row r="9" spans="1:16">
      <c r="A9" s="78"/>
      <c r="B9" s="91" t="s">
        <v>165</v>
      </c>
      <c r="C9" s="88">
        <v>130</v>
      </c>
      <c r="D9" s="88">
        <v>130</v>
      </c>
      <c r="E9" s="88">
        <v>130</v>
      </c>
      <c r="F9" s="88">
        <v>130</v>
      </c>
      <c r="G9" s="88">
        <v>130</v>
      </c>
      <c r="H9" s="95">
        <v>104</v>
      </c>
      <c r="I9" s="95">
        <v>169</v>
      </c>
      <c r="J9" s="95">
        <v>104</v>
      </c>
      <c r="K9" s="95">
        <v>169</v>
      </c>
      <c r="L9" s="93" t="s">
        <v>88</v>
      </c>
      <c r="M9" s="93">
        <v>2</v>
      </c>
      <c r="N9" s="78"/>
      <c r="O9" s="78"/>
      <c r="P9" s="66"/>
    </row>
    <row r="10" spans="1:16">
      <c r="A10" s="78"/>
      <c r="B10" s="91" t="s">
        <v>166</v>
      </c>
      <c r="C10" s="88">
        <v>43</v>
      </c>
      <c r="D10" s="88">
        <v>43</v>
      </c>
      <c r="E10" s="88">
        <v>43</v>
      </c>
      <c r="F10" s="88">
        <v>43</v>
      </c>
      <c r="G10" s="88">
        <v>43</v>
      </c>
      <c r="H10" s="95">
        <v>34</v>
      </c>
      <c r="I10" s="95">
        <v>56</v>
      </c>
      <c r="J10" s="95">
        <v>34</v>
      </c>
      <c r="K10" s="95">
        <v>56</v>
      </c>
      <c r="L10" s="93" t="s">
        <v>88</v>
      </c>
      <c r="M10" s="93">
        <v>2</v>
      </c>
      <c r="N10" s="78"/>
      <c r="O10" s="78"/>
      <c r="P10" s="66"/>
    </row>
    <row r="11" spans="1:16">
      <c r="A11" s="78"/>
      <c r="B11" s="91" t="s">
        <v>167</v>
      </c>
      <c r="C11" s="88">
        <v>18</v>
      </c>
      <c r="D11" s="88">
        <v>18</v>
      </c>
      <c r="E11" s="88">
        <v>18</v>
      </c>
      <c r="F11" s="88">
        <v>18</v>
      </c>
      <c r="G11" s="88">
        <v>18</v>
      </c>
      <c r="H11" s="95">
        <v>14</v>
      </c>
      <c r="I11" s="95">
        <v>23</v>
      </c>
      <c r="J11" s="95">
        <v>14</v>
      </c>
      <c r="K11" s="95">
        <v>23</v>
      </c>
      <c r="L11" s="93" t="s">
        <v>88</v>
      </c>
      <c r="M11" s="93">
        <v>2</v>
      </c>
      <c r="N11" s="78"/>
      <c r="O11" s="78"/>
      <c r="P11" s="66"/>
    </row>
    <row r="12" spans="1:16">
      <c r="A12" s="78"/>
      <c r="B12" s="91" t="s">
        <v>168</v>
      </c>
      <c r="C12" s="88">
        <v>13</v>
      </c>
      <c r="D12" s="88">
        <v>13</v>
      </c>
      <c r="E12" s="88">
        <v>13</v>
      </c>
      <c r="F12" s="88">
        <v>13</v>
      </c>
      <c r="G12" s="88">
        <v>13</v>
      </c>
      <c r="H12" s="95">
        <v>10</v>
      </c>
      <c r="I12" s="95">
        <v>17</v>
      </c>
      <c r="J12" s="95">
        <v>10</v>
      </c>
      <c r="K12" s="95">
        <v>17</v>
      </c>
      <c r="L12" s="93" t="s">
        <v>88</v>
      </c>
      <c r="M12" s="93">
        <v>2</v>
      </c>
      <c r="N12" s="78"/>
      <c r="O12" s="78"/>
      <c r="P12" s="66"/>
    </row>
    <row r="13" spans="1:16">
      <c r="A13" s="78"/>
      <c r="B13" s="91" t="s">
        <v>169</v>
      </c>
      <c r="C13" s="88">
        <v>33</v>
      </c>
      <c r="D13" s="88">
        <v>33</v>
      </c>
      <c r="E13" s="88">
        <v>33</v>
      </c>
      <c r="F13" s="88">
        <v>33</v>
      </c>
      <c r="G13" s="88">
        <v>33</v>
      </c>
      <c r="H13" s="95">
        <v>26</v>
      </c>
      <c r="I13" s="95">
        <v>43</v>
      </c>
      <c r="J13" s="95">
        <v>26</v>
      </c>
      <c r="K13" s="95">
        <v>43</v>
      </c>
      <c r="L13" s="93" t="s">
        <v>96</v>
      </c>
      <c r="M13" s="93">
        <v>2</v>
      </c>
      <c r="N13" s="78"/>
      <c r="O13" s="78"/>
      <c r="P13" s="66"/>
    </row>
    <row r="14" spans="1:16">
      <c r="A14" s="78"/>
      <c r="B14" s="91" t="s">
        <v>170</v>
      </c>
      <c r="C14" s="88">
        <v>20</v>
      </c>
      <c r="D14" s="88">
        <v>20</v>
      </c>
      <c r="E14" s="88">
        <v>20</v>
      </c>
      <c r="F14" s="88">
        <v>20</v>
      </c>
      <c r="G14" s="88">
        <v>20</v>
      </c>
      <c r="H14" s="96">
        <v>10</v>
      </c>
      <c r="I14" s="96">
        <v>30</v>
      </c>
      <c r="J14" s="96">
        <v>10</v>
      </c>
      <c r="K14" s="96">
        <v>30</v>
      </c>
      <c r="L14" s="93" t="s">
        <v>26</v>
      </c>
      <c r="M14" s="93">
        <v>3</v>
      </c>
      <c r="N14" s="78"/>
      <c r="O14" s="78"/>
      <c r="P14" s="66"/>
    </row>
    <row r="15" spans="1:16">
      <c r="A15" s="78"/>
      <c r="B15" s="91" t="s">
        <v>171</v>
      </c>
      <c r="C15" s="96"/>
      <c r="D15" s="96"/>
      <c r="E15" s="96"/>
      <c r="F15" s="96"/>
      <c r="G15" s="96"/>
      <c r="H15" s="96"/>
      <c r="I15" s="96"/>
      <c r="J15" s="96"/>
      <c r="K15" s="96"/>
      <c r="L15" s="93" t="s">
        <v>28</v>
      </c>
      <c r="M15" s="93"/>
      <c r="N15" s="78"/>
      <c r="O15" s="78"/>
      <c r="P15" s="66"/>
    </row>
    <row r="16" spans="1:16">
      <c r="A16" s="90" t="s">
        <v>172</v>
      </c>
      <c r="B16" s="91"/>
      <c r="C16" s="96"/>
      <c r="D16" s="96"/>
      <c r="E16" s="96"/>
      <c r="F16" s="96"/>
      <c r="G16" s="96"/>
      <c r="H16" s="96"/>
      <c r="I16" s="96"/>
      <c r="J16" s="96"/>
      <c r="K16" s="96"/>
      <c r="L16" s="93"/>
      <c r="M16" s="93"/>
      <c r="N16" s="78"/>
      <c r="O16" s="78"/>
      <c r="P16" s="66"/>
    </row>
    <row r="17" spans="1:16">
      <c r="A17" s="97"/>
      <c r="B17" s="98"/>
      <c r="C17" s="99"/>
      <c r="D17" s="99"/>
      <c r="E17" s="99"/>
      <c r="F17" s="99"/>
      <c r="G17" s="99"/>
      <c r="H17" s="99"/>
      <c r="I17" s="99"/>
      <c r="J17" s="99"/>
      <c r="K17" s="99"/>
      <c r="L17" s="99"/>
      <c r="M17" s="99"/>
      <c r="N17" s="78"/>
      <c r="O17" s="78"/>
      <c r="P17" s="66"/>
    </row>
    <row r="18" spans="1:16">
      <c r="A18" s="67" t="s">
        <v>57</v>
      </c>
      <c r="B18" s="68"/>
      <c r="C18" s="69"/>
      <c r="D18" s="69"/>
      <c r="E18" s="69"/>
      <c r="F18" s="69"/>
      <c r="G18" s="69"/>
      <c r="H18" s="69"/>
      <c r="I18" s="69"/>
      <c r="J18" s="69"/>
      <c r="K18" s="69"/>
      <c r="L18" s="69"/>
      <c r="M18" s="69"/>
      <c r="N18" s="66"/>
      <c r="O18" s="66"/>
      <c r="P18" s="66"/>
    </row>
    <row r="19" spans="1:16">
      <c r="A19" s="70"/>
      <c r="B19" s="70" t="s">
        <v>173</v>
      </c>
      <c r="C19" s="70"/>
      <c r="D19" s="66"/>
      <c r="E19" s="70"/>
      <c r="F19" s="70"/>
      <c r="G19" s="70"/>
      <c r="H19" s="70"/>
      <c r="I19" s="70"/>
      <c r="J19" s="70"/>
      <c r="K19" s="70"/>
      <c r="L19" s="71"/>
      <c r="M19" s="71"/>
      <c r="N19" s="66"/>
      <c r="O19" s="66"/>
      <c r="P19" s="66"/>
    </row>
    <row r="20" spans="1:16">
      <c r="A20" s="70"/>
      <c r="B20" s="70" t="s">
        <v>174</v>
      </c>
      <c r="C20" s="70"/>
      <c r="D20" s="66"/>
      <c r="E20" s="70"/>
      <c r="F20" s="70"/>
      <c r="G20" s="70"/>
      <c r="H20" s="70"/>
      <c r="I20" s="70"/>
      <c r="J20" s="70"/>
      <c r="K20" s="70"/>
      <c r="L20" s="71"/>
      <c r="M20" s="71"/>
      <c r="N20" s="66"/>
      <c r="O20" s="66"/>
      <c r="P20" s="66"/>
    </row>
    <row r="21" spans="1:16">
      <c r="A21" s="70"/>
      <c r="B21" s="70" t="s">
        <v>175</v>
      </c>
      <c r="C21" s="70"/>
      <c r="D21" s="66"/>
      <c r="E21" s="70"/>
      <c r="F21" s="70"/>
      <c r="G21" s="70"/>
      <c r="H21" s="70"/>
      <c r="I21" s="70"/>
      <c r="J21" s="70"/>
      <c r="K21" s="70"/>
      <c r="L21" s="71"/>
      <c r="M21" s="71"/>
      <c r="N21" s="66"/>
      <c r="O21" s="66"/>
      <c r="P21" s="66"/>
    </row>
    <row r="22" spans="1:16">
      <c r="A22" s="70"/>
      <c r="B22" s="70"/>
      <c r="C22" s="70"/>
      <c r="D22" s="66"/>
      <c r="E22" s="70"/>
      <c r="F22" s="70"/>
      <c r="G22" s="70"/>
      <c r="H22" s="70"/>
      <c r="I22" s="70"/>
      <c r="J22" s="70"/>
      <c r="K22" s="70"/>
      <c r="L22" s="71"/>
      <c r="M22" s="71"/>
      <c r="N22" s="66"/>
      <c r="O22" s="66"/>
      <c r="P22" s="66"/>
    </row>
    <row r="23" spans="1:16">
      <c r="A23" s="67" t="s">
        <v>67</v>
      </c>
      <c r="B23" s="69"/>
      <c r="C23" s="68"/>
      <c r="D23" s="66"/>
      <c r="E23" s="68"/>
      <c r="F23" s="68"/>
      <c r="G23" s="68"/>
      <c r="H23" s="68"/>
      <c r="I23" s="68"/>
      <c r="J23" s="68"/>
      <c r="K23" s="68"/>
      <c r="L23" s="68"/>
      <c r="M23" s="68"/>
      <c r="N23" s="66"/>
      <c r="O23" s="66"/>
      <c r="P23" s="66"/>
    </row>
    <row r="24" spans="1:16">
      <c r="A24" s="70"/>
      <c r="B24" s="70" t="s">
        <v>176</v>
      </c>
      <c r="C24" s="70"/>
      <c r="D24" s="66"/>
      <c r="E24" s="70"/>
      <c r="F24" s="70"/>
      <c r="G24" s="70"/>
      <c r="H24" s="70"/>
      <c r="I24" s="70"/>
      <c r="J24" s="70"/>
      <c r="K24" s="70"/>
      <c r="L24" s="71"/>
      <c r="M24" s="71"/>
      <c r="N24" s="66"/>
      <c r="O24" s="66"/>
      <c r="P24" s="66"/>
    </row>
    <row r="25" spans="1:16">
      <c r="A25" s="70"/>
      <c r="B25" s="70" t="s">
        <v>177</v>
      </c>
      <c r="C25" s="70"/>
      <c r="D25" s="66"/>
      <c r="E25" s="70"/>
      <c r="F25" s="70"/>
      <c r="G25" s="70"/>
      <c r="H25" s="70"/>
      <c r="I25" s="70"/>
      <c r="J25" s="70"/>
      <c r="K25" s="70"/>
      <c r="L25" s="71"/>
      <c r="M25" s="71"/>
      <c r="N25" s="66"/>
      <c r="O25" s="66"/>
      <c r="P25" s="66"/>
    </row>
    <row r="26" spans="1:16">
      <c r="A26" s="70"/>
      <c r="B26" s="70" t="s">
        <v>178</v>
      </c>
      <c r="C26" s="70"/>
      <c r="D26" s="66"/>
      <c r="E26" s="70"/>
      <c r="F26" s="70"/>
      <c r="G26" s="70"/>
      <c r="H26" s="70"/>
      <c r="I26" s="70"/>
      <c r="J26" s="70"/>
      <c r="K26" s="70"/>
      <c r="L26" s="71"/>
      <c r="M26" s="71"/>
      <c r="N26" s="66"/>
      <c r="O26" s="66"/>
      <c r="P26" s="66"/>
    </row>
    <row r="27" spans="1:16">
      <c r="A27" s="70"/>
      <c r="B27" s="70" t="s">
        <v>179</v>
      </c>
      <c r="C27" s="70"/>
      <c r="D27" s="66"/>
      <c r="E27" s="70"/>
      <c r="F27" s="70"/>
      <c r="G27" s="70"/>
      <c r="H27" s="70"/>
      <c r="I27" s="70"/>
      <c r="J27" s="70"/>
      <c r="K27" s="70"/>
      <c r="L27" s="71"/>
      <c r="M27" s="71"/>
      <c r="N27" s="66"/>
      <c r="O27" s="66"/>
      <c r="P27" s="66"/>
    </row>
    <row r="28" spans="1:16">
      <c r="A28" s="66"/>
      <c r="B28" s="66"/>
      <c r="C28" s="66"/>
      <c r="D28" s="66"/>
      <c r="E28" s="66"/>
      <c r="F28" s="66"/>
      <c r="G28" s="66"/>
      <c r="H28" s="66"/>
      <c r="I28" s="66"/>
      <c r="J28" s="66"/>
      <c r="K28" s="66"/>
      <c r="L28" s="72"/>
      <c r="M28" s="72"/>
      <c r="N28" s="66"/>
      <c r="O28" s="66"/>
      <c r="P28" s="66"/>
    </row>
    <row r="29" spans="1:16">
      <c r="A29" s="66"/>
      <c r="B29" s="66"/>
      <c r="C29" s="66"/>
      <c r="D29" s="66"/>
      <c r="E29" s="66"/>
      <c r="F29" s="66"/>
      <c r="G29" s="66"/>
      <c r="H29" s="66"/>
      <c r="I29" s="66"/>
      <c r="J29" s="66"/>
      <c r="K29" s="66"/>
      <c r="L29" s="72"/>
      <c r="M29" s="72"/>
      <c r="N29" s="66"/>
      <c r="O29" s="66"/>
      <c r="P29" s="66"/>
    </row>
    <row r="30" spans="1:16">
      <c r="A30" s="66"/>
      <c r="B30" s="66"/>
      <c r="C30" s="66"/>
      <c r="D30" s="66"/>
      <c r="E30" s="66"/>
      <c r="F30" s="66"/>
      <c r="G30" s="66"/>
      <c r="H30" s="66"/>
      <c r="I30" s="66"/>
      <c r="J30" s="66"/>
      <c r="K30" s="66"/>
      <c r="L30" s="72"/>
      <c r="M30" s="72"/>
      <c r="N30" s="66"/>
      <c r="O30" s="66"/>
      <c r="P30" s="66"/>
    </row>
    <row r="31" spans="1:16">
      <c r="A31" s="66"/>
      <c r="B31" s="66"/>
      <c r="C31" s="66"/>
      <c r="D31" s="66"/>
      <c r="E31" s="66"/>
      <c r="F31" s="66"/>
      <c r="G31" s="66"/>
      <c r="H31" s="66"/>
      <c r="I31" s="66"/>
      <c r="J31" s="66"/>
      <c r="K31" s="66"/>
      <c r="L31" s="72"/>
      <c r="M31" s="72"/>
      <c r="N31" s="66"/>
      <c r="O31" s="66"/>
      <c r="P31"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0EF0-3DC3-4DFD-ADC8-86168B0B5ABA}">
  <sheetPr>
    <tabColor theme="4" tint="0.39997558519241921"/>
  </sheetPr>
  <dimension ref="A1:O29"/>
  <sheetViews>
    <sheetView workbookViewId="0">
      <selection activeCell="D11" sqref="D11:E14"/>
    </sheetView>
  </sheetViews>
  <sheetFormatPr defaultRowHeight="14.4"/>
  <cols>
    <col min="2" max="2" width="32.5546875" customWidth="1"/>
  </cols>
  <sheetData>
    <row r="1" spans="1:15">
      <c r="A1" s="107" t="s">
        <v>2</v>
      </c>
      <c r="B1" s="13"/>
      <c r="C1" s="159" t="s">
        <v>180</v>
      </c>
      <c r="D1" s="161"/>
      <c r="E1" s="161"/>
      <c r="F1" s="161"/>
      <c r="G1" s="161"/>
      <c r="H1" s="161"/>
      <c r="I1" s="161"/>
      <c r="J1" s="161"/>
      <c r="K1" s="161"/>
      <c r="L1" s="66"/>
      <c r="M1" s="66"/>
      <c r="N1" s="66"/>
      <c r="O1" s="66"/>
    </row>
    <row r="2" spans="1:15">
      <c r="A2" s="13" t="s">
        <v>4</v>
      </c>
      <c r="B2" s="13"/>
      <c r="C2" s="108">
        <v>2020</v>
      </c>
      <c r="D2" s="108">
        <v>2030</v>
      </c>
      <c r="E2" s="108">
        <v>2050</v>
      </c>
      <c r="F2" s="108">
        <v>2020</v>
      </c>
      <c r="G2" s="108">
        <v>2020</v>
      </c>
      <c r="H2" s="108">
        <v>2050</v>
      </c>
      <c r="I2" s="108">
        <v>2050</v>
      </c>
      <c r="J2" s="108" t="s">
        <v>5</v>
      </c>
      <c r="K2" s="108" t="s">
        <v>6</v>
      </c>
      <c r="L2" s="66"/>
      <c r="M2" s="66"/>
      <c r="N2" s="66"/>
      <c r="O2" s="66"/>
    </row>
    <row r="3" spans="1:15">
      <c r="A3" s="109" t="s">
        <v>7</v>
      </c>
      <c r="B3" s="13"/>
      <c r="C3" s="108" t="s">
        <v>181</v>
      </c>
      <c r="D3" s="108" t="s">
        <v>181</v>
      </c>
      <c r="E3" s="108" t="s">
        <v>181</v>
      </c>
      <c r="F3" s="108" t="s">
        <v>182</v>
      </c>
      <c r="G3" s="108" t="s">
        <v>183</v>
      </c>
      <c r="H3" s="108" t="s">
        <v>182</v>
      </c>
      <c r="I3" s="108" t="s">
        <v>183</v>
      </c>
      <c r="J3" s="108" t="s">
        <v>11</v>
      </c>
      <c r="K3" s="108" t="s">
        <v>11</v>
      </c>
      <c r="L3" s="66"/>
      <c r="M3" s="66"/>
      <c r="N3" s="66"/>
      <c r="O3" s="66"/>
    </row>
    <row r="4" spans="1:15">
      <c r="A4" s="110" t="s">
        <v>12</v>
      </c>
      <c r="B4" s="110" t="s">
        <v>13</v>
      </c>
      <c r="C4" s="111"/>
      <c r="D4" s="112"/>
      <c r="E4" s="112"/>
      <c r="F4" s="111"/>
      <c r="G4" s="111"/>
      <c r="H4" s="111"/>
      <c r="I4" s="111"/>
      <c r="J4" s="113"/>
      <c r="K4" s="113"/>
      <c r="L4" s="66"/>
      <c r="M4" s="66"/>
      <c r="N4" s="66"/>
      <c r="O4" s="66"/>
    </row>
    <row r="5" spans="1:15">
      <c r="A5" s="45" t="s">
        <v>14</v>
      </c>
      <c r="B5" s="45"/>
      <c r="C5" s="114"/>
      <c r="D5" s="114"/>
      <c r="E5" s="114"/>
      <c r="F5" s="115"/>
      <c r="G5" s="115"/>
      <c r="H5" s="115"/>
      <c r="I5" s="115"/>
      <c r="J5" s="116"/>
      <c r="K5" s="116"/>
      <c r="L5" s="66"/>
      <c r="M5" s="66"/>
      <c r="N5" s="66"/>
      <c r="O5" s="66"/>
    </row>
    <row r="6" spans="1:15">
      <c r="A6" s="45"/>
      <c r="B6" s="56" t="s">
        <v>184</v>
      </c>
      <c r="C6" s="117">
        <v>90</v>
      </c>
      <c r="D6" s="117">
        <v>90</v>
      </c>
      <c r="E6" s="117">
        <v>80</v>
      </c>
      <c r="F6" s="118">
        <v>80</v>
      </c>
      <c r="G6" s="118">
        <v>200</v>
      </c>
      <c r="H6" s="118">
        <v>60</v>
      </c>
      <c r="I6" s="118">
        <v>160</v>
      </c>
      <c r="J6" s="119" t="s">
        <v>88</v>
      </c>
      <c r="K6" s="119">
        <v>1</v>
      </c>
      <c r="L6" s="66"/>
      <c r="M6" s="66"/>
      <c r="N6" s="66"/>
      <c r="O6" s="66"/>
    </row>
    <row r="7" spans="1:15">
      <c r="A7" s="45"/>
      <c r="B7" s="56" t="s">
        <v>185</v>
      </c>
      <c r="C7" s="120">
        <v>180</v>
      </c>
      <c r="D7" s="121">
        <v>180</v>
      </c>
      <c r="E7" s="121">
        <v>150</v>
      </c>
      <c r="F7" s="120">
        <v>160</v>
      </c>
      <c r="G7" s="120">
        <v>280</v>
      </c>
      <c r="H7" s="120">
        <v>140</v>
      </c>
      <c r="I7" s="120">
        <v>240</v>
      </c>
      <c r="J7" s="119" t="s">
        <v>88</v>
      </c>
      <c r="K7" s="119">
        <v>1</v>
      </c>
      <c r="L7" s="66"/>
      <c r="M7" s="66"/>
      <c r="N7" s="66"/>
      <c r="O7" s="66"/>
    </row>
    <row r="8" spans="1:15">
      <c r="A8" s="45"/>
      <c r="B8" s="56" t="s">
        <v>186</v>
      </c>
      <c r="C8" s="118">
        <v>40</v>
      </c>
      <c r="D8" s="118">
        <v>40</v>
      </c>
      <c r="E8" s="118">
        <v>40</v>
      </c>
      <c r="F8" s="118"/>
      <c r="G8" s="118"/>
      <c r="H8" s="118"/>
      <c r="I8" s="118"/>
      <c r="J8" s="119"/>
      <c r="K8" s="119">
        <v>2</v>
      </c>
      <c r="L8" s="66"/>
      <c r="M8" s="66"/>
      <c r="N8" s="66"/>
      <c r="O8" s="66"/>
    </row>
    <row r="9" spans="1:15">
      <c r="A9" s="45"/>
      <c r="B9" s="122" t="s">
        <v>29</v>
      </c>
      <c r="C9" s="118">
        <v>2</v>
      </c>
      <c r="D9" s="118">
        <v>2</v>
      </c>
      <c r="E9" s="118">
        <v>2</v>
      </c>
      <c r="F9" s="118">
        <v>1.5</v>
      </c>
      <c r="G9" s="118">
        <v>2.5</v>
      </c>
      <c r="H9" s="118">
        <v>1.5</v>
      </c>
      <c r="I9" s="118">
        <v>2.5</v>
      </c>
      <c r="J9" s="119"/>
      <c r="K9" s="119"/>
      <c r="L9" s="66"/>
      <c r="M9" s="66"/>
      <c r="N9" s="66"/>
      <c r="O9" s="66"/>
    </row>
    <row r="10" spans="1:15">
      <c r="A10" s="45" t="s">
        <v>31</v>
      </c>
      <c r="B10" s="78"/>
      <c r="C10" s="114"/>
      <c r="D10" s="114"/>
      <c r="E10" s="114"/>
      <c r="F10" s="114"/>
      <c r="G10" s="114"/>
      <c r="H10" s="114"/>
      <c r="I10" s="114"/>
      <c r="J10" s="116"/>
      <c r="K10" s="116"/>
      <c r="L10" s="66"/>
      <c r="M10" s="66"/>
      <c r="N10" s="66"/>
      <c r="O10" s="66"/>
    </row>
    <row r="11" spans="1:15">
      <c r="A11" s="45"/>
      <c r="B11" s="123" t="s">
        <v>187</v>
      </c>
      <c r="C11" s="118">
        <v>9560</v>
      </c>
      <c r="D11" s="118">
        <v>9082</v>
      </c>
      <c r="E11" s="118">
        <v>7648</v>
      </c>
      <c r="F11" s="118">
        <v>6692</v>
      </c>
      <c r="G11" s="118">
        <v>12428</v>
      </c>
      <c r="H11" s="118">
        <v>4780</v>
      </c>
      <c r="I11" s="118">
        <v>9560</v>
      </c>
      <c r="J11" s="119" t="s">
        <v>96</v>
      </c>
      <c r="K11" s="119">
        <v>2.8679999999999999</v>
      </c>
      <c r="L11" s="66"/>
      <c r="M11" s="66"/>
      <c r="N11" s="66"/>
      <c r="O11" s="66"/>
    </row>
    <row r="12" spans="1:15">
      <c r="A12" s="45"/>
      <c r="B12" s="123" t="s">
        <v>188</v>
      </c>
      <c r="C12" s="118">
        <v>6214</v>
      </c>
      <c r="D12" s="118">
        <v>5927.2</v>
      </c>
      <c r="E12" s="118">
        <v>4780</v>
      </c>
      <c r="F12" s="118">
        <v>4780</v>
      </c>
      <c r="G12" s="118">
        <v>6214</v>
      </c>
      <c r="H12" s="118">
        <v>2868</v>
      </c>
      <c r="I12" s="118">
        <v>6214</v>
      </c>
      <c r="J12" s="119" t="s">
        <v>96</v>
      </c>
      <c r="K12" s="119">
        <v>2.8679999999999999</v>
      </c>
      <c r="L12" s="66"/>
      <c r="M12" s="66"/>
      <c r="N12" s="66"/>
      <c r="O12" s="66"/>
    </row>
    <row r="13" spans="1:15">
      <c r="A13" s="45"/>
      <c r="B13" s="124" t="s">
        <v>189</v>
      </c>
      <c r="C13" s="117">
        <v>456.96799999999996</v>
      </c>
      <c r="D13" s="117">
        <v>434.11959999999999</v>
      </c>
      <c r="E13" s="117">
        <v>365.57440000000003</v>
      </c>
      <c r="F13" s="117">
        <v>319.87760000000003</v>
      </c>
      <c r="G13" s="117">
        <v>594.05840000000001</v>
      </c>
      <c r="H13" s="117">
        <v>228.48399999999998</v>
      </c>
      <c r="I13" s="117">
        <v>456.96799999999996</v>
      </c>
      <c r="J13" s="119" t="s">
        <v>26</v>
      </c>
      <c r="K13" s="119">
        <v>2.8679999999999999</v>
      </c>
      <c r="L13" s="66"/>
      <c r="M13" s="66"/>
      <c r="N13" s="66"/>
      <c r="O13" s="66"/>
    </row>
    <row r="14" spans="1:15">
      <c r="A14" s="45"/>
      <c r="B14" s="124" t="s">
        <v>190</v>
      </c>
      <c r="C14" s="117">
        <v>297.0292</v>
      </c>
      <c r="D14" s="117">
        <v>283.32015999999999</v>
      </c>
      <c r="E14" s="117">
        <v>228.48399999999998</v>
      </c>
      <c r="F14" s="117">
        <v>228.48399999999998</v>
      </c>
      <c r="G14" s="117">
        <v>297.0292</v>
      </c>
      <c r="H14" s="117">
        <v>137.09039999999999</v>
      </c>
      <c r="I14" s="117">
        <v>297.0292</v>
      </c>
      <c r="J14" s="119" t="s">
        <v>26</v>
      </c>
      <c r="K14" s="119">
        <v>2.8679999999999999</v>
      </c>
      <c r="L14" s="66"/>
      <c r="M14" s="66"/>
      <c r="N14" s="66"/>
      <c r="O14" s="66"/>
    </row>
    <row r="15" spans="1:15">
      <c r="A15" s="45"/>
      <c r="B15" s="124" t="s">
        <v>191</v>
      </c>
      <c r="C15" s="118">
        <v>0</v>
      </c>
      <c r="D15" s="118">
        <v>0</v>
      </c>
      <c r="E15" s="118">
        <v>0</v>
      </c>
      <c r="F15" s="118">
        <v>0</v>
      </c>
      <c r="G15" s="118">
        <v>0</v>
      </c>
      <c r="H15" s="118">
        <v>0</v>
      </c>
      <c r="I15" s="118">
        <v>0</v>
      </c>
      <c r="J15" s="119" t="s">
        <v>28</v>
      </c>
      <c r="K15" s="119">
        <v>0</v>
      </c>
      <c r="L15" s="66"/>
      <c r="M15" s="66"/>
      <c r="N15" s="66"/>
      <c r="O15" s="66"/>
    </row>
    <row r="16" spans="1:15">
      <c r="A16" s="45"/>
      <c r="B16" s="124" t="s">
        <v>192</v>
      </c>
      <c r="C16" s="117">
        <v>0</v>
      </c>
      <c r="D16" s="117">
        <v>0</v>
      </c>
      <c r="E16" s="117">
        <v>0</v>
      </c>
      <c r="F16" s="118">
        <v>0</v>
      </c>
      <c r="G16" s="117">
        <v>0</v>
      </c>
      <c r="H16" s="118">
        <v>0</v>
      </c>
      <c r="I16" s="117">
        <v>0</v>
      </c>
      <c r="J16" s="119" t="s">
        <v>28</v>
      </c>
      <c r="K16" s="119">
        <v>0</v>
      </c>
      <c r="L16" s="66"/>
      <c r="M16" s="66"/>
      <c r="N16" s="66"/>
      <c r="O16" s="66"/>
    </row>
    <row r="17" spans="1:15">
      <c r="A17" s="45" t="s">
        <v>56</v>
      </c>
      <c r="B17" s="45"/>
      <c r="C17" s="118"/>
      <c r="D17" s="118"/>
      <c r="E17" s="118"/>
      <c r="F17" s="118"/>
      <c r="G17" s="118"/>
      <c r="H17" s="118"/>
      <c r="I17" s="118"/>
      <c r="J17" s="119"/>
      <c r="K17" s="119"/>
      <c r="L17" s="66"/>
      <c r="M17" s="66"/>
      <c r="N17" s="66"/>
      <c r="O17" s="66"/>
    </row>
    <row r="18" spans="1:15">
      <c r="A18" s="78"/>
      <c r="B18" s="125"/>
      <c r="C18" s="126"/>
      <c r="D18" s="126"/>
      <c r="E18" s="126"/>
      <c r="F18" s="126"/>
      <c r="G18" s="126"/>
      <c r="H18" s="126"/>
      <c r="I18" s="126"/>
      <c r="J18" s="126"/>
      <c r="K18" s="126"/>
      <c r="L18" s="66"/>
      <c r="M18" s="66"/>
      <c r="N18" s="66"/>
      <c r="O18" s="66"/>
    </row>
    <row r="19" spans="1:15">
      <c r="A19" s="100" t="s">
        <v>57</v>
      </c>
      <c r="B19" s="66"/>
      <c r="C19" s="66"/>
      <c r="D19" s="66"/>
      <c r="E19" s="66"/>
      <c r="F19" s="66"/>
      <c r="G19" s="66"/>
      <c r="H19" s="66"/>
      <c r="I19" s="66"/>
      <c r="J19" s="66"/>
      <c r="K19" s="66"/>
      <c r="L19" s="66"/>
      <c r="M19" s="66"/>
      <c r="N19" s="66"/>
      <c r="O19" s="66"/>
    </row>
    <row r="20" spans="1:15">
      <c r="A20" s="101"/>
      <c r="B20" s="102" t="s">
        <v>193</v>
      </c>
      <c r="C20" s="103"/>
      <c r="D20" s="103"/>
      <c r="E20" s="103"/>
      <c r="F20" s="103"/>
      <c r="G20" s="103"/>
      <c r="H20" s="103"/>
      <c r="I20" s="103"/>
      <c r="J20" s="103"/>
      <c r="K20" s="103"/>
      <c r="L20" s="66"/>
      <c r="M20" s="66"/>
      <c r="N20" s="66"/>
      <c r="O20" s="66"/>
    </row>
    <row r="21" spans="1:15">
      <c r="A21" s="101"/>
      <c r="B21" s="102" t="s">
        <v>194</v>
      </c>
      <c r="C21" s="103"/>
      <c r="D21" s="103"/>
      <c r="E21" s="103"/>
      <c r="F21" s="103"/>
      <c r="G21" s="103"/>
      <c r="H21" s="103"/>
      <c r="I21" s="103"/>
      <c r="J21" s="103"/>
      <c r="K21" s="103"/>
      <c r="L21" s="66"/>
      <c r="M21" s="66"/>
      <c r="N21" s="66"/>
      <c r="O21" s="66"/>
    </row>
    <row r="22" spans="1:15">
      <c r="A22" s="101"/>
      <c r="B22" s="102" t="s">
        <v>195</v>
      </c>
      <c r="C22" s="103"/>
      <c r="D22" s="103"/>
      <c r="E22" s="103"/>
      <c r="F22" s="103"/>
      <c r="G22" s="103"/>
      <c r="H22" s="103"/>
      <c r="I22" s="103"/>
      <c r="J22" s="103"/>
      <c r="K22" s="103"/>
      <c r="L22" s="66"/>
      <c r="M22" s="66"/>
      <c r="N22" s="66"/>
      <c r="O22" s="66"/>
    </row>
    <row r="23" spans="1:15">
      <c r="A23" s="101"/>
      <c r="B23" s="103"/>
      <c r="C23" s="103"/>
      <c r="D23" s="103"/>
      <c r="E23" s="103"/>
      <c r="F23" s="103"/>
      <c r="G23" s="103"/>
      <c r="H23" s="103"/>
      <c r="I23" s="103"/>
      <c r="J23" s="103"/>
      <c r="K23" s="103"/>
      <c r="L23" s="66"/>
      <c r="M23" s="66"/>
      <c r="N23" s="66"/>
      <c r="O23" s="66"/>
    </row>
    <row r="24" spans="1:15">
      <c r="A24" s="100" t="s">
        <v>67</v>
      </c>
      <c r="B24" s="66"/>
      <c r="C24" s="104"/>
      <c r="D24" s="104"/>
      <c r="E24" s="104"/>
      <c r="F24" s="104"/>
      <c r="G24" s="104"/>
      <c r="H24" s="104"/>
      <c r="I24" s="104"/>
      <c r="J24" s="104"/>
      <c r="K24" s="104"/>
      <c r="L24" s="66"/>
      <c r="M24" s="66"/>
      <c r="N24" s="66"/>
      <c r="O24" s="66"/>
    </row>
    <row r="25" spans="1:15">
      <c r="A25" s="101"/>
      <c r="B25" s="105" t="s">
        <v>196</v>
      </c>
      <c r="C25" s="106"/>
      <c r="D25" s="106"/>
      <c r="E25" s="106"/>
      <c r="F25" s="106"/>
      <c r="G25" s="106"/>
      <c r="H25" s="106"/>
      <c r="I25" s="106"/>
      <c r="J25" s="106"/>
      <c r="K25" s="106"/>
      <c r="L25" s="66"/>
      <c r="M25" s="66"/>
      <c r="N25" s="66"/>
      <c r="O25" s="66"/>
    </row>
    <row r="26" spans="1:15">
      <c r="A26" s="101"/>
      <c r="B26" s="105" t="s">
        <v>197</v>
      </c>
      <c r="C26" s="106"/>
      <c r="D26" s="106"/>
      <c r="E26" s="106"/>
      <c r="F26" s="106"/>
      <c r="G26" s="106"/>
      <c r="H26" s="106"/>
      <c r="I26" s="106"/>
      <c r="J26" s="106"/>
      <c r="K26" s="106"/>
      <c r="L26" s="66"/>
      <c r="M26" s="66"/>
      <c r="N26" s="66"/>
      <c r="O26" s="66"/>
    </row>
    <row r="27" spans="1:15">
      <c r="A27" s="101"/>
      <c r="B27" s="105" t="s">
        <v>198</v>
      </c>
      <c r="C27" s="106"/>
      <c r="D27" s="106"/>
      <c r="E27" s="106"/>
      <c r="F27" s="106"/>
      <c r="G27" s="106"/>
      <c r="H27" s="106"/>
      <c r="I27" s="106"/>
      <c r="J27" s="106"/>
      <c r="K27" s="106"/>
      <c r="L27" s="66"/>
      <c r="M27" s="66"/>
      <c r="N27" s="66"/>
      <c r="O27" s="66"/>
    </row>
    <row r="28" spans="1:15">
      <c r="A28" s="101"/>
      <c r="B28" s="105" t="s">
        <v>199</v>
      </c>
      <c r="C28" s="106"/>
      <c r="D28" s="106"/>
      <c r="E28" s="106"/>
      <c r="F28" s="106"/>
      <c r="G28" s="106"/>
      <c r="H28" s="106"/>
      <c r="I28" s="106"/>
      <c r="J28" s="106"/>
      <c r="K28" s="106"/>
      <c r="L28" s="66"/>
      <c r="M28" s="66"/>
      <c r="N28" s="66"/>
      <c r="O28" s="66"/>
    </row>
    <row r="29" spans="1:15">
      <c r="A29" s="66"/>
      <c r="B29" s="66"/>
      <c r="C29" s="66"/>
      <c r="D29" s="66"/>
      <c r="E29" s="66"/>
      <c r="F29" s="66"/>
      <c r="G29" s="66"/>
      <c r="H29" s="66"/>
      <c r="I29" s="66"/>
      <c r="J29" s="66"/>
      <c r="K29" s="66"/>
      <c r="L29" s="66"/>
      <c r="M29" s="66"/>
      <c r="N29" s="66"/>
      <c r="O29" s="66"/>
    </row>
  </sheetData>
  <mergeCells count="1">
    <mergeCell ref="C1:K1"/>
  </mergeCells>
  <hyperlinks>
    <hyperlink ref="C1" location="INDEX" display="CO₂ ship transportation" xr:uid="{54934DC9-D851-469D-B8ED-DE76A0FD077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B1" zoomScale="78" workbookViewId="0">
      <selection activeCell="C11" sqref="C11"/>
    </sheetView>
  </sheetViews>
  <sheetFormatPr defaultRowHeight="14.4"/>
  <cols>
    <col min="11" max="11" width="11" bestFit="1" customWidth="1"/>
    <col min="17" max="18" width="12" bestFit="1" customWidth="1"/>
    <col min="27" max="27" width="18.664062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15" thickBot="1">
      <c r="C10" s="131" t="s">
        <v>256</v>
      </c>
      <c r="D10" s="131"/>
      <c r="E10" s="131"/>
      <c r="F10" s="131"/>
      <c r="G10" s="131"/>
      <c r="H10" s="131"/>
      <c r="I10" s="131"/>
      <c r="J10" s="131"/>
      <c r="K10" s="131" t="s">
        <v>257</v>
      </c>
      <c r="L10" s="131" t="s">
        <v>258</v>
      </c>
      <c r="M10" s="131" t="s">
        <v>258</v>
      </c>
      <c r="N10" s="131" t="s">
        <v>259</v>
      </c>
      <c r="O10" s="131" t="s">
        <v>260</v>
      </c>
      <c r="P10" s="131" t="s">
        <v>261</v>
      </c>
      <c r="Q10" s="134" t="s">
        <v>280</v>
      </c>
      <c r="R10" s="134" t="s">
        <v>280</v>
      </c>
      <c r="S10" s="131" t="s">
        <v>262</v>
      </c>
      <c r="T10" s="134" t="s">
        <v>260</v>
      </c>
    </row>
    <row r="11" spans="3:32">
      <c r="C11" t="s">
        <v>286</v>
      </c>
      <c r="D11" t="s">
        <v>287</v>
      </c>
      <c r="F11" t="s">
        <v>288</v>
      </c>
      <c r="G11" t="s">
        <v>289</v>
      </c>
      <c r="I11">
        <v>2020</v>
      </c>
      <c r="J11" s="135">
        <v>2030</v>
      </c>
      <c r="K11">
        <f>1-0.003</f>
        <v>0.997</v>
      </c>
      <c r="N11">
        <v>0.45</v>
      </c>
      <c r="O11" s="136">
        <v>40</v>
      </c>
      <c r="P11" s="140">
        <v>31.536000000000001</v>
      </c>
      <c r="Q11">
        <f>'Transmission lines'!$G$37</f>
        <v>706.43431635388743</v>
      </c>
      <c r="R11">
        <f>'Transmission lines'!G8*'Transmission lines'!O13</f>
        <v>2.6201474376260068</v>
      </c>
      <c r="T11" s="137">
        <v>1.5</v>
      </c>
      <c r="Y11" s="128" t="s">
        <v>263</v>
      </c>
      <c r="Z11" s="129"/>
      <c r="AA11" s="129"/>
      <c r="AB11" s="129"/>
      <c r="AC11" s="129"/>
      <c r="AD11" s="129"/>
      <c r="AE11" s="129"/>
      <c r="AF11" s="129"/>
    </row>
    <row r="12" spans="3:32">
      <c r="I12" s="133">
        <v>2030</v>
      </c>
      <c r="J12" s="133"/>
      <c r="K12">
        <f t="shared" ref="K12:K13" si="0">1-0.003</f>
        <v>0.997</v>
      </c>
      <c r="N12">
        <v>0.45</v>
      </c>
      <c r="O12" s="138">
        <v>40</v>
      </c>
      <c r="P12" s="140">
        <v>31.536000000000001</v>
      </c>
      <c r="Q12">
        <f>'Transmission lines'!$G$37</f>
        <v>706.43431635388743</v>
      </c>
      <c r="R12">
        <f>'Transmission lines'!Q23</f>
        <v>5.4943731921535504</v>
      </c>
      <c r="T12" s="137">
        <v>1.5</v>
      </c>
      <c r="Y12" s="130" t="s">
        <v>264</v>
      </c>
      <c r="Z12" s="130" t="s">
        <v>222</v>
      </c>
      <c r="AA12" s="130" t="s">
        <v>223</v>
      </c>
      <c r="AB12" s="130" t="s">
        <v>265</v>
      </c>
      <c r="AC12" s="130" t="s">
        <v>266</v>
      </c>
      <c r="AD12" s="130" t="s">
        <v>267</v>
      </c>
      <c r="AE12" s="130" t="s">
        <v>268</v>
      </c>
      <c r="AF12" s="130" t="s">
        <v>269</v>
      </c>
    </row>
    <row r="13" spans="3:32" ht="42.6" thickBot="1">
      <c r="I13">
        <v>2050</v>
      </c>
      <c r="K13">
        <f t="shared" si="0"/>
        <v>0.997</v>
      </c>
      <c r="N13">
        <v>0.45</v>
      </c>
      <c r="O13">
        <v>40</v>
      </c>
      <c r="P13" s="140">
        <v>31.536000000000001</v>
      </c>
      <c r="Q13">
        <f>'Transmission lines'!$G$37</f>
        <v>706.43431635388743</v>
      </c>
      <c r="R13">
        <f>'Transmission lines'!R23</f>
        <v>5.7607706232760041</v>
      </c>
      <c r="T13">
        <v>1.5</v>
      </c>
      <c r="Y13" s="131" t="s">
        <v>270</v>
      </c>
      <c r="Z13" s="131" t="s">
        <v>271</v>
      </c>
      <c r="AA13" s="131" t="s">
        <v>241</v>
      </c>
      <c r="AB13" s="131" t="s">
        <v>272</v>
      </c>
      <c r="AC13" s="131" t="s">
        <v>273</v>
      </c>
      <c r="AD13" s="131" t="s">
        <v>274</v>
      </c>
      <c r="AE13" s="131" t="s">
        <v>275</v>
      </c>
      <c r="AF13" s="131" t="s">
        <v>276</v>
      </c>
    </row>
    <row r="14" spans="3:32" ht="15" thickBot="1">
      <c r="H14" s="133"/>
      <c r="O14" s="138"/>
      <c r="T14" s="137"/>
      <c r="Y14" s="131" t="s">
        <v>277</v>
      </c>
      <c r="Z14" s="131"/>
      <c r="AA14" s="131"/>
      <c r="AB14" s="131"/>
      <c r="AC14" s="131"/>
      <c r="AD14" s="131"/>
      <c r="AE14" s="131"/>
      <c r="AF14" s="131"/>
    </row>
    <row r="15" spans="3:32">
      <c r="I15" s="133"/>
      <c r="O15" s="138"/>
      <c r="P15" s="140"/>
      <c r="T15" s="137"/>
      <c r="Y15" t="s">
        <v>278</v>
      </c>
      <c r="Z15" t="s">
        <v>286</v>
      </c>
      <c r="AA15" t="s">
        <v>287</v>
      </c>
      <c r="AB15" s="139" t="s">
        <v>221</v>
      </c>
      <c r="AC15" s="139" t="s">
        <v>281</v>
      </c>
      <c r="AD15" s="133" t="s">
        <v>219</v>
      </c>
      <c r="AE15" t="s">
        <v>289</v>
      </c>
      <c r="AF15" s="139" t="s">
        <v>279</v>
      </c>
    </row>
    <row r="16" spans="3:32">
      <c r="I16" s="133"/>
      <c r="O16" s="138"/>
      <c r="T16" s="137"/>
    </row>
    <row r="18" spans="8:20">
      <c r="H18" s="133"/>
      <c r="I18" s="133"/>
    </row>
    <row r="19" spans="8:20">
      <c r="I19" s="133"/>
      <c r="O19" s="138"/>
      <c r="P19" s="140"/>
    </row>
    <row r="22" spans="8:20">
      <c r="H22" s="133"/>
    </row>
    <row r="23" spans="8:20">
      <c r="I23" s="133"/>
      <c r="O23" s="138"/>
      <c r="P23" s="140"/>
      <c r="T23" s="137"/>
    </row>
    <row r="26" spans="8:20">
      <c r="H26" s="13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F1" zoomScale="86" workbookViewId="0">
      <selection activeCell="T10" sqref="T10"/>
    </sheetView>
  </sheetViews>
  <sheetFormatPr defaultRowHeight="14.4"/>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c r="C1" s="65" t="s">
        <v>154</v>
      </c>
      <c r="L1" s="65" t="s">
        <v>155</v>
      </c>
    </row>
    <row r="2" spans="3:21">
      <c r="L2" t="s">
        <v>162</v>
      </c>
      <c r="P2" t="s">
        <v>156</v>
      </c>
    </row>
    <row r="3" spans="3:21">
      <c r="C3" s="27" t="s">
        <v>98</v>
      </c>
      <c r="D3" s="48">
        <v>0.42534908720000009</v>
      </c>
      <c r="E3" s="127">
        <f>D3</f>
        <v>0.42534908720000009</v>
      </c>
      <c r="F3" t="s">
        <v>205</v>
      </c>
      <c r="P3">
        <v>33.33</v>
      </c>
      <c r="Q3" t="s">
        <v>157</v>
      </c>
    </row>
    <row r="4" spans="3:21">
      <c r="C4" s="27" t="s">
        <v>99</v>
      </c>
      <c r="D4" s="48">
        <v>0.24457572514000003</v>
      </c>
      <c r="E4" s="127">
        <f>D4</f>
        <v>0.24457572514000003</v>
      </c>
      <c r="F4" t="s">
        <v>205</v>
      </c>
      <c r="P4">
        <v>33.33</v>
      </c>
      <c r="Q4" t="s">
        <v>158</v>
      </c>
    </row>
    <row r="5" spans="3:21">
      <c r="P5">
        <v>33.33</v>
      </c>
      <c r="Q5" t="s">
        <v>159</v>
      </c>
      <c r="R5">
        <f>P5/1000</f>
        <v>3.3329999999999999E-2</v>
      </c>
      <c r="S5" t="s">
        <v>208</v>
      </c>
    </row>
    <row r="6" spans="3:21">
      <c r="P6">
        <v>3.3329999999999999E-2</v>
      </c>
      <c r="Q6" t="s">
        <v>160</v>
      </c>
    </row>
    <row r="7" spans="3:21">
      <c r="C7" s="47" t="s">
        <v>25</v>
      </c>
      <c r="D7" s="52">
        <v>50</v>
      </c>
      <c r="L7" s="47" t="s">
        <v>25</v>
      </c>
      <c r="M7" s="52">
        <v>20</v>
      </c>
    </row>
    <row r="8" spans="3:21">
      <c r="C8" s="47" t="s">
        <v>29</v>
      </c>
      <c r="D8" s="52">
        <v>1</v>
      </c>
    </row>
    <row r="9" spans="3:21">
      <c r="T9">
        <f>P11*P4</f>
        <v>1.1998799999999999E-4</v>
      </c>
    </row>
    <row r="10" spans="3:21">
      <c r="D10">
        <v>2030</v>
      </c>
      <c r="E10">
        <v>2050</v>
      </c>
      <c r="P10" t="s">
        <v>161</v>
      </c>
    </row>
    <row r="11" spans="3:21">
      <c r="C11" s="27" t="s">
        <v>102</v>
      </c>
      <c r="D11" s="54">
        <v>0.26584317950000003</v>
      </c>
      <c r="E11" s="48">
        <v>0.19938238462500002</v>
      </c>
      <c r="P11">
        <v>3.5999999999999998E-6</v>
      </c>
      <c r="T11" t="s">
        <v>297</v>
      </c>
    </row>
    <row r="12" spans="3:21">
      <c r="C12" t="s">
        <v>207</v>
      </c>
      <c r="D12" s="63">
        <f>D11*1000/1000000</f>
        <v>2.6584317950000002E-4</v>
      </c>
      <c r="E12" s="63">
        <f>E11*1000/1000000</f>
        <v>1.9938238462500002E-4</v>
      </c>
      <c r="M12">
        <v>2030</v>
      </c>
      <c r="N12">
        <v>2050</v>
      </c>
      <c r="T12">
        <v>10000</v>
      </c>
      <c r="U12" t="s">
        <v>298</v>
      </c>
    </row>
    <row r="13" spans="3:21">
      <c r="L13" s="27" t="s">
        <v>123</v>
      </c>
      <c r="M13" s="52">
        <v>2025</v>
      </c>
      <c r="N13" s="52">
        <v>1575</v>
      </c>
    </row>
    <row r="14" spans="3:21">
      <c r="L14" t="s">
        <v>299</v>
      </c>
      <c r="M14">
        <f>M13/1000000</f>
        <v>2.0249999999999999E-3</v>
      </c>
      <c r="N14">
        <f>N13/1000000</f>
        <v>1.575E-3</v>
      </c>
      <c r="T14">
        <f>P4*P11*T12</f>
        <v>1.1998799999999998</v>
      </c>
      <c r="U14" t="s">
        <v>221</v>
      </c>
    </row>
    <row r="16" spans="3:21">
      <c r="D16">
        <v>2030</v>
      </c>
      <c r="E16">
        <v>2050</v>
      </c>
      <c r="L16" s="62" t="s">
        <v>127</v>
      </c>
      <c r="M16" s="52">
        <v>14887.218052000002</v>
      </c>
      <c r="N16" s="52">
        <v>10633.727180000002</v>
      </c>
      <c r="O16" s="62"/>
    </row>
    <row r="17" spans="3:16">
      <c r="C17" s="47" t="s">
        <v>92</v>
      </c>
      <c r="D17" s="48">
        <v>2.5</v>
      </c>
      <c r="E17" s="48">
        <v>2.2000000000000002</v>
      </c>
      <c r="L17" s="62" t="s">
        <v>132</v>
      </c>
      <c r="M17" s="52">
        <v>74.436090260000014</v>
      </c>
      <c r="N17" s="52">
        <v>53.168635900000005</v>
      </c>
      <c r="O17" s="62"/>
    </row>
    <row r="18" spans="3:16">
      <c r="C18" s="47" t="s">
        <v>93</v>
      </c>
      <c r="D18" s="48">
        <v>1.9</v>
      </c>
      <c r="E18" s="48">
        <v>1.7</v>
      </c>
      <c r="L18" s="62" t="s">
        <v>135</v>
      </c>
      <c r="M18" s="52">
        <v>6.3802363080000006</v>
      </c>
      <c r="N18" s="52">
        <v>4.2534908720000004</v>
      </c>
      <c r="O18" s="62"/>
    </row>
    <row r="19" spans="3:16">
      <c r="C19" s="47" t="s">
        <v>95</v>
      </c>
      <c r="D19" s="51">
        <v>1.6800000000000002</v>
      </c>
      <c r="E19" s="51">
        <v>1.47</v>
      </c>
    </row>
    <row r="20" spans="3:16">
      <c r="L20" s="62" t="s">
        <v>303</v>
      </c>
      <c r="M20" s="63">
        <f>M16/(33.33*1000000*$P$11)</f>
        <v>124.07255768910225</v>
      </c>
      <c r="N20" s="63">
        <f>N16/(33.33*1000000*$P$11)</f>
        <v>88.623255492215904</v>
      </c>
    </row>
    <row r="21" spans="3:16">
      <c r="C21" t="s">
        <v>153</v>
      </c>
      <c r="D21" t="s">
        <v>209</v>
      </c>
      <c r="E21" t="s">
        <v>210</v>
      </c>
      <c r="F21" t="s">
        <v>211</v>
      </c>
      <c r="G21" t="s">
        <v>212</v>
      </c>
      <c r="L21" s="62" t="s">
        <v>304</v>
      </c>
      <c r="M21" s="63">
        <f t="shared" ref="M21:N21" si="0">M17/(33.33*1000000*$P$11)</f>
        <v>0.62036278844551129</v>
      </c>
      <c r="N21" s="63">
        <f t="shared" si="0"/>
        <v>0.44311627746107951</v>
      </c>
    </row>
    <row r="22" spans="3:16">
      <c r="C22">
        <v>10</v>
      </c>
      <c r="D22">
        <f>$E$3*C22</f>
        <v>4.2534908720000004</v>
      </c>
      <c r="E22">
        <f>$E$4*C22</f>
        <v>2.4457572514000003</v>
      </c>
      <c r="F22">
        <f>$D$12*C22</f>
        <v>2.658431795E-3</v>
      </c>
      <c r="G22">
        <f t="shared" ref="G22:G53" si="1">$E$12*C22</f>
        <v>1.9938238462500002E-3</v>
      </c>
      <c r="L22" s="62" t="s">
        <v>305</v>
      </c>
      <c r="M22" s="63">
        <f t="shared" ref="M22:N22" si="2">M18/(33.33*1000000*$P$11)</f>
        <v>5.3173953295329542E-2</v>
      </c>
      <c r="N22" s="63">
        <f t="shared" si="2"/>
        <v>3.5449302196886356E-2</v>
      </c>
    </row>
    <row r="23" spans="3:16">
      <c r="C23">
        <v>20</v>
      </c>
      <c r="D23">
        <f t="shared" ref="D23:D86" si="3">$E$3*C23</f>
        <v>8.5069817440000008</v>
      </c>
      <c r="E23">
        <f t="shared" ref="E23:E86" si="4">$E$4*C23</f>
        <v>4.8915145028000007</v>
      </c>
      <c r="F23">
        <f t="shared" ref="F23:F86" si="5">$D$12*C23</f>
        <v>5.31686359E-3</v>
      </c>
      <c r="G23">
        <f t="shared" si="1"/>
        <v>3.9876476925000005E-3</v>
      </c>
    </row>
    <row r="24" spans="3:16">
      <c r="C24">
        <v>30</v>
      </c>
      <c r="D24">
        <f t="shared" si="3"/>
        <v>12.760472616000003</v>
      </c>
      <c r="E24">
        <f t="shared" si="4"/>
        <v>7.3372717542000014</v>
      </c>
      <c r="F24">
        <f t="shared" si="5"/>
        <v>7.9752953850000009E-3</v>
      </c>
      <c r="G24">
        <f t="shared" si="1"/>
        <v>5.9814715387500007E-3</v>
      </c>
    </row>
    <row r="25" spans="3:16">
      <c r="C25">
        <v>40</v>
      </c>
      <c r="D25">
        <f t="shared" si="3"/>
        <v>17.013963488000002</v>
      </c>
      <c r="E25">
        <f t="shared" si="4"/>
        <v>9.7830290056000013</v>
      </c>
      <c r="F25">
        <f t="shared" si="5"/>
        <v>1.063372718E-2</v>
      </c>
      <c r="G25">
        <f t="shared" si="1"/>
        <v>7.9752953850000009E-3</v>
      </c>
      <c r="L25" t="s">
        <v>153</v>
      </c>
      <c r="O25" t="s">
        <v>300</v>
      </c>
      <c r="P25" t="s">
        <v>301</v>
      </c>
    </row>
    <row r="26" spans="3:16">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c r="L122">
        <v>970</v>
      </c>
      <c r="M122">
        <f t="shared" si="17"/>
        <v>1.9642499999999998</v>
      </c>
      <c r="N122">
        <f t="shared" si="18"/>
        <v>1.5277499999999999</v>
      </c>
      <c r="O122">
        <f t="shared" si="11"/>
        <v>-0.63703870387038708</v>
      </c>
      <c r="P122">
        <f t="shared" si="12"/>
        <v>-0.27325232523252341</v>
      </c>
    </row>
    <row r="123" spans="3:16">
      <c r="L123">
        <v>980</v>
      </c>
      <c r="M123">
        <f t="shared" si="17"/>
        <v>1.9844999999999999</v>
      </c>
      <c r="N123">
        <f t="shared" si="18"/>
        <v>1.5435000000000001</v>
      </c>
      <c r="O123">
        <f t="shared" si="11"/>
        <v>-0.65391539153915401</v>
      </c>
      <c r="P123">
        <f t="shared" si="12"/>
        <v>-0.2863786378637867</v>
      </c>
    </row>
    <row r="124" spans="3:16">
      <c r="L124">
        <v>990</v>
      </c>
      <c r="M124">
        <f t="shared" si="17"/>
        <v>2.00475</v>
      </c>
      <c r="N124">
        <f t="shared" si="18"/>
        <v>1.55925</v>
      </c>
      <c r="O124">
        <f t="shared" si="11"/>
        <v>-0.67079207920792094</v>
      </c>
      <c r="P124">
        <f t="shared" si="12"/>
        <v>-0.29950495049504977</v>
      </c>
    </row>
    <row r="125" spans="3:16">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zoomScale="62" workbookViewId="0">
      <selection activeCell="T8" sqref="T8:T16"/>
    </sheetView>
  </sheetViews>
  <sheetFormatPr defaultRowHeight="14.4"/>
  <cols>
    <col min="3" max="3" width="11.6640625" bestFit="1" customWidth="1"/>
    <col min="4" max="4" width="17" bestFit="1" customWidth="1"/>
    <col min="11" max="11" width="12" bestFit="1" customWidth="1"/>
    <col min="17" max="18" width="12"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292</v>
      </c>
      <c r="D11" t="s">
        <v>294</v>
      </c>
      <c r="F11" t="s">
        <v>156</v>
      </c>
      <c r="G11" t="s">
        <v>291</v>
      </c>
      <c r="I11">
        <v>2020</v>
      </c>
      <c r="J11">
        <v>2030</v>
      </c>
      <c r="K11">
        <v>0.97</v>
      </c>
      <c r="N11">
        <v>0.95</v>
      </c>
      <c r="O11" s="138">
        <v>50</v>
      </c>
      <c r="P11" s="140">
        <v>31.536000000000001</v>
      </c>
      <c r="Q11">
        <f>'H2'!$E$41</f>
        <v>48.915145028000005</v>
      </c>
      <c r="R11">
        <f>'H2'!$F$41</f>
        <v>5.3168635900000004E-2</v>
      </c>
      <c r="T11" s="137">
        <v>1</v>
      </c>
      <c r="Y11" s="128" t="s">
        <v>263</v>
      </c>
      <c r="Z11" s="129"/>
      <c r="AA11" s="129"/>
      <c r="AB11" s="129"/>
      <c r="AC11" s="129"/>
      <c r="AD11" s="129"/>
      <c r="AE11" s="129"/>
      <c r="AF11" s="129"/>
    </row>
    <row r="12" spans="3:32">
      <c r="I12" s="133">
        <v>2030</v>
      </c>
      <c r="J12" s="133"/>
      <c r="K12">
        <v>0.97</v>
      </c>
      <c r="N12">
        <v>0.95</v>
      </c>
      <c r="O12" s="138">
        <v>50</v>
      </c>
      <c r="P12" s="140">
        <v>31.536000000000001</v>
      </c>
      <c r="Q12">
        <f>'H2'!$E$41</f>
        <v>48.915145028000005</v>
      </c>
      <c r="R12">
        <f>'H2'!$F$41</f>
        <v>5.3168635900000004E-2</v>
      </c>
      <c r="T12" s="137">
        <v>1</v>
      </c>
      <c r="Y12" s="130" t="s">
        <v>264</v>
      </c>
      <c r="Z12" s="130" t="s">
        <v>222</v>
      </c>
      <c r="AA12" s="130" t="s">
        <v>223</v>
      </c>
      <c r="AB12" s="130" t="s">
        <v>265</v>
      </c>
      <c r="AC12" s="130" t="s">
        <v>266</v>
      </c>
      <c r="AD12" s="130" t="s">
        <v>267</v>
      </c>
      <c r="AE12" s="130" t="s">
        <v>268</v>
      </c>
      <c r="AF12" s="130" t="s">
        <v>269</v>
      </c>
    </row>
    <row r="13" spans="3:32" ht="42.6" thickBot="1">
      <c r="I13">
        <v>2050</v>
      </c>
      <c r="K13">
        <v>0.97</v>
      </c>
      <c r="N13">
        <v>0.95</v>
      </c>
      <c r="O13" s="138">
        <v>50</v>
      </c>
      <c r="P13" s="140">
        <v>31.536000000000001</v>
      </c>
      <c r="Q13">
        <f>'H2'!$E$41</f>
        <v>48.915145028000005</v>
      </c>
      <c r="R13">
        <f>'H2'!G41</f>
        <v>3.9876476925000001E-2</v>
      </c>
      <c r="T13" s="137">
        <v>1</v>
      </c>
      <c r="Y13" s="131" t="s">
        <v>270</v>
      </c>
      <c r="Z13" s="131" t="s">
        <v>271</v>
      </c>
      <c r="AA13" s="131" t="s">
        <v>241</v>
      </c>
      <c r="AB13" s="131" t="s">
        <v>272</v>
      </c>
      <c r="AC13" s="131" t="s">
        <v>273</v>
      </c>
      <c r="AD13" s="131" t="s">
        <v>274</v>
      </c>
      <c r="AE13" s="131" t="s">
        <v>275</v>
      </c>
      <c r="AF13" s="131" t="s">
        <v>276</v>
      </c>
    </row>
    <row r="14" spans="3:32" ht="15" thickBot="1">
      <c r="C14" s="141" t="s">
        <v>293</v>
      </c>
      <c r="D14" s="141" t="s">
        <v>295</v>
      </c>
      <c r="E14" s="141"/>
      <c r="F14" s="141" t="s">
        <v>156</v>
      </c>
      <c r="G14" s="141" t="s">
        <v>291</v>
      </c>
      <c r="H14" s="141"/>
      <c r="I14" s="141">
        <v>2020</v>
      </c>
      <c r="J14" s="141">
        <v>2030</v>
      </c>
      <c r="K14" s="141">
        <f>'H2'!O45</f>
        <v>0.66246624662466247</v>
      </c>
      <c r="L14" s="141"/>
      <c r="M14" s="141"/>
      <c r="N14" s="141">
        <v>0.95</v>
      </c>
      <c r="O14" s="142">
        <v>20</v>
      </c>
      <c r="P14" s="141">
        <v>1</v>
      </c>
      <c r="Q14" s="141">
        <f>('H2'!$M$20+'H2'!$M$22)*4/365</f>
        <v>1.3602819906016173</v>
      </c>
      <c r="R14" s="141">
        <f>'H2'!$M$21*4/365</f>
        <v>6.7984963117316303E-3</v>
      </c>
      <c r="S14" s="141"/>
      <c r="T14" s="143"/>
      <c r="Y14" s="131" t="s">
        <v>277</v>
      </c>
      <c r="Z14" s="131"/>
      <c r="AA14" s="131"/>
      <c r="AB14" s="131"/>
      <c r="AC14" s="131"/>
      <c r="AD14" s="131"/>
      <c r="AE14" s="131"/>
      <c r="AF14" s="131"/>
    </row>
    <row r="15" spans="3:32">
      <c r="I15" s="133">
        <v>2030</v>
      </c>
      <c r="J15" s="133"/>
      <c r="K15">
        <f>'H2'!O46</f>
        <v>0.64558955895589554</v>
      </c>
      <c r="N15">
        <v>0.95</v>
      </c>
      <c r="O15" s="138">
        <v>20</v>
      </c>
      <c r="P15" s="140">
        <v>1</v>
      </c>
      <c r="Q15">
        <f>('H2'!$M$20+'H2'!$M$22)*4/365</f>
        <v>1.3602819906016173</v>
      </c>
      <c r="R15">
        <f>'H2'!$M$21*4/365</f>
        <v>6.7984963117316303E-3</v>
      </c>
      <c r="T15" s="137"/>
      <c r="Y15" t="s">
        <v>278</v>
      </c>
      <c r="Z15" t="s">
        <v>292</v>
      </c>
      <c r="AA15" t="s">
        <v>294</v>
      </c>
      <c r="AB15" s="139" t="s">
        <v>221</v>
      </c>
      <c r="AC15" s="139" t="s">
        <v>281</v>
      </c>
      <c r="AD15" s="133" t="s">
        <v>219</v>
      </c>
      <c r="AE15" t="s">
        <v>291</v>
      </c>
      <c r="AF15" s="139" t="s">
        <v>279</v>
      </c>
    </row>
    <row r="16" spans="3:32">
      <c r="I16">
        <v>2050</v>
      </c>
      <c r="K16">
        <f>'H2'!P46</f>
        <v>0.72434743474347429</v>
      </c>
      <c r="N16">
        <v>0.95</v>
      </c>
      <c r="O16" s="138">
        <v>20</v>
      </c>
      <c r="P16" s="140">
        <v>1</v>
      </c>
      <c r="Q16">
        <f>('H2'!N20+'H2'!N22)*4/365</f>
        <v>0.97160224432233189</v>
      </c>
      <c r="R16">
        <f>'H2'!N21*4/365</f>
        <v>4.8560687940940222E-3</v>
      </c>
      <c r="T16" s="137"/>
      <c r="Y16" t="s">
        <v>278</v>
      </c>
      <c r="Z16" t="s">
        <v>293</v>
      </c>
      <c r="AA16" t="s">
        <v>295</v>
      </c>
      <c r="AB16" t="s">
        <v>221</v>
      </c>
      <c r="AC16" t="s">
        <v>296</v>
      </c>
      <c r="AD16" s="133" t="s">
        <v>219</v>
      </c>
      <c r="AE16" t="s">
        <v>291</v>
      </c>
      <c r="AF16" t="s">
        <v>279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A6" zoomScale="66" workbookViewId="0">
      <selection activeCell="W12" sqref="W12"/>
    </sheetView>
  </sheetViews>
  <sheetFormatPr defaultRowHeight="14.4"/>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c r="C2" s="65" t="s">
        <v>154</v>
      </c>
      <c r="L2" s="65" t="s">
        <v>155</v>
      </c>
      <c r="R2" t="s">
        <v>163</v>
      </c>
    </row>
    <row r="3" spans="2:23">
      <c r="L3" t="s">
        <v>162</v>
      </c>
    </row>
    <row r="4" spans="2:23">
      <c r="M4">
        <v>2030</v>
      </c>
      <c r="N4">
        <v>2050</v>
      </c>
      <c r="R4" t="s">
        <v>203</v>
      </c>
    </row>
    <row r="5" spans="2:23">
      <c r="B5" s="47" t="s">
        <v>111</v>
      </c>
      <c r="C5" s="48" t="s">
        <v>112</v>
      </c>
      <c r="L5" s="27" t="s">
        <v>125</v>
      </c>
      <c r="M5" s="52">
        <v>2205</v>
      </c>
      <c r="N5" s="52">
        <v>1715</v>
      </c>
      <c r="R5">
        <v>5.2</v>
      </c>
      <c r="S5" t="s">
        <v>157</v>
      </c>
    </row>
    <row r="6" spans="2:23">
      <c r="B6" s="47" t="s">
        <v>25</v>
      </c>
      <c r="C6" s="52">
        <v>50</v>
      </c>
      <c r="L6" t="s">
        <v>313</v>
      </c>
      <c r="M6">
        <f>M5/1000000</f>
        <v>2.2049999999999999E-3</v>
      </c>
      <c r="N6">
        <f>N5/1000000</f>
        <v>1.7149999999999999E-3</v>
      </c>
      <c r="R6">
        <v>5.2</v>
      </c>
      <c r="S6" t="s">
        <v>158</v>
      </c>
    </row>
    <row r="7" spans="2:23">
      <c r="B7" s="47" t="s">
        <v>29</v>
      </c>
      <c r="C7" s="52">
        <v>1</v>
      </c>
      <c r="L7" s="62" t="s">
        <v>130</v>
      </c>
      <c r="M7" s="52">
        <v>1978.8326904267387</v>
      </c>
      <c r="N7" s="52">
        <v>1978.8326904267387</v>
      </c>
      <c r="R7">
        <v>5.2</v>
      </c>
      <c r="S7" t="s">
        <v>159</v>
      </c>
      <c r="T7">
        <f>R7/1000</f>
        <v>5.1999999999999998E-3</v>
      </c>
      <c r="U7" t="s">
        <v>208</v>
      </c>
    </row>
    <row r="8" spans="2:23">
      <c r="L8" s="62" t="s">
        <v>133</v>
      </c>
      <c r="M8" s="52">
        <v>9.570354462000001</v>
      </c>
      <c r="N8" s="52">
        <v>9.570354462000001</v>
      </c>
      <c r="R8">
        <f>R6/1000</f>
        <v>5.1999999999999998E-3</v>
      </c>
      <c r="S8" t="s">
        <v>160</v>
      </c>
    </row>
    <row r="9" spans="2:23">
      <c r="C9" t="s">
        <v>200</v>
      </c>
      <c r="L9" s="62" t="s">
        <v>204</v>
      </c>
      <c r="M9" s="52">
        <v>1.8077336206000001</v>
      </c>
      <c r="N9" s="52">
        <v>1.8077336206000001</v>
      </c>
    </row>
    <row r="10" spans="2:23">
      <c r="B10" s="27" t="s">
        <v>119</v>
      </c>
      <c r="C10" s="48">
        <v>0.21267454360000004</v>
      </c>
      <c r="D10" s="127">
        <f>C10</f>
        <v>0.21267454360000004</v>
      </c>
      <c r="E10" t="s">
        <v>205</v>
      </c>
    </row>
    <row r="11" spans="2:23">
      <c r="B11" s="27" t="s">
        <v>120</v>
      </c>
      <c r="C11" s="48">
        <v>0.21267454360000004</v>
      </c>
      <c r="D11" s="127">
        <f>C11</f>
        <v>0.21267454360000004</v>
      </c>
      <c r="E11" t="s">
        <v>205</v>
      </c>
      <c r="L11" s="62" t="s">
        <v>314</v>
      </c>
      <c r="M11" s="63">
        <f>M7/($R$6*1000000*$S$13)</f>
        <v>105.70687448860785</v>
      </c>
      <c r="N11" s="63">
        <f>N7/($R$6*1000000*$S$13)</f>
        <v>105.70687448860785</v>
      </c>
      <c r="V11">
        <f>R6*S13</f>
        <v>1.872E-5</v>
      </c>
      <c r="W11" t="s">
        <v>362</v>
      </c>
    </row>
    <row r="12" spans="2:23">
      <c r="L12" s="62" t="s">
        <v>315</v>
      </c>
      <c r="M12" s="63">
        <f t="shared" ref="M12:N13" si="0">M8/($R$6*1000000*$S$13)</f>
        <v>0.51123688365384623</v>
      </c>
      <c r="N12" s="63">
        <f t="shared" si="0"/>
        <v>0.51123688365384623</v>
      </c>
      <c r="S12" t="s">
        <v>161</v>
      </c>
    </row>
    <row r="13" spans="2:23">
      <c r="B13" s="27" t="s">
        <v>121</v>
      </c>
      <c r="C13" s="55">
        <v>106.33727180000001</v>
      </c>
      <c r="D13" s="63">
        <f>C13/1000000</f>
        <v>1.0633727180000001E-4</v>
      </c>
      <c r="E13" t="s">
        <v>201</v>
      </c>
      <c r="L13" s="62" t="s">
        <v>316</v>
      </c>
      <c r="M13" s="63">
        <f t="shared" si="0"/>
        <v>9.6566966912393179E-2</v>
      </c>
      <c r="N13" s="63">
        <f t="shared" si="0"/>
        <v>9.6566966912393179E-2</v>
      </c>
      <c r="S13">
        <v>3.5999999999999998E-6</v>
      </c>
    </row>
    <row r="14" spans="2:23">
      <c r="V14" t="s">
        <v>297</v>
      </c>
    </row>
    <row r="15" spans="2:23">
      <c r="V15">
        <v>45000</v>
      </c>
      <c r="W15" t="s">
        <v>298</v>
      </c>
    </row>
    <row r="16" spans="2:23">
      <c r="B16" t="s">
        <v>153</v>
      </c>
      <c r="C16" t="s">
        <v>213</v>
      </c>
      <c r="D16" t="s">
        <v>202</v>
      </c>
      <c r="L16" s="47" t="s">
        <v>25</v>
      </c>
      <c r="M16" s="52">
        <v>20</v>
      </c>
    </row>
    <row r="17" spans="2:23">
      <c r="B17">
        <v>10</v>
      </c>
      <c r="C17">
        <f>$D$10*B17</f>
        <v>2.1267454360000002</v>
      </c>
      <c r="D17">
        <f>$D$13*B17</f>
        <v>1.0633727180000001E-3</v>
      </c>
      <c r="V17">
        <f>V15*S13*R6</f>
        <v>0.84240000000000004</v>
      </c>
      <c r="W17" t="s">
        <v>312</v>
      </c>
    </row>
    <row r="18" spans="2:23">
      <c r="B18">
        <v>20</v>
      </c>
      <c r="C18">
        <f t="shared" ref="C18:C81" si="1">$D$10*B18</f>
        <v>4.2534908720000004</v>
      </c>
      <c r="D18">
        <f t="shared" ref="D18:D81" si="2">$D$13*B18</f>
        <v>2.1267454360000002E-3</v>
      </c>
    </row>
    <row r="19" spans="2:23">
      <c r="B19">
        <v>30</v>
      </c>
      <c r="C19">
        <f t="shared" si="1"/>
        <v>6.3802363080000015</v>
      </c>
      <c r="D19">
        <f t="shared" si="2"/>
        <v>3.1901181540000003E-3</v>
      </c>
    </row>
    <row r="20" spans="2:23">
      <c r="B20">
        <v>40</v>
      </c>
      <c r="C20">
        <f t="shared" si="1"/>
        <v>8.5069817440000008</v>
      </c>
      <c r="D20">
        <f t="shared" si="2"/>
        <v>4.2534908720000004E-3</v>
      </c>
    </row>
    <row r="21" spans="2:23">
      <c r="B21">
        <v>50</v>
      </c>
      <c r="C21">
        <f t="shared" si="1"/>
        <v>10.633727180000003</v>
      </c>
      <c r="D21">
        <f t="shared" si="2"/>
        <v>5.31686359E-3</v>
      </c>
    </row>
    <row r="22" spans="2:23">
      <c r="B22">
        <v>60</v>
      </c>
      <c r="C22">
        <f t="shared" si="1"/>
        <v>12.760472616000003</v>
      </c>
      <c r="D22">
        <f t="shared" si="2"/>
        <v>6.3802363080000006E-3</v>
      </c>
      <c r="L22" t="s">
        <v>153</v>
      </c>
      <c r="O22" t="s">
        <v>300</v>
      </c>
      <c r="P22" t="s">
        <v>301</v>
      </c>
    </row>
    <row r="23" spans="2:2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c r="L117">
        <v>950</v>
      </c>
      <c r="M117">
        <f t="shared" si="9"/>
        <v>2.0947499999999999</v>
      </c>
      <c r="N117">
        <f t="shared" si="10"/>
        <v>1.6292499999999999</v>
      </c>
      <c r="O117">
        <f t="shared" si="11"/>
        <v>-1.486645299145299</v>
      </c>
      <c r="P117">
        <f t="shared" si="12"/>
        <v>-0.93405745489078806</v>
      </c>
    </row>
    <row r="118" spans="2:16">
      <c r="L118">
        <v>960</v>
      </c>
      <c r="M118">
        <f t="shared" si="9"/>
        <v>2.1168</v>
      </c>
      <c r="N118">
        <f t="shared" si="10"/>
        <v>1.6463999999999999</v>
      </c>
      <c r="O118">
        <f t="shared" si="11"/>
        <v>-1.5128205128205128</v>
      </c>
      <c r="P118">
        <f t="shared" si="12"/>
        <v>-0.95441595441595406</v>
      </c>
    </row>
    <row r="119" spans="2:16">
      <c r="L119">
        <v>970</v>
      </c>
      <c r="M119">
        <f t="shared" si="9"/>
        <v>2.1388500000000001</v>
      </c>
      <c r="N119">
        <f t="shared" si="10"/>
        <v>1.6635499999999999</v>
      </c>
      <c r="O119">
        <f t="shared" si="11"/>
        <v>-1.5389957264957266</v>
      </c>
      <c r="P119">
        <f t="shared" si="12"/>
        <v>-0.97477445394112028</v>
      </c>
    </row>
    <row r="120" spans="2:16">
      <c r="L120">
        <v>980</v>
      </c>
      <c r="M120">
        <f t="shared" si="9"/>
        <v>2.1608999999999998</v>
      </c>
      <c r="N120">
        <f t="shared" si="10"/>
        <v>1.6806999999999999</v>
      </c>
      <c r="O120">
        <f t="shared" si="11"/>
        <v>-1.5651709401709399</v>
      </c>
      <c r="P120">
        <f t="shared" si="12"/>
        <v>-0.9951329534662865</v>
      </c>
    </row>
    <row r="121" spans="2:16">
      <c r="L121">
        <v>990</v>
      </c>
      <c r="M121">
        <f t="shared" si="9"/>
        <v>2.1829499999999999</v>
      </c>
      <c r="N121">
        <f t="shared" si="10"/>
        <v>1.6978499999999999</v>
      </c>
      <c r="O121">
        <f t="shared" si="11"/>
        <v>-1.5913461538461537</v>
      </c>
      <c r="P121">
        <f t="shared" si="12"/>
        <v>-1.0154914529914527</v>
      </c>
    </row>
    <row r="122" spans="2:16">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B2" zoomScale="70" workbookViewId="0">
      <selection activeCell="T8" sqref="T8:T16"/>
    </sheetView>
  </sheetViews>
  <sheetFormatPr defaultRowHeight="14.4"/>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307</v>
      </c>
      <c r="D11" t="s">
        <v>309</v>
      </c>
      <c r="F11" t="s">
        <v>311</v>
      </c>
      <c r="G11" t="s">
        <v>306</v>
      </c>
      <c r="I11">
        <v>2020</v>
      </c>
      <c r="J11">
        <v>2030</v>
      </c>
      <c r="K11">
        <v>0.995</v>
      </c>
      <c r="N11">
        <v>0.95</v>
      </c>
      <c r="O11" s="138">
        <v>50</v>
      </c>
      <c r="P11" s="140">
        <v>31.536000000000001</v>
      </c>
      <c r="Q11">
        <f>'NH3'!$C$36</f>
        <v>42.534908720000011</v>
      </c>
      <c r="R11">
        <f>'NH3'!$D$36</f>
        <v>2.126745436E-2</v>
      </c>
      <c r="T11" s="137">
        <v>1</v>
      </c>
      <c r="Y11" s="128" t="s">
        <v>263</v>
      </c>
      <c r="Z11" s="129"/>
      <c r="AA11" s="129"/>
      <c r="AB11" s="129"/>
      <c r="AC11" s="129"/>
      <c r="AD11" s="129"/>
      <c r="AE11" s="129"/>
      <c r="AF11" s="129"/>
    </row>
    <row r="12" spans="3:32">
      <c r="I12" s="133">
        <v>2030</v>
      </c>
      <c r="J12" s="133"/>
      <c r="K12">
        <v>0.995</v>
      </c>
      <c r="N12">
        <v>0.95</v>
      </c>
      <c r="O12" s="138">
        <v>50</v>
      </c>
      <c r="P12" s="140">
        <v>31.536000000000001</v>
      </c>
      <c r="Q12">
        <f>'NH3'!$C$36</f>
        <v>42.534908720000011</v>
      </c>
      <c r="R12">
        <f>'NH3'!$D$36</f>
        <v>2.126745436E-2</v>
      </c>
      <c r="T12" s="137">
        <v>1</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31.536000000000001</v>
      </c>
      <c r="Q13">
        <f>'NH3'!$C$36</f>
        <v>42.534908720000011</v>
      </c>
      <c r="R13">
        <f>'NH3'!$D$36</f>
        <v>2.126745436E-2</v>
      </c>
      <c r="T13" s="137">
        <v>1</v>
      </c>
      <c r="Y13" s="131" t="s">
        <v>270</v>
      </c>
      <c r="Z13" s="131" t="s">
        <v>271</v>
      </c>
      <c r="AA13" s="131" t="s">
        <v>241</v>
      </c>
      <c r="AB13" s="131" t="s">
        <v>272</v>
      </c>
      <c r="AC13" s="131" t="s">
        <v>273</v>
      </c>
      <c r="AD13" s="131" t="s">
        <v>274</v>
      </c>
      <c r="AE13" s="131" t="s">
        <v>275</v>
      </c>
      <c r="AF13" s="131" t="s">
        <v>276</v>
      </c>
    </row>
    <row r="14" spans="3:32" ht="15" thickBot="1">
      <c r="C14" s="141" t="s">
        <v>308</v>
      </c>
      <c r="D14" s="141" t="s">
        <v>310</v>
      </c>
      <c r="E14" s="141"/>
      <c r="F14" s="141" t="s">
        <v>311</v>
      </c>
      <c r="G14" s="141" t="s">
        <v>306</v>
      </c>
      <c r="H14" s="141"/>
      <c r="I14" s="141">
        <v>2020</v>
      </c>
      <c r="J14" s="141">
        <v>2030</v>
      </c>
      <c r="K14" s="141">
        <v>0.5</v>
      </c>
      <c r="L14" s="141"/>
      <c r="M14" s="141"/>
      <c r="N14" s="141">
        <v>0.95</v>
      </c>
      <c r="O14" s="142">
        <v>20</v>
      </c>
      <c r="P14" s="141">
        <v>1</v>
      </c>
      <c r="Q14" s="141">
        <f>('NH3'!$M$11+'NH3'!$M$13)*4/365</f>
        <v>1.1594897693755644</v>
      </c>
      <c r="R14" s="141">
        <f>'NH3'!$M$12*4/365</f>
        <v>5.6025959852476302E-3</v>
      </c>
      <c r="S14" s="141"/>
      <c r="T14" s="143"/>
      <c r="Y14" s="131" t="s">
        <v>277</v>
      </c>
      <c r="Z14" s="131"/>
      <c r="AA14" s="131"/>
      <c r="AB14" s="131"/>
      <c r="AC14" s="131"/>
      <c r="AD14" s="131"/>
      <c r="AE14" s="131"/>
      <c r="AF14" s="131"/>
    </row>
    <row r="15" spans="3:32">
      <c r="I15" s="133">
        <v>2030</v>
      </c>
      <c r="J15" s="133"/>
      <c r="K15">
        <v>0.5</v>
      </c>
      <c r="N15">
        <v>0.95</v>
      </c>
      <c r="O15" s="138">
        <v>20</v>
      </c>
      <c r="P15" s="140">
        <v>1</v>
      </c>
      <c r="Q15">
        <f>('NH3'!$M$11+'NH3'!$M$13)*4/365</f>
        <v>1.1594897693755644</v>
      </c>
      <c r="R15">
        <f>'NH3'!$M$12*4/365</f>
        <v>5.6025959852476302E-3</v>
      </c>
      <c r="T15" s="137"/>
      <c r="Y15" t="s">
        <v>278</v>
      </c>
      <c r="Z15" t="s">
        <v>307</v>
      </c>
      <c r="AA15" t="s">
        <v>309</v>
      </c>
      <c r="AB15" s="139" t="s">
        <v>221</v>
      </c>
      <c r="AC15" s="139" t="s">
        <v>281</v>
      </c>
      <c r="AD15" s="133" t="s">
        <v>219</v>
      </c>
      <c r="AE15" t="s">
        <v>306</v>
      </c>
      <c r="AF15" s="139" t="s">
        <v>279</v>
      </c>
    </row>
    <row r="16" spans="3:32">
      <c r="I16">
        <v>2050</v>
      </c>
      <c r="K16">
        <v>0.6</v>
      </c>
      <c r="N16">
        <v>0.95</v>
      </c>
      <c r="O16" s="138">
        <v>20</v>
      </c>
      <c r="P16" s="140">
        <v>1</v>
      </c>
      <c r="Q16">
        <f>('NH3'!$M$11+'NH3'!$M$13)*4/365</f>
        <v>1.1594897693755644</v>
      </c>
      <c r="R16">
        <f>'NH3'!$M$12*4/365</f>
        <v>5.6025959852476302E-3</v>
      </c>
      <c r="T16" s="137"/>
      <c r="Y16" t="s">
        <v>278</v>
      </c>
      <c r="Z16" t="s">
        <v>308</v>
      </c>
      <c r="AA16" t="s">
        <v>310</v>
      </c>
      <c r="AB16" t="s">
        <v>221</v>
      </c>
      <c r="AC16" t="s">
        <v>296</v>
      </c>
      <c r="AD16" s="133" t="s">
        <v>219</v>
      </c>
      <c r="AE16" t="s">
        <v>306</v>
      </c>
      <c r="AF16" t="s">
        <v>279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BD68E-0EBA-4566-8BAF-5E15F47470BB}">
  <sheetPr>
    <tabColor theme="5" tint="0.39997558519241921"/>
  </sheetPr>
  <dimension ref="B2:T119"/>
  <sheetViews>
    <sheetView zoomScale="58" workbookViewId="0">
      <selection activeCell="S18" sqref="S18"/>
    </sheetView>
  </sheetViews>
  <sheetFormatPr defaultRowHeight="14.4"/>
  <cols>
    <col min="2" max="2" width="11.88671875" customWidth="1"/>
    <col min="3" max="3" width="51.6640625" customWidth="1"/>
    <col min="4" max="4" width="13" bestFit="1" customWidth="1"/>
    <col min="6" max="6" width="13" bestFit="1" customWidth="1"/>
    <col min="12" max="12" width="31.33203125" customWidth="1"/>
    <col min="13" max="14" width="9.33203125" bestFit="1" customWidth="1"/>
    <col min="16" max="17" width="12" bestFit="1" customWidth="1"/>
    <col min="18" max="18" width="11" bestFit="1" customWidth="1"/>
    <col min="19" max="20" width="12.88671875" bestFit="1" customWidth="1"/>
  </cols>
  <sheetData>
    <row r="2" spans="3:20" ht="18">
      <c r="D2" s="65" t="s">
        <v>154</v>
      </c>
      <c r="H2" t="s">
        <v>214</v>
      </c>
      <c r="M2" s="65" t="s">
        <v>155</v>
      </c>
    </row>
    <row r="3" spans="3:20">
      <c r="M3" t="s">
        <v>162</v>
      </c>
    </row>
    <row r="5" spans="3:20">
      <c r="C5" s="91" t="s">
        <v>25</v>
      </c>
      <c r="D5" s="88">
        <v>50</v>
      </c>
      <c r="L5" s="56" t="s">
        <v>186</v>
      </c>
      <c r="M5" s="118">
        <v>40</v>
      </c>
    </row>
    <row r="6" spans="3:20">
      <c r="C6" s="91" t="s">
        <v>29</v>
      </c>
      <c r="D6" s="88">
        <v>1</v>
      </c>
      <c r="L6" s="122" t="s">
        <v>29</v>
      </c>
      <c r="M6" s="118">
        <v>2</v>
      </c>
    </row>
    <row r="8" spans="3:20">
      <c r="Q8" t="s">
        <v>328</v>
      </c>
    </row>
    <row r="9" spans="3:20">
      <c r="C9" s="91" t="s">
        <v>169</v>
      </c>
      <c r="D9" s="88">
        <v>33</v>
      </c>
      <c r="F9">
        <f>D9/(8760*1000)</f>
        <v>3.7671232876712327E-6</v>
      </c>
      <c r="G9" t="s">
        <v>282</v>
      </c>
      <c r="M9">
        <v>2030</v>
      </c>
      <c r="N9">
        <v>2050</v>
      </c>
    </row>
    <row r="10" spans="3:20">
      <c r="L10" s="56" t="s">
        <v>184</v>
      </c>
      <c r="M10" s="117">
        <v>90</v>
      </c>
      <c r="N10" s="117">
        <v>80</v>
      </c>
      <c r="P10">
        <f>M10/700</f>
        <v>0.12857142857142856</v>
      </c>
      <c r="Q10">
        <f>N10/700</f>
        <v>0.11428571428571428</v>
      </c>
      <c r="S10" t="s">
        <v>329</v>
      </c>
    </row>
    <row r="11" spans="3:20">
      <c r="C11" s="91" t="s">
        <v>170</v>
      </c>
      <c r="D11" s="88">
        <v>20</v>
      </c>
      <c r="F11">
        <f t="shared" ref="F11" si="0">D11/(8760*1000)</f>
        <v>2.2831050228310503E-6</v>
      </c>
      <c r="G11" t="s">
        <v>283</v>
      </c>
      <c r="L11" s="56" t="s">
        <v>185</v>
      </c>
      <c r="M11" s="121">
        <v>180</v>
      </c>
      <c r="N11" s="121">
        <v>150</v>
      </c>
      <c r="P11">
        <f>M11/700</f>
        <v>0.25714285714285712</v>
      </c>
      <c r="Q11">
        <f>N11/700</f>
        <v>0.21428571428571427</v>
      </c>
    </row>
    <row r="13" spans="3:20">
      <c r="L13" s="123" t="s">
        <v>187</v>
      </c>
      <c r="M13" s="118">
        <v>9082</v>
      </c>
      <c r="N13" s="118">
        <v>7648</v>
      </c>
    </row>
    <row r="14" spans="3:20">
      <c r="L14" s="123" t="s">
        <v>188</v>
      </c>
      <c r="M14" s="118">
        <v>5927.2</v>
      </c>
      <c r="N14" s="118">
        <v>4780</v>
      </c>
      <c r="P14" t="s">
        <v>330</v>
      </c>
      <c r="Q14">
        <f>P10*100</f>
        <v>12.857142857142856</v>
      </c>
      <c r="R14">
        <f>Q10*100</f>
        <v>11.428571428571429</v>
      </c>
      <c r="T14" t="s">
        <v>331</v>
      </c>
    </row>
    <row r="15" spans="3:20">
      <c r="L15" s="124" t="s">
        <v>189</v>
      </c>
      <c r="M15" s="117">
        <v>434.11959999999999</v>
      </c>
      <c r="N15" s="117">
        <v>365.57440000000003</v>
      </c>
      <c r="Q15">
        <f>P11*100</f>
        <v>25.714285714285712</v>
      </c>
      <c r="R15">
        <f>Q11*100</f>
        <v>21.428571428571427</v>
      </c>
    </row>
    <row r="16" spans="3:20">
      <c r="L16" s="124" t="s">
        <v>190</v>
      </c>
      <c r="M16" s="117">
        <v>283.32015999999999</v>
      </c>
      <c r="N16" s="117">
        <v>228.48399999999998</v>
      </c>
    </row>
    <row r="18" spans="2:20">
      <c r="Q18" t="s">
        <v>161</v>
      </c>
      <c r="S18">
        <f>Q14*$Q$19</f>
        <v>4.6285714285714277E-5</v>
      </c>
      <c r="T18">
        <f>R14*$Q$19</f>
        <v>4.1142857142857139E-5</v>
      </c>
    </row>
    <row r="19" spans="2:20">
      <c r="B19" t="s">
        <v>153</v>
      </c>
      <c r="C19" t="s">
        <v>284</v>
      </c>
      <c r="D19" t="s">
        <v>285</v>
      </c>
      <c r="Q19">
        <v>3.5999999999999998E-6</v>
      </c>
      <c r="S19">
        <f>Q15*$Q$19</f>
        <v>9.2571428571428554E-5</v>
      </c>
      <c r="T19">
        <f>R15*$Q$19</f>
        <v>7.714285714285714E-5</v>
      </c>
    </row>
    <row r="20" spans="2:20">
      <c r="B20">
        <v>10</v>
      </c>
      <c r="C20">
        <f>$F$9*B20*1000</f>
        <v>3.7671232876712327E-2</v>
      </c>
      <c r="D20">
        <f>B20*$F$11</f>
        <v>2.2831050228310503E-5</v>
      </c>
    </row>
    <row r="21" spans="2:20">
      <c r="B21">
        <v>20</v>
      </c>
      <c r="C21">
        <f t="shared" ref="C21:C84" si="1">$F$9*B21*1000</f>
        <v>7.5342465753424653E-2</v>
      </c>
      <c r="D21">
        <f t="shared" ref="D21:D84" si="2">B21*$F$11</f>
        <v>4.5662100456621006E-5</v>
      </c>
    </row>
    <row r="22" spans="2:20">
      <c r="B22">
        <v>30</v>
      </c>
      <c r="C22">
        <f t="shared" si="1"/>
        <v>0.11301369863013699</v>
      </c>
      <c r="D22">
        <f t="shared" si="2"/>
        <v>6.8493150684931502E-5</v>
      </c>
    </row>
    <row r="23" spans="2:20">
      <c r="B23">
        <v>40</v>
      </c>
      <c r="C23">
        <f t="shared" si="1"/>
        <v>0.15068493150684931</v>
      </c>
      <c r="D23">
        <f t="shared" si="2"/>
        <v>9.1324200913242012E-5</v>
      </c>
    </row>
    <row r="24" spans="2:20">
      <c r="B24">
        <v>50</v>
      </c>
      <c r="C24">
        <f t="shared" si="1"/>
        <v>0.18835616438356162</v>
      </c>
      <c r="D24">
        <f t="shared" si="2"/>
        <v>1.1415525114155252E-4</v>
      </c>
    </row>
    <row r="25" spans="2:20">
      <c r="B25">
        <v>60</v>
      </c>
      <c r="C25">
        <f t="shared" si="1"/>
        <v>0.22602739726027399</v>
      </c>
      <c r="D25">
        <f t="shared" si="2"/>
        <v>1.36986301369863E-4</v>
      </c>
    </row>
    <row r="26" spans="2:20">
      <c r="B26">
        <v>70</v>
      </c>
      <c r="C26">
        <f t="shared" si="1"/>
        <v>0.2636986301369863</v>
      </c>
      <c r="D26">
        <f t="shared" si="2"/>
        <v>1.5981735159817351E-4</v>
      </c>
    </row>
    <row r="27" spans="2:20">
      <c r="B27">
        <v>80</v>
      </c>
      <c r="C27">
        <f t="shared" si="1"/>
        <v>0.30136986301369861</v>
      </c>
      <c r="D27">
        <f t="shared" si="2"/>
        <v>1.8264840182648402E-4</v>
      </c>
    </row>
    <row r="28" spans="2:20">
      <c r="B28">
        <v>90</v>
      </c>
      <c r="C28">
        <f t="shared" si="1"/>
        <v>0.33904109589041093</v>
      </c>
      <c r="D28">
        <f t="shared" si="2"/>
        <v>2.0547945205479453E-4</v>
      </c>
    </row>
    <row r="29" spans="2:20">
      <c r="B29">
        <v>100</v>
      </c>
      <c r="C29">
        <f t="shared" si="1"/>
        <v>0.37671232876712324</v>
      </c>
      <c r="D29">
        <f t="shared" si="2"/>
        <v>2.2831050228310504E-4</v>
      </c>
    </row>
    <row r="30" spans="2:20">
      <c r="B30">
        <v>110</v>
      </c>
      <c r="C30">
        <f t="shared" si="1"/>
        <v>0.41438356164383561</v>
      </c>
      <c r="D30">
        <f t="shared" si="2"/>
        <v>2.5114155251141555E-4</v>
      </c>
    </row>
    <row r="31" spans="2:20">
      <c r="B31">
        <v>120</v>
      </c>
      <c r="C31">
        <f t="shared" si="1"/>
        <v>0.45205479452054798</v>
      </c>
      <c r="D31">
        <f t="shared" si="2"/>
        <v>2.7397260273972601E-4</v>
      </c>
    </row>
    <row r="32" spans="2:20">
      <c r="B32">
        <v>130</v>
      </c>
      <c r="C32">
        <f t="shared" si="1"/>
        <v>0.48972602739726023</v>
      </c>
      <c r="D32">
        <f t="shared" si="2"/>
        <v>2.9680365296803652E-4</v>
      </c>
    </row>
    <row r="33" spans="2:4">
      <c r="B33">
        <v>140</v>
      </c>
      <c r="C33">
        <f t="shared" si="1"/>
        <v>0.5273972602739726</v>
      </c>
      <c r="D33">
        <f t="shared" si="2"/>
        <v>3.1963470319634703E-4</v>
      </c>
    </row>
    <row r="34" spans="2:4">
      <c r="B34">
        <v>150</v>
      </c>
      <c r="C34">
        <f t="shared" si="1"/>
        <v>0.56506849315068497</v>
      </c>
      <c r="D34">
        <f t="shared" si="2"/>
        <v>3.4246575342465754E-4</v>
      </c>
    </row>
    <row r="35" spans="2:4">
      <c r="B35">
        <v>160</v>
      </c>
      <c r="C35">
        <f t="shared" si="1"/>
        <v>0.60273972602739723</v>
      </c>
      <c r="D35">
        <f t="shared" si="2"/>
        <v>3.6529680365296805E-4</v>
      </c>
    </row>
    <row r="36" spans="2:4">
      <c r="B36">
        <v>170</v>
      </c>
      <c r="C36">
        <f t="shared" si="1"/>
        <v>0.6404109589041096</v>
      </c>
      <c r="D36">
        <f t="shared" si="2"/>
        <v>3.8812785388127856E-4</v>
      </c>
    </row>
    <row r="37" spans="2:4">
      <c r="B37">
        <v>180</v>
      </c>
      <c r="C37">
        <f t="shared" si="1"/>
        <v>0.67808219178082185</v>
      </c>
      <c r="D37">
        <f t="shared" si="2"/>
        <v>4.1095890410958907E-4</v>
      </c>
    </row>
    <row r="38" spans="2:4">
      <c r="B38">
        <v>190</v>
      </c>
      <c r="C38">
        <f t="shared" si="1"/>
        <v>0.71575342465753422</v>
      </c>
      <c r="D38">
        <f t="shared" si="2"/>
        <v>4.3378995433789958E-4</v>
      </c>
    </row>
    <row r="39" spans="2:4">
      <c r="B39">
        <v>200</v>
      </c>
      <c r="C39">
        <f t="shared" si="1"/>
        <v>0.75342465753424648</v>
      </c>
      <c r="D39">
        <f t="shared" si="2"/>
        <v>4.5662100456621009E-4</v>
      </c>
    </row>
    <row r="40" spans="2:4">
      <c r="B40">
        <v>210</v>
      </c>
      <c r="C40">
        <f t="shared" si="1"/>
        <v>0.79109589041095885</v>
      </c>
      <c r="D40">
        <f t="shared" si="2"/>
        <v>4.7945205479452054E-4</v>
      </c>
    </row>
    <row r="41" spans="2:4">
      <c r="B41">
        <v>220</v>
      </c>
      <c r="C41">
        <f t="shared" si="1"/>
        <v>0.82876712328767121</v>
      </c>
      <c r="D41">
        <f t="shared" si="2"/>
        <v>5.022831050228311E-4</v>
      </c>
    </row>
    <row r="42" spans="2:4">
      <c r="B42">
        <v>230</v>
      </c>
      <c r="C42">
        <f t="shared" si="1"/>
        <v>0.86643835616438358</v>
      </c>
      <c r="D42">
        <f t="shared" si="2"/>
        <v>5.2511415525114161E-4</v>
      </c>
    </row>
    <row r="43" spans="2:4">
      <c r="B43">
        <v>240</v>
      </c>
      <c r="C43">
        <f t="shared" si="1"/>
        <v>0.90410958904109595</v>
      </c>
      <c r="D43">
        <f t="shared" si="2"/>
        <v>5.4794520547945202E-4</v>
      </c>
    </row>
    <row r="44" spans="2:4">
      <c r="B44">
        <v>250</v>
      </c>
      <c r="C44">
        <f t="shared" si="1"/>
        <v>0.9417808219178081</v>
      </c>
      <c r="D44">
        <f t="shared" si="2"/>
        <v>5.7077625570776253E-4</v>
      </c>
    </row>
    <row r="45" spans="2:4">
      <c r="B45">
        <v>260</v>
      </c>
      <c r="C45">
        <f t="shared" si="1"/>
        <v>0.97945205479452047</v>
      </c>
      <c r="D45">
        <f t="shared" si="2"/>
        <v>5.9360730593607304E-4</v>
      </c>
    </row>
    <row r="46" spans="2:4">
      <c r="B46">
        <v>270</v>
      </c>
      <c r="C46">
        <f t="shared" si="1"/>
        <v>1.0171232876712328</v>
      </c>
      <c r="D46">
        <f t="shared" si="2"/>
        <v>6.1643835616438354E-4</v>
      </c>
    </row>
    <row r="47" spans="2:4">
      <c r="B47">
        <v>280</v>
      </c>
      <c r="C47">
        <f t="shared" si="1"/>
        <v>1.0547945205479452</v>
      </c>
      <c r="D47">
        <f t="shared" si="2"/>
        <v>6.3926940639269405E-4</v>
      </c>
    </row>
    <row r="48" spans="2:4">
      <c r="B48">
        <v>290</v>
      </c>
      <c r="C48">
        <f t="shared" si="1"/>
        <v>1.0924657534246573</v>
      </c>
      <c r="D48">
        <f t="shared" si="2"/>
        <v>6.6210045662100456E-4</v>
      </c>
    </row>
    <row r="49" spans="2:4">
      <c r="B49">
        <v>300</v>
      </c>
      <c r="C49">
        <f t="shared" si="1"/>
        <v>1.1301369863013699</v>
      </c>
      <c r="D49">
        <f t="shared" si="2"/>
        <v>6.8493150684931507E-4</v>
      </c>
    </row>
    <row r="50" spans="2:4">
      <c r="B50">
        <v>310</v>
      </c>
      <c r="C50">
        <f t="shared" si="1"/>
        <v>1.1678082191780821</v>
      </c>
      <c r="D50">
        <f t="shared" si="2"/>
        <v>7.0776255707762558E-4</v>
      </c>
    </row>
    <row r="51" spans="2:4">
      <c r="B51">
        <v>320</v>
      </c>
      <c r="C51">
        <f t="shared" si="1"/>
        <v>1.2054794520547945</v>
      </c>
      <c r="D51">
        <f t="shared" si="2"/>
        <v>7.3059360730593609E-4</v>
      </c>
    </row>
    <row r="52" spans="2:4">
      <c r="B52">
        <v>330</v>
      </c>
      <c r="C52">
        <f t="shared" si="1"/>
        <v>1.2431506849315068</v>
      </c>
      <c r="D52">
        <f t="shared" si="2"/>
        <v>7.534246575342466E-4</v>
      </c>
    </row>
    <row r="53" spans="2:4">
      <c r="B53">
        <v>340</v>
      </c>
      <c r="C53">
        <f t="shared" si="1"/>
        <v>1.2808219178082192</v>
      </c>
      <c r="D53">
        <f t="shared" si="2"/>
        <v>7.7625570776255711E-4</v>
      </c>
    </row>
    <row r="54" spans="2:4">
      <c r="B54">
        <v>350</v>
      </c>
      <c r="C54">
        <f t="shared" si="1"/>
        <v>1.3184931506849316</v>
      </c>
      <c r="D54">
        <f t="shared" si="2"/>
        <v>7.9908675799086762E-4</v>
      </c>
    </row>
    <row r="55" spans="2:4">
      <c r="B55">
        <v>360</v>
      </c>
      <c r="C55">
        <f t="shared" si="1"/>
        <v>1.3561643835616437</v>
      </c>
      <c r="D55">
        <f t="shared" si="2"/>
        <v>8.2191780821917813E-4</v>
      </c>
    </row>
    <row r="56" spans="2:4">
      <c r="B56">
        <v>370</v>
      </c>
      <c r="C56">
        <f t="shared" si="1"/>
        <v>1.3938356164383561</v>
      </c>
      <c r="D56">
        <f t="shared" si="2"/>
        <v>8.4474885844748864E-4</v>
      </c>
    </row>
    <row r="57" spans="2:4">
      <c r="B57">
        <v>380</v>
      </c>
      <c r="C57">
        <f t="shared" si="1"/>
        <v>1.4315068493150684</v>
      </c>
      <c r="D57">
        <f t="shared" si="2"/>
        <v>8.6757990867579915E-4</v>
      </c>
    </row>
    <row r="58" spans="2:4">
      <c r="B58">
        <v>390</v>
      </c>
      <c r="C58">
        <f t="shared" si="1"/>
        <v>1.4691780821917808</v>
      </c>
      <c r="D58">
        <f t="shared" si="2"/>
        <v>8.9041095890410966E-4</v>
      </c>
    </row>
    <row r="59" spans="2:4">
      <c r="B59">
        <v>400</v>
      </c>
      <c r="C59">
        <f t="shared" si="1"/>
        <v>1.506849315068493</v>
      </c>
      <c r="D59">
        <f t="shared" si="2"/>
        <v>9.1324200913242017E-4</v>
      </c>
    </row>
    <row r="60" spans="2:4">
      <c r="B60">
        <v>410</v>
      </c>
      <c r="C60">
        <f t="shared" si="1"/>
        <v>1.5445205479452055</v>
      </c>
      <c r="D60">
        <f t="shared" si="2"/>
        <v>9.3607305936073057E-4</v>
      </c>
    </row>
    <row r="61" spans="2:4">
      <c r="B61">
        <v>420</v>
      </c>
      <c r="C61">
        <f t="shared" si="1"/>
        <v>1.5821917808219177</v>
      </c>
      <c r="D61">
        <f t="shared" si="2"/>
        <v>9.5890410958904108E-4</v>
      </c>
    </row>
    <row r="62" spans="2:4">
      <c r="B62">
        <v>430</v>
      </c>
      <c r="C62">
        <f t="shared" si="1"/>
        <v>1.6198630136986301</v>
      </c>
      <c r="D62">
        <f t="shared" si="2"/>
        <v>9.817351598173517E-4</v>
      </c>
    </row>
    <row r="63" spans="2:4">
      <c r="B63">
        <v>440</v>
      </c>
      <c r="C63">
        <f t="shared" si="1"/>
        <v>1.6575342465753424</v>
      </c>
      <c r="D63">
        <f t="shared" si="2"/>
        <v>1.0045662100456622E-3</v>
      </c>
    </row>
    <row r="64" spans="2:4">
      <c r="B64">
        <v>450</v>
      </c>
      <c r="C64">
        <f t="shared" si="1"/>
        <v>1.6952054794520546</v>
      </c>
      <c r="D64">
        <f t="shared" si="2"/>
        <v>1.0273972602739727E-3</v>
      </c>
    </row>
    <row r="65" spans="2:4">
      <c r="B65">
        <v>460</v>
      </c>
      <c r="C65">
        <f t="shared" si="1"/>
        <v>1.7328767123287672</v>
      </c>
      <c r="D65">
        <f t="shared" si="2"/>
        <v>1.0502283105022832E-3</v>
      </c>
    </row>
    <row r="66" spans="2:4">
      <c r="B66">
        <v>470</v>
      </c>
      <c r="C66">
        <f t="shared" si="1"/>
        <v>1.7705479452054793</v>
      </c>
      <c r="D66">
        <f t="shared" si="2"/>
        <v>1.0730593607305937E-3</v>
      </c>
    </row>
    <row r="67" spans="2:4">
      <c r="B67">
        <v>480</v>
      </c>
      <c r="C67">
        <f t="shared" si="1"/>
        <v>1.8082191780821919</v>
      </c>
      <c r="D67">
        <f t="shared" si="2"/>
        <v>1.095890410958904E-3</v>
      </c>
    </row>
    <row r="68" spans="2:4">
      <c r="B68">
        <v>490</v>
      </c>
      <c r="C68">
        <f t="shared" si="1"/>
        <v>1.845890410958904</v>
      </c>
      <c r="D68">
        <f t="shared" si="2"/>
        <v>1.1187214611872145E-3</v>
      </c>
    </row>
    <row r="69" spans="2:4">
      <c r="B69">
        <v>500</v>
      </c>
      <c r="C69">
        <f t="shared" si="1"/>
        <v>1.8835616438356162</v>
      </c>
      <c r="D69">
        <f t="shared" si="2"/>
        <v>1.1415525114155251E-3</v>
      </c>
    </row>
    <row r="70" spans="2:4">
      <c r="B70">
        <v>510</v>
      </c>
      <c r="C70">
        <f t="shared" si="1"/>
        <v>1.9212328767123288</v>
      </c>
      <c r="D70">
        <f t="shared" si="2"/>
        <v>1.1643835616438356E-3</v>
      </c>
    </row>
    <row r="71" spans="2:4">
      <c r="B71">
        <v>520</v>
      </c>
      <c r="C71">
        <f t="shared" si="1"/>
        <v>1.9589041095890409</v>
      </c>
      <c r="D71">
        <f t="shared" si="2"/>
        <v>1.1872146118721461E-3</v>
      </c>
    </row>
    <row r="72" spans="2:4">
      <c r="B72">
        <v>530</v>
      </c>
      <c r="C72">
        <f t="shared" si="1"/>
        <v>1.9965753424657533</v>
      </c>
      <c r="D72">
        <f t="shared" si="2"/>
        <v>1.2100456621004566E-3</v>
      </c>
    </row>
    <row r="73" spans="2:4">
      <c r="B73">
        <v>540</v>
      </c>
      <c r="C73">
        <f t="shared" si="1"/>
        <v>2.0342465753424657</v>
      </c>
      <c r="D73">
        <f t="shared" si="2"/>
        <v>1.2328767123287671E-3</v>
      </c>
    </row>
    <row r="74" spans="2:4">
      <c r="B74">
        <v>550</v>
      </c>
      <c r="C74">
        <f t="shared" si="1"/>
        <v>2.0719178082191783</v>
      </c>
      <c r="D74">
        <f t="shared" si="2"/>
        <v>1.2557077625570776E-3</v>
      </c>
    </row>
    <row r="75" spans="2:4">
      <c r="B75">
        <v>560</v>
      </c>
      <c r="C75">
        <f t="shared" si="1"/>
        <v>2.1095890410958904</v>
      </c>
      <c r="D75">
        <f t="shared" si="2"/>
        <v>1.2785388127853881E-3</v>
      </c>
    </row>
    <row r="76" spans="2:4">
      <c r="B76">
        <v>570</v>
      </c>
      <c r="C76">
        <f t="shared" si="1"/>
        <v>2.1472602739726026</v>
      </c>
      <c r="D76">
        <f t="shared" si="2"/>
        <v>1.3013698630136986E-3</v>
      </c>
    </row>
    <row r="77" spans="2:4">
      <c r="B77">
        <v>580</v>
      </c>
      <c r="C77">
        <f t="shared" si="1"/>
        <v>2.1849315068493147</v>
      </c>
      <c r="D77">
        <f t="shared" si="2"/>
        <v>1.3242009132420091E-3</v>
      </c>
    </row>
    <row r="78" spans="2:4">
      <c r="B78">
        <v>590</v>
      </c>
      <c r="C78">
        <f t="shared" si="1"/>
        <v>2.2226027397260273</v>
      </c>
      <c r="D78">
        <f t="shared" si="2"/>
        <v>1.3470319634703196E-3</v>
      </c>
    </row>
    <row r="79" spans="2:4">
      <c r="B79">
        <v>600</v>
      </c>
      <c r="C79">
        <f t="shared" si="1"/>
        <v>2.2602739726027399</v>
      </c>
      <c r="D79">
        <f t="shared" si="2"/>
        <v>1.3698630136986301E-3</v>
      </c>
    </row>
    <row r="80" spans="2:4">
      <c r="B80">
        <v>610</v>
      </c>
      <c r="C80">
        <f t="shared" si="1"/>
        <v>2.297945205479452</v>
      </c>
      <c r="D80">
        <f t="shared" si="2"/>
        <v>1.3926940639269407E-3</v>
      </c>
    </row>
    <row r="81" spans="2:4">
      <c r="B81">
        <v>620</v>
      </c>
      <c r="C81">
        <f t="shared" si="1"/>
        <v>2.3356164383561642</v>
      </c>
      <c r="D81">
        <f t="shared" si="2"/>
        <v>1.4155251141552512E-3</v>
      </c>
    </row>
    <row r="82" spans="2:4">
      <c r="B82">
        <v>630</v>
      </c>
      <c r="C82">
        <f t="shared" si="1"/>
        <v>2.3732876712328768</v>
      </c>
      <c r="D82">
        <f t="shared" si="2"/>
        <v>1.4383561643835617E-3</v>
      </c>
    </row>
    <row r="83" spans="2:4">
      <c r="B83">
        <v>640</v>
      </c>
      <c r="C83">
        <f t="shared" si="1"/>
        <v>2.4109589041095889</v>
      </c>
      <c r="D83">
        <f t="shared" si="2"/>
        <v>1.4611872146118722E-3</v>
      </c>
    </row>
    <row r="84" spans="2:4">
      <c r="B84">
        <v>650</v>
      </c>
      <c r="C84">
        <f t="shared" si="1"/>
        <v>2.4486301369863015</v>
      </c>
      <c r="D84">
        <f t="shared" si="2"/>
        <v>1.4840182648401827E-3</v>
      </c>
    </row>
    <row r="85" spans="2:4">
      <c r="B85">
        <v>660</v>
      </c>
      <c r="C85">
        <f t="shared" ref="C85:C119" si="3">$F$9*B85*1000</f>
        <v>2.4863013698630136</v>
      </c>
      <c r="D85">
        <f t="shared" ref="D85:D119" si="4">B85*$F$11</f>
        <v>1.5068493150684932E-3</v>
      </c>
    </row>
    <row r="86" spans="2:4">
      <c r="B86">
        <v>670</v>
      </c>
      <c r="C86">
        <f t="shared" si="3"/>
        <v>2.5239726027397258</v>
      </c>
      <c r="D86">
        <f t="shared" si="4"/>
        <v>1.5296803652968037E-3</v>
      </c>
    </row>
    <row r="87" spans="2:4">
      <c r="B87">
        <v>680</v>
      </c>
      <c r="C87">
        <f t="shared" si="3"/>
        <v>2.5616438356164384</v>
      </c>
      <c r="D87">
        <f t="shared" si="4"/>
        <v>1.5525114155251142E-3</v>
      </c>
    </row>
    <row r="88" spans="2:4">
      <c r="B88">
        <v>690</v>
      </c>
      <c r="C88">
        <f t="shared" si="3"/>
        <v>2.5993150684931505</v>
      </c>
      <c r="D88">
        <f t="shared" si="4"/>
        <v>1.5753424657534247E-3</v>
      </c>
    </row>
    <row r="89" spans="2:4">
      <c r="B89">
        <v>700</v>
      </c>
      <c r="C89">
        <f t="shared" si="3"/>
        <v>2.6369863013698631</v>
      </c>
      <c r="D89">
        <f t="shared" si="4"/>
        <v>1.5981735159817352E-3</v>
      </c>
    </row>
    <row r="90" spans="2:4">
      <c r="B90">
        <v>710</v>
      </c>
      <c r="C90">
        <f t="shared" si="3"/>
        <v>2.6746575342465753</v>
      </c>
      <c r="D90">
        <f t="shared" si="4"/>
        <v>1.6210045662100458E-3</v>
      </c>
    </row>
    <row r="91" spans="2:4">
      <c r="B91">
        <v>720</v>
      </c>
      <c r="C91">
        <f t="shared" si="3"/>
        <v>2.7123287671232874</v>
      </c>
      <c r="D91">
        <f t="shared" si="4"/>
        <v>1.6438356164383563E-3</v>
      </c>
    </row>
    <row r="92" spans="2:4">
      <c r="B92">
        <v>730</v>
      </c>
      <c r="C92">
        <f t="shared" si="3"/>
        <v>2.75</v>
      </c>
      <c r="D92">
        <f t="shared" si="4"/>
        <v>1.6666666666666668E-3</v>
      </c>
    </row>
    <row r="93" spans="2:4">
      <c r="B93">
        <v>740</v>
      </c>
      <c r="C93">
        <f t="shared" si="3"/>
        <v>2.7876712328767121</v>
      </c>
      <c r="D93">
        <f t="shared" si="4"/>
        <v>1.6894977168949773E-3</v>
      </c>
    </row>
    <row r="94" spans="2:4">
      <c r="B94">
        <v>750</v>
      </c>
      <c r="C94">
        <f t="shared" si="3"/>
        <v>2.8253424657534247</v>
      </c>
      <c r="D94">
        <f t="shared" si="4"/>
        <v>1.7123287671232878E-3</v>
      </c>
    </row>
    <row r="95" spans="2:4">
      <c r="B95">
        <v>760</v>
      </c>
      <c r="C95">
        <f t="shared" si="3"/>
        <v>2.8630136986301369</v>
      </c>
      <c r="D95">
        <f t="shared" si="4"/>
        <v>1.7351598173515983E-3</v>
      </c>
    </row>
    <row r="96" spans="2:4">
      <c r="B96">
        <v>770</v>
      </c>
      <c r="C96">
        <f t="shared" si="3"/>
        <v>2.900684931506849</v>
      </c>
      <c r="D96">
        <f t="shared" si="4"/>
        <v>1.7579908675799088E-3</v>
      </c>
    </row>
    <row r="97" spans="2:4">
      <c r="B97">
        <v>780</v>
      </c>
      <c r="C97">
        <f t="shared" si="3"/>
        <v>2.9383561643835616</v>
      </c>
      <c r="D97">
        <f t="shared" si="4"/>
        <v>1.7808219178082193E-3</v>
      </c>
    </row>
    <row r="98" spans="2:4">
      <c r="B98">
        <v>790</v>
      </c>
      <c r="C98">
        <f t="shared" si="3"/>
        <v>2.9760273972602738</v>
      </c>
      <c r="D98">
        <f t="shared" si="4"/>
        <v>1.8036529680365298E-3</v>
      </c>
    </row>
    <row r="99" spans="2:4">
      <c r="B99">
        <v>800</v>
      </c>
      <c r="C99">
        <f t="shared" si="3"/>
        <v>3.0136986301369859</v>
      </c>
      <c r="D99">
        <f t="shared" si="4"/>
        <v>1.8264840182648403E-3</v>
      </c>
    </row>
    <row r="100" spans="2:4">
      <c r="B100">
        <v>810</v>
      </c>
      <c r="C100">
        <f t="shared" si="3"/>
        <v>3.0513698630136985</v>
      </c>
      <c r="D100">
        <f t="shared" si="4"/>
        <v>1.8493150684931506E-3</v>
      </c>
    </row>
    <row r="101" spans="2:4">
      <c r="B101">
        <v>820</v>
      </c>
      <c r="C101">
        <f t="shared" si="3"/>
        <v>3.0890410958904111</v>
      </c>
      <c r="D101">
        <f t="shared" si="4"/>
        <v>1.8721461187214611E-3</v>
      </c>
    </row>
    <row r="102" spans="2:4">
      <c r="B102">
        <v>830</v>
      </c>
      <c r="C102">
        <f t="shared" si="3"/>
        <v>3.1267123287671232</v>
      </c>
      <c r="D102">
        <f t="shared" si="4"/>
        <v>1.8949771689497717E-3</v>
      </c>
    </row>
    <row r="103" spans="2:4">
      <c r="B103">
        <v>840</v>
      </c>
      <c r="C103">
        <f t="shared" si="3"/>
        <v>3.1643835616438354</v>
      </c>
      <c r="D103">
        <f t="shared" si="4"/>
        <v>1.9178082191780822E-3</v>
      </c>
    </row>
    <row r="104" spans="2:4">
      <c r="B104">
        <v>850</v>
      </c>
      <c r="C104">
        <f t="shared" si="3"/>
        <v>3.2020547945205475</v>
      </c>
      <c r="D104">
        <f t="shared" si="4"/>
        <v>1.9406392694063927E-3</v>
      </c>
    </row>
    <row r="105" spans="2:4">
      <c r="B105">
        <v>860</v>
      </c>
      <c r="C105">
        <f t="shared" si="3"/>
        <v>3.2397260273972601</v>
      </c>
      <c r="D105">
        <f t="shared" si="4"/>
        <v>1.9634703196347034E-3</v>
      </c>
    </row>
    <row r="106" spans="2:4">
      <c r="B106">
        <v>870</v>
      </c>
      <c r="C106">
        <f t="shared" si="3"/>
        <v>3.2773972602739727</v>
      </c>
      <c r="D106">
        <f t="shared" si="4"/>
        <v>1.9863013698630137E-3</v>
      </c>
    </row>
    <row r="107" spans="2:4">
      <c r="B107">
        <v>880</v>
      </c>
      <c r="C107">
        <f t="shared" si="3"/>
        <v>3.3150684931506849</v>
      </c>
      <c r="D107">
        <f t="shared" si="4"/>
        <v>2.0091324200913244E-3</v>
      </c>
    </row>
    <row r="108" spans="2:4">
      <c r="B108">
        <v>890</v>
      </c>
      <c r="C108">
        <f t="shared" si="3"/>
        <v>3.352739726027397</v>
      </c>
      <c r="D108">
        <f t="shared" si="4"/>
        <v>2.0319634703196347E-3</v>
      </c>
    </row>
    <row r="109" spans="2:4">
      <c r="B109">
        <v>900</v>
      </c>
      <c r="C109">
        <f t="shared" si="3"/>
        <v>3.3904109589041092</v>
      </c>
      <c r="D109">
        <f t="shared" si="4"/>
        <v>2.0547945205479454E-3</v>
      </c>
    </row>
    <row r="110" spans="2:4">
      <c r="B110">
        <v>910</v>
      </c>
      <c r="C110">
        <f t="shared" si="3"/>
        <v>3.4280821917808217</v>
      </c>
      <c r="D110">
        <f t="shared" si="4"/>
        <v>2.0776255707762557E-3</v>
      </c>
    </row>
    <row r="111" spans="2:4">
      <c r="B111">
        <v>920</v>
      </c>
      <c r="C111">
        <f t="shared" si="3"/>
        <v>3.4657534246575343</v>
      </c>
      <c r="D111">
        <f t="shared" si="4"/>
        <v>2.1004566210045665E-3</v>
      </c>
    </row>
    <row r="112" spans="2:4">
      <c r="B112">
        <v>930</v>
      </c>
      <c r="C112">
        <f t="shared" si="3"/>
        <v>3.5034246575342465</v>
      </c>
      <c r="D112">
        <f t="shared" si="4"/>
        <v>2.1232876712328768E-3</v>
      </c>
    </row>
    <row r="113" spans="2:4">
      <c r="B113">
        <v>940</v>
      </c>
      <c r="C113">
        <f t="shared" si="3"/>
        <v>3.5410958904109586</v>
      </c>
      <c r="D113">
        <f t="shared" si="4"/>
        <v>2.1461187214611875E-3</v>
      </c>
    </row>
    <row r="114" spans="2:4">
      <c r="B114">
        <v>950</v>
      </c>
      <c r="C114">
        <f t="shared" si="3"/>
        <v>3.5787671232876708</v>
      </c>
      <c r="D114">
        <f t="shared" si="4"/>
        <v>2.1689497716894978E-3</v>
      </c>
    </row>
    <row r="115" spans="2:4">
      <c r="B115">
        <v>960</v>
      </c>
      <c r="C115">
        <f t="shared" si="3"/>
        <v>3.6164383561643838</v>
      </c>
      <c r="D115">
        <f t="shared" si="4"/>
        <v>2.1917808219178081E-3</v>
      </c>
    </row>
    <row r="116" spans="2:4">
      <c r="B116">
        <v>970</v>
      </c>
      <c r="C116">
        <f t="shared" si="3"/>
        <v>3.654109589041096</v>
      </c>
      <c r="D116">
        <f t="shared" si="4"/>
        <v>2.2146118721461188E-3</v>
      </c>
    </row>
    <row r="117" spans="2:4">
      <c r="B117">
        <v>980</v>
      </c>
      <c r="C117">
        <f t="shared" si="3"/>
        <v>3.6917808219178081</v>
      </c>
      <c r="D117">
        <f t="shared" si="4"/>
        <v>2.2374429223744291E-3</v>
      </c>
    </row>
    <row r="118" spans="2:4">
      <c r="B118">
        <v>990</v>
      </c>
      <c r="C118">
        <f t="shared" si="3"/>
        <v>3.7294520547945202</v>
      </c>
      <c r="D118">
        <f t="shared" si="4"/>
        <v>2.2602739726027398E-3</v>
      </c>
    </row>
    <row r="119" spans="2:4">
      <c r="B119">
        <v>1000</v>
      </c>
      <c r="C119">
        <f t="shared" si="3"/>
        <v>3.7671232876712324</v>
      </c>
      <c r="D119">
        <f t="shared" si="4"/>
        <v>2.2831050228310501E-3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27C15-BFFE-4A93-BEC3-DE29C5B3EFBF}">
  <dimension ref="C3:AF19"/>
  <sheetViews>
    <sheetView zoomScale="64" workbookViewId="0">
      <selection activeCell="T8" sqref="T8:T17"/>
    </sheetView>
  </sheetViews>
  <sheetFormatPr defaultRowHeight="14.4"/>
  <cols>
    <col min="9" max="11" width="9.33203125" bestFit="1" customWidth="1"/>
    <col min="12" max="12" width="12" bestFit="1" customWidth="1"/>
    <col min="14" max="16" width="9.33203125" bestFit="1" customWidth="1"/>
    <col min="17" max="17" width="12.109375" bestFit="1" customWidth="1"/>
    <col min="18" max="18" width="12" bestFit="1" customWidth="1"/>
    <col min="20" max="20" width="9.33203125" bestFit="1" customWidth="1"/>
    <col min="26" max="26" width="17.44140625" customWidth="1"/>
    <col min="27" max="27" width="15.44140625"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15" thickBot="1">
      <c r="C10" s="131" t="s">
        <v>256</v>
      </c>
      <c r="D10" s="131"/>
      <c r="E10" s="131"/>
      <c r="F10" s="131"/>
      <c r="G10" s="131"/>
      <c r="H10" s="131"/>
      <c r="I10" s="131"/>
      <c r="J10" s="131"/>
      <c r="K10" s="131" t="s">
        <v>257</v>
      </c>
      <c r="L10" s="131" t="s">
        <v>326</v>
      </c>
      <c r="M10" s="131" t="s">
        <v>258</v>
      </c>
      <c r="N10" s="131" t="s">
        <v>259</v>
      </c>
      <c r="O10" s="134" t="s">
        <v>260</v>
      </c>
      <c r="P10" s="131" t="s">
        <v>261</v>
      </c>
      <c r="Q10" s="134" t="s">
        <v>327</v>
      </c>
      <c r="R10" s="134" t="s">
        <v>327</v>
      </c>
      <c r="S10" s="131" t="s">
        <v>262</v>
      </c>
      <c r="T10" s="134" t="s">
        <v>260</v>
      </c>
    </row>
    <row r="11" spans="3:32">
      <c r="C11" t="s">
        <v>319</v>
      </c>
      <c r="D11" t="s">
        <v>321</v>
      </c>
      <c r="F11" t="s">
        <v>317</v>
      </c>
      <c r="G11" t="s">
        <v>324</v>
      </c>
      <c r="I11">
        <v>2020</v>
      </c>
      <c r="J11">
        <v>2030</v>
      </c>
      <c r="K11">
        <v>0.995</v>
      </c>
      <c r="N11">
        <v>0.95</v>
      </c>
      <c r="O11" s="138">
        <v>50</v>
      </c>
      <c r="P11" s="140">
        <v>1</v>
      </c>
      <c r="Q11">
        <f>'CO2'!$C$39</f>
        <v>0.75342465753424648</v>
      </c>
      <c r="R11">
        <f>'CO2'!D39</f>
        <v>4.5662100456621009E-4</v>
      </c>
      <c r="T11" s="137">
        <v>1</v>
      </c>
      <c r="Y11" s="128" t="s">
        <v>263</v>
      </c>
      <c r="Z11" s="129"/>
      <c r="AA11" s="129"/>
      <c r="AB11" s="129"/>
      <c r="AC11" s="129"/>
      <c r="AD11" s="129"/>
      <c r="AE11" s="129"/>
      <c r="AF11" s="129"/>
    </row>
    <row r="12" spans="3:32">
      <c r="I12" s="133">
        <v>2030</v>
      </c>
      <c r="J12" s="133"/>
      <c r="K12">
        <v>0.995</v>
      </c>
      <c r="N12">
        <v>0.95</v>
      </c>
      <c r="O12" s="138">
        <v>50</v>
      </c>
      <c r="P12" s="140">
        <v>1</v>
      </c>
      <c r="Q12">
        <f>'CO2'!$C$39</f>
        <v>0.75342465753424648</v>
      </c>
      <c r="R12">
        <f>'CO2'!D39</f>
        <v>4.5662100456621009E-4</v>
      </c>
      <c r="T12" s="137">
        <v>1</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1</v>
      </c>
      <c r="Q13">
        <f>'CO2'!$C$39</f>
        <v>0.75342465753424648</v>
      </c>
      <c r="R13">
        <f>'CO2'!D39</f>
        <v>4.5662100456621009E-4</v>
      </c>
      <c r="T13" s="137">
        <v>1</v>
      </c>
      <c r="Y13" s="131" t="s">
        <v>270</v>
      </c>
      <c r="Z13" s="131" t="s">
        <v>271</v>
      </c>
      <c r="AA13" s="131" t="s">
        <v>241</v>
      </c>
      <c r="AB13" s="131" t="s">
        <v>272</v>
      </c>
      <c r="AC13" s="131" t="s">
        <v>273</v>
      </c>
      <c r="AD13" s="131" t="s">
        <v>274</v>
      </c>
      <c r="AE13" s="131" t="s">
        <v>275</v>
      </c>
      <c r="AF13" s="131" t="s">
        <v>276</v>
      </c>
    </row>
    <row r="14" spans="3:32" ht="15" thickBot="1">
      <c r="C14" s="141" t="s">
        <v>320</v>
      </c>
      <c r="D14" s="141" t="s">
        <v>322</v>
      </c>
      <c r="E14" s="141"/>
      <c r="F14" s="141" t="s">
        <v>317</v>
      </c>
      <c r="G14" s="141" t="s">
        <v>324</v>
      </c>
      <c r="H14" s="141"/>
      <c r="I14" s="141">
        <v>2020</v>
      </c>
      <c r="J14" s="141">
        <v>2030</v>
      </c>
      <c r="K14" s="141">
        <v>1</v>
      </c>
      <c r="L14" s="141"/>
      <c r="M14" s="141"/>
      <c r="N14" s="141">
        <v>0.95</v>
      </c>
      <c r="O14" s="142">
        <v>40</v>
      </c>
      <c r="P14" s="141">
        <v>1</v>
      </c>
      <c r="Q14" s="141">
        <f>'CO2'!M14/1000</f>
        <v>5.9272</v>
      </c>
      <c r="R14" s="141">
        <f>'CO2'!M16/1000</f>
        <v>0.28332015999999999</v>
      </c>
      <c r="S14" s="141"/>
      <c r="T14" s="143"/>
      <c r="Y14" s="131" t="s">
        <v>277</v>
      </c>
      <c r="Z14" s="131"/>
      <c r="AA14" s="131"/>
      <c r="AB14" s="131"/>
      <c r="AC14" s="131"/>
      <c r="AD14" s="131"/>
      <c r="AE14" s="131"/>
      <c r="AF14" s="131"/>
    </row>
    <row r="15" spans="3:32">
      <c r="E15" t="s">
        <v>325</v>
      </c>
      <c r="I15">
        <v>2020</v>
      </c>
      <c r="J15" s="133"/>
      <c r="L15">
        <f>'CO2'!S19/10</f>
        <v>9.2571428571428561E-6</v>
      </c>
      <c r="T15" s="137"/>
      <c r="Y15" t="s">
        <v>278</v>
      </c>
      <c r="Z15" t="s">
        <v>319</v>
      </c>
      <c r="AA15" t="s">
        <v>321</v>
      </c>
      <c r="AB15" s="139" t="s">
        <v>318</v>
      </c>
      <c r="AC15" s="139" t="s">
        <v>323</v>
      </c>
      <c r="AD15" s="133" t="s">
        <v>219</v>
      </c>
      <c r="AE15" t="s">
        <v>317</v>
      </c>
      <c r="AF15" s="139" t="s">
        <v>279</v>
      </c>
    </row>
    <row r="16" spans="3:32">
      <c r="F16" t="s">
        <v>317</v>
      </c>
      <c r="G16" t="s">
        <v>324</v>
      </c>
      <c r="I16" s="133">
        <v>2030</v>
      </c>
      <c r="K16">
        <v>1</v>
      </c>
      <c r="N16">
        <v>0.95</v>
      </c>
      <c r="O16" s="138">
        <v>40</v>
      </c>
      <c r="P16" s="140">
        <v>1</v>
      </c>
      <c r="Q16" s="141">
        <f>'CO2'!M14/1000</f>
        <v>5.9272</v>
      </c>
      <c r="R16">
        <f>'CO2'!M16/1000</f>
        <v>0.28332015999999999</v>
      </c>
      <c r="T16" s="137"/>
      <c r="Y16" t="s">
        <v>278</v>
      </c>
      <c r="Z16" t="s">
        <v>320</v>
      </c>
      <c r="AA16" t="s">
        <v>322</v>
      </c>
      <c r="AB16" t="s">
        <v>318</v>
      </c>
      <c r="AC16" t="s">
        <v>323</v>
      </c>
      <c r="AD16" s="133" t="s">
        <v>219</v>
      </c>
      <c r="AE16" t="s">
        <v>317</v>
      </c>
      <c r="AF16" t="s">
        <v>279</v>
      </c>
    </row>
    <row r="17" spans="5:18">
      <c r="E17" t="s">
        <v>325</v>
      </c>
      <c r="I17" s="133">
        <v>2030</v>
      </c>
      <c r="L17">
        <f>'CO2'!S19/10</f>
        <v>9.2571428571428561E-6</v>
      </c>
    </row>
    <row r="18" spans="5:18">
      <c r="F18" t="s">
        <v>317</v>
      </c>
      <c r="G18" t="s">
        <v>324</v>
      </c>
      <c r="I18">
        <v>2050</v>
      </c>
      <c r="K18">
        <v>1</v>
      </c>
      <c r="N18">
        <v>0.95</v>
      </c>
      <c r="O18" s="138">
        <v>40</v>
      </c>
      <c r="P18" s="140">
        <v>1</v>
      </c>
      <c r="Q18">
        <f>'CO2'!N14/1000</f>
        <v>4.78</v>
      </c>
      <c r="R18">
        <f>'CO2'!N16/1000</f>
        <v>0.22848399999999999</v>
      </c>
    </row>
    <row r="19" spans="5:18">
      <c r="E19" t="s">
        <v>325</v>
      </c>
      <c r="I19">
        <v>2050</v>
      </c>
      <c r="L19">
        <f>'CO2'!T19/10</f>
        <v>7.714285714285714E-6</v>
      </c>
    </row>
  </sheetData>
  <phoneticPr fontId="2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T125"/>
  <sheetViews>
    <sheetView zoomScale="64" workbookViewId="0">
      <selection activeCell="I20" sqref="I20"/>
    </sheetView>
  </sheetViews>
  <sheetFormatPr defaultRowHeight="14.4"/>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 min="20" max="20" width="12.6640625" bestFit="1" customWidth="1"/>
  </cols>
  <sheetData>
    <row r="2" spans="2:20" ht="18">
      <c r="B2" t="s">
        <v>215</v>
      </c>
      <c r="H2" s="65" t="s">
        <v>155</v>
      </c>
    </row>
    <row r="3" spans="2:20">
      <c r="H3" t="s">
        <v>218</v>
      </c>
      <c r="O3" t="s">
        <v>0</v>
      </c>
    </row>
    <row r="5" spans="2:20">
      <c r="H5" s="47" t="s">
        <v>25</v>
      </c>
      <c r="I5" s="52">
        <v>20</v>
      </c>
    </row>
    <row r="6" spans="2:20">
      <c r="O6" t="s">
        <v>216</v>
      </c>
    </row>
    <row r="7" spans="2:20">
      <c r="O7">
        <v>6.1109999999999998</v>
      </c>
      <c r="P7" t="s">
        <v>157</v>
      </c>
    </row>
    <row r="8" spans="2:20">
      <c r="O8">
        <v>6.11</v>
      </c>
      <c r="P8" t="s">
        <v>158</v>
      </c>
    </row>
    <row r="9" spans="2:20">
      <c r="I9" t="s">
        <v>200</v>
      </c>
      <c r="J9">
        <v>2050</v>
      </c>
      <c r="O9">
        <v>6.11</v>
      </c>
      <c r="P9" t="s">
        <v>159</v>
      </c>
      <c r="Q9">
        <f>O9/1000</f>
        <v>6.11E-3</v>
      </c>
      <c r="R9" t="s">
        <v>208</v>
      </c>
    </row>
    <row r="10" spans="2:20">
      <c r="H10" s="27" t="s">
        <v>126</v>
      </c>
      <c r="I10" s="52">
        <v>2205</v>
      </c>
      <c r="J10" s="52">
        <v>1715</v>
      </c>
      <c r="O10">
        <f>O8/1000</f>
        <v>6.11E-3</v>
      </c>
      <c r="P10" t="s">
        <v>160</v>
      </c>
    </row>
    <row r="11" spans="2:20">
      <c r="H11" t="s">
        <v>313</v>
      </c>
      <c r="I11">
        <f>I10/1000000</f>
        <v>2.2049999999999999E-3</v>
      </c>
      <c r="J11">
        <f>J10/1000000</f>
        <v>1.7149999999999999E-3</v>
      </c>
      <c r="T11">
        <f>O8*O15</f>
        <v>2.1996000000000001E-5</v>
      </c>
    </row>
    <row r="12" spans="2:20">
      <c r="H12" s="62" t="s">
        <v>131</v>
      </c>
      <c r="I12" s="52">
        <v>780.22546079682832</v>
      </c>
    </row>
    <row r="13" spans="2:20">
      <c r="H13" s="62" t="s">
        <v>134</v>
      </c>
      <c r="I13" s="52">
        <v>4.2534908720000004</v>
      </c>
    </row>
    <row r="14" spans="2:20">
      <c r="H14" s="62" t="s">
        <v>137</v>
      </c>
      <c r="I14" s="52">
        <v>1.4887218052</v>
      </c>
      <c r="O14" t="s">
        <v>161</v>
      </c>
      <c r="R14" t="s">
        <v>297</v>
      </c>
    </row>
    <row r="15" spans="2:20">
      <c r="O15">
        <v>3.5999999999999998E-6</v>
      </c>
      <c r="R15">
        <v>45000</v>
      </c>
      <c r="S15" t="s">
        <v>298</v>
      </c>
    </row>
    <row r="17" spans="8:19">
      <c r="H17" s="27"/>
    </row>
    <row r="18" spans="8:19">
      <c r="H18" s="62" t="s">
        <v>335</v>
      </c>
      <c r="I18" s="63">
        <f>I12/(O8*O15*1000000)</f>
        <v>35.471242989490278</v>
      </c>
      <c r="R18">
        <f>R15*O8*O15</f>
        <v>0.98981999999999992</v>
      </c>
      <c r="S18" t="s">
        <v>221</v>
      </c>
    </row>
    <row r="19" spans="8:19">
      <c r="H19" s="62" t="s">
        <v>336</v>
      </c>
      <c r="I19" s="63">
        <f>I13/($O$8*1000000*O15)</f>
        <v>0.19337565339152576</v>
      </c>
    </row>
    <row r="20" spans="8:19">
      <c r="H20" s="62" t="s">
        <v>337</v>
      </c>
      <c r="I20" s="63">
        <f>I14/($O$8*1000000*O15)</f>
        <v>6.7681478687034002E-2</v>
      </c>
    </row>
    <row r="25" spans="8:19">
      <c r="H25" t="s">
        <v>153</v>
      </c>
      <c r="K25" t="s">
        <v>300</v>
      </c>
      <c r="L25" t="s">
        <v>301</v>
      </c>
    </row>
    <row r="26" spans="8:19">
      <c r="H26">
        <v>10</v>
      </c>
      <c r="I26">
        <f>$I$11*H26</f>
        <v>2.205E-2</v>
      </c>
      <c r="J26">
        <f>$J$11*H26</f>
        <v>1.7149999999999999E-2</v>
      </c>
      <c r="K26" s="144">
        <f>1-(I26/$R$18)</f>
        <v>0.9777232224040735</v>
      </c>
      <c r="L26" s="144">
        <f>1-(J26/$R$18)</f>
        <v>0.9826736174253905</v>
      </c>
    </row>
    <row r="27" spans="8:19">
      <c r="H27">
        <v>20</v>
      </c>
      <c r="I27">
        <f t="shared" ref="I27:I90" si="0">$I$11*H27</f>
        <v>4.41E-2</v>
      </c>
      <c r="J27">
        <f>$J$11*H27</f>
        <v>3.4299999999999997E-2</v>
      </c>
      <c r="K27" s="144">
        <f>1-(I27/$R$18)</f>
        <v>0.95544644480814689</v>
      </c>
      <c r="L27" s="144">
        <f t="shared" ref="L27:L90" si="1">1-(J27/$R$18)</f>
        <v>0.965347234850781</v>
      </c>
    </row>
    <row r="28" spans="8:19">
      <c r="H28">
        <v>30</v>
      </c>
      <c r="I28">
        <f t="shared" si="0"/>
        <v>6.615E-2</v>
      </c>
      <c r="J28">
        <f t="shared" ref="J28:J91" si="2">$J$11*H28</f>
        <v>5.1449999999999996E-2</v>
      </c>
      <c r="K28" s="144">
        <f>1-(I28/$R$18)</f>
        <v>0.93316966721222039</v>
      </c>
      <c r="L28" s="144">
        <f t="shared" si="1"/>
        <v>0.94802085227617139</v>
      </c>
    </row>
    <row r="29" spans="8:19">
      <c r="H29">
        <v>40</v>
      </c>
      <c r="I29">
        <f t="shared" si="0"/>
        <v>8.8200000000000001E-2</v>
      </c>
      <c r="J29">
        <f t="shared" si="2"/>
        <v>6.8599999999999994E-2</v>
      </c>
      <c r="K29" s="144">
        <f t="shared" ref="K29:K90" si="3">1-(I29/$R$18)</f>
        <v>0.91089288961629389</v>
      </c>
      <c r="L29" s="144">
        <f t="shared" si="1"/>
        <v>0.93069446970156189</v>
      </c>
    </row>
    <row r="30" spans="8:19">
      <c r="H30">
        <v>50</v>
      </c>
      <c r="I30">
        <f t="shared" si="0"/>
        <v>0.11025</v>
      </c>
      <c r="J30">
        <f t="shared" si="2"/>
        <v>8.5749999999999993E-2</v>
      </c>
      <c r="K30" s="144">
        <f t="shared" si="3"/>
        <v>0.88861611202036728</v>
      </c>
      <c r="L30" s="144">
        <f t="shared" si="1"/>
        <v>0.91336808712695239</v>
      </c>
    </row>
    <row r="31" spans="8:19">
      <c r="H31">
        <v>60</v>
      </c>
      <c r="I31">
        <f>$I$11*H31</f>
        <v>0.1323</v>
      </c>
      <c r="J31">
        <f t="shared" si="2"/>
        <v>0.10289999999999999</v>
      </c>
      <c r="K31" s="144">
        <f t="shared" si="3"/>
        <v>0.86633933442444078</v>
      </c>
      <c r="L31" s="144">
        <f t="shared" si="1"/>
        <v>0.89604170455234289</v>
      </c>
    </row>
    <row r="32" spans="8:19">
      <c r="H32">
        <v>70</v>
      </c>
      <c r="I32">
        <f t="shared" si="0"/>
        <v>0.15434999999999999</v>
      </c>
      <c r="J32">
        <f t="shared" si="2"/>
        <v>0.12004999999999999</v>
      </c>
      <c r="K32" s="144">
        <f t="shared" si="3"/>
        <v>0.84406255682851428</v>
      </c>
      <c r="L32" s="144">
        <f t="shared" si="1"/>
        <v>0.87871532197773328</v>
      </c>
    </row>
    <row r="33" spans="8:12">
      <c r="H33">
        <v>80</v>
      </c>
      <c r="I33">
        <f t="shared" si="0"/>
        <v>0.1764</v>
      </c>
      <c r="J33">
        <f t="shared" si="2"/>
        <v>0.13719999999999999</v>
      </c>
      <c r="K33" s="144">
        <f t="shared" si="3"/>
        <v>0.82178577923258778</v>
      </c>
      <c r="L33" s="144">
        <f t="shared" si="1"/>
        <v>0.86138893940312378</v>
      </c>
    </row>
    <row r="34" spans="8:12">
      <c r="H34">
        <v>90</v>
      </c>
      <c r="I34">
        <f t="shared" si="0"/>
        <v>0.19844999999999999</v>
      </c>
      <c r="J34">
        <f t="shared" si="2"/>
        <v>0.15434999999999999</v>
      </c>
      <c r="K34" s="144">
        <f t="shared" si="3"/>
        <v>0.79950900163666128</v>
      </c>
      <c r="L34" s="144">
        <f t="shared" si="1"/>
        <v>0.84406255682851428</v>
      </c>
    </row>
    <row r="35" spans="8:12">
      <c r="H35">
        <v>100</v>
      </c>
      <c r="I35">
        <f t="shared" si="0"/>
        <v>0.2205</v>
      </c>
      <c r="J35">
        <f t="shared" si="2"/>
        <v>0.17149999999999999</v>
      </c>
      <c r="K35" s="144">
        <f t="shared" si="3"/>
        <v>0.77723222404073466</v>
      </c>
      <c r="L35" s="144">
        <f t="shared" si="1"/>
        <v>0.82673617425390478</v>
      </c>
    </row>
    <row r="36" spans="8:12">
      <c r="H36">
        <v>110</v>
      </c>
      <c r="I36">
        <f t="shared" si="0"/>
        <v>0.24254999999999999</v>
      </c>
      <c r="J36">
        <f t="shared" si="2"/>
        <v>0.18864999999999998</v>
      </c>
      <c r="K36" s="144">
        <f t="shared" si="3"/>
        <v>0.75495544644480816</v>
      </c>
      <c r="L36" s="144">
        <f t="shared" si="1"/>
        <v>0.80940979167929528</v>
      </c>
    </row>
    <row r="37" spans="8:12">
      <c r="H37">
        <v>120</v>
      </c>
      <c r="I37">
        <f t="shared" si="0"/>
        <v>0.2646</v>
      </c>
      <c r="J37">
        <f t="shared" si="2"/>
        <v>0.20579999999999998</v>
      </c>
      <c r="K37" s="144">
        <f t="shared" si="3"/>
        <v>0.73267866884888155</v>
      </c>
      <c r="L37" s="144">
        <f t="shared" si="1"/>
        <v>0.79208340910468567</v>
      </c>
    </row>
    <row r="38" spans="8:12">
      <c r="H38">
        <v>130</v>
      </c>
      <c r="I38">
        <f t="shared" si="0"/>
        <v>0.28665000000000002</v>
      </c>
      <c r="J38">
        <f t="shared" si="2"/>
        <v>0.22294999999999998</v>
      </c>
      <c r="K38" s="144">
        <f t="shared" si="3"/>
        <v>0.71040189125295505</v>
      </c>
      <c r="L38" s="144">
        <f t="shared" si="1"/>
        <v>0.77475702653007616</v>
      </c>
    </row>
    <row r="39" spans="8:12">
      <c r="H39">
        <v>140</v>
      </c>
      <c r="I39">
        <f t="shared" si="0"/>
        <v>0.30869999999999997</v>
      </c>
      <c r="J39">
        <f t="shared" si="2"/>
        <v>0.24009999999999998</v>
      </c>
      <c r="K39" s="144">
        <f t="shared" si="3"/>
        <v>0.68812511365702855</v>
      </c>
      <c r="L39" s="144">
        <f t="shared" si="1"/>
        <v>0.75743064395546666</v>
      </c>
    </row>
    <row r="40" spans="8:12">
      <c r="H40">
        <v>150</v>
      </c>
      <c r="I40">
        <f t="shared" si="0"/>
        <v>0.33074999999999999</v>
      </c>
      <c r="J40">
        <f t="shared" si="2"/>
        <v>0.25724999999999998</v>
      </c>
      <c r="K40" s="144">
        <f t="shared" si="3"/>
        <v>0.66584833606110205</v>
      </c>
      <c r="L40" s="144">
        <f t="shared" si="1"/>
        <v>0.74010426138085705</v>
      </c>
    </row>
    <row r="41" spans="8:12">
      <c r="H41">
        <v>160</v>
      </c>
      <c r="I41">
        <f t="shared" si="0"/>
        <v>0.3528</v>
      </c>
      <c r="J41">
        <f t="shared" si="2"/>
        <v>0.27439999999999998</v>
      </c>
      <c r="K41" s="144">
        <f t="shared" si="3"/>
        <v>0.64357155846517544</v>
      </c>
      <c r="L41" s="144">
        <f t="shared" si="1"/>
        <v>0.72277787880624755</v>
      </c>
    </row>
    <row r="42" spans="8:12">
      <c r="H42">
        <v>170</v>
      </c>
      <c r="I42">
        <f t="shared" si="0"/>
        <v>0.37484999999999996</v>
      </c>
      <c r="J42">
        <f t="shared" si="2"/>
        <v>0.29154999999999998</v>
      </c>
      <c r="K42" s="144">
        <f t="shared" si="3"/>
        <v>0.62129478086924894</v>
      </c>
      <c r="L42" s="144">
        <f t="shared" si="1"/>
        <v>0.70545149623163805</v>
      </c>
    </row>
    <row r="43" spans="8:12">
      <c r="H43">
        <v>180</v>
      </c>
      <c r="I43">
        <f t="shared" si="0"/>
        <v>0.39689999999999998</v>
      </c>
      <c r="J43">
        <f t="shared" si="2"/>
        <v>0.30869999999999997</v>
      </c>
      <c r="K43" s="144">
        <f t="shared" si="3"/>
        <v>0.59901800327332244</v>
      </c>
      <c r="L43" s="144">
        <f t="shared" si="1"/>
        <v>0.68812511365702855</v>
      </c>
    </row>
    <row r="44" spans="8:12">
      <c r="H44">
        <v>190</v>
      </c>
      <c r="I44">
        <f t="shared" si="0"/>
        <v>0.41894999999999999</v>
      </c>
      <c r="J44">
        <f t="shared" si="2"/>
        <v>0.32584999999999997</v>
      </c>
      <c r="K44" s="144">
        <f t="shared" si="3"/>
        <v>0.57674122567739583</v>
      </c>
      <c r="L44" s="144">
        <f t="shared" si="1"/>
        <v>0.67079873108241905</v>
      </c>
    </row>
    <row r="45" spans="8:12">
      <c r="H45">
        <v>200</v>
      </c>
      <c r="I45">
        <f t="shared" si="0"/>
        <v>0.441</v>
      </c>
      <c r="J45">
        <f t="shared" si="2"/>
        <v>0.34299999999999997</v>
      </c>
      <c r="K45" s="144">
        <f t="shared" si="3"/>
        <v>0.55446444808146933</v>
      </c>
      <c r="L45" s="144">
        <f t="shared" si="1"/>
        <v>0.65347234850780955</v>
      </c>
    </row>
    <row r="46" spans="8:12">
      <c r="H46">
        <v>210</v>
      </c>
      <c r="I46">
        <f t="shared" si="0"/>
        <v>0.46304999999999996</v>
      </c>
      <c r="J46">
        <f t="shared" si="2"/>
        <v>0.36014999999999997</v>
      </c>
      <c r="K46" s="144">
        <f t="shared" si="3"/>
        <v>0.53218767048554283</v>
      </c>
      <c r="L46" s="144">
        <f t="shared" si="1"/>
        <v>0.63614596593320005</v>
      </c>
    </row>
    <row r="47" spans="8:12">
      <c r="H47">
        <v>220</v>
      </c>
      <c r="I47">
        <f t="shared" si="0"/>
        <v>0.48509999999999998</v>
      </c>
      <c r="J47">
        <f t="shared" si="2"/>
        <v>0.37729999999999997</v>
      </c>
      <c r="K47" s="144">
        <f t="shared" si="3"/>
        <v>0.50991089288961633</v>
      </c>
      <c r="L47" s="144">
        <f t="shared" si="1"/>
        <v>0.61881958335859044</v>
      </c>
    </row>
    <row r="48" spans="8:12">
      <c r="H48">
        <v>230</v>
      </c>
      <c r="I48">
        <f t="shared" si="0"/>
        <v>0.50714999999999999</v>
      </c>
      <c r="J48">
        <f t="shared" si="2"/>
        <v>0.39444999999999997</v>
      </c>
      <c r="K48" s="144">
        <f t="shared" si="3"/>
        <v>0.48763411529368972</v>
      </c>
      <c r="L48" s="144">
        <f t="shared" si="1"/>
        <v>0.60149320078398094</v>
      </c>
    </row>
    <row r="49" spans="8:12">
      <c r="H49">
        <v>240</v>
      </c>
      <c r="I49">
        <f t="shared" si="0"/>
        <v>0.5292</v>
      </c>
      <c r="J49">
        <f t="shared" si="2"/>
        <v>0.41159999999999997</v>
      </c>
      <c r="K49" s="144">
        <f t="shared" si="3"/>
        <v>0.46535733769776322</v>
      </c>
      <c r="L49" s="144">
        <f t="shared" si="1"/>
        <v>0.58416681820937133</v>
      </c>
    </row>
    <row r="50" spans="8:12">
      <c r="H50">
        <v>250</v>
      </c>
      <c r="I50">
        <f t="shared" si="0"/>
        <v>0.55125000000000002</v>
      </c>
      <c r="J50">
        <f t="shared" si="2"/>
        <v>0.42874999999999996</v>
      </c>
      <c r="K50" s="144">
        <f t="shared" si="3"/>
        <v>0.44308056010183661</v>
      </c>
      <c r="L50" s="144">
        <f t="shared" si="1"/>
        <v>0.56684043563476183</v>
      </c>
    </row>
    <row r="51" spans="8:12">
      <c r="H51">
        <v>260</v>
      </c>
      <c r="I51">
        <f>$I$11*H51</f>
        <v>0.57330000000000003</v>
      </c>
      <c r="J51">
        <f t="shared" si="2"/>
        <v>0.44589999999999996</v>
      </c>
      <c r="K51" s="144">
        <f t="shared" si="3"/>
        <v>0.42080378250591011</v>
      </c>
      <c r="L51" s="144">
        <f t="shared" si="1"/>
        <v>0.54951405306015233</v>
      </c>
    </row>
    <row r="52" spans="8:12">
      <c r="H52">
        <v>270</v>
      </c>
      <c r="I52">
        <f t="shared" si="0"/>
        <v>0.59534999999999993</v>
      </c>
      <c r="J52">
        <f t="shared" si="2"/>
        <v>0.46304999999999996</v>
      </c>
      <c r="K52" s="144">
        <f t="shared" si="3"/>
        <v>0.39852700490998361</v>
      </c>
      <c r="L52" s="144">
        <f t="shared" si="1"/>
        <v>0.53218767048554283</v>
      </c>
    </row>
    <row r="53" spans="8:12">
      <c r="H53">
        <v>280</v>
      </c>
      <c r="I53">
        <f t="shared" si="0"/>
        <v>0.61739999999999995</v>
      </c>
      <c r="J53">
        <f t="shared" si="2"/>
        <v>0.48019999999999996</v>
      </c>
      <c r="K53" s="144">
        <f t="shared" si="3"/>
        <v>0.37625022731405711</v>
      </c>
      <c r="L53" s="144">
        <f t="shared" si="1"/>
        <v>0.51486128791093333</v>
      </c>
    </row>
    <row r="54" spans="8:12">
      <c r="H54">
        <v>290</v>
      </c>
      <c r="I54">
        <f t="shared" si="0"/>
        <v>0.63944999999999996</v>
      </c>
      <c r="J54">
        <f t="shared" si="2"/>
        <v>0.49734999999999996</v>
      </c>
      <c r="K54" s="144">
        <f t="shared" si="3"/>
        <v>0.35397344971813061</v>
      </c>
      <c r="L54" s="144">
        <f t="shared" si="1"/>
        <v>0.49753490533632383</v>
      </c>
    </row>
    <row r="55" spans="8:12">
      <c r="H55">
        <v>300</v>
      </c>
      <c r="I55">
        <f t="shared" si="0"/>
        <v>0.66149999999999998</v>
      </c>
      <c r="J55">
        <f t="shared" si="2"/>
        <v>0.51449999999999996</v>
      </c>
      <c r="K55" s="144">
        <f t="shared" si="3"/>
        <v>0.33169667212220399</v>
      </c>
      <c r="L55" s="144">
        <f t="shared" si="1"/>
        <v>0.48020852276171422</v>
      </c>
    </row>
    <row r="56" spans="8:12">
      <c r="H56">
        <v>310</v>
      </c>
      <c r="I56">
        <f t="shared" si="0"/>
        <v>0.68354999999999999</v>
      </c>
      <c r="J56">
        <f t="shared" si="2"/>
        <v>0.53164999999999996</v>
      </c>
      <c r="K56" s="144">
        <f t="shared" si="3"/>
        <v>0.30941989452627749</v>
      </c>
      <c r="L56" s="144">
        <f t="shared" si="1"/>
        <v>0.46288214018710472</v>
      </c>
    </row>
    <row r="57" spans="8:12">
      <c r="H57">
        <v>320</v>
      </c>
      <c r="I57">
        <f t="shared" si="0"/>
        <v>0.7056</v>
      </c>
      <c r="J57">
        <f t="shared" si="2"/>
        <v>0.54879999999999995</v>
      </c>
      <c r="K57" s="144">
        <f t="shared" si="3"/>
        <v>0.28714311693035088</v>
      </c>
      <c r="L57" s="144">
        <f t="shared" si="1"/>
        <v>0.44555575761249522</v>
      </c>
    </row>
    <row r="58" spans="8:12">
      <c r="H58">
        <v>330</v>
      </c>
      <c r="I58">
        <f t="shared" si="0"/>
        <v>0.72765000000000002</v>
      </c>
      <c r="J58">
        <f t="shared" si="2"/>
        <v>0.56594999999999995</v>
      </c>
      <c r="K58" s="144">
        <f t="shared" si="3"/>
        <v>0.26486633933442438</v>
      </c>
      <c r="L58" s="144">
        <f t="shared" si="1"/>
        <v>0.42822937503788572</v>
      </c>
    </row>
    <row r="59" spans="8:12">
      <c r="H59">
        <v>340</v>
      </c>
      <c r="I59">
        <f t="shared" si="0"/>
        <v>0.74969999999999992</v>
      </c>
      <c r="J59">
        <f t="shared" si="2"/>
        <v>0.58309999999999995</v>
      </c>
      <c r="K59" s="144">
        <f t="shared" si="3"/>
        <v>0.24258956173849788</v>
      </c>
      <c r="L59" s="144">
        <f t="shared" si="1"/>
        <v>0.41090299246327611</v>
      </c>
    </row>
    <row r="60" spans="8:12">
      <c r="H60">
        <v>350</v>
      </c>
      <c r="I60">
        <f t="shared" si="0"/>
        <v>0.77174999999999994</v>
      </c>
      <c r="J60">
        <f t="shared" si="2"/>
        <v>0.60024999999999995</v>
      </c>
      <c r="K60" s="144">
        <f t="shared" si="3"/>
        <v>0.22031278414257138</v>
      </c>
      <c r="L60" s="144">
        <f t="shared" si="1"/>
        <v>0.39357660988866661</v>
      </c>
    </row>
    <row r="61" spans="8:12">
      <c r="H61">
        <v>360</v>
      </c>
      <c r="I61">
        <f t="shared" si="0"/>
        <v>0.79379999999999995</v>
      </c>
      <c r="J61">
        <f t="shared" si="2"/>
        <v>0.61739999999999995</v>
      </c>
      <c r="K61" s="144">
        <f t="shared" si="3"/>
        <v>0.19803600654664488</v>
      </c>
      <c r="L61" s="144">
        <f t="shared" si="1"/>
        <v>0.37625022731405711</v>
      </c>
    </row>
    <row r="62" spans="8:12">
      <c r="H62">
        <v>370</v>
      </c>
      <c r="I62">
        <f t="shared" si="0"/>
        <v>0.81584999999999996</v>
      </c>
      <c r="J62">
        <f t="shared" si="2"/>
        <v>0.63454999999999995</v>
      </c>
      <c r="K62" s="144">
        <f t="shared" si="3"/>
        <v>0.17575922895071827</v>
      </c>
      <c r="L62" s="144">
        <f t="shared" si="1"/>
        <v>0.35892384473944761</v>
      </c>
    </row>
    <row r="63" spans="8:12">
      <c r="H63">
        <v>380</v>
      </c>
      <c r="I63">
        <f t="shared" si="0"/>
        <v>0.83789999999999998</v>
      </c>
      <c r="J63">
        <f t="shared" si="2"/>
        <v>0.65169999999999995</v>
      </c>
      <c r="K63" s="144">
        <f t="shared" si="3"/>
        <v>0.15348245135479177</v>
      </c>
      <c r="L63" s="144">
        <f t="shared" si="1"/>
        <v>0.34159746216483811</v>
      </c>
    </row>
    <row r="64" spans="8:12">
      <c r="H64">
        <v>390</v>
      </c>
      <c r="I64">
        <f t="shared" si="0"/>
        <v>0.85994999999999999</v>
      </c>
      <c r="J64">
        <f t="shared" si="2"/>
        <v>0.66884999999999994</v>
      </c>
      <c r="K64" s="144">
        <f t="shared" si="3"/>
        <v>0.13120567375886516</v>
      </c>
      <c r="L64" s="144">
        <f t="shared" si="1"/>
        <v>0.32427107959022849</v>
      </c>
    </row>
    <row r="65" spans="8:12">
      <c r="H65">
        <v>400</v>
      </c>
      <c r="I65">
        <f t="shared" si="0"/>
        <v>0.88200000000000001</v>
      </c>
      <c r="J65">
        <f t="shared" si="2"/>
        <v>0.68599999999999994</v>
      </c>
      <c r="K65" s="144">
        <f t="shared" si="3"/>
        <v>0.10892889616293866</v>
      </c>
      <c r="L65" s="144">
        <f t="shared" si="1"/>
        <v>0.30694469701561899</v>
      </c>
    </row>
    <row r="66" spans="8:12">
      <c r="H66">
        <v>410</v>
      </c>
      <c r="I66">
        <f t="shared" si="0"/>
        <v>0.90405000000000002</v>
      </c>
      <c r="J66">
        <f t="shared" si="2"/>
        <v>0.70314999999999994</v>
      </c>
      <c r="K66" s="144">
        <f t="shared" si="3"/>
        <v>8.6652118567012049E-2</v>
      </c>
      <c r="L66" s="144">
        <f t="shared" si="1"/>
        <v>0.28961831444100949</v>
      </c>
    </row>
    <row r="67" spans="8:12">
      <c r="H67">
        <v>420</v>
      </c>
      <c r="I67">
        <f t="shared" si="0"/>
        <v>0.92609999999999992</v>
      </c>
      <c r="J67">
        <f t="shared" si="2"/>
        <v>0.72029999999999994</v>
      </c>
      <c r="K67" s="144">
        <f t="shared" si="3"/>
        <v>6.4375340971085659E-2</v>
      </c>
      <c r="L67" s="144">
        <f t="shared" si="1"/>
        <v>0.27229193186639999</v>
      </c>
    </row>
    <row r="68" spans="8:12">
      <c r="H68">
        <v>430</v>
      </c>
      <c r="I68">
        <f t="shared" si="0"/>
        <v>0.94814999999999994</v>
      </c>
      <c r="J68">
        <f t="shared" si="2"/>
        <v>0.73744999999999994</v>
      </c>
      <c r="K68" s="144">
        <f t="shared" si="3"/>
        <v>4.2098563375159159E-2</v>
      </c>
      <c r="L68" s="144">
        <f t="shared" si="1"/>
        <v>0.25496554929179038</v>
      </c>
    </row>
    <row r="69" spans="8:12">
      <c r="H69">
        <v>440</v>
      </c>
      <c r="I69">
        <f t="shared" si="0"/>
        <v>0.97019999999999995</v>
      </c>
      <c r="J69">
        <f t="shared" si="2"/>
        <v>0.75459999999999994</v>
      </c>
      <c r="K69" s="144">
        <f t="shared" si="3"/>
        <v>1.9821785779232548E-2</v>
      </c>
      <c r="L69" s="144">
        <f t="shared" si="1"/>
        <v>0.23763916671718088</v>
      </c>
    </row>
    <row r="70" spans="8:12">
      <c r="H70">
        <v>450</v>
      </c>
      <c r="I70">
        <f t="shared" si="0"/>
        <v>0.99224999999999997</v>
      </c>
      <c r="J70">
        <f t="shared" si="2"/>
        <v>0.77174999999999994</v>
      </c>
      <c r="K70" s="144">
        <f t="shared" si="3"/>
        <v>-2.4549918166940632E-3</v>
      </c>
      <c r="L70" s="144">
        <f t="shared" si="1"/>
        <v>0.22031278414257138</v>
      </c>
    </row>
    <row r="71" spans="8:12">
      <c r="H71">
        <v>460</v>
      </c>
      <c r="I71">
        <f t="shared" si="0"/>
        <v>1.0143</v>
      </c>
      <c r="J71">
        <f t="shared" si="2"/>
        <v>0.78889999999999993</v>
      </c>
      <c r="K71" s="144">
        <f t="shared" si="3"/>
        <v>-2.4731769412620563E-2</v>
      </c>
      <c r="L71" s="144">
        <f t="shared" si="1"/>
        <v>0.20298640156796188</v>
      </c>
    </row>
    <row r="72" spans="8:12">
      <c r="H72">
        <v>470</v>
      </c>
      <c r="I72">
        <f t="shared" si="0"/>
        <v>1.0363499999999999</v>
      </c>
      <c r="J72">
        <f t="shared" si="2"/>
        <v>0.80604999999999993</v>
      </c>
      <c r="K72" s="144">
        <f t="shared" si="3"/>
        <v>-4.7008547008547064E-2</v>
      </c>
      <c r="L72" s="144">
        <f t="shared" si="1"/>
        <v>0.18566001899335238</v>
      </c>
    </row>
    <row r="73" spans="8:12">
      <c r="H73">
        <v>480</v>
      </c>
      <c r="I73">
        <f t="shared" si="0"/>
        <v>1.0584</v>
      </c>
      <c r="J73">
        <f t="shared" si="2"/>
        <v>0.82319999999999993</v>
      </c>
      <c r="K73" s="144">
        <f t="shared" si="3"/>
        <v>-6.9285324604473564E-2</v>
      </c>
      <c r="L73" s="144">
        <f t="shared" si="1"/>
        <v>0.16833363641874277</v>
      </c>
    </row>
    <row r="74" spans="8:12">
      <c r="H74">
        <v>490</v>
      </c>
      <c r="I74">
        <f t="shared" si="0"/>
        <v>1.0804499999999999</v>
      </c>
      <c r="J74">
        <f t="shared" si="2"/>
        <v>0.84034999999999993</v>
      </c>
      <c r="K74" s="144">
        <f t="shared" si="3"/>
        <v>-9.1562102200400064E-2</v>
      </c>
      <c r="L74" s="144">
        <f t="shared" si="1"/>
        <v>0.15100725384413327</v>
      </c>
    </row>
    <row r="75" spans="8:12">
      <c r="H75">
        <v>500</v>
      </c>
      <c r="I75">
        <f t="shared" si="0"/>
        <v>1.1025</v>
      </c>
      <c r="J75">
        <f t="shared" si="2"/>
        <v>0.85749999999999993</v>
      </c>
      <c r="K75" s="144">
        <f t="shared" si="3"/>
        <v>-0.11383887979632679</v>
      </c>
      <c r="L75" s="144">
        <f t="shared" si="1"/>
        <v>0.13368087126952377</v>
      </c>
    </row>
    <row r="76" spans="8:12">
      <c r="H76">
        <v>510</v>
      </c>
      <c r="I76">
        <f t="shared" si="0"/>
        <v>1.1245499999999999</v>
      </c>
      <c r="J76">
        <f t="shared" si="2"/>
        <v>0.87464999999999993</v>
      </c>
      <c r="K76" s="144">
        <f t="shared" si="3"/>
        <v>-0.13611565739225306</v>
      </c>
      <c r="L76" s="144">
        <f t="shared" si="1"/>
        <v>0.11635448869491427</v>
      </c>
    </row>
    <row r="77" spans="8:12">
      <c r="H77">
        <v>520</v>
      </c>
      <c r="I77">
        <f t="shared" si="0"/>
        <v>1.1466000000000001</v>
      </c>
      <c r="J77">
        <f t="shared" si="2"/>
        <v>0.89179999999999993</v>
      </c>
      <c r="K77" s="144">
        <f t="shared" si="3"/>
        <v>-0.15839243498817979</v>
      </c>
      <c r="L77" s="144">
        <f t="shared" si="1"/>
        <v>9.902810612030466E-2</v>
      </c>
    </row>
    <row r="78" spans="8:12">
      <c r="H78">
        <v>530</v>
      </c>
      <c r="I78">
        <f t="shared" si="0"/>
        <v>1.16865</v>
      </c>
      <c r="J78">
        <f t="shared" si="2"/>
        <v>0.90894999999999992</v>
      </c>
      <c r="K78" s="144">
        <f t="shared" si="3"/>
        <v>-0.18066921258410629</v>
      </c>
      <c r="L78" s="144">
        <f t="shared" si="1"/>
        <v>8.170172354569516E-2</v>
      </c>
    </row>
    <row r="79" spans="8:12">
      <c r="H79">
        <v>540</v>
      </c>
      <c r="I79">
        <f t="shared" si="0"/>
        <v>1.1906999999999999</v>
      </c>
      <c r="J79">
        <f t="shared" si="2"/>
        <v>0.92609999999999992</v>
      </c>
      <c r="K79" s="144">
        <f t="shared" si="3"/>
        <v>-0.20294599018003279</v>
      </c>
      <c r="L79" s="144">
        <f t="shared" si="1"/>
        <v>6.4375340971085659E-2</v>
      </c>
    </row>
    <row r="80" spans="8:12">
      <c r="H80">
        <v>550</v>
      </c>
      <c r="I80">
        <f t="shared" si="0"/>
        <v>1.21275</v>
      </c>
      <c r="J80">
        <f t="shared" si="2"/>
        <v>0.94324999999999992</v>
      </c>
      <c r="K80" s="144">
        <f t="shared" si="3"/>
        <v>-0.22522276777595929</v>
      </c>
      <c r="L80" s="144">
        <f t="shared" si="1"/>
        <v>4.7048958396476159E-2</v>
      </c>
    </row>
    <row r="81" spans="8:12">
      <c r="H81">
        <v>560</v>
      </c>
      <c r="I81">
        <f t="shared" si="0"/>
        <v>1.2347999999999999</v>
      </c>
      <c r="J81">
        <f t="shared" si="2"/>
        <v>0.96039999999999992</v>
      </c>
      <c r="K81" s="144">
        <f t="shared" si="3"/>
        <v>-0.24749954537188579</v>
      </c>
      <c r="L81" s="144">
        <f t="shared" si="1"/>
        <v>2.9722575821866659E-2</v>
      </c>
    </row>
    <row r="82" spans="8:12">
      <c r="H82">
        <v>570</v>
      </c>
      <c r="I82">
        <f t="shared" si="0"/>
        <v>1.25685</v>
      </c>
      <c r="J82">
        <f t="shared" si="2"/>
        <v>0.97754999999999992</v>
      </c>
      <c r="K82" s="144">
        <f t="shared" si="3"/>
        <v>-0.26977632296781251</v>
      </c>
      <c r="L82" s="144">
        <f t="shared" si="1"/>
        <v>1.2396193247257048E-2</v>
      </c>
    </row>
    <row r="83" spans="8:12">
      <c r="H83">
        <v>580</v>
      </c>
      <c r="I83">
        <f t="shared" si="0"/>
        <v>1.2788999999999999</v>
      </c>
      <c r="J83">
        <f t="shared" si="2"/>
        <v>0.99469999999999992</v>
      </c>
      <c r="K83" s="144">
        <f t="shared" si="3"/>
        <v>-0.29205310056373879</v>
      </c>
      <c r="L83" s="144">
        <f t="shared" si="1"/>
        <v>-4.9301893273523412E-3</v>
      </c>
    </row>
    <row r="84" spans="8:12">
      <c r="H84">
        <v>590</v>
      </c>
      <c r="I84">
        <f t="shared" si="0"/>
        <v>1.3009500000000001</v>
      </c>
      <c r="J84">
        <f t="shared" si="2"/>
        <v>1.0118499999999999</v>
      </c>
      <c r="K84" s="144">
        <f t="shared" si="3"/>
        <v>-0.31432987815966551</v>
      </c>
      <c r="L84" s="144">
        <f t="shared" si="1"/>
        <v>-2.2256571901962063E-2</v>
      </c>
    </row>
    <row r="85" spans="8:12">
      <c r="H85">
        <v>600</v>
      </c>
      <c r="I85">
        <f t="shared" si="0"/>
        <v>1.323</v>
      </c>
      <c r="J85">
        <f t="shared" si="2"/>
        <v>1.0289999999999999</v>
      </c>
      <c r="K85" s="144">
        <f t="shared" si="3"/>
        <v>-0.33660665575559201</v>
      </c>
      <c r="L85" s="144">
        <f t="shared" si="1"/>
        <v>-3.9582954476571564E-2</v>
      </c>
    </row>
    <row r="86" spans="8:12">
      <c r="H86">
        <v>610</v>
      </c>
      <c r="I86">
        <f t="shared" si="0"/>
        <v>1.3450499999999999</v>
      </c>
      <c r="J86">
        <f t="shared" si="2"/>
        <v>1.0461499999999999</v>
      </c>
      <c r="K86" s="144">
        <f t="shared" si="3"/>
        <v>-0.35888343335151851</v>
      </c>
      <c r="L86" s="144">
        <f t="shared" si="1"/>
        <v>-5.6909337051181064E-2</v>
      </c>
    </row>
    <row r="87" spans="8:12">
      <c r="H87">
        <v>620</v>
      </c>
      <c r="I87">
        <f t="shared" si="0"/>
        <v>1.3671</v>
      </c>
      <c r="J87">
        <f t="shared" si="2"/>
        <v>1.0632999999999999</v>
      </c>
      <c r="K87" s="144">
        <f t="shared" si="3"/>
        <v>-0.38116021094744501</v>
      </c>
      <c r="L87" s="144">
        <f t="shared" si="1"/>
        <v>-7.4235719625790564E-2</v>
      </c>
    </row>
    <row r="88" spans="8:12">
      <c r="H88">
        <v>630</v>
      </c>
      <c r="I88">
        <f t="shared" si="0"/>
        <v>1.3891499999999999</v>
      </c>
      <c r="J88">
        <f t="shared" si="2"/>
        <v>1.0804499999999999</v>
      </c>
      <c r="K88" s="144">
        <f t="shared" si="3"/>
        <v>-0.40343698854337151</v>
      </c>
      <c r="L88" s="144">
        <f t="shared" si="1"/>
        <v>-9.1562102200400064E-2</v>
      </c>
    </row>
    <row r="89" spans="8:12">
      <c r="H89">
        <v>640</v>
      </c>
      <c r="I89">
        <f t="shared" si="0"/>
        <v>1.4112</v>
      </c>
      <c r="J89">
        <f t="shared" si="2"/>
        <v>1.0975999999999999</v>
      </c>
      <c r="K89" s="144">
        <f t="shared" si="3"/>
        <v>-0.42571376613929823</v>
      </c>
      <c r="L89" s="144">
        <f t="shared" si="1"/>
        <v>-0.10888848477500956</v>
      </c>
    </row>
    <row r="90" spans="8:12">
      <c r="H90">
        <v>650</v>
      </c>
      <c r="I90">
        <f t="shared" si="0"/>
        <v>1.4332499999999999</v>
      </c>
      <c r="J90">
        <f t="shared" si="2"/>
        <v>1.1147499999999999</v>
      </c>
      <c r="K90" s="144">
        <f t="shared" si="3"/>
        <v>-0.44799054373522451</v>
      </c>
      <c r="L90" s="144">
        <f t="shared" si="1"/>
        <v>-0.12621486734961906</v>
      </c>
    </row>
    <row r="91" spans="8:12">
      <c r="H91">
        <v>660</v>
      </c>
      <c r="I91">
        <f t="shared" ref="I91:I125" si="4">$I$11*H91</f>
        <v>1.4553</v>
      </c>
      <c r="J91">
        <f t="shared" si="2"/>
        <v>1.1318999999999999</v>
      </c>
      <c r="K91" s="144">
        <f t="shared" ref="K91:K125" si="5">1-(I91/$R$18)</f>
        <v>-0.47026732133115123</v>
      </c>
      <c r="L91" s="144">
        <f t="shared" ref="L91:L125" si="6">1-(J91/$R$18)</f>
        <v>-0.14354124992422856</v>
      </c>
    </row>
    <row r="92" spans="8:12">
      <c r="H92">
        <v>670</v>
      </c>
      <c r="I92">
        <f t="shared" si="4"/>
        <v>1.4773499999999999</v>
      </c>
      <c r="J92">
        <f t="shared" ref="J92:J125" si="7">$J$11*H92</f>
        <v>1.1490499999999999</v>
      </c>
      <c r="K92" s="144">
        <f t="shared" si="5"/>
        <v>-0.49254409892707773</v>
      </c>
      <c r="L92" s="144">
        <f t="shared" si="6"/>
        <v>-0.16086763249883806</v>
      </c>
    </row>
    <row r="93" spans="8:12">
      <c r="H93">
        <v>680</v>
      </c>
      <c r="I93">
        <f t="shared" si="4"/>
        <v>1.4993999999999998</v>
      </c>
      <c r="J93">
        <f t="shared" si="7"/>
        <v>1.1661999999999999</v>
      </c>
      <c r="K93" s="144">
        <f t="shared" si="5"/>
        <v>-0.51482087652300423</v>
      </c>
      <c r="L93" s="144">
        <f t="shared" si="6"/>
        <v>-0.17819401507344779</v>
      </c>
    </row>
    <row r="94" spans="8:12">
      <c r="H94">
        <v>690</v>
      </c>
      <c r="I94">
        <f t="shared" si="4"/>
        <v>1.52145</v>
      </c>
      <c r="J94">
        <f t="shared" si="7"/>
        <v>1.1833499999999999</v>
      </c>
      <c r="K94" s="144">
        <f t="shared" si="5"/>
        <v>-0.53709765411893073</v>
      </c>
      <c r="L94" s="144">
        <f t="shared" si="6"/>
        <v>-0.19552039764805729</v>
      </c>
    </row>
    <row r="95" spans="8:12">
      <c r="H95">
        <v>700</v>
      </c>
      <c r="I95">
        <f t="shared" si="4"/>
        <v>1.5434999999999999</v>
      </c>
      <c r="J95">
        <f t="shared" si="7"/>
        <v>1.2004999999999999</v>
      </c>
      <c r="K95" s="144">
        <f t="shared" si="5"/>
        <v>-0.55937443171485723</v>
      </c>
      <c r="L95" s="144">
        <f t="shared" si="6"/>
        <v>-0.21284678022266679</v>
      </c>
    </row>
    <row r="96" spans="8:12">
      <c r="H96">
        <v>710</v>
      </c>
      <c r="I96">
        <f t="shared" si="4"/>
        <v>1.56555</v>
      </c>
      <c r="J96">
        <f t="shared" si="7"/>
        <v>1.2176499999999999</v>
      </c>
      <c r="K96" s="144">
        <f t="shared" si="5"/>
        <v>-0.58165120931078396</v>
      </c>
      <c r="L96" s="144">
        <f t="shared" si="6"/>
        <v>-0.23017316279727629</v>
      </c>
    </row>
    <row r="97" spans="8:12">
      <c r="H97">
        <v>720</v>
      </c>
      <c r="I97">
        <f t="shared" si="4"/>
        <v>1.5875999999999999</v>
      </c>
      <c r="J97">
        <f t="shared" si="7"/>
        <v>1.2347999999999999</v>
      </c>
      <c r="K97" s="144">
        <f t="shared" si="5"/>
        <v>-0.60392798690671023</v>
      </c>
      <c r="L97" s="144">
        <f t="shared" si="6"/>
        <v>-0.24749954537188579</v>
      </c>
    </row>
    <row r="98" spans="8:12">
      <c r="H98">
        <v>730</v>
      </c>
      <c r="I98">
        <f t="shared" si="4"/>
        <v>1.60965</v>
      </c>
      <c r="J98">
        <f t="shared" si="7"/>
        <v>1.2519499999999999</v>
      </c>
      <c r="K98" s="144">
        <f t="shared" si="5"/>
        <v>-0.62620476450263696</v>
      </c>
      <c r="L98" s="144">
        <f t="shared" si="6"/>
        <v>-0.26482592794649529</v>
      </c>
    </row>
    <row r="99" spans="8:12">
      <c r="H99">
        <v>740</v>
      </c>
      <c r="I99">
        <f t="shared" si="4"/>
        <v>1.6316999999999999</v>
      </c>
      <c r="J99">
        <f t="shared" si="7"/>
        <v>1.2690999999999999</v>
      </c>
      <c r="K99" s="144">
        <f t="shared" si="5"/>
        <v>-0.64848154209856346</v>
      </c>
      <c r="L99" s="144">
        <f t="shared" si="6"/>
        <v>-0.28215231052110479</v>
      </c>
    </row>
    <row r="100" spans="8:12">
      <c r="H100">
        <v>750</v>
      </c>
      <c r="I100">
        <f t="shared" si="4"/>
        <v>1.6537500000000001</v>
      </c>
      <c r="J100">
        <f t="shared" si="7"/>
        <v>1.2862499999999999</v>
      </c>
      <c r="K100" s="144">
        <f t="shared" si="5"/>
        <v>-0.67075831969449018</v>
      </c>
      <c r="L100" s="144">
        <f t="shared" si="6"/>
        <v>-0.29947869309571429</v>
      </c>
    </row>
    <row r="101" spans="8:12">
      <c r="H101">
        <v>760</v>
      </c>
      <c r="I101">
        <f t="shared" si="4"/>
        <v>1.6758</v>
      </c>
      <c r="J101">
        <f t="shared" si="7"/>
        <v>1.3033999999999999</v>
      </c>
      <c r="K101" s="144">
        <f t="shared" si="5"/>
        <v>-0.69303509729041646</v>
      </c>
      <c r="L101" s="144">
        <f t="shared" si="6"/>
        <v>-0.31680507567032379</v>
      </c>
    </row>
    <row r="102" spans="8:12">
      <c r="H102">
        <v>770</v>
      </c>
      <c r="I102">
        <f t="shared" si="4"/>
        <v>1.6978499999999999</v>
      </c>
      <c r="J102">
        <f t="shared" si="7"/>
        <v>1.3205499999999999</v>
      </c>
      <c r="K102" s="144">
        <f t="shared" si="5"/>
        <v>-0.71531187488634296</v>
      </c>
      <c r="L102" s="144">
        <f t="shared" si="6"/>
        <v>-0.33413145824493351</v>
      </c>
    </row>
    <row r="103" spans="8:12">
      <c r="H103">
        <v>780</v>
      </c>
      <c r="I103">
        <f t="shared" si="4"/>
        <v>1.7199</v>
      </c>
      <c r="J103">
        <f t="shared" si="7"/>
        <v>1.3376999999999999</v>
      </c>
      <c r="K103" s="144">
        <f t="shared" si="5"/>
        <v>-0.73758865248226968</v>
      </c>
      <c r="L103" s="144">
        <f t="shared" si="6"/>
        <v>-0.35145784081954301</v>
      </c>
    </row>
    <row r="104" spans="8:12">
      <c r="H104">
        <v>790</v>
      </c>
      <c r="I104">
        <f t="shared" si="4"/>
        <v>1.7419499999999999</v>
      </c>
      <c r="J104">
        <f t="shared" si="7"/>
        <v>1.3548499999999999</v>
      </c>
      <c r="K104" s="144">
        <f t="shared" si="5"/>
        <v>-0.75986543007819596</v>
      </c>
      <c r="L104" s="144">
        <f t="shared" si="6"/>
        <v>-0.36878422339415251</v>
      </c>
    </row>
    <row r="105" spans="8:12">
      <c r="H105">
        <v>800</v>
      </c>
      <c r="I105">
        <f t="shared" si="4"/>
        <v>1.764</v>
      </c>
      <c r="J105">
        <f t="shared" si="7"/>
        <v>1.3719999999999999</v>
      </c>
      <c r="K105" s="144">
        <f t="shared" si="5"/>
        <v>-0.78214220767412268</v>
      </c>
      <c r="L105" s="144">
        <f t="shared" si="6"/>
        <v>-0.38611060596876201</v>
      </c>
    </row>
    <row r="106" spans="8:12">
      <c r="H106">
        <v>810</v>
      </c>
      <c r="I106">
        <f t="shared" si="4"/>
        <v>1.7860499999999999</v>
      </c>
      <c r="J106">
        <f t="shared" si="7"/>
        <v>1.3891499999999999</v>
      </c>
      <c r="K106" s="144">
        <f t="shared" si="5"/>
        <v>-0.80441898527004918</v>
      </c>
      <c r="L106" s="144">
        <f t="shared" si="6"/>
        <v>-0.40343698854337151</v>
      </c>
    </row>
    <row r="107" spans="8:12">
      <c r="H107">
        <v>820</v>
      </c>
      <c r="I107">
        <f t="shared" si="4"/>
        <v>1.8081</v>
      </c>
      <c r="J107">
        <f t="shared" si="7"/>
        <v>1.4062999999999999</v>
      </c>
      <c r="K107" s="144">
        <f t="shared" si="5"/>
        <v>-0.8266957628659759</v>
      </c>
      <c r="L107" s="144">
        <f t="shared" si="6"/>
        <v>-0.42076337111798101</v>
      </c>
    </row>
    <row r="108" spans="8:12">
      <c r="H108">
        <v>830</v>
      </c>
      <c r="I108">
        <f t="shared" si="4"/>
        <v>1.8301499999999999</v>
      </c>
      <c r="J108">
        <f t="shared" si="7"/>
        <v>1.4234499999999999</v>
      </c>
      <c r="K108" s="144">
        <f t="shared" si="5"/>
        <v>-0.84897254046190218</v>
      </c>
      <c r="L108" s="144">
        <f t="shared" si="6"/>
        <v>-0.43808975369259051</v>
      </c>
    </row>
    <row r="109" spans="8:12">
      <c r="H109">
        <v>840</v>
      </c>
      <c r="I109">
        <f t="shared" si="4"/>
        <v>1.8521999999999998</v>
      </c>
      <c r="J109">
        <f t="shared" si="7"/>
        <v>1.4405999999999999</v>
      </c>
      <c r="K109" s="144">
        <f t="shared" si="5"/>
        <v>-0.87124931805782868</v>
      </c>
      <c r="L109" s="144">
        <f t="shared" si="6"/>
        <v>-0.45541613626720001</v>
      </c>
    </row>
    <row r="110" spans="8:12">
      <c r="H110">
        <v>850</v>
      </c>
      <c r="I110">
        <f t="shared" si="4"/>
        <v>1.87425</v>
      </c>
      <c r="J110">
        <f t="shared" si="7"/>
        <v>1.4577499999999999</v>
      </c>
      <c r="K110" s="144">
        <f t="shared" si="5"/>
        <v>-0.8935260956537554</v>
      </c>
      <c r="L110" s="144">
        <f t="shared" si="6"/>
        <v>-0.47274251884180951</v>
      </c>
    </row>
    <row r="111" spans="8:12">
      <c r="H111">
        <v>860</v>
      </c>
      <c r="I111">
        <f t="shared" si="4"/>
        <v>1.8962999999999999</v>
      </c>
      <c r="J111">
        <f t="shared" si="7"/>
        <v>1.4748999999999999</v>
      </c>
      <c r="K111" s="144">
        <f t="shared" si="5"/>
        <v>-0.91580287324968168</v>
      </c>
      <c r="L111" s="144">
        <f t="shared" si="6"/>
        <v>-0.49006890141641923</v>
      </c>
    </row>
    <row r="112" spans="8:12">
      <c r="H112">
        <v>870</v>
      </c>
      <c r="I112">
        <f t="shared" si="4"/>
        <v>1.91835</v>
      </c>
      <c r="J112">
        <f t="shared" si="7"/>
        <v>1.4920499999999999</v>
      </c>
      <c r="K112" s="144">
        <f t="shared" si="5"/>
        <v>-0.9380796508456084</v>
      </c>
      <c r="L112" s="144">
        <f t="shared" si="6"/>
        <v>-0.50739528399102873</v>
      </c>
    </row>
    <row r="113" spans="8:12">
      <c r="H113">
        <v>880</v>
      </c>
      <c r="I113">
        <f t="shared" si="4"/>
        <v>1.9403999999999999</v>
      </c>
      <c r="J113">
        <f t="shared" si="7"/>
        <v>1.5091999999999999</v>
      </c>
      <c r="K113" s="144">
        <f t="shared" si="5"/>
        <v>-0.9603564284415349</v>
      </c>
      <c r="L113" s="144">
        <f t="shared" si="6"/>
        <v>-0.52472166656563823</v>
      </c>
    </row>
    <row r="114" spans="8:12">
      <c r="H114">
        <v>890</v>
      </c>
      <c r="I114">
        <f t="shared" si="4"/>
        <v>1.96245</v>
      </c>
      <c r="J114">
        <f t="shared" si="7"/>
        <v>1.5263499999999999</v>
      </c>
      <c r="K114" s="144">
        <f t="shared" si="5"/>
        <v>-0.98263320603746163</v>
      </c>
      <c r="L114" s="144">
        <f t="shared" si="6"/>
        <v>-0.54204804914024773</v>
      </c>
    </row>
    <row r="115" spans="8:12">
      <c r="H115">
        <v>900</v>
      </c>
      <c r="I115">
        <f t="shared" si="4"/>
        <v>1.9844999999999999</v>
      </c>
      <c r="J115">
        <f t="shared" si="7"/>
        <v>1.5434999999999999</v>
      </c>
      <c r="K115" s="144">
        <f t="shared" si="5"/>
        <v>-1.0049099836333881</v>
      </c>
      <c r="L115" s="144">
        <f t="shared" si="6"/>
        <v>-0.55937443171485723</v>
      </c>
    </row>
    <row r="116" spans="8:12">
      <c r="H116">
        <v>910</v>
      </c>
      <c r="I116">
        <f t="shared" si="4"/>
        <v>2.0065499999999998</v>
      </c>
      <c r="J116">
        <f t="shared" si="7"/>
        <v>1.5606499999999999</v>
      </c>
      <c r="K116" s="144">
        <f t="shared" si="5"/>
        <v>-1.0271867612293146</v>
      </c>
      <c r="L116" s="144">
        <f t="shared" si="6"/>
        <v>-0.57670081428946673</v>
      </c>
    </row>
    <row r="117" spans="8:12">
      <c r="H117">
        <v>920</v>
      </c>
      <c r="I117">
        <f t="shared" si="4"/>
        <v>2.0286</v>
      </c>
      <c r="J117">
        <f t="shared" si="7"/>
        <v>1.5777999999999999</v>
      </c>
      <c r="K117" s="144">
        <f t="shared" si="5"/>
        <v>-1.0494635388252411</v>
      </c>
      <c r="L117" s="144">
        <f t="shared" si="6"/>
        <v>-0.59402719686407623</v>
      </c>
    </row>
    <row r="118" spans="8:12">
      <c r="H118">
        <v>930</v>
      </c>
      <c r="I118">
        <f t="shared" si="4"/>
        <v>2.0506500000000001</v>
      </c>
      <c r="J118">
        <f t="shared" si="7"/>
        <v>1.5949499999999999</v>
      </c>
      <c r="K118" s="144">
        <f t="shared" si="5"/>
        <v>-1.0717403164211676</v>
      </c>
      <c r="L118" s="144">
        <f t="shared" si="6"/>
        <v>-0.61135357943868573</v>
      </c>
    </row>
    <row r="119" spans="8:12">
      <c r="H119">
        <v>940</v>
      </c>
      <c r="I119">
        <f t="shared" si="4"/>
        <v>2.0726999999999998</v>
      </c>
      <c r="J119">
        <f t="shared" si="7"/>
        <v>1.6120999999999999</v>
      </c>
      <c r="K119" s="144">
        <f t="shared" si="5"/>
        <v>-1.0940170940170941</v>
      </c>
      <c r="L119" s="144">
        <f t="shared" si="6"/>
        <v>-0.62867996201329523</v>
      </c>
    </row>
    <row r="120" spans="8:12">
      <c r="H120">
        <v>950</v>
      </c>
      <c r="I120">
        <f t="shared" si="4"/>
        <v>2.0947499999999999</v>
      </c>
      <c r="J120">
        <f t="shared" si="7"/>
        <v>1.6292499999999999</v>
      </c>
      <c r="K120" s="144">
        <f t="shared" si="5"/>
        <v>-1.1162938716130206</v>
      </c>
      <c r="L120" s="144">
        <f t="shared" si="6"/>
        <v>-0.64600634458790496</v>
      </c>
    </row>
    <row r="121" spans="8:12">
      <c r="H121">
        <v>960</v>
      </c>
      <c r="I121">
        <f t="shared" si="4"/>
        <v>2.1168</v>
      </c>
      <c r="J121">
        <f t="shared" si="7"/>
        <v>1.6463999999999999</v>
      </c>
      <c r="K121" s="144">
        <f t="shared" si="5"/>
        <v>-1.1385706492089471</v>
      </c>
      <c r="L121" s="144">
        <f t="shared" si="6"/>
        <v>-0.66333272716251446</v>
      </c>
    </row>
    <row r="122" spans="8:12">
      <c r="H122">
        <v>970</v>
      </c>
      <c r="I122">
        <f t="shared" si="4"/>
        <v>2.1388500000000001</v>
      </c>
      <c r="J122">
        <f t="shared" si="7"/>
        <v>1.6635499999999999</v>
      </c>
      <c r="K122" s="144">
        <f t="shared" si="5"/>
        <v>-1.1608474268048741</v>
      </c>
      <c r="L122" s="144">
        <f t="shared" si="6"/>
        <v>-0.68065910973712396</v>
      </c>
    </row>
    <row r="123" spans="8:12">
      <c r="H123">
        <v>980</v>
      </c>
      <c r="I123">
        <f t="shared" si="4"/>
        <v>2.1608999999999998</v>
      </c>
      <c r="J123">
        <f t="shared" si="7"/>
        <v>1.6806999999999999</v>
      </c>
      <c r="K123" s="144">
        <f t="shared" si="5"/>
        <v>-1.1831242044008001</v>
      </c>
      <c r="L123" s="144">
        <f t="shared" si="6"/>
        <v>-0.69798549231173346</v>
      </c>
    </row>
    <row r="124" spans="8:12">
      <c r="H124">
        <v>990</v>
      </c>
      <c r="I124">
        <f t="shared" si="4"/>
        <v>2.1829499999999999</v>
      </c>
      <c r="J124">
        <f t="shared" si="7"/>
        <v>1.6978499999999999</v>
      </c>
      <c r="K124" s="144">
        <f t="shared" si="5"/>
        <v>-1.2054009819967266</v>
      </c>
      <c r="L124" s="144">
        <f t="shared" si="6"/>
        <v>-0.71531187488634296</v>
      </c>
    </row>
    <row r="125" spans="8:12">
      <c r="H125">
        <v>1000</v>
      </c>
      <c r="I125">
        <f t="shared" si="4"/>
        <v>2.2050000000000001</v>
      </c>
      <c r="J125">
        <f t="shared" si="7"/>
        <v>1.7149999999999999</v>
      </c>
      <c r="K125" s="144">
        <f t="shared" si="5"/>
        <v>-1.2276777595926536</v>
      </c>
      <c r="L125" s="144">
        <f t="shared" si="6"/>
        <v>-0.73263825746095246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Transmission lines</vt:lpstr>
      <vt:lpstr>ELC_TRANSPORT</vt:lpstr>
      <vt:lpstr>H2</vt:lpstr>
      <vt:lpstr>H2_TRANSPORT</vt:lpstr>
      <vt:lpstr>NH3</vt:lpstr>
      <vt:lpstr>NH3_TRANSPORT</vt:lpstr>
      <vt:lpstr>CO2</vt:lpstr>
      <vt:lpstr>CO2_TRANSPORT</vt:lpstr>
      <vt:lpstr>METHANOL</vt:lpstr>
      <vt:lpstr>METHANOL_TRANSPORT</vt:lpstr>
      <vt:lpstr>JET FUEL</vt:lpstr>
      <vt:lpstr>Jetfuel_TRANSPORT</vt:lpstr>
      <vt:lpstr>111 1 el Main distri50-60kVcabl</vt:lpstr>
      <vt:lpstr>H2 140</vt:lpstr>
      <vt:lpstr>NH3_DATA_PIPE</vt:lpstr>
      <vt:lpstr>Ship Transport</vt:lpstr>
      <vt:lpstr>CO2 PIPELINE</vt:lpstr>
      <vt:lpstr>CO2 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2024-02-21T15:46:36Z</dcterms:modified>
</cp:coreProperties>
</file>