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3173BF8A-B558-4840-9C7C-0D5D60FE58A3}" xr6:coauthVersionLast="47" xr6:coauthVersionMax="47" xr10:uidLastSave="{00000000-0000-0000-0000-000000000000}"/>
  <bookViews>
    <workbookView xWindow="-108" yWindow="-108" windowWidth="23256" windowHeight="12456" firstSheet="1" activeTab="7"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19" l="1"/>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13" i="20" l="1"/>
  <c r="K12" i="20"/>
  <c r="K11" i="20"/>
  <c r="K27" i="5"/>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Q11" i="18"/>
  <c r="R11" i="18"/>
  <c r="Q12" i="18"/>
  <c r="R12" i="18"/>
  <c r="Q13" i="18"/>
  <c r="R13" i="18"/>
  <c r="T18" i="4"/>
  <c r="T19" i="4"/>
  <c r="S19" i="4"/>
  <c r="S18" i="4"/>
  <c r="R14" i="4"/>
  <c r="R15" i="4"/>
  <c r="Q15" i="4"/>
  <c r="Q14" i="4"/>
  <c r="Q10" i="4"/>
  <c r="Q11" i="4"/>
  <c r="P11" i="4"/>
  <c r="P10" i="4"/>
  <c r="R18" i="19"/>
  <c r="R16" i="19"/>
  <c r="R14" i="19"/>
  <c r="Q18" i="19"/>
  <c r="Q16" i="19"/>
  <c r="Q14" i="19"/>
  <c r="R12" i="19"/>
  <c r="R13" i="19"/>
  <c r="R11" i="19"/>
  <c r="Q12" i="19"/>
  <c r="Q13" i="19"/>
  <c r="Q11" i="19"/>
  <c r="N11" i="3"/>
  <c r="N12" i="3"/>
  <c r="N13" i="3"/>
  <c r="M12" i="3"/>
  <c r="M13" i="3"/>
  <c r="M11" i="3"/>
  <c r="M20" i="2"/>
  <c r="K14" i="18"/>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R13" i="16"/>
  <c r="M21" i="2" l="1"/>
  <c r="N21" i="2"/>
  <c r="M22" i="2"/>
  <c r="N22" i="2"/>
  <c r="N20" i="2"/>
  <c r="K16" i="16"/>
  <c r="K15" i="16"/>
  <c r="K14" i="16"/>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R13" i="15"/>
  <c r="R12" i="15"/>
  <c r="R11" i="15"/>
  <c r="Q13" i="15"/>
  <c r="Q11" i="15"/>
  <c r="Q12"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P16" i="1"/>
  <c r="Q16" i="1"/>
  <c r="R16" i="1"/>
  <c r="P17" i="1"/>
  <c r="Q17" i="1"/>
  <c r="R17" i="1"/>
  <c r="P18" i="1"/>
  <c r="Q18" i="1"/>
  <c r="R18" i="1"/>
  <c r="P19" i="1"/>
  <c r="Q19" i="1"/>
  <c r="R19" i="1"/>
  <c r="P20" i="1"/>
  <c r="Q20" i="1"/>
  <c r="R20" i="1"/>
  <c r="P21" i="1"/>
  <c r="Q21" i="1"/>
  <c r="R21" i="1"/>
  <c r="P22" i="1"/>
  <c r="Q22" i="1"/>
  <c r="R22" i="1"/>
  <c r="P23" i="1"/>
  <c r="Q23" i="1"/>
  <c r="R23" i="1"/>
  <c r="P24" i="1"/>
  <c r="Q24" i="1"/>
  <c r="R24" i="1"/>
  <c r="P25" i="1"/>
  <c r="Q25" i="1"/>
  <c r="R25" i="1"/>
  <c r="P26" i="1"/>
  <c r="Q26" i="1"/>
  <c r="R26" i="1"/>
  <c r="P27" i="1"/>
  <c r="Q27" i="1"/>
  <c r="R27" i="1"/>
  <c r="P28" i="1"/>
  <c r="Q28" i="1"/>
  <c r="R28" i="1"/>
  <c r="P29" i="1"/>
  <c r="Q29" i="1"/>
  <c r="R29" i="1"/>
  <c r="P30" i="1"/>
  <c r="Q30" i="1"/>
  <c r="R30" i="1"/>
  <c r="P31" i="1"/>
  <c r="Q31" i="1"/>
  <c r="R31" i="1"/>
  <c r="P32" i="1"/>
  <c r="Q32" i="1"/>
  <c r="R32" i="1"/>
  <c r="P33" i="1"/>
  <c r="Q33" i="1"/>
  <c r="R33" i="1"/>
  <c r="P34" i="1"/>
  <c r="Q34" i="1"/>
  <c r="R34" i="1"/>
  <c r="P35" i="1"/>
  <c r="Q35" i="1"/>
  <c r="R35" i="1"/>
  <c r="P36" i="1"/>
  <c r="Q36" i="1"/>
  <c r="R36" i="1"/>
  <c r="P37" i="1"/>
  <c r="Q37" i="1"/>
  <c r="R37" i="1"/>
  <c r="P38" i="1"/>
  <c r="Q38" i="1"/>
  <c r="R38" i="1"/>
  <c r="P39" i="1"/>
  <c r="Q39" i="1"/>
  <c r="R39" i="1"/>
  <c r="P40" i="1"/>
  <c r="Q40" i="1"/>
  <c r="R40" i="1"/>
  <c r="P41" i="1"/>
  <c r="Q41" i="1"/>
  <c r="R41" i="1"/>
  <c r="P42" i="1"/>
  <c r="Q42" i="1"/>
  <c r="R42" i="1"/>
  <c r="P43" i="1"/>
  <c r="Q43" i="1"/>
  <c r="R43" i="1"/>
  <c r="P44" i="1"/>
  <c r="Q44" i="1"/>
  <c r="R44" i="1"/>
  <c r="P45" i="1"/>
  <c r="Q45" i="1"/>
  <c r="R45" i="1"/>
  <c r="P46" i="1"/>
  <c r="Q46" i="1"/>
  <c r="R46" i="1"/>
  <c r="P47" i="1"/>
  <c r="Q47" i="1"/>
  <c r="R47" i="1"/>
  <c r="P48" i="1"/>
  <c r="Q48" i="1"/>
  <c r="R48" i="1"/>
  <c r="P49" i="1"/>
  <c r="Q49" i="1"/>
  <c r="R49" i="1"/>
  <c r="P50" i="1"/>
  <c r="Q50" i="1"/>
  <c r="R50" i="1"/>
  <c r="P51" i="1"/>
  <c r="Q51" i="1"/>
  <c r="R51" i="1"/>
  <c r="P52" i="1"/>
  <c r="Q52" i="1"/>
  <c r="R52" i="1"/>
  <c r="P53" i="1"/>
  <c r="Q53" i="1"/>
  <c r="R53" i="1"/>
  <c r="P54" i="1"/>
  <c r="Q54" i="1"/>
  <c r="R54" i="1"/>
  <c r="P55" i="1"/>
  <c r="Q55" i="1"/>
  <c r="R55" i="1"/>
  <c r="P56" i="1"/>
  <c r="Q56" i="1"/>
  <c r="R56" i="1"/>
  <c r="P57" i="1"/>
  <c r="Q57" i="1"/>
  <c r="R57" i="1"/>
  <c r="P58" i="1"/>
  <c r="Q58" i="1"/>
  <c r="R58" i="1"/>
  <c r="P59" i="1"/>
  <c r="Q59" i="1"/>
  <c r="R59" i="1"/>
  <c r="P60" i="1"/>
  <c r="Q60" i="1"/>
  <c r="R60" i="1"/>
  <c r="P61" i="1"/>
  <c r="Q61" i="1"/>
  <c r="R61" i="1"/>
  <c r="P62" i="1"/>
  <c r="Q62" i="1"/>
  <c r="R62" i="1"/>
  <c r="P63" i="1"/>
  <c r="Q63" i="1"/>
  <c r="R63" i="1"/>
  <c r="P64" i="1"/>
  <c r="Q64" i="1"/>
  <c r="R64" i="1"/>
  <c r="P65" i="1"/>
  <c r="Q65" i="1"/>
  <c r="R65" i="1"/>
  <c r="P66" i="1"/>
  <c r="Q66" i="1"/>
  <c r="R66" i="1"/>
  <c r="P67" i="1"/>
  <c r="Q67" i="1"/>
  <c r="R67" i="1"/>
  <c r="P68" i="1"/>
  <c r="Q68" i="1"/>
  <c r="R68" i="1"/>
  <c r="P69" i="1"/>
  <c r="Q69" i="1"/>
  <c r="R69" i="1"/>
  <c r="P70" i="1"/>
  <c r="Q70" i="1"/>
  <c r="R70" i="1"/>
  <c r="P71" i="1"/>
  <c r="Q71" i="1"/>
  <c r="R71" i="1"/>
  <c r="P72" i="1"/>
  <c r="Q72" i="1"/>
  <c r="R72" i="1"/>
  <c r="P73" i="1"/>
  <c r="Q73" i="1"/>
  <c r="R73" i="1"/>
  <c r="P74" i="1"/>
  <c r="Q74" i="1"/>
  <c r="R74" i="1"/>
  <c r="P75" i="1"/>
  <c r="Q75" i="1"/>
  <c r="R75" i="1"/>
  <c r="P76" i="1"/>
  <c r="Q76" i="1"/>
  <c r="R76" i="1"/>
  <c r="P77" i="1"/>
  <c r="Q77" i="1"/>
  <c r="R77" i="1"/>
  <c r="P78" i="1"/>
  <c r="Q78" i="1"/>
  <c r="R78" i="1"/>
  <c r="P79" i="1"/>
  <c r="Q79" i="1"/>
  <c r="R79" i="1"/>
  <c r="P80" i="1"/>
  <c r="Q80" i="1"/>
  <c r="R80" i="1"/>
  <c r="P81" i="1"/>
  <c r="Q81" i="1"/>
  <c r="R81" i="1"/>
  <c r="P82" i="1"/>
  <c r="Q82" i="1"/>
  <c r="R82" i="1"/>
  <c r="P83" i="1"/>
  <c r="Q83" i="1"/>
  <c r="R83" i="1"/>
  <c r="P84" i="1"/>
  <c r="Q84" i="1"/>
  <c r="R84" i="1"/>
  <c r="P85" i="1"/>
  <c r="Q85" i="1"/>
  <c r="R85" i="1"/>
  <c r="P86" i="1"/>
  <c r="Q86" i="1"/>
  <c r="R86" i="1"/>
  <c r="P87" i="1"/>
  <c r="Q87" i="1"/>
  <c r="R87" i="1"/>
  <c r="P88" i="1"/>
  <c r="Q88" i="1"/>
  <c r="R88" i="1"/>
  <c r="P89" i="1"/>
  <c r="Q89" i="1"/>
  <c r="R89" i="1"/>
  <c r="P90" i="1"/>
  <c r="Q90" i="1"/>
  <c r="R90" i="1"/>
  <c r="P91" i="1"/>
  <c r="Q91" i="1"/>
  <c r="R91" i="1"/>
  <c r="P92" i="1"/>
  <c r="Q92" i="1"/>
  <c r="R92" i="1"/>
  <c r="P93" i="1"/>
  <c r="Q93" i="1"/>
  <c r="R93" i="1"/>
  <c r="P94" i="1"/>
  <c r="Q94" i="1"/>
  <c r="R94" i="1"/>
  <c r="P95" i="1"/>
  <c r="Q95" i="1"/>
  <c r="R95" i="1"/>
  <c r="P96" i="1"/>
  <c r="Q96" i="1"/>
  <c r="R96" i="1"/>
  <c r="P97" i="1"/>
  <c r="Q97" i="1"/>
  <c r="R97" i="1"/>
  <c r="P98" i="1"/>
  <c r="Q98" i="1"/>
  <c r="R98" i="1"/>
  <c r="P99" i="1"/>
  <c r="Q99" i="1"/>
  <c r="R99" i="1"/>
  <c r="P100" i="1"/>
  <c r="Q100" i="1"/>
  <c r="R100" i="1"/>
  <c r="P101" i="1"/>
  <c r="Q101" i="1"/>
  <c r="R101" i="1"/>
  <c r="P102" i="1"/>
  <c r="Q102" i="1"/>
  <c r="R102" i="1"/>
  <c r="P103" i="1"/>
  <c r="Q103" i="1"/>
  <c r="R103" i="1"/>
  <c r="P5" i="1"/>
  <c r="Q5" i="1"/>
  <c r="R5" i="1"/>
  <c r="P6" i="1"/>
  <c r="Q6" i="1"/>
  <c r="R6" i="1"/>
  <c r="P7" i="1"/>
  <c r="Q7" i="1"/>
  <c r="R7" i="1"/>
  <c r="P8" i="1"/>
  <c r="Q8" i="1"/>
  <c r="R8" i="1"/>
  <c r="P9" i="1"/>
  <c r="Q9" i="1"/>
  <c r="R9" i="1"/>
  <c r="P10" i="1"/>
  <c r="Q10" i="1"/>
  <c r="R10" i="1"/>
  <c r="P11" i="1"/>
  <c r="Q11" i="1"/>
  <c r="R11" i="1"/>
  <c r="P12" i="1"/>
  <c r="Q12" i="1"/>
  <c r="R12" i="1"/>
  <c r="P13" i="1"/>
  <c r="Q13" i="1"/>
  <c r="R13" i="1"/>
  <c r="P14" i="1"/>
  <c r="Q14" i="1"/>
  <c r="R14" i="1"/>
  <c r="P15" i="1"/>
  <c r="Q15" i="1"/>
  <c r="R15" i="1"/>
  <c r="R4" i="1"/>
  <c r="Q4" i="1"/>
  <c r="P4" i="1"/>
  <c r="H7" i="1"/>
  <c r="I7" i="1"/>
  <c r="G7" i="1"/>
  <c r="G2" i="1"/>
  <c r="Q12" i="16" l="1"/>
  <c r="Q13" i="16"/>
  <c r="Q11" i="16"/>
  <c r="R12" i="16"/>
  <c r="R11" i="16"/>
  <c r="G89" i="2"/>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<sst xmlns="http://schemas.openxmlformats.org/spreadsheetml/2006/main" count="1100" uniqueCount="345">
  <si>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</si>
  <si>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</si>
  <si>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</si>
  <si>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</si>
  <si>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</si>
  <si>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</si>
  <si>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</si>
  <si>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</si>
  <si>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</si>
  <si>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</si>
  <si>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</si>
  <si>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</si>
  <si>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</si>
  <si>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</si>
  <si>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</si>
  <si>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</si>
  <si>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</si>
  <si>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</si>
  <si>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</si>
  <si>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</si>
  <si>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</si>
  <si>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</si>
  <si>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</si>
  <si>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</si>
  <si>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</si>
  <si>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</si>
  <si>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</si>
  <si>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</si>
  <si>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</si>
  <si>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</si>
  <si>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</si>
  <si>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</si>
  <si>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</si>
  <si>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</si>
  <si>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</si>
  <si>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</si>
  <si>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</si>
  <si>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</si>
  <si>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</si>
  <si>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</si>
  <si>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</si>
  <si>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</si>
  <si>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</si>
  <si>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</si>
  <si>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</si>
  <si>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</si>
  <si>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</si>
  <si>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</si>
  <si>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</si>
  <si>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</si>
  <si>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</si>
  <si>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</si>
  <si>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</si>
  <si>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</si>
  <si>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</si>
  <si>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</si>
  <si>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</si>
  <si>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</si>
  <si>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</si>
  <si>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</si>
  <si>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</si>
  <si>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</si>
  <si>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</si>
  <si>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</si>
  <si>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</si>
  <si>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</si>
  <si>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</si>
  <si>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</si>
  <si>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</si>
  <si>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</si>
  <si>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</si>
  <si>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</si>
  <si>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</si>
  <si>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</si>
  <si>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</si>
  <si>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</si>
  <si>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</si>
  <si>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</si>
  <si>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</si>
  <si>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</si>
  <si>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</si>
  <si>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</si>
  <si>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</si>
  <si>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</si>
  <si>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</si>
  <si>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</si>
  <si>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</si>
  <si>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</si>
  <si>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</si>
  <si>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</si>
  <si>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</si>
  <si>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</si>
  <si>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</si>
  <si>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</si>
  <si>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</si>
  <si>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</si>
  <si>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</si>
  <si>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</si>
  <si>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</si>
  <si>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</si>
  <si>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</si>
  <si>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</si>
  <si>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</si>
  <si>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</si>
  <si>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</si>
  <si>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</si>
  <si>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</si>
  <si>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</si>
  <si>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</si>
  <si>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</si>
  <si>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</si>
  <si>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</si>
  <si>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</si>
  <si>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</si>
  <si>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</si>
  <si>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</si>
  <si>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</si>
  <si>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</si>
  <si>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</si>
  <si>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</si>
  <si>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</si>
  <si>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</si>
  <si>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</si>
  <si>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</si>
  <si>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</si>
  <si>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</si>
  <si>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</si>
  <si>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</si>
  <si>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</si>
  <si>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</si>
  <si>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</si>
  <si>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</si>
  <si>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</si>
  <si>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</si>
  <si>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</si>
  <si>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</si>
  <si>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</si>
  <si>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</si>
  <si>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</si>
  <si>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</si>
  <si>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</si>
  <si>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</si>
  <si>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</si>
  <si>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</si>
  <si>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</si>
  <si>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</si>
  <si>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</si>
  <si>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</si>
  <si>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</si>
  <si>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</si>
  <si>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</si>
  <si>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</si>
  <si>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</si>
  <si>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</si>
  <si>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</si>
  <si>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</si>
  <si>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</si>
  <si>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</si>
  <si>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</si>
  <si>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</si>
  <si>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</si>
  <si>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</si>
  <si>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</si>
  <si>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</si>
  <si>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</si>
  <si>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</si>
  <si>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</si>
  <si>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</si>
  <si>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</si>
  <si>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</si>
  <si>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</si>
  <si>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</si>
  <si>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</si>
  <si>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</si>
  <si>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</si>
  <si>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</si>
  <si>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</si>
  <si>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</si>
  <si>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</si>
  <si>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</si>
  <si>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</si>
  <si>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</si>
  <si>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</si>
  <si>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</si>
  <si>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</si>
  <si>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</si>
  <si>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</si>
  <si>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</si>
  <si>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</si>
  <si>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</si>
  <si>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</si>
  <si>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</si>
  <si>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</si>
  <si>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</si>
  <si>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</si>
  <si>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</si>
  <si>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</si>
  <si>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</si>
  <si>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</si>
  <si>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</si>
  <si>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</si>
  <si>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</si>
  <si>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</si>
  <si>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</si>
  <si>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</si>
  <si>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</si>
  <si>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</si>
  <si>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</si>
  <si>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</si>
  <si>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Fixed O&amp;M [EUR/km/year/GW]</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</si>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</sst>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5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E2:R103"/>
  <sheetViews>
    <sheetView zoomScale="57" workbookViewId="0">
      <selection activeCell="F17" sqref="F17"/>
    </sheetView>
  </sheetViews>
  <sheetFormatPr defaultRowHeight="14.4"/>
  <cols>
    <col min="5" max="5" width="29.33203125" bestFit="1"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214</v>
      </c>
      <c r="Q3" t="s">
        <v>212</v>
      </c>
      <c r="R3" t="s">
        <v>213</v>
      </c>
    </row>
    <row r="4" spans="5:18">
      <c r="O4">
        <v>10</v>
      </c>
      <c r="P4">
        <f>$G$3*O4</f>
        <v>32.964554258000007</v>
      </c>
      <c r="Q4">
        <f>$H$8*O4</f>
        <v>0.2747186596076775</v>
      </c>
      <c r="R4">
        <f>$I$8*O4</f>
        <v>0.28803853116380018</v>
      </c>
    </row>
    <row r="5" spans="5:18">
      <c r="O5">
        <v>20</v>
      </c>
      <c r="P5">
        <f t="shared" ref="P5:P68" si="0">$G$3*O5</f>
        <v>65.929108516000014</v>
      </c>
      <c r="Q5">
        <f t="shared" ref="Q5:Q15" si="1">$H$8*O5</f>
        <v>0.54943731921535499</v>
      </c>
      <c r="R5">
        <f t="shared" ref="R5:R15" si="2">$I$8*O5</f>
        <v>0.57607706232760036</v>
      </c>
    </row>
    <row r="6" spans="5:18">
      <c r="G6">
        <v>2020</v>
      </c>
      <c r="H6">
        <v>2030</v>
      </c>
      <c r="I6">
        <v>2050</v>
      </c>
      <c r="O6">
        <v>30</v>
      </c>
      <c r="P6">
        <f t="shared" si="0"/>
        <v>98.89366277400002</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131.85821703200003</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164.82277129000002</v>
      </c>
      <c r="Q8">
        <f t="shared" si="1"/>
        <v>1.3735932980383876</v>
      </c>
      <c r="R8">
        <f t="shared" si="2"/>
        <v>1.440192655819001</v>
      </c>
    </row>
    <row r="9" spans="5:18">
      <c r="O9">
        <v>60</v>
      </c>
      <c r="P9">
        <f t="shared" si="0"/>
        <v>197.78732554800004</v>
      </c>
      <c r="Q9">
        <f t="shared" si="1"/>
        <v>1.6483119576460652</v>
      </c>
      <c r="R9">
        <f t="shared" si="2"/>
        <v>1.7282311869828013</v>
      </c>
    </row>
    <row r="10" spans="5:18">
      <c r="O10">
        <v>70</v>
      </c>
      <c r="P10">
        <f t="shared" si="0"/>
        <v>230.75187980600003</v>
      </c>
      <c r="Q10">
        <f t="shared" si="1"/>
        <v>1.9230306172537426</v>
      </c>
      <c r="R10">
        <f t="shared" si="2"/>
        <v>2.0162697181466016</v>
      </c>
    </row>
    <row r="11" spans="5:18">
      <c r="E11" t="s">
        <v>152</v>
      </c>
      <c r="H11" s="64">
        <v>3.0000000000000001E-3</v>
      </c>
      <c r="O11">
        <v>80</v>
      </c>
      <c r="P11">
        <f t="shared" si="0"/>
        <v>263.71643406400005</v>
      </c>
      <c r="Q11">
        <f t="shared" si="1"/>
        <v>2.19774927686142</v>
      </c>
      <c r="R11">
        <f t="shared" si="2"/>
        <v>2.3043082493104015</v>
      </c>
    </row>
    <row r="12" spans="5:18">
      <c r="O12">
        <v>90</v>
      </c>
      <c r="P12">
        <f t="shared" si="0"/>
        <v>296.68098832200002</v>
      </c>
      <c r="Q12">
        <f t="shared" si="1"/>
        <v>2.4724679364690978</v>
      </c>
      <c r="R12">
        <f t="shared" si="2"/>
        <v>2.5923467804742018</v>
      </c>
    </row>
    <row r="13" spans="5:18">
      <c r="E13" s="27" t="s">
        <v>25</v>
      </c>
      <c r="F13" s="22">
        <v>40</v>
      </c>
      <c r="O13">
        <v>100</v>
      </c>
      <c r="P13">
        <f t="shared" si="0"/>
        <v>329.64554258000004</v>
      </c>
      <c r="Q13">
        <f t="shared" si="1"/>
        <v>2.7471865960767752</v>
      </c>
      <c r="R13">
        <f t="shared" si="2"/>
        <v>2.880385311638002</v>
      </c>
    </row>
    <row r="14" spans="5:18">
      <c r="E14" s="27" t="s">
        <v>27</v>
      </c>
      <c r="F14" s="31">
        <v>0.45</v>
      </c>
      <c r="O14">
        <v>110</v>
      </c>
      <c r="P14">
        <f t="shared" si="0"/>
        <v>362.61009683800006</v>
      </c>
      <c r="Q14">
        <f t="shared" si="1"/>
        <v>3.0219052556844526</v>
      </c>
      <c r="R14">
        <f t="shared" si="2"/>
        <v>3.1684238428018023</v>
      </c>
    </row>
    <row r="15" spans="5:18">
      <c r="E15" s="27" t="s">
        <v>29</v>
      </c>
      <c r="F15" s="22">
        <v>1.5</v>
      </c>
      <c r="O15">
        <v>120</v>
      </c>
      <c r="P15">
        <f t="shared" si="0"/>
        <v>395.57465109600008</v>
      </c>
      <c r="Q15">
        <f t="shared" si="1"/>
        <v>3.2966239152921304</v>
      </c>
      <c r="R15">
        <f t="shared" si="2"/>
        <v>3.4564623739656026</v>
      </c>
    </row>
    <row r="16" spans="5:18">
      <c r="O16">
        <v>130</v>
      </c>
      <c r="P16">
        <f t="shared" si="0"/>
        <v>428.53920535400005</v>
      </c>
      <c r="Q16">
        <f t="shared" ref="Q16:Q79" si="4">$H$8*O16</f>
        <v>3.5713425748998078</v>
      </c>
      <c r="R16">
        <f t="shared" ref="R16:R79" si="5">$I$8*O16</f>
        <v>3.7445009051294029</v>
      </c>
    </row>
    <row r="17" spans="5:18">
      <c r="E17" s="27" t="s">
        <v>43</v>
      </c>
      <c r="F17" s="33">
        <v>16801</v>
      </c>
      <c r="G17">
        <f>F17*1000/1000000</f>
        <v>16.800999999999998</v>
      </c>
      <c r="H17" t="s">
        <v>291</v>
      </c>
      <c r="O17">
        <v>140</v>
      </c>
      <c r="P17">
        <f t="shared" si="0"/>
        <v>461.50375961200007</v>
      </c>
      <c r="Q17">
        <f t="shared" si="4"/>
        <v>3.8460612345074852</v>
      </c>
      <c r="R17">
        <f t="shared" si="5"/>
        <v>4.0325394362932032</v>
      </c>
    </row>
    <row r="18" spans="5:18">
      <c r="E18" s="27" t="s">
        <v>45</v>
      </c>
      <c r="F18" s="33">
        <v>80816.326568000004</v>
      </c>
      <c r="G18">
        <f t="shared" ref="G18:G19" si="6">F18*1000/1000000</f>
        <v>80.816326568000008</v>
      </c>
      <c r="H18" t="s">
        <v>291</v>
      </c>
      <c r="O18">
        <v>150</v>
      </c>
      <c r="P18">
        <f t="shared" si="0"/>
        <v>494.46831387000009</v>
      </c>
      <c r="Q18">
        <f t="shared" si="4"/>
        <v>4.120779894115163</v>
      </c>
      <c r="R18">
        <f t="shared" si="5"/>
        <v>4.3205779674570035</v>
      </c>
    </row>
    <row r="19" spans="5:18">
      <c r="E19" s="27" t="s">
        <v>47</v>
      </c>
      <c r="F19" s="22">
        <v>4759.6562857680001</v>
      </c>
      <c r="G19">
        <f t="shared" si="6"/>
        <v>4.759656285768</v>
      </c>
      <c r="H19" t="s">
        <v>291</v>
      </c>
      <c r="O19">
        <v>160</v>
      </c>
      <c r="P19">
        <f t="shared" si="0"/>
        <v>527.43286812800011</v>
      </c>
      <c r="Q19">
        <f t="shared" si="4"/>
        <v>4.3954985537228399</v>
      </c>
      <c r="R19">
        <f t="shared" si="5"/>
        <v>4.6086164986208029</v>
      </c>
    </row>
    <row r="20" spans="5:18">
      <c r="O20">
        <v>170</v>
      </c>
      <c r="P20">
        <f t="shared" si="0"/>
        <v>560.39742238600013</v>
      </c>
      <c r="Q20">
        <f t="shared" si="4"/>
        <v>4.6702172133305178</v>
      </c>
      <c r="R20">
        <f t="shared" si="5"/>
        <v>4.8966550297846032</v>
      </c>
    </row>
    <row r="21" spans="5:18">
      <c r="O21">
        <v>180</v>
      </c>
      <c r="P21">
        <f t="shared" si="0"/>
        <v>593.36197664400004</v>
      </c>
      <c r="Q21">
        <f t="shared" si="4"/>
        <v>4.9449358729381956</v>
      </c>
      <c r="R21">
        <f t="shared" si="5"/>
        <v>5.1846935609484035</v>
      </c>
    </row>
    <row r="22" spans="5:18">
      <c r="O22">
        <v>190</v>
      </c>
      <c r="P22">
        <f t="shared" si="0"/>
        <v>626.32653090200006</v>
      </c>
      <c r="Q22">
        <f t="shared" si="4"/>
        <v>5.2196545325458725</v>
      </c>
      <c r="R22">
        <f t="shared" si="5"/>
        <v>5.4727320921122038</v>
      </c>
    </row>
    <row r="23" spans="5:18">
      <c r="O23">
        <v>200</v>
      </c>
      <c r="P23">
        <f t="shared" si="0"/>
        <v>659.29108516000008</v>
      </c>
      <c r="Q23">
        <f t="shared" si="4"/>
        <v>5.4943731921535504</v>
      </c>
      <c r="R23">
        <f t="shared" si="5"/>
        <v>5.7607706232760041</v>
      </c>
    </row>
    <row r="24" spans="5:18">
      <c r="O24">
        <v>210</v>
      </c>
      <c r="P24">
        <f t="shared" si="0"/>
        <v>692.2556394180001</v>
      </c>
      <c r="Q24">
        <f t="shared" si="4"/>
        <v>5.7690918517612282</v>
      </c>
      <c r="R24">
        <f t="shared" si="5"/>
        <v>6.0488091544398044</v>
      </c>
    </row>
    <row r="25" spans="5:18">
      <c r="O25">
        <v>220</v>
      </c>
      <c r="P25">
        <f t="shared" si="0"/>
        <v>725.22019367600012</v>
      </c>
      <c r="Q25">
        <f t="shared" si="4"/>
        <v>6.0438105113689051</v>
      </c>
      <c r="R25">
        <f t="shared" si="5"/>
        <v>6.3368476856036047</v>
      </c>
    </row>
    <row r="26" spans="5:18">
      <c r="O26">
        <v>230</v>
      </c>
      <c r="P26">
        <f t="shared" si="0"/>
        <v>758.18474793400014</v>
      </c>
      <c r="Q26">
        <f t="shared" si="4"/>
        <v>6.318529170976583</v>
      </c>
      <c r="R26">
        <f t="shared" si="5"/>
        <v>6.624886216767405</v>
      </c>
    </row>
    <row r="27" spans="5:18">
      <c r="O27">
        <v>240</v>
      </c>
      <c r="P27">
        <f t="shared" si="0"/>
        <v>791.14930219200016</v>
      </c>
      <c r="Q27">
        <f t="shared" si="4"/>
        <v>6.5932478305842608</v>
      </c>
      <c r="R27">
        <f t="shared" si="5"/>
        <v>6.9129247479312053</v>
      </c>
    </row>
    <row r="28" spans="5:18">
      <c r="O28">
        <v>250</v>
      </c>
      <c r="P28">
        <f t="shared" si="0"/>
        <v>824.11385645000007</v>
      </c>
      <c r="Q28">
        <f t="shared" si="4"/>
        <v>6.8679664901919377</v>
      </c>
      <c r="R28">
        <f t="shared" si="5"/>
        <v>7.2009632790950056</v>
      </c>
    </row>
    <row r="29" spans="5:18">
      <c r="O29">
        <v>260</v>
      </c>
      <c r="P29">
        <f t="shared" si="0"/>
        <v>857.07841070800009</v>
      </c>
      <c r="Q29">
        <f t="shared" si="4"/>
        <v>7.1426851497996156</v>
      </c>
      <c r="R29">
        <f t="shared" si="5"/>
        <v>7.4890018102588058</v>
      </c>
    </row>
    <row r="30" spans="5:18">
      <c r="O30">
        <v>270</v>
      </c>
      <c r="P30">
        <f t="shared" si="0"/>
        <v>890.04296496600011</v>
      </c>
      <c r="Q30">
        <f t="shared" si="4"/>
        <v>7.4174038094072934</v>
      </c>
      <c r="R30">
        <f t="shared" si="5"/>
        <v>7.7770403414226053</v>
      </c>
    </row>
    <row r="31" spans="5:18">
      <c r="O31">
        <v>280</v>
      </c>
      <c r="P31">
        <f t="shared" si="0"/>
        <v>923.00751922400013</v>
      </c>
      <c r="Q31">
        <f t="shared" si="4"/>
        <v>7.6921224690149703</v>
      </c>
      <c r="R31">
        <f t="shared" si="5"/>
        <v>8.0650788725864064</v>
      </c>
    </row>
    <row r="32" spans="5:18">
      <c r="O32">
        <v>290</v>
      </c>
      <c r="P32">
        <f t="shared" si="0"/>
        <v>955.97207348200016</v>
      </c>
      <c r="Q32">
        <f t="shared" si="4"/>
        <v>7.9668411286226481</v>
      </c>
      <c r="R32">
        <f t="shared" si="5"/>
        <v>8.3531174037502058</v>
      </c>
    </row>
    <row r="33" spans="15:18">
      <c r="O33">
        <v>300</v>
      </c>
      <c r="P33">
        <f t="shared" si="0"/>
        <v>988.93662774000018</v>
      </c>
      <c r="Q33">
        <f t="shared" si="4"/>
        <v>8.241559788230326</v>
      </c>
      <c r="R33">
        <f t="shared" si="5"/>
        <v>8.641155934914007</v>
      </c>
    </row>
    <row r="34" spans="15:18">
      <c r="O34">
        <v>310</v>
      </c>
      <c r="P34">
        <f t="shared" si="0"/>
        <v>1021.9011819980002</v>
      </c>
      <c r="Q34">
        <f t="shared" si="4"/>
        <v>8.5162784478380029</v>
      </c>
      <c r="R34">
        <f t="shared" si="5"/>
        <v>8.9291944660778064</v>
      </c>
    </row>
    <row r="35" spans="15:18">
      <c r="O35">
        <v>320</v>
      </c>
      <c r="P35">
        <f t="shared" si="0"/>
        <v>1054.8657362560002</v>
      </c>
      <c r="Q35">
        <f t="shared" si="4"/>
        <v>8.7909971074456799</v>
      </c>
      <c r="R35">
        <f t="shared" si="5"/>
        <v>9.2172329972416058</v>
      </c>
    </row>
    <row r="36" spans="15:18">
      <c r="O36">
        <v>330</v>
      </c>
      <c r="P36">
        <f t="shared" si="0"/>
        <v>1087.8302905140001</v>
      </c>
      <c r="Q36">
        <f t="shared" si="4"/>
        <v>9.0657157670533586</v>
      </c>
      <c r="R36">
        <f t="shared" si="5"/>
        <v>9.505271528405407</v>
      </c>
    </row>
    <row r="37" spans="15:18">
      <c r="O37">
        <v>340</v>
      </c>
      <c r="P37">
        <f t="shared" si="0"/>
        <v>1120.7948447720003</v>
      </c>
      <c r="Q37">
        <f t="shared" si="4"/>
        <v>9.3404344266610355</v>
      </c>
      <c r="R37">
        <f t="shared" si="5"/>
        <v>9.7933100595692064</v>
      </c>
    </row>
    <row r="38" spans="15:18">
      <c r="O38">
        <v>350</v>
      </c>
      <c r="P38">
        <f t="shared" si="0"/>
        <v>1153.7593990300002</v>
      </c>
      <c r="Q38">
        <f t="shared" si="4"/>
        <v>9.6151530862687125</v>
      </c>
      <c r="R38">
        <f t="shared" si="5"/>
        <v>10.081348590733008</v>
      </c>
    </row>
    <row r="39" spans="15:18">
      <c r="O39">
        <v>360</v>
      </c>
      <c r="P39">
        <f t="shared" si="0"/>
        <v>1186.7239532880001</v>
      </c>
      <c r="Q39">
        <f t="shared" si="4"/>
        <v>9.8898717458763912</v>
      </c>
      <c r="R39">
        <f t="shared" si="5"/>
        <v>10.369387121896807</v>
      </c>
    </row>
    <row r="40" spans="15:18">
      <c r="O40">
        <v>370</v>
      </c>
      <c r="P40">
        <f t="shared" si="0"/>
        <v>1219.6885075460002</v>
      </c>
      <c r="Q40">
        <f t="shared" si="4"/>
        <v>10.164590405484068</v>
      </c>
      <c r="R40">
        <f t="shared" si="5"/>
        <v>10.657425653060608</v>
      </c>
    </row>
    <row r="41" spans="15:18">
      <c r="O41">
        <v>380</v>
      </c>
      <c r="P41">
        <f t="shared" si="0"/>
        <v>1252.6530618040001</v>
      </c>
      <c r="Q41">
        <f t="shared" si="4"/>
        <v>10.439309065091745</v>
      </c>
      <c r="R41">
        <f t="shared" si="5"/>
        <v>10.945464184224408</v>
      </c>
    </row>
    <row r="42" spans="15:18">
      <c r="O42">
        <v>390</v>
      </c>
      <c r="P42">
        <f t="shared" si="0"/>
        <v>1285.6176160620003</v>
      </c>
      <c r="Q42">
        <f t="shared" si="4"/>
        <v>10.714027724699424</v>
      </c>
      <c r="R42">
        <f t="shared" si="5"/>
        <v>11.233502715388209</v>
      </c>
    </row>
    <row r="43" spans="15:18">
      <c r="O43">
        <v>400</v>
      </c>
      <c r="P43">
        <f t="shared" si="0"/>
        <v>1318.5821703200002</v>
      </c>
      <c r="Q43">
        <f t="shared" si="4"/>
        <v>10.988746384307101</v>
      </c>
      <c r="R43">
        <f t="shared" si="5"/>
        <v>11.521541246552008</v>
      </c>
    </row>
    <row r="44" spans="15:18">
      <c r="O44">
        <v>410</v>
      </c>
      <c r="P44">
        <f t="shared" si="0"/>
        <v>1351.5467245780003</v>
      </c>
      <c r="Q44">
        <f t="shared" si="4"/>
        <v>11.263465043914778</v>
      </c>
      <c r="R44">
        <f t="shared" si="5"/>
        <v>11.809579777715809</v>
      </c>
    </row>
    <row r="45" spans="15:18">
      <c r="O45">
        <v>420</v>
      </c>
      <c r="P45">
        <f t="shared" si="0"/>
        <v>1384.5112788360002</v>
      </c>
      <c r="Q45">
        <f t="shared" si="4"/>
        <v>11.538183703522456</v>
      </c>
      <c r="R45">
        <f t="shared" si="5"/>
        <v>12.097618308879609</v>
      </c>
    </row>
    <row r="46" spans="15:18">
      <c r="O46">
        <v>430</v>
      </c>
      <c r="P46">
        <f t="shared" si="0"/>
        <v>1417.4758330940001</v>
      </c>
      <c r="Q46">
        <f t="shared" si="4"/>
        <v>11.812902363130133</v>
      </c>
      <c r="R46">
        <f t="shared" si="5"/>
        <v>12.385656840043408</v>
      </c>
    </row>
    <row r="47" spans="15:18">
      <c r="O47">
        <v>440</v>
      </c>
      <c r="P47">
        <f t="shared" si="0"/>
        <v>1450.4403873520002</v>
      </c>
      <c r="Q47">
        <f t="shared" si="4"/>
        <v>12.08762102273781</v>
      </c>
      <c r="R47">
        <f t="shared" si="5"/>
        <v>12.673695371207209</v>
      </c>
    </row>
    <row r="48" spans="15:18">
      <c r="O48">
        <v>450</v>
      </c>
      <c r="P48">
        <f t="shared" si="0"/>
        <v>1483.4049416100002</v>
      </c>
      <c r="Q48">
        <f t="shared" si="4"/>
        <v>12.362339682345489</v>
      </c>
      <c r="R48">
        <f t="shared" si="5"/>
        <v>12.961733902371009</v>
      </c>
    </row>
    <row r="49" spans="15:18">
      <c r="O49">
        <v>460</v>
      </c>
      <c r="P49">
        <f t="shared" si="0"/>
        <v>1516.3694958680003</v>
      </c>
      <c r="Q49">
        <f t="shared" si="4"/>
        <v>12.637058341953166</v>
      </c>
      <c r="R49">
        <f t="shared" si="5"/>
        <v>13.24977243353481</v>
      </c>
    </row>
    <row r="50" spans="15:18">
      <c r="O50">
        <v>470</v>
      </c>
      <c r="P50">
        <f t="shared" si="0"/>
        <v>1549.3340501260002</v>
      </c>
      <c r="Q50">
        <f t="shared" si="4"/>
        <v>12.911777001560843</v>
      </c>
      <c r="R50">
        <f t="shared" si="5"/>
        <v>13.537810964698609</v>
      </c>
    </row>
    <row r="51" spans="15:18">
      <c r="O51">
        <v>480</v>
      </c>
      <c r="P51">
        <f t="shared" si="0"/>
        <v>1582.2986043840003</v>
      </c>
      <c r="Q51">
        <f t="shared" si="4"/>
        <v>13.186495661168522</v>
      </c>
      <c r="R51">
        <f t="shared" si="5"/>
        <v>13.825849495862411</v>
      </c>
    </row>
    <row r="52" spans="15:18">
      <c r="O52">
        <v>490</v>
      </c>
      <c r="P52">
        <f t="shared" si="0"/>
        <v>1615.2631586420002</v>
      </c>
      <c r="Q52">
        <f t="shared" si="4"/>
        <v>13.461214320776199</v>
      </c>
      <c r="R52">
        <f t="shared" si="5"/>
        <v>14.11388802702621</v>
      </c>
    </row>
    <row r="53" spans="15:18">
      <c r="O53">
        <v>500</v>
      </c>
      <c r="P53">
        <f t="shared" si="0"/>
        <v>1648.2277129000001</v>
      </c>
      <c r="Q53">
        <f t="shared" si="4"/>
        <v>13.735932980383875</v>
      </c>
      <c r="R53">
        <f t="shared" si="5"/>
        <v>14.401926558190011</v>
      </c>
    </row>
    <row r="54" spans="15:18">
      <c r="O54">
        <v>510</v>
      </c>
      <c r="P54">
        <f t="shared" si="0"/>
        <v>1681.1922671580003</v>
      </c>
      <c r="Q54">
        <f t="shared" si="4"/>
        <v>14.010651639991554</v>
      </c>
      <c r="R54">
        <f t="shared" si="5"/>
        <v>14.689965089353811</v>
      </c>
    </row>
    <row r="55" spans="15:18">
      <c r="O55">
        <v>520</v>
      </c>
      <c r="P55">
        <f t="shared" si="0"/>
        <v>1714.1568214160002</v>
      </c>
      <c r="Q55">
        <f t="shared" si="4"/>
        <v>14.285370299599231</v>
      </c>
      <c r="R55">
        <f t="shared" si="5"/>
        <v>14.978003620517612</v>
      </c>
    </row>
    <row r="56" spans="15:18">
      <c r="O56">
        <v>530</v>
      </c>
      <c r="P56">
        <f t="shared" si="0"/>
        <v>1747.1213756740003</v>
      </c>
      <c r="Q56">
        <f t="shared" si="4"/>
        <v>14.560088959206908</v>
      </c>
      <c r="R56">
        <f t="shared" si="5"/>
        <v>15.266042151681411</v>
      </c>
    </row>
    <row r="57" spans="15:18">
      <c r="O57">
        <v>540</v>
      </c>
      <c r="P57">
        <f t="shared" si="0"/>
        <v>1780.0859299320002</v>
      </c>
      <c r="Q57">
        <f t="shared" si="4"/>
        <v>14.834807618814587</v>
      </c>
      <c r="R57">
        <f t="shared" si="5"/>
        <v>15.554080682845211</v>
      </c>
    </row>
    <row r="58" spans="15:18">
      <c r="O58">
        <v>550</v>
      </c>
      <c r="P58">
        <f t="shared" si="0"/>
        <v>1813.0504841900004</v>
      </c>
      <c r="Q58">
        <f t="shared" si="4"/>
        <v>15.109526278422264</v>
      </c>
      <c r="R58">
        <f t="shared" si="5"/>
        <v>15.842119214009012</v>
      </c>
    </row>
    <row r="59" spans="15:18">
      <c r="O59">
        <v>560</v>
      </c>
      <c r="P59">
        <f t="shared" si="0"/>
        <v>1846.0150384480003</v>
      </c>
      <c r="Q59">
        <f t="shared" si="4"/>
        <v>15.384244938029941</v>
      </c>
      <c r="R59">
        <f t="shared" si="5"/>
        <v>16.130157745172813</v>
      </c>
    </row>
    <row r="60" spans="15:18">
      <c r="O60">
        <v>570</v>
      </c>
      <c r="P60">
        <f t="shared" si="0"/>
        <v>1878.9795927060002</v>
      </c>
      <c r="Q60">
        <f t="shared" si="4"/>
        <v>15.658963597637618</v>
      </c>
      <c r="R60">
        <f t="shared" si="5"/>
        <v>16.418196276336612</v>
      </c>
    </row>
    <row r="61" spans="15:18">
      <c r="O61">
        <v>580</v>
      </c>
      <c r="P61">
        <f t="shared" si="0"/>
        <v>1911.9441469640003</v>
      </c>
      <c r="Q61">
        <f t="shared" si="4"/>
        <v>15.933682257245296</v>
      </c>
      <c r="R61">
        <f t="shared" si="5"/>
        <v>16.706234807500412</v>
      </c>
    </row>
    <row r="62" spans="15:18">
      <c r="O62">
        <v>590</v>
      </c>
      <c r="P62">
        <f t="shared" si="0"/>
        <v>1944.9087012220002</v>
      </c>
      <c r="Q62">
        <f t="shared" si="4"/>
        <v>16.208400916852973</v>
      </c>
      <c r="R62">
        <f t="shared" si="5"/>
        <v>16.994273338664211</v>
      </c>
    </row>
    <row r="63" spans="15:18">
      <c r="O63">
        <v>600</v>
      </c>
      <c r="P63">
        <f t="shared" si="0"/>
        <v>1977.8732554800004</v>
      </c>
      <c r="Q63">
        <f t="shared" si="4"/>
        <v>16.483119576460652</v>
      </c>
      <c r="R63">
        <f t="shared" si="5"/>
        <v>17.282311869828014</v>
      </c>
    </row>
    <row r="64" spans="15:18">
      <c r="O64">
        <v>610</v>
      </c>
      <c r="P64">
        <f t="shared" si="0"/>
        <v>2010.8378097380003</v>
      </c>
      <c r="Q64">
        <f t="shared" si="4"/>
        <v>16.757838236068327</v>
      </c>
      <c r="R64">
        <f t="shared" si="5"/>
        <v>17.570350400991813</v>
      </c>
    </row>
    <row r="65" spans="15:18">
      <c r="O65">
        <v>620</v>
      </c>
      <c r="P65">
        <f t="shared" si="0"/>
        <v>2043.8023639960004</v>
      </c>
      <c r="Q65">
        <f t="shared" si="4"/>
        <v>17.032556895676006</v>
      </c>
      <c r="R65">
        <f t="shared" si="5"/>
        <v>17.858388932155613</v>
      </c>
    </row>
    <row r="66" spans="15:18">
      <c r="O66">
        <v>630</v>
      </c>
      <c r="P66">
        <f t="shared" si="0"/>
        <v>2076.7669182540003</v>
      </c>
      <c r="Q66">
        <f t="shared" si="4"/>
        <v>17.307275555283685</v>
      </c>
      <c r="R66">
        <f t="shared" si="5"/>
        <v>18.146427463319412</v>
      </c>
    </row>
    <row r="67" spans="15:18">
      <c r="O67">
        <v>640</v>
      </c>
      <c r="P67">
        <f t="shared" si="0"/>
        <v>2109.7314725120004</v>
      </c>
      <c r="Q67">
        <f t="shared" si="4"/>
        <v>17.58199421489136</v>
      </c>
      <c r="R67">
        <f t="shared" si="5"/>
        <v>18.434465994483212</v>
      </c>
    </row>
    <row r="68" spans="15:18">
      <c r="O68">
        <v>650</v>
      </c>
      <c r="P68">
        <f t="shared" si="0"/>
        <v>2142.6960267700001</v>
      </c>
      <c r="Q68">
        <f t="shared" si="4"/>
        <v>17.856712874499038</v>
      </c>
      <c r="R68">
        <f t="shared" si="5"/>
        <v>18.722504525647015</v>
      </c>
    </row>
    <row r="69" spans="15:18">
      <c r="O69">
        <v>660</v>
      </c>
      <c r="P69">
        <f t="shared" ref="P69:P103" si="7">$G$3*O69</f>
        <v>2175.6605810280003</v>
      </c>
      <c r="Q69">
        <f t="shared" si="4"/>
        <v>18.131431534106717</v>
      </c>
      <c r="R69">
        <f t="shared" si="5"/>
        <v>19.010543056810814</v>
      </c>
    </row>
    <row r="70" spans="15:18">
      <c r="O70">
        <v>670</v>
      </c>
      <c r="P70">
        <f t="shared" si="7"/>
        <v>2208.6251352860004</v>
      </c>
      <c r="Q70">
        <f t="shared" si="4"/>
        <v>18.406150193714392</v>
      </c>
      <c r="R70">
        <f t="shared" si="5"/>
        <v>19.298581587974613</v>
      </c>
    </row>
    <row r="71" spans="15:18">
      <c r="O71">
        <v>680</v>
      </c>
      <c r="P71">
        <f t="shared" si="7"/>
        <v>2241.5896895440005</v>
      </c>
      <c r="Q71">
        <f t="shared" si="4"/>
        <v>18.680868853322071</v>
      </c>
      <c r="R71">
        <f t="shared" si="5"/>
        <v>19.586620119138413</v>
      </c>
    </row>
    <row r="72" spans="15:18">
      <c r="O72">
        <v>690</v>
      </c>
      <c r="P72">
        <f t="shared" si="7"/>
        <v>2274.5542438020002</v>
      </c>
      <c r="Q72">
        <f t="shared" si="4"/>
        <v>18.95558751292975</v>
      </c>
      <c r="R72">
        <f t="shared" si="5"/>
        <v>19.874658650302216</v>
      </c>
    </row>
    <row r="73" spans="15:18">
      <c r="O73">
        <v>700</v>
      </c>
      <c r="P73">
        <f t="shared" si="7"/>
        <v>2307.5187980600003</v>
      </c>
      <c r="Q73">
        <f t="shared" si="4"/>
        <v>19.230306172537425</v>
      </c>
      <c r="R73">
        <f t="shared" si="5"/>
        <v>20.162697181466015</v>
      </c>
    </row>
    <row r="74" spans="15:18">
      <c r="O74">
        <v>710</v>
      </c>
      <c r="P74">
        <f t="shared" si="7"/>
        <v>2340.4833523180005</v>
      </c>
      <c r="Q74">
        <f t="shared" si="4"/>
        <v>19.505024832145104</v>
      </c>
      <c r="R74">
        <f t="shared" si="5"/>
        <v>20.450735712629815</v>
      </c>
    </row>
    <row r="75" spans="15:18">
      <c r="O75">
        <v>720</v>
      </c>
      <c r="P75">
        <f t="shared" si="7"/>
        <v>2373.4479065760002</v>
      </c>
      <c r="Q75">
        <f t="shared" si="4"/>
        <v>19.779743491752782</v>
      </c>
      <c r="R75">
        <f t="shared" si="5"/>
        <v>20.738774243793614</v>
      </c>
    </row>
    <row r="76" spans="15:18">
      <c r="O76">
        <v>730</v>
      </c>
      <c r="P76">
        <f t="shared" si="7"/>
        <v>2406.4124608340003</v>
      </c>
      <c r="Q76">
        <f t="shared" si="4"/>
        <v>20.054462151360458</v>
      </c>
      <c r="R76">
        <f t="shared" si="5"/>
        <v>21.026812774957417</v>
      </c>
    </row>
    <row r="77" spans="15:18">
      <c r="O77">
        <v>740</v>
      </c>
      <c r="P77">
        <f t="shared" si="7"/>
        <v>2439.3770150920004</v>
      </c>
      <c r="Q77">
        <f t="shared" si="4"/>
        <v>20.329180810968136</v>
      </c>
      <c r="R77">
        <f t="shared" si="5"/>
        <v>21.314851306121216</v>
      </c>
    </row>
    <row r="78" spans="15:18">
      <c r="O78">
        <v>750</v>
      </c>
      <c r="P78">
        <f t="shared" si="7"/>
        <v>2472.3415693500006</v>
      </c>
      <c r="Q78">
        <f t="shared" si="4"/>
        <v>20.603899470575815</v>
      </c>
      <c r="R78">
        <f t="shared" si="5"/>
        <v>21.602889837285016</v>
      </c>
    </row>
    <row r="79" spans="15:18">
      <c r="O79">
        <v>760</v>
      </c>
      <c r="P79">
        <f t="shared" si="7"/>
        <v>2505.3061236080002</v>
      </c>
      <c r="Q79">
        <f t="shared" si="4"/>
        <v>20.87861813018349</v>
      </c>
      <c r="R79">
        <f t="shared" si="5"/>
        <v>21.890928368448815</v>
      </c>
    </row>
    <row r="80" spans="15:18">
      <c r="O80">
        <v>770</v>
      </c>
      <c r="P80">
        <f t="shared" si="7"/>
        <v>2538.2706778660004</v>
      </c>
      <c r="Q80">
        <f t="shared" ref="Q80:Q103" si="8">$H$8*O80</f>
        <v>21.153336789791169</v>
      </c>
      <c r="R80">
        <f t="shared" ref="R80:R103" si="9">$I$8*O80</f>
        <v>22.178966899612615</v>
      </c>
    </row>
    <row r="81" spans="15:18">
      <c r="O81">
        <v>780</v>
      </c>
      <c r="P81">
        <f t="shared" si="7"/>
        <v>2571.2352321240005</v>
      </c>
      <c r="Q81">
        <f t="shared" si="8"/>
        <v>21.428055449398848</v>
      </c>
      <c r="R81">
        <f t="shared" si="9"/>
        <v>22.467005430776418</v>
      </c>
    </row>
    <row r="82" spans="15:18">
      <c r="O82">
        <v>790</v>
      </c>
      <c r="P82">
        <f t="shared" si="7"/>
        <v>2604.1997863820002</v>
      </c>
      <c r="Q82">
        <f t="shared" si="8"/>
        <v>21.702774109006523</v>
      </c>
      <c r="R82">
        <f t="shared" si="9"/>
        <v>22.755043961940217</v>
      </c>
    </row>
    <row r="83" spans="15:18">
      <c r="O83">
        <v>800</v>
      </c>
      <c r="P83">
        <f t="shared" si="7"/>
        <v>2637.1643406400003</v>
      </c>
      <c r="Q83">
        <f t="shared" si="8"/>
        <v>21.977492768614201</v>
      </c>
      <c r="R83">
        <f t="shared" si="9"/>
        <v>23.043082493104016</v>
      </c>
    </row>
    <row r="84" spans="15:18">
      <c r="O84">
        <v>810</v>
      </c>
      <c r="P84">
        <f t="shared" si="7"/>
        <v>2670.1288948980005</v>
      </c>
      <c r="Q84">
        <f t="shared" si="8"/>
        <v>22.25221142822188</v>
      </c>
      <c r="R84">
        <f t="shared" si="9"/>
        <v>23.331121024267816</v>
      </c>
    </row>
    <row r="85" spans="15:18">
      <c r="O85">
        <v>820</v>
      </c>
      <c r="P85">
        <f t="shared" si="7"/>
        <v>2703.0934491560006</v>
      </c>
      <c r="Q85">
        <f t="shared" si="8"/>
        <v>22.526930087829555</v>
      </c>
      <c r="R85">
        <f t="shared" si="9"/>
        <v>23.619159555431619</v>
      </c>
    </row>
    <row r="86" spans="15:18">
      <c r="O86">
        <v>830</v>
      </c>
      <c r="P86">
        <f t="shared" si="7"/>
        <v>2736.0580034140003</v>
      </c>
      <c r="Q86">
        <f t="shared" si="8"/>
        <v>22.801648747437234</v>
      </c>
      <c r="R86">
        <f t="shared" si="9"/>
        <v>23.907198086595418</v>
      </c>
    </row>
    <row r="87" spans="15:18">
      <c r="O87">
        <v>840</v>
      </c>
      <c r="P87">
        <f t="shared" si="7"/>
        <v>2769.0225576720004</v>
      </c>
      <c r="Q87">
        <f t="shared" si="8"/>
        <v>23.076367407044913</v>
      </c>
      <c r="R87">
        <f t="shared" si="9"/>
        <v>24.195236617759218</v>
      </c>
    </row>
    <row r="88" spans="15:18">
      <c r="O88">
        <v>850</v>
      </c>
      <c r="P88">
        <f t="shared" si="7"/>
        <v>2801.9871119300005</v>
      </c>
      <c r="Q88">
        <f t="shared" si="8"/>
        <v>23.351086066652588</v>
      </c>
      <c r="R88">
        <f t="shared" si="9"/>
        <v>24.483275148923017</v>
      </c>
    </row>
    <row r="89" spans="15:18">
      <c r="O89">
        <v>860</v>
      </c>
      <c r="P89">
        <f t="shared" si="7"/>
        <v>2834.9516661880002</v>
      </c>
      <c r="Q89">
        <f t="shared" si="8"/>
        <v>23.625804726260267</v>
      </c>
      <c r="R89">
        <f t="shared" si="9"/>
        <v>24.771313680086816</v>
      </c>
    </row>
    <row r="90" spans="15:18">
      <c r="O90">
        <v>870</v>
      </c>
      <c r="P90">
        <f t="shared" si="7"/>
        <v>2867.9162204460004</v>
      </c>
      <c r="Q90">
        <f t="shared" si="8"/>
        <v>23.900523385867945</v>
      </c>
      <c r="R90">
        <f t="shared" si="9"/>
        <v>25.059352211250619</v>
      </c>
    </row>
    <row r="91" spans="15:18">
      <c r="O91">
        <v>880</v>
      </c>
      <c r="P91">
        <f t="shared" si="7"/>
        <v>2900.8807747040005</v>
      </c>
      <c r="Q91">
        <f t="shared" si="8"/>
        <v>24.175242045475621</v>
      </c>
      <c r="R91">
        <f t="shared" si="9"/>
        <v>25.347390742414419</v>
      </c>
    </row>
    <row r="92" spans="15:18">
      <c r="O92">
        <v>890</v>
      </c>
      <c r="P92">
        <f t="shared" si="7"/>
        <v>2933.8453289620006</v>
      </c>
      <c r="Q92">
        <f t="shared" si="8"/>
        <v>24.449960705083299</v>
      </c>
      <c r="R92">
        <f t="shared" si="9"/>
        <v>25.635429273578218</v>
      </c>
    </row>
    <row r="93" spans="15:18">
      <c r="O93">
        <v>900</v>
      </c>
      <c r="P93">
        <f t="shared" si="7"/>
        <v>2966.8098832200003</v>
      </c>
      <c r="Q93">
        <f t="shared" si="8"/>
        <v>24.724679364690978</v>
      </c>
      <c r="R93">
        <f t="shared" si="9"/>
        <v>25.923467804742018</v>
      </c>
    </row>
    <row r="94" spans="15:18">
      <c r="O94">
        <v>910</v>
      </c>
      <c r="P94">
        <f t="shared" si="7"/>
        <v>2999.7744374780004</v>
      </c>
      <c r="Q94">
        <f t="shared" si="8"/>
        <v>24.999398024298653</v>
      </c>
      <c r="R94">
        <f t="shared" si="9"/>
        <v>26.21150633590582</v>
      </c>
    </row>
    <row r="95" spans="15:18">
      <c r="O95">
        <v>920</v>
      </c>
      <c r="P95">
        <f t="shared" si="7"/>
        <v>3032.7389917360006</v>
      </c>
      <c r="Q95">
        <f t="shared" si="8"/>
        <v>25.274116683906332</v>
      </c>
      <c r="R95">
        <f t="shared" si="9"/>
        <v>26.49954486706962</v>
      </c>
    </row>
    <row r="96" spans="15:18">
      <c r="O96">
        <v>930</v>
      </c>
      <c r="P96">
        <f t="shared" si="7"/>
        <v>3065.7035459940003</v>
      </c>
      <c r="Q96">
        <f t="shared" si="8"/>
        <v>25.548835343514011</v>
      </c>
      <c r="R96">
        <f t="shared" si="9"/>
        <v>26.787583398233419</v>
      </c>
    </row>
    <row r="97" spans="15:18">
      <c r="O97">
        <v>940</v>
      </c>
      <c r="P97">
        <f t="shared" si="7"/>
        <v>3098.6681002520004</v>
      </c>
      <c r="Q97">
        <f t="shared" si="8"/>
        <v>25.823554003121686</v>
      </c>
      <c r="R97">
        <f t="shared" si="9"/>
        <v>27.075621929397219</v>
      </c>
    </row>
    <row r="98" spans="15:18">
      <c r="O98">
        <v>950</v>
      </c>
      <c r="P98">
        <f t="shared" si="7"/>
        <v>3131.6326545100005</v>
      </c>
      <c r="Q98">
        <f t="shared" si="8"/>
        <v>26.098272662729364</v>
      </c>
      <c r="R98">
        <f t="shared" si="9"/>
        <v>27.363660460561022</v>
      </c>
    </row>
    <row r="99" spans="15:18">
      <c r="O99">
        <v>960</v>
      </c>
      <c r="P99">
        <f t="shared" si="7"/>
        <v>3164.5972087680007</v>
      </c>
      <c r="Q99">
        <f t="shared" si="8"/>
        <v>26.372991322337043</v>
      </c>
      <c r="R99">
        <f t="shared" si="9"/>
        <v>27.651698991724821</v>
      </c>
    </row>
    <row r="100" spans="15:18">
      <c r="O100">
        <v>970</v>
      </c>
      <c r="P100">
        <f t="shared" si="7"/>
        <v>3197.5617630260003</v>
      </c>
      <c r="Q100">
        <f t="shared" si="8"/>
        <v>26.647709981944718</v>
      </c>
      <c r="R100">
        <f t="shared" si="9"/>
        <v>27.93973752288862</v>
      </c>
    </row>
    <row r="101" spans="15:18">
      <c r="O101">
        <v>980</v>
      </c>
      <c r="P101">
        <f t="shared" si="7"/>
        <v>3230.5263172840005</v>
      </c>
      <c r="Q101">
        <f t="shared" si="8"/>
        <v>26.922428641552397</v>
      </c>
      <c r="R101">
        <f t="shared" si="9"/>
        <v>28.22777605405242</v>
      </c>
    </row>
    <row r="102" spans="15:18">
      <c r="O102">
        <v>990</v>
      </c>
      <c r="P102">
        <f t="shared" si="7"/>
        <v>3263.4908715420006</v>
      </c>
      <c r="Q102">
        <f t="shared" si="8"/>
        <v>27.197147301160076</v>
      </c>
      <c r="R102">
        <f t="shared" si="9"/>
        <v>28.515814585216219</v>
      </c>
    </row>
    <row r="103" spans="15:18">
      <c r="O103">
        <v>1000</v>
      </c>
      <c r="P103">
        <f t="shared" si="7"/>
        <v>3296.4554258000003</v>
      </c>
      <c r="Q103">
        <f t="shared" si="8"/>
        <v>27.471865960767751</v>
      </c>
      <c r="R103">
        <f t="shared" si="9"/>
        <v>28.803853116380022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X2" sqref="X2:AG9"/>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334</v>
      </c>
      <c r="D11" t="s">
        <v>335</v>
      </c>
      <c r="F11" s="141" t="s">
        <v>344</v>
      </c>
      <c r="G11" t="s">
        <v>333</v>
      </c>
      <c r="I11" s="141">
        <v>2020</v>
      </c>
      <c r="J11" s="141">
        <v>2030</v>
      </c>
      <c r="K11" s="141">
        <f>METHANOL!K35</f>
        <v>0.77723222404073466</v>
      </c>
      <c r="L11" s="141"/>
      <c r="N11" s="141">
        <v>0.95</v>
      </c>
      <c r="O11" s="142">
        <v>20</v>
      </c>
      <c r="P11" s="141">
        <v>1</v>
      </c>
      <c r="Q11" s="141">
        <f>(METHANOL!I18+METHANOL!I20)*4/365</f>
        <v>0.38946766540468286</v>
      </c>
      <c r="R11" s="141">
        <f>METHANOL!I19*4/365</f>
        <v>2.1191852426468579E-3</v>
      </c>
      <c r="S11" s="143"/>
      <c r="T11" s="143"/>
      <c r="Y11" s="128" t="s">
        <v>264</v>
      </c>
      <c r="Z11" s="129"/>
      <c r="AA11" s="129"/>
      <c r="AB11" s="129"/>
      <c r="AC11" s="129"/>
      <c r="AD11" s="129"/>
      <c r="AE11" s="129"/>
      <c r="AF11" s="129"/>
    </row>
    <row r="12" spans="3:32">
      <c r="I12" s="133">
        <v>2030</v>
      </c>
      <c r="J12" s="133"/>
      <c r="K12" s="141">
        <f>METHANOL!K35</f>
        <v>0.77723222404073466</v>
      </c>
      <c r="N12">
        <v>0.95</v>
      </c>
      <c r="O12" s="138">
        <v>20</v>
      </c>
      <c r="P12" s="140">
        <v>1</v>
      </c>
      <c r="Q12" s="141">
        <f>(METHANOL!I18+METHANOL!I20)*4/365</f>
        <v>0.38946766540468286</v>
      </c>
      <c r="R12" s="141">
        <f>METHANOL!I19*4/365</f>
        <v>2.1191852426468579E-3</v>
      </c>
      <c r="S12" s="137"/>
      <c r="T12" s="137"/>
      <c r="Y12" s="130" t="s">
        <v>265</v>
      </c>
      <c r="Z12" s="130" t="s">
        <v>223</v>
      </c>
      <c r="AA12" s="130" t="s">
        <v>224</v>
      </c>
      <c r="AB12" s="130" t="s">
        <v>266</v>
      </c>
      <c r="AC12" s="130" t="s">
        <v>267</v>
      </c>
      <c r="AD12" s="130" t="s">
        <v>268</v>
      </c>
      <c r="AE12" s="130" t="s">
        <v>269</v>
      </c>
      <c r="AF12" s="130" t="s">
        <v>270</v>
      </c>
    </row>
    <row r="13" spans="3:32" ht="42.6" thickBot="1">
      <c r="I13">
        <v>2050</v>
      </c>
      <c r="K13">
        <f>METHANOL!L35</f>
        <v>0.82673617425390478</v>
      </c>
      <c r="N13">
        <v>0.95</v>
      </c>
      <c r="O13" s="138">
        <v>20</v>
      </c>
      <c r="P13" s="140">
        <v>1</v>
      </c>
      <c r="Q13" s="141">
        <f>(METHANOL!I18+METHANOL!I20)*4/365</f>
        <v>0.38946766540468286</v>
      </c>
      <c r="R13" s="141">
        <f>METHANOL!I19*4/365</f>
        <v>2.1191852426468579E-3</v>
      </c>
      <c r="S13" s="137"/>
      <c r="T13" s="137"/>
      <c r="Y13" s="131" t="s">
        <v>271</v>
      </c>
      <c r="Z13" s="131" t="s">
        <v>272</v>
      </c>
      <c r="AA13" s="131" t="s">
        <v>242</v>
      </c>
      <c r="AB13" s="131" t="s">
        <v>273</v>
      </c>
      <c r="AC13" s="131" t="s">
        <v>274</v>
      </c>
      <c r="AD13" s="131" t="s">
        <v>275</v>
      </c>
      <c r="AE13" s="131" t="s">
        <v>276</v>
      </c>
      <c r="AF13" s="131" t="s">
        <v>277</v>
      </c>
    </row>
    <row r="14" spans="3:32" ht="15" thickBot="1">
      <c r="Y14" s="131" t="s">
        <v>278</v>
      </c>
      <c r="Z14" s="131"/>
      <c r="AA14" s="131"/>
      <c r="AB14" s="131"/>
      <c r="AC14" s="131"/>
      <c r="AD14" s="131"/>
      <c r="AE14" s="131"/>
      <c r="AF14" s="131"/>
    </row>
    <row r="15" spans="3:32">
      <c r="Y15" t="s">
        <v>279</v>
      </c>
      <c r="Z15" t="s">
        <v>334</v>
      </c>
      <c r="AA15" t="s">
        <v>335</v>
      </c>
      <c r="AB15" t="s">
        <v>222</v>
      </c>
      <c r="AC15" t="s">
        <v>297</v>
      </c>
      <c r="AD15" s="133" t="s">
        <v>220</v>
      </c>
      <c r="AE15" t="s">
        <v>333</v>
      </c>
      <c r="AF15" t="s">
        <v>280</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216</v>
      </c>
      <c r="I2" s="65" t="s">
        <v>155</v>
      </c>
    </row>
    <row r="3" spans="2:19">
      <c r="I3" t="s">
        <v>219</v>
      </c>
      <c r="P3" t="s">
        <v>1</v>
      </c>
    </row>
    <row r="5" spans="2:19">
      <c r="I5" s="47" t="s">
        <v>25</v>
      </c>
      <c r="J5" s="52">
        <v>20</v>
      </c>
    </row>
    <row r="7" spans="2:19">
      <c r="P7" t="s">
        <v>218</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339</v>
      </c>
      <c r="J17">
        <f>J10/1000000</f>
        <v>2.2049999999999999E-3</v>
      </c>
      <c r="K17">
        <f>K10/1000000</f>
        <v>1.7149999999999999E-3</v>
      </c>
    </row>
    <row r="18" spans="9:20">
      <c r="I18" s="62" t="s">
        <v>336</v>
      </c>
      <c r="J18" s="63">
        <f>J11/(1000000*$P$19*$P$9)</f>
        <v>18.136342649856541</v>
      </c>
      <c r="P18" t="s">
        <v>161</v>
      </c>
      <c r="S18" t="s">
        <v>298</v>
      </c>
    </row>
    <row r="19" spans="9:20">
      <c r="I19" s="62" t="s">
        <v>337</v>
      </c>
      <c r="J19" s="63">
        <f>J12/(1000000*$P$19*$P$9)</f>
        <v>9.8872405206880537E-2</v>
      </c>
      <c r="P19">
        <v>3.5999999999999998E-6</v>
      </c>
      <c r="S19">
        <v>45000</v>
      </c>
      <c r="T19" t="s">
        <v>299</v>
      </c>
    </row>
    <row r="20" spans="9:20">
      <c r="I20" s="62" t="s">
        <v>338</v>
      </c>
      <c r="J20" s="63">
        <f>J13/(1000000*$P$19*$P$9)</f>
        <v>3.4605341822408188E-2</v>
      </c>
    </row>
    <row r="22" spans="9:20">
      <c r="S22">
        <f>P9*P19*S19</f>
        <v>1.9359</v>
      </c>
    </row>
    <row r="24" spans="9:20">
      <c r="I24" t="s">
        <v>153</v>
      </c>
      <c r="L24" t="s">
        <v>301</v>
      </c>
      <c r="M24" t="s">
        <v>302</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K16" sqref="K16"/>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1.6">
      <c r="C10" s="134" t="s">
        <v>257</v>
      </c>
      <c r="D10" s="134"/>
      <c r="E10" s="134"/>
      <c r="F10" s="134"/>
      <c r="G10" s="134"/>
      <c r="H10" s="134"/>
      <c r="I10" s="134"/>
      <c r="J10" s="134"/>
      <c r="K10" s="134" t="s">
        <v>258</v>
      </c>
      <c r="L10" s="134" t="s">
        <v>259</v>
      </c>
      <c r="M10" s="134" t="s">
        <v>259</v>
      </c>
      <c r="N10" s="134" t="s">
        <v>260</v>
      </c>
      <c r="O10" s="134" t="s">
        <v>261</v>
      </c>
      <c r="P10" s="134" t="s">
        <v>262</v>
      </c>
      <c r="Q10" s="134" t="s">
        <v>303</v>
      </c>
      <c r="R10" s="134" t="s">
        <v>303</v>
      </c>
      <c r="S10" s="134" t="s">
        <v>263</v>
      </c>
      <c r="T10" s="134" t="s">
        <v>261</v>
      </c>
    </row>
    <row r="11" spans="3:32">
      <c r="C11" s="141" t="s">
        <v>341</v>
      </c>
      <c r="D11" s="141" t="s">
        <v>342</v>
      </c>
      <c r="E11" s="141"/>
      <c r="F11" s="141" t="s">
        <v>343</v>
      </c>
      <c r="G11" s="141" t="s">
        <v>340</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264</v>
      </c>
      <c r="Z11" s="129"/>
      <c r="AA11" s="129"/>
      <c r="AB11" s="129"/>
      <c r="AC11" s="129"/>
      <c r="AD11" s="129"/>
      <c r="AE11" s="129"/>
      <c r="AF11" s="129"/>
    </row>
    <row r="12" spans="3:32">
      <c r="E12" t="s">
        <v>326</v>
      </c>
      <c r="J12" s="133"/>
      <c r="L12">
        <v>0.1</v>
      </c>
      <c r="T12" s="137"/>
      <c r="Y12" s="130" t="s">
        <v>265</v>
      </c>
      <c r="Z12" s="130" t="s">
        <v>223</v>
      </c>
      <c r="AA12" s="130" t="s">
        <v>224</v>
      </c>
      <c r="AB12" s="130" t="s">
        <v>266</v>
      </c>
      <c r="AC12" s="130" t="s">
        <v>267</v>
      </c>
      <c r="AD12" s="130" t="s">
        <v>268</v>
      </c>
      <c r="AE12" s="130" t="s">
        <v>269</v>
      </c>
      <c r="AF12" s="130" t="s">
        <v>270</v>
      </c>
    </row>
    <row r="13" spans="3:32" ht="42.6" thickBot="1">
      <c r="F13" t="s">
        <v>343</v>
      </c>
      <c r="G13" t="s">
        <v>340</v>
      </c>
      <c r="I13" s="133">
        <v>2030</v>
      </c>
      <c r="K13">
        <v>1</v>
      </c>
      <c r="N13">
        <v>0.95</v>
      </c>
      <c r="O13" s="138">
        <v>20</v>
      </c>
      <c r="P13" s="140">
        <v>1</v>
      </c>
      <c r="Q13">
        <f>('JET FUEL'!$J$18+'JET FUEL'!$J$20)*4/365</f>
        <v>0.19913367662113918</v>
      </c>
      <c r="R13">
        <f>'JET FUEL'!$J$19*4/365</f>
        <v>1.0835332077466361E-3</v>
      </c>
      <c r="T13" s="137"/>
      <c r="Y13" s="131" t="s">
        <v>271</v>
      </c>
      <c r="Z13" s="131" t="s">
        <v>272</v>
      </c>
      <c r="AA13" s="131" t="s">
        <v>242</v>
      </c>
      <c r="AB13" s="131" t="s">
        <v>273</v>
      </c>
      <c r="AC13" s="131" t="s">
        <v>274</v>
      </c>
      <c r="AD13" s="131" t="s">
        <v>275</v>
      </c>
      <c r="AE13" s="131" t="s">
        <v>276</v>
      </c>
      <c r="AF13" s="131" t="s">
        <v>277</v>
      </c>
    </row>
    <row r="14" spans="3:32" ht="15" thickBot="1">
      <c r="E14" t="s">
        <v>326</v>
      </c>
      <c r="L14">
        <v>0.1</v>
      </c>
      <c r="Y14" s="131" t="s">
        <v>278</v>
      </c>
      <c r="Z14" s="131"/>
      <c r="AA14" s="131"/>
      <c r="AB14" s="131"/>
      <c r="AC14" s="131"/>
      <c r="AD14" s="131"/>
      <c r="AE14" s="131"/>
      <c r="AF14" s="131"/>
    </row>
    <row r="15" spans="3:32">
      <c r="F15" t="s">
        <v>343</v>
      </c>
      <c r="G15" t="s">
        <v>340</v>
      </c>
      <c r="I15">
        <v>2050</v>
      </c>
      <c r="K15">
        <v>1</v>
      </c>
      <c r="N15">
        <v>0.95</v>
      </c>
      <c r="O15" s="138">
        <v>20</v>
      </c>
      <c r="P15" s="140">
        <v>1</v>
      </c>
      <c r="Q15">
        <f>('JET FUEL'!$J$18+'JET FUEL'!$J$20)*4/365</f>
        <v>0.19913367662113918</v>
      </c>
      <c r="R15">
        <f>'JET FUEL'!$J$19*4/365</f>
        <v>1.0835332077466361E-3</v>
      </c>
      <c r="Y15" t="s">
        <v>279</v>
      </c>
      <c r="Z15" t="s">
        <v>341</v>
      </c>
      <c r="AA15" t="s">
        <v>342</v>
      </c>
      <c r="AB15" t="s">
        <v>222</v>
      </c>
      <c r="AC15" t="s">
        <v>297</v>
      </c>
      <c r="AD15" s="133" t="s">
        <v>220</v>
      </c>
      <c r="AE15" t="s">
        <v>340</v>
      </c>
      <c r="AF15" t="s">
        <v>280</v>
      </c>
    </row>
    <row r="16" spans="3:32">
      <c r="E16" t="s">
        <v>326</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L61"/>
  <sheetViews>
    <sheetView topLeftCell="A4" workbookViewId="0">
      <selection activeCell="G35" sqref="G35"/>
    </sheetView>
  </sheetViews>
  <sheetFormatPr defaultRowHeight="14.4"/>
  <cols>
    <col min="2" max="2" width="44.88671875" customWidth="1"/>
  </cols>
  <sheetData>
    <row r="1" spans="1:12">
      <c r="A1" s="12" t="s">
        <v>2</v>
      </c>
      <c r="B1" s="13"/>
      <c r="C1" s="147" t="s">
        <v>3</v>
      </c>
      <c r="D1" s="147"/>
      <c r="E1" s="147"/>
      <c r="F1" s="147"/>
      <c r="G1" s="147"/>
      <c r="H1" s="147"/>
      <c r="I1" s="147"/>
      <c r="J1" s="147"/>
      <c r="K1" s="147"/>
      <c r="L1" s="147"/>
    </row>
    <row r="2" spans="1:12">
      <c r="A2" s="14" t="s">
        <v>4</v>
      </c>
      <c r="B2" s="13"/>
      <c r="C2" s="15">
        <v>2015</v>
      </c>
      <c r="D2" s="15">
        <v>2020</v>
      </c>
      <c r="E2" s="16">
        <v>2030</v>
      </c>
      <c r="F2" s="16">
        <v>2050</v>
      </c>
      <c r="G2" s="17">
        <v>2020</v>
      </c>
      <c r="H2" s="17">
        <v>2020</v>
      </c>
      <c r="I2" s="17">
        <v>2050</v>
      </c>
      <c r="J2" s="17">
        <v>2050</v>
      </c>
      <c r="K2" s="18" t="s">
        <v>5</v>
      </c>
      <c r="L2" s="18" t="s">
        <v>6</v>
      </c>
    </row>
    <row r="3" spans="1:12">
      <c r="A3" s="12" t="s">
        <v>7</v>
      </c>
      <c r="B3" s="13"/>
      <c r="C3" s="19" t="s">
        <v>8</v>
      </c>
      <c r="D3" s="19" t="s">
        <v>8</v>
      </c>
      <c r="E3" s="20" t="s">
        <v>8</v>
      </c>
      <c r="F3" s="20" t="s">
        <v>8</v>
      </c>
      <c r="G3" s="20" t="s">
        <v>9</v>
      </c>
      <c r="H3" s="20" t="s">
        <v>10</v>
      </c>
      <c r="I3" s="20" t="s">
        <v>9</v>
      </c>
      <c r="J3" s="20" t="s">
        <v>10</v>
      </c>
      <c r="K3" s="18" t="s">
        <v>11</v>
      </c>
      <c r="L3" s="18" t="s">
        <v>11</v>
      </c>
    </row>
    <row r="4" spans="1:12">
      <c r="A4" s="21" t="s">
        <v>12</v>
      </c>
      <c r="B4" s="21" t="s">
        <v>13</v>
      </c>
      <c r="C4" s="22"/>
      <c r="D4" s="23"/>
      <c r="E4" s="23"/>
      <c r="F4" s="23"/>
      <c r="G4" s="22"/>
      <c r="H4" s="22"/>
      <c r="I4" s="22"/>
      <c r="J4" s="22"/>
      <c r="K4" s="24"/>
      <c r="L4" s="24"/>
    </row>
    <row r="5" spans="1:12">
      <c r="A5" s="25" t="s">
        <v>14</v>
      </c>
      <c r="B5" s="26"/>
      <c r="C5" s="23"/>
      <c r="D5" s="23"/>
      <c r="E5" s="23"/>
      <c r="F5" s="23"/>
      <c r="G5" s="22"/>
      <c r="H5" s="22"/>
      <c r="I5" s="22"/>
      <c r="J5" s="22"/>
      <c r="K5" s="24"/>
      <c r="L5" s="24"/>
    </row>
    <row r="6" spans="1:12">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2">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2">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2">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2">
      <c r="A10" s="25"/>
      <c r="B10" s="27" t="s">
        <v>21</v>
      </c>
      <c r="C10" s="22" t="s">
        <v>22</v>
      </c>
      <c r="D10" s="22" t="s">
        <v>22</v>
      </c>
      <c r="E10" s="22" t="s">
        <v>22</v>
      </c>
      <c r="F10" s="22" t="s">
        <v>22</v>
      </c>
      <c r="G10" s="22" t="s">
        <v>22</v>
      </c>
      <c r="H10" s="22" t="s">
        <v>22</v>
      </c>
      <c r="I10" s="22" t="s">
        <v>22</v>
      </c>
      <c r="J10" s="22" t="s">
        <v>22</v>
      </c>
      <c r="K10" s="30" t="s">
        <v>23</v>
      </c>
      <c r="L10" s="30"/>
    </row>
    <row r="11" spans="1:12">
      <c r="A11" s="25"/>
      <c r="B11" s="27" t="s">
        <v>24</v>
      </c>
      <c r="C11" s="22" t="s">
        <v>22</v>
      </c>
      <c r="D11" s="22" t="s">
        <v>22</v>
      </c>
      <c r="E11" s="22" t="s">
        <v>22</v>
      </c>
      <c r="F11" s="22" t="s">
        <v>22</v>
      </c>
      <c r="G11" s="22" t="s">
        <v>22</v>
      </c>
      <c r="H11" s="22" t="s">
        <v>22</v>
      </c>
      <c r="I11" s="22" t="s">
        <v>22</v>
      </c>
      <c r="J11" s="22" t="s">
        <v>22</v>
      </c>
      <c r="K11" s="30" t="s">
        <v>23</v>
      </c>
      <c r="L11" s="30">
        <v>4</v>
      </c>
    </row>
    <row r="12" spans="1:12">
      <c r="A12" s="25"/>
      <c r="B12" s="27" t="s">
        <v>25</v>
      </c>
      <c r="C12" s="22">
        <v>40</v>
      </c>
      <c r="D12" s="22">
        <v>40</v>
      </c>
      <c r="E12" s="22">
        <v>40</v>
      </c>
      <c r="F12" s="22">
        <v>40</v>
      </c>
      <c r="G12" s="22">
        <v>35</v>
      </c>
      <c r="H12" s="22">
        <v>40</v>
      </c>
      <c r="I12" s="22">
        <v>40</v>
      </c>
      <c r="J12" s="22">
        <v>50</v>
      </c>
      <c r="K12" s="30" t="s">
        <v>26</v>
      </c>
      <c r="L12" s="30">
        <v>5</v>
      </c>
    </row>
    <row r="13" spans="1:12">
      <c r="A13" s="25"/>
      <c r="B13" s="27" t="s">
        <v>27</v>
      </c>
      <c r="C13" s="31">
        <v>0.45</v>
      </c>
      <c r="D13" s="31">
        <v>0.45</v>
      </c>
      <c r="E13" s="31">
        <v>0.45</v>
      </c>
      <c r="F13" s="31">
        <v>0.45</v>
      </c>
      <c r="G13" s="31">
        <v>0.45</v>
      </c>
      <c r="H13" s="31">
        <v>0.45</v>
      </c>
      <c r="I13" s="32">
        <f>C13*0.94</f>
        <v>0.42299999999999999</v>
      </c>
      <c r="J13" s="32">
        <f>C13*1.2</f>
        <v>0.54</v>
      </c>
      <c r="K13" s="30" t="s">
        <v>28</v>
      </c>
      <c r="L13" s="30"/>
    </row>
    <row r="14" spans="1:12">
      <c r="A14" s="25"/>
      <c r="B14" s="27" t="s">
        <v>29</v>
      </c>
      <c r="C14" s="22">
        <v>1.5</v>
      </c>
      <c r="D14" s="22">
        <v>1.5</v>
      </c>
      <c r="E14" s="22">
        <v>1.5</v>
      </c>
      <c r="F14" s="22">
        <v>1.5</v>
      </c>
      <c r="G14" s="22">
        <v>1</v>
      </c>
      <c r="H14" s="22">
        <v>5</v>
      </c>
      <c r="I14" s="22">
        <v>1</v>
      </c>
      <c r="J14" s="22">
        <v>5</v>
      </c>
      <c r="K14" s="30" t="s">
        <v>30</v>
      </c>
      <c r="L14" s="30"/>
    </row>
    <row r="15" spans="1:12">
      <c r="A15" s="25" t="s">
        <v>31</v>
      </c>
      <c r="B15" s="26"/>
      <c r="C15" s="23"/>
      <c r="D15" s="23"/>
      <c r="E15" s="23"/>
      <c r="F15" s="23"/>
      <c r="G15" s="23"/>
      <c r="H15" s="23"/>
      <c r="I15" s="23"/>
      <c r="J15" s="23"/>
      <c r="K15" s="24"/>
      <c r="L15" s="24"/>
    </row>
    <row r="16" spans="1:12">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3" workbookViewId="0">
      <selection activeCell="D13" sqref="D13:E13"/>
    </sheetView>
  </sheetViews>
  <sheetFormatPr defaultRowHeight="14.4"/>
  <cols>
    <col min="2" max="2" width="41.6640625" customWidth="1"/>
  </cols>
  <sheetData>
    <row r="1" spans="1:11">
      <c r="A1" s="12" t="s">
        <v>2</v>
      </c>
      <c r="B1" s="13"/>
      <c r="C1" s="148" t="s">
        <v>86</v>
      </c>
      <c r="D1" s="148"/>
      <c r="E1" s="148"/>
      <c r="F1" s="148"/>
      <c r="G1" s="148"/>
      <c r="H1" s="148"/>
      <c r="I1" s="148"/>
      <c r="J1" s="148"/>
      <c r="K1" s="148"/>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48" t="s">
        <v>110</v>
      </c>
      <c r="D1" s="148"/>
      <c r="E1" s="148"/>
      <c r="F1" s="148"/>
      <c r="G1" s="148"/>
      <c r="H1" s="148"/>
      <c r="I1" s="148"/>
      <c r="J1" s="148"/>
      <c r="K1" s="148"/>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48" t="s">
        <v>122</v>
      </c>
      <c r="D1" s="148"/>
      <c r="E1" s="148"/>
      <c r="F1" s="148"/>
      <c r="G1" s="148"/>
      <c r="H1" s="148"/>
      <c r="I1" s="148"/>
      <c r="J1" s="148"/>
      <c r="K1" s="148"/>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47" t="s">
        <v>180</v>
      </c>
      <c r="D1" s="149"/>
      <c r="E1" s="149"/>
      <c r="F1" s="149"/>
      <c r="G1" s="149"/>
      <c r="H1" s="149"/>
      <c r="I1" s="149"/>
      <c r="J1" s="149"/>
      <c r="K1" s="149"/>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C1" zoomScale="78" workbookViewId="0">
      <selection activeCell="W25" sqref="W25"/>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259</v>
      </c>
      <c r="M10" s="131" t="s">
        <v>259</v>
      </c>
      <c r="N10" s="131" t="s">
        <v>260</v>
      </c>
      <c r="O10" s="131" t="s">
        <v>261</v>
      </c>
      <c r="P10" s="131" t="s">
        <v>262</v>
      </c>
      <c r="Q10" s="134" t="s">
        <v>281</v>
      </c>
      <c r="R10" s="134" t="s">
        <v>281</v>
      </c>
      <c r="S10" s="131" t="s">
        <v>263</v>
      </c>
      <c r="T10" s="134" t="s">
        <v>261</v>
      </c>
    </row>
    <row r="11" spans="3:32">
      <c r="C11" t="s">
        <v>287</v>
      </c>
      <c r="D11" t="s">
        <v>288</v>
      </c>
      <c r="F11" t="s">
        <v>289</v>
      </c>
      <c r="G11" t="s">
        <v>290</v>
      </c>
      <c r="I11">
        <v>2020</v>
      </c>
      <c r="J11" s="135">
        <v>2030</v>
      </c>
      <c r="K11">
        <f>1-0.003</f>
        <v>0.997</v>
      </c>
      <c r="N11">
        <v>0.45</v>
      </c>
      <c r="O11" s="136">
        <v>40</v>
      </c>
      <c r="P11" s="140">
        <v>31.536000000000001</v>
      </c>
      <c r="Q11">
        <f>'Transmission lines'!P13</f>
        <v>329.64554258000004</v>
      </c>
      <c r="R11">
        <f>'Transmission lines'!G8*'Transmission lines'!O13</f>
        <v>2.6201474376260068</v>
      </c>
      <c r="T11" s="137">
        <v>1.5</v>
      </c>
      <c r="Y11" s="128" t="s">
        <v>264</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lines'!P13</f>
        <v>329.64554258000004</v>
      </c>
      <c r="R12">
        <f>'Transmission lines'!Q13</f>
        <v>2.7471865960767752</v>
      </c>
      <c r="T12" s="137">
        <v>1.5</v>
      </c>
      <c r="Y12" s="130" t="s">
        <v>265</v>
      </c>
      <c r="Z12" s="130" t="s">
        <v>223</v>
      </c>
      <c r="AA12" s="130" t="s">
        <v>224</v>
      </c>
      <c r="AB12" s="130" t="s">
        <v>266</v>
      </c>
      <c r="AC12" s="130" t="s">
        <v>267</v>
      </c>
      <c r="AD12" s="130" t="s">
        <v>268</v>
      </c>
      <c r="AE12" s="130" t="s">
        <v>269</v>
      </c>
      <c r="AF12" s="130" t="s">
        <v>270</v>
      </c>
    </row>
    <row r="13" spans="3:32" ht="42.6" thickBot="1">
      <c r="I13">
        <v>2050</v>
      </c>
      <c r="K13">
        <f t="shared" si="0"/>
        <v>0.997</v>
      </c>
      <c r="N13">
        <v>0.45</v>
      </c>
      <c r="O13">
        <v>40</v>
      </c>
      <c r="P13" s="140">
        <v>31.536000000000001</v>
      </c>
      <c r="Q13">
        <f>'Transmission lines'!P13</f>
        <v>329.64554258000004</v>
      </c>
      <c r="R13">
        <f>'Transmission lines'!R13</f>
        <v>2.880385311638002</v>
      </c>
      <c r="T13">
        <v>1.5</v>
      </c>
      <c r="Y13" s="131" t="s">
        <v>271</v>
      </c>
      <c r="Z13" s="131" t="s">
        <v>272</v>
      </c>
      <c r="AA13" s="131" t="s">
        <v>242</v>
      </c>
      <c r="AB13" s="131" t="s">
        <v>273</v>
      </c>
      <c r="AC13" s="131" t="s">
        <v>274</v>
      </c>
      <c r="AD13" s="131" t="s">
        <v>275</v>
      </c>
      <c r="AE13" s="131" t="s">
        <v>276</v>
      </c>
      <c r="AF13" s="131" t="s">
        <v>277</v>
      </c>
    </row>
    <row r="14" spans="3:32" ht="15" thickBot="1">
      <c r="H14" s="133"/>
      <c r="O14" s="138"/>
      <c r="T14" s="137"/>
      <c r="Y14" s="131" t="s">
        <v>278</v>
      </c>
      <c r="Z14" s="131"/>
      <c r="AA14" s="131"/>
      <c r="AB14" s="131"/>
      <c r="AC14" s="131"/>
      <c r="AD14" s="131"/>
      <c r="AE14" s="131"/>
      <c r="AF14" s="131"/>
    </row>
    <row r="15" spans="3:32">
      <c r="I15" s="133"/>
      <c r="O15" s="138"/>
      <c r="P15" s="140"/>
      <c r="T15" s="137"/>
      <c r="Y15" t="s">
        <v>279</v>
      </c>
      <c r="Z15" t="s">
        <v>287</v>
      </c>
      <c r="AA15" t="s">
        <v>288</v>
      </c>
      <c r="AB15" s="139" t="s">
        <v>222</v>
      </c>
      <c r="AC15" s="139" t="s">
        <v>282</v>
      </c>
      <c r="AD15" s="133" t="s">
        <v>220</v>
      </c>
      <c r="AE15" t="s">
        <v>290</v>
      </c>
      <c r="AF15" s="139" t="s">
        <v>280</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M20" sqref="M2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10" spans="3:21">
      <c r="D10">
        <v>2030</v>
      </c>
      <c r="E10">
        <v>2050</v>
      </c>
      <c r="P10" t="s">
        <v>161</v>
      </c>
    </row>
    <row r="11" spans="3:21">
      <c r="C11" s="27" t="s">
        <v>209</v>
      </c>
      <c r="D11" s="54">
        <v>0.26584317950000003</v>
      </c>
      <c r="E11" s="48">
        <v>0.19938238462500002</v>
      </c>
      <c r="P11">
        <v>3.5999999999999998E-6</v>
      </c>
      <c r="T11" t="s">
        <v>298</v>
      </c>
    </row>
    <row r="12" spans="3:21">
      <c r="C12" t="s">
        <v>207</v>
      </c>
      <c r="D12" s="63">
        <f>D11*1000/1000000</f>
        <v>2.6584317950000002E-4</v>
      </c>
      <c r="E12" s="63">
        <f>E11*1000/1000000</f>
        <v>1.9938238462500002E-4</v>
      </c>
      <c r="M12">
        <v>2030</v>
      </c>
      <c r="N12">
        <v>2050</v>
      </c>
      <c r="T12">
        <v>10000</v>
      </c>
      <c r="U12" t="s">
        <v>299</v>
      </c>
    </row>
    <row r="13" spans="3:21">
      <c r="L13" s="27" t="s">
        <v>123</v>
      </c>
      <c r="M13" s="52">
        <v>2025</v>
      </c>
      <c r="N13" s="52">
        <v>1575</v>
      </c>
    </row>
    <row r="14" spans="3:21">
      <c r="L14" t="s">
        <v>300</v>
      </c>
      <c r="M14">
        <f>M13/1000000</f>
        <v>2.0249999999999999E-3</v>
      </c>
      <c r="N14">
        <f>N13/1000000</f>
        <v>1.575E-3</v>
      </c>
      <c r="T14">
        <f>P4*P11*T12</f>
        <v>1.1998799999999998</v>
      </c>
      <c r="U14" t="s">
        <v>222</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304</v>
      </c>
      <c r="M20" s="63">
        <f>M16/(33.33*1000000*$P$11)</f>
        <v>124.07255768910225</v>
      </c>
      <c r="N20" s="63">
        <f>N16/(33.33*1000000*$P$11)</f>
        <v>88.623255492215904</v>
      </c>
    </row>
    <row r="21" spans="3:16">
      <c r="C21" t="s">
        <v>153</v>
      </c>
      <c r="D21" t="s">
        <v>210</v>
      </c>
      <c r="E21" t="s">
        <v>211</v>
      </c>
      <c r="F21" t="s">
        <v>212</v>
      </c>
      <c r="G21" t="s">
        <v>213</v>
      </c>
      <c r="L21" s="62" t="s">
        <v>305</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306</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301</v>
      </c>
      <c r="P25" t="s">
        <v>302</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opLeftCell="D1" zoomScale="62" workbookViewId="0">
      <selection activeCell="X2" sqref="X2:AH8"/>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293</v>
      </c>
      <c r="D11" t="s">
        <v>295</v>
      </c>
      <c r="F11" t="s">
        <v>156</v>
      </c>
      <c r="G11" t="s">
        <v>292</v>
      </c>
      <c r="I11">
        <v>2020</v>
      </c>
      <c r="J11">
        <v>2030</v>
      </c>
      <c r="K11">
        <v>0.98499999999999999</v>
      </c>
      <c r="N11">
        <v>0.95</v>
      </c>
      <c r="O11" s="138">
        <v>50</v>
      </c>
      <c r="P11" s="140">
        <v>31.536000000000001</v>
      </c>
      <c r="Q11">
        <f>'H2'!$E$31</f>
        <v>24.457572514000002</v>
      </c>
      <c r="R11">
        <f>'H2'!$F$31</f>
        <v>2.6584317950000002E-2</v>
      </c>
      <c r="T11" s="137">
        <v>1</v>
      </c>
      <c r="Y11" s="128" t="s">
        <v>264</v>
      </c>
      <c r="Z11" s="129"/>
      <c r="AA11" s="129"/>
      <c r="AB11" s="129"/>
      <c r="AC11" s="129"/>
      <c r="AD11" s="129"/>
      <c r="AE11" s="129"/>
      <c r="AF11" s="129"/>
    </row>
    <row r="12" spans="3:32">
      <c r="I12" s="133">
        <v>2030</v>
      </c>
      <c r="J12" s="133"/>
      <c r="K12">
        <v>0.98499999999999999</v>
      </c>
      <c r="N12">
        <v>0.95</v>
      </c>
      <c r="O12" s="138">
        <v>50</v>
      </c>
      <c r="P12" s="140">
        <v>31.536000000000001</v>
      </c>
      <c r="Q12">
        <f>'H2'!$E$31</f>
        <v>24.457572514000002</v>
      </c>
      <c r="R12">
        <f>'H2'!$F$31</f>
        <v>2.6584317950000002E-2</v>
      </c>
      <c r="T12" s="137">
        <v>1</v>
      </c>
      <c r="Y12" s="130" t="s">
        <v>265</v>
      </c>
      <c r="Z12" s="130" t="s">
        <v>223</v>
      </c>
      <c r="AA12" s="130" t="s">
        <v>224</v>
      </c>
      <c r="AB12" s="130" t="s">
        <v>266</v>
      </c>
      <c r="AC12" s="130" t="s">
        <v>267</v>
      </c>
      <c r="AD12" s="130" t="s">
        <v>268</v>
      </c>
      <c r="AE12" s="130" t="s">
        <v>269</v>
      </c>
      <c r="AF12" s="130" t="s">
        <v>270</v>
      </c>
    </row>
    <row r="13" spans="3:32" ht="42.6" thickBot="1">
      <c r="I13">
        <v>2050</v>
      </c>
      <c r="K13">
        <v>0.98499999999999999</v>
      </c>
      <c r="N13">
        <v>0.95</v>
      </c>
      <c r="O13" s="138">
        <v>50</v>
      </c>
      <c r="P13" s="140">
        <v>31.536000000000001</v>
      </c>
      <c r="Q13">
        <f>'H2'!$E$31</f>
        <v>24.457572514000002</v>
      </c>
      <c r="R13">
        <f>'H2'!G31</f>
        <v>1.9938238462500001E-2</v>
      </c>
      <c r="T13" s="137">
        <v>1</v>
      </c>
      <c r="Y13" s="131" t="s">
        <v>271</v>
      </c>
      <c r="Z13" s="131" t="s">
        <v>272</v>
      </c>
      <c r="AA13" s="131" t="s">
        <v>242</v>
      </c>
      <c r="AB13" s="131" t="s">
        <v>273</v>
      </c>
      <c r="AC13" s="131" t="s">
        <v>274</v>
      </c>
      <c r="AD13" s="131" t="s">
        <v>275</v>
      </c>
      <c r="AE13" s="131" t="s">
        <v>276</v>
      </c>
      <c r="AF13" s="131" t="s">
        <v>277</v>
      </c>
    </row>
    <row r="14" spans="3:32" ht="15" thickBot="1">
      <c r="C14" s="141" t="s">
        <v>294</v>
      </c>
      <c r="D14" s="141" t="s">
        <v>296</v>
      </c>
      <c r="E14" s="141"/>
      <c r="F14" s="141" t="s">
        <v>156</v>
      </c>
      <c r="G14" s="141" t="s">
        <v>292</v>
      </c>
      <c r="H14" s="141"/>
      <c r="I14" s="141">
        <v>2020</v>
      </c>
      <c r="J14" s="141">
        <v>2030</v>
      </c>
      <c r="K14" s="141">
        <f>'H2'!O35</f>
        <v>0.83123312331233123</v>
      </c>
      <c r="L14" s="141"/>
      <c r="M14" s="141"/>
      <c r="N14" s="141">
        <v>0.95</v>
      </c>
      <c r="O14" s="142">
        <v>20</v>
      </c>
      <c r="P14" s="141">
        <v>1</v>
      </c>
      <c r="Q14" s="141">
        <f>('H2'!$M$20+'H2'!$M$22)*4/365</f>
        <v>1.3602819906016173</v>
      </c>
      <c r="R14" s="141">
        <f>'H2'!$M$21*4/365</f>
        <v>6.7984963117316303E-3</v>
      </c>
      <c r="S14" s="141"/>
      <c r="T14" s="143"/>
      <c r="Y14" s="131" t="s">
        <v>278</v>
      </c>
      <c r="Z14" s="131"/>
      <c r="AA14" s="131"/>
      <c r="AB14" s="131"/>
      <c r="AC14" s="131"/>
      <c r="AD14" s="131"/>
      <c r="AE14" s="131"/>
      <c r="AF14" s="131"/>
    </row>
    <row r="15" spans="3:32">
      <c r="I15" s="133">
        <v>2030</v>
      </c>
      <c r="J15" s="133"/>
      <c r="K15">
        <f>'H2'!O35</f>
        <v>0.83123312331233123</v>
      </c>
      <c r="N15">
        <v>0.95</v>
      </c>
      <c r="O15" s="138">
        <v>20</v>
      </c>
      <c r="P15" s="140">
        <v>1</v>
      </c>
      <c r="Q15">
        <f>('H2'!$M$20+'H2'!$M$22)*4/365</f>
        <v>1.3602819906016173</v>
      </c>
      <c r="R15">
        <f>'H2'!$M$21*4/365</f>
        <v>6.7984963117316303E-3</v>
      </c>
      <c r="T15" s="137"/>
      <c r="Y15" t="s">
        <v>279</v>
      </c>
      <c r="Z15" t="s">
        <v>293</v>
      </c>
      <c r="AA15" t="s">
        <v>295</v>
      </c>
      <c r="AB15" s="139" t="s">
        <v>222</v>
      </c>
      <c r="AC15" s="139" t="s">
        <v>282</v>
      </c>
      <c r="AD15" s="133" t="s">
        <v>220</v>
      </c>
      <c r="AE15" t="s">
        <v>292</v>
      </c>
      <c r="AF15" s="139" t="s">
        <v>280</v>
      </c>
    </row>
    <row r="16" spans="3:32">
      <c r="I16">
        <v>2050</v>
      </c>
      <c r="K16">
        <f>'H2'!P35</f>
        <v>0.86873687368736874</v>
      </c>
      <c r="N16">
        <v>0.95</v>
      </c>
      <c r="O16" s="138">
        <v>20</v>
      </c>
      <c r="P16" s="140">
        <v>1</v>
      </c>
      <c r="Q16">
        <f>('H2'!N20+'H2'!N22)*4/365</f>
        <v>0.97160224432233189</v>
      </c>
      <c r="R16">
        <f>'H2'!N21*4/365</f>
        <v>4.8560687940940222E-3</v>
      </c>
      <c r="T16" s="137"/>
      <c r="Y16" t="s">
        <v>279</v>
      </c>
      <c r="Z16" t="s">
        <v>294</v>
      </c>
      <c r="AA16" t="s">
        <v>296</v>
      </c>
      <c r="AB16" t="s">
        <v>222</v>
      </c>
      <c r="AC16" t="s">
        <v>297</v>
      </c>
      <c r="AD16" s="133" t="s">
        <v>220</v>
      </c>
      <c r="AE16" t="s">
        <v>292</v>
      </c>
      <c r="AF16" t="s">
        <v>280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D1" zoomScale="91" workbookViewId="0">
      <selection activeCell="R6" sqref="R6"/>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314</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315</v>
      </c>
      <c r="M11" s="63">
        <f>M7/($R$6*1000000*$S$13)</f>
        <v>105.70687448860785</v>
      </c>
      <c r="N11" s="63">
        <f>N7/($R$6*1000000*$S$13)</f>
        <v>105.70687448860785</v>
      </c>
    </row>
    <row r="12" spans="2:23">
      <c r="L12" s="62" t="s">
        <v>316</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317</v>
      </c>
      <c r="M13" s="63">
        <f t="shared" si="0"/>
        <v>9.6566966912393179E-2</v>
      </c>
      <c r="N13" s="63">
        <f t="shared" si="0"/>
        <v>9.6566966912393179E-2</v>
      </c>
      <c r="S13">
        <v>3.5999999999999998E-6</v>
      </c>
    </row>
    <row r="14" spans="2:23">
      <c r="V14" t="s">
        <v>298</v>
      </c>
    </row>
    <row r="15" spans="2:23">
      <c r="V15">
        <v>45000</v>
      </c>
      <c r="W15" t="s">
        <v>299</v>
      </c>
    </row>
    <row r="16" spans="2:23">
      <c r="B16" t="s">
        <v>153</v>
      </c>
      <c r="C16" t="s">
        <v>214</v>
      </c>
      <c r="D16" t="s">
        <v>202</v>
      </c>
      <c r="L16" s="47" t="s">
        <v>25</v>
      </c>
      <c r="M16" s="52">
        <v>20</v>
      </c>
    </row>
    <row r="17" spans="2:23">
      <c r="B17">
        <v>10</v>
      </c>
      <c r="C17">
        <f>$D$10*B17</f>
        <v>2.1267454360000002</v>
      </c>
      <c r="D17">
        <f>$D$13*B17</f>
        <v>1.0633727180000001E-3</v>
      </c>
      <c r="V17">
        <f>V15*S13*R6</f>
        <v>0.84240000000000004</v>
      </c>
      <c r="W17" t="s">
        <v>313</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301</v>
      </c>
      <c r="P22" t="s">
        <v>302</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J2" zoomScale="70" workbookViewId="0">
      <selection activeCell="X2" sqref="X2:AH8"/>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308</v>
      </c>
      <c r="D11" t="s">
        <v>310</v>
      </c>
      <c r="F11" t="s">
        <v>312</v>
      </c>
      <c r="G11" t="s">
        <v>307</v>
      </c>
      <c r="I11">
        <v>2020</v>
      </c>
      <c r="J11">
        <v>2030</v>
      </c>
      <c r="K11">
        <v>0.995</v>
      </c>
      <c r="N11">
        <v>0.95</v>
      </c>
      <c r="O11" s="138">
        <v>50</v>
      </c>
      <c r="P11" s="140">
        <v>31.536000000000001</v>
      </c>
      <c r="Q11">
        <f>'NH3'!$C$26</f>
        <v>21.267454360000006</v>
      </c>
      <c r="R11">
        <f>'NH3'!$D$26</f>
        <v>1.063372718E-2</v>
      </c>
      <c r="T11" s="137">
        <v>1</v>
      </c>
      <c r="Y11" s="128" t="s">
        <v>264</v>
      </c>
      <c r="Z11" s="129"/>
      <c r="AA11" s="129"/>
      <c r="AB11" s="129"/>
      <c r="AC11" s="129"/>
      <c r="AD11" s="129"/>
      <c r="AE11" s="129"/>
      <c r="AF11" s="129"/>
    </row>
    <row r="12" spans="3:32">
      <c r="I12" s="133">
        <v>2030</v>
      </c>
      <c r="J12" s="133"/>
      <c r="K12">
        <v>0.995</v>
      </c>
      <c r="N12">
        <v>0.95</v>
      </c>
      <c r="O12" s="138">
        <v>50</v>
      </c>
      <c r="P12" s="140">
        <v>31.536000000000001</v>
      </c>
      <c r="Q12">
        <f>'NH3'!$C$26</f>
        <v>21.267454360000006</v>
      </c>
      <c r="R12">
        <f>'NH3'!$D$26</f>
        <v>1.063372718E-2</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31.536000000000001</v>
      </c>
      <c r="Q13">
        <f>'NH3'!$C$26</f>
        <v>21.267454360000006</v>
      </c>
      <c r="R13">
        <f>'NH3'!$D$26</f>
        <v>1.063372718E-2</v>
      </c>
      <c r="T13" s="137">
        <v>1</v>
      </c>
      <c r="Y13" s="131" t="s">
        <v>271</v>
      </c>
      <c r="Z13" s="131" t="s">
        <v>272</v>
      </c>
      <c r="AA13" s="131" t="s">
        <v>242</v>
      </c>
      <c r="AB13" s="131" t="s">
        <v>273</v>
      </c>
      <c r="AC13" s="131" t="s">
        <v>274</v>
      </c>
      <c r="AD13" s="131" t="s">
        <v>275</v>
      </c>
      <c r="AE13" s="131" t="s">
        <v>276</v>
      </c>
      <c r="AF13" s="131" t="s">
        <v>277</v>
      </c>
    </row>
    <row r="14" spans="3:32" ht="15" thickBot="1">
      <c r="C14" s="141" t="s">
        <v>309</v>
      </c>
      <c r="D14" s="141" t="s">
        <v>311</v>
      </c>
      <c r="E14" s="141"/>
      <c r="F14" s="141" t="s">
        <v>312</v>
      </c>
      <c r="G14" s="141" t="s">
        <v>307</v>
      </c>
      <c r="H14" s="141"/>
      <c r="I14" s="141">
        <v>2020</v>
      </c>
      <c r="J14" s="141">
        <v>2030</v>
      </c>
      <c r="K14" s="141">
        <f>0.74</f>
        <v>0.74</v>
      </c>
      <c r="L14" s="141"/>
      <c r="M14" s="141"/>
      <c r="N14" s="141">
        <v>0.95</v>
      </c>
      <c r="O14" s="142">
        <v>20</v>
      </c>
      <c r="P14" s="141">
        <v>1</v>
      </c>
      <c r="Q14" s="141">
        <f>('NH3'!$M$11+'NH3'!$M$13)*4/365</f>
        <v>1.1594897693755644</v>
      </c>
      <c r="R14" s="141">
        <f>'NH3'!$M$12*4/365</f>
        <v>5.6025959852476302E-3</v>
      </c>
      <c r="S14" s="141"/>
      <c r="T14" s="143"/>
      <c r="Y14" s="131" t="s">
        <v>278</v>
      </c>
      <c r="Z14" s="131"/>
      <c r="AA14" s="131"/>
      <c r="AB14" s="131"/>
      <c r="AC14" s="131"/>
      <c r="AD14" s="131"/>
      <c r="AE14" s="131"/>
      <c r="AF14" s="131"/>
    </row>
    <row r="15" spans="3:32">
      <c r="I15" s="133">
        <v>2030</v>
      </c>
      <c r="J15" s="133"/>
      <c r="K15">
        <v>0.74</v>
      </c>
      <c r="N15">
        <v>0.95</v>
      </c>
      <c r="O15" s="138">
        <v>20</v>
      </c>
      <c r="P15" s="140">
        <v>1</v>
      </c>
      <c r="Q15">
        <f>('NH3'!$M$11+'NH3'!$M$13)*4/365</f>
        <v>1.1594897693755644</v>
      </c>
      <c r="R15">
        <f>'NH3'!$M$12*4/365</f>
        <v>5.6025959852476302E-3</v>
      </c>
      <c r="T15" s="137"/>
      <c r="Y15" t="s">
        <v>279</v>
      </c>
      <c r="Z15" t="s">
        <v>308</v>
      </c>
      <c r="AA15" t="s">
        <v>310</v>
      </c>
      <c r="AB15" s="139" t="s">
        <v>222</v>
      </c>
      <c r="AC15" s="139" t="s">
        <v>282</v>
      </c>
      <c r="AD15" s="133" t="s">
        <v>220</v>
      </c>
      <c r="AE15" t="s">
        <v>307</v>
      </c>
      <c r="AF15" s="139" t="s">
        <v>280</v>
      </c>
    </row>
    <row r="16" spans="3:32">
      <c r="I16">
        <v>2050</v>
      </c>
      <c r="K16">
        <v>0.8</v>
      </c>
      <c r="N16">
        <v>0.95</v>
      </c>
      <c r="O16" s="138">
        <v>20</v>
      </c>
      <c r="P16" s="140">
        <v>1</v>
      </c>
      <c r="Q16">
        <f>('NH3'!$M$11+'NH3'!$M$13)*4/365</f>
        <v>1.1594897693755644</v>
      </c>
      <c r="R16">
        <f>'NH3'!$M$12*4/365</f>
        <v>5.6025959852476302E-3</v>
      </c>
      <c r="T16" s="137"/>
      <c r="Y16" t="s">
        <v>279</v>
      </c>
      <c r="Z16" t="s">
        <v>309</v>
      </c>
      <c r="AA16" t="s">
        <v>311</v>
      </c>
      <c r="AB16" t="s">
        <v>222</v>
      </c>
      <c r="AC16" t="s">
        <v>297</v>
      </c>
      <c r="AD16" s="133" t="s">
        <v>220</v>
      </c>
      <c r="AE16" t="s">
        <v>307</v>
      </c>
      <c r="AF16" t="s">
        <v>280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topLeftCell="C1" zoomScale="73"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215</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329</v>
      </c>
    </row>
    <row r="9" spans="3:20">
      <c r="C9" s="91" t="s">
        <v>169</v>
      </c>
      <c r="D9" s="88">
        <v>33</v>
      </c>
      <c r="F9">
        <f>D9/(8760*1000)</f>
        <v>3.7671232876712327E-6</v>
      </c>
      <c r="G9" t="s">
        <v>283</v>
      </c>
      <c r="M9">
        <v>2030</v>
      </c>
      <c r="N9">
        <v>2050</v>
      </c>
    </row>
    <row r="10" spans="3:20">
      <c r="L10" s="56" t="s">
        <v>184</v>
      </c>
      <c r="M10" s="117">
        <v>90</v>
      </c>
      <c r="N10" s="117">
        <v>80</v>
      </c>
      <c r="P10">
        <f>M10/700</f>
        <v>0.12857142857142856</v>
      </c>
      <c r="Q10">
        <f>N10/700</f>
        <v>0.11428571428571428</v>
      </c>
      <c r="S10" t="s">
        <v>330</v>
      </c>
    </row>
    <row r="11" spans="3:20">
      <c r="C11" s="91" t="s">
        <v>170</v>
      </c>
      <c r="D11" s="88">
        <v>20</v>
      </c>
      <c r="F11">
        <f t="shared" ref="F11" si="0">D11/(8760*1000)</f>
        <v>2.2831050228310503E-6</v>
      </c>
      <c r="G11" t="s">
        <v>284</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331</v>
      </c>
      <c r="Q14">
        <f>P10*100</f>
        <v>12.857142857142856</v>
      </c>
      <c r="R14">
        <f>Q10*100</f>
        <v>11.428571428571429</v>
      </c>
      <c r="T14" t="s">
        <v>332</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285</v>
      </c>
      <c r="D19" t="s">
        <v>286</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tabSelected="1" zoomScale="64" workbookViewId="0">
      <selection activeCell="M31" sqref="M31"/>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327</v>
      </c>
      <c r="M10" s="131" t="s">
        <v>259</v>
      </c>
      <c r="N10" s="131" t="s">
        <v>260</v>
      </c>
      <c r="O10" s="134" t="s">
        <v>261</v>
      </c>
      <c r="P10" s="131" t="s">
        <v>262</v>
      </c>
      <c r="Q10" s="134" t="s">
        <v>328</v>
      </c>
      <c r="R10" s="134" t="s">
        <v>328</v>
      </c>
      <c r="S10" s="131" t="s">
        <v>263</v>
      </c>
      <c r="T10" s="134" t="s">
        <v>261</v>
      </c>
    </row>
    <row r="11" spans="3:32">
      <c r="C11" t="s">
        <v>320</v>
      </c>
      <c r="D11" t="s">
        <v>322</v>
      </c>
      <c r="F11" t="s">
        <v>318</v>
      </c>
      <c r="G11" t="s">
        <v>325</v>
      </c>
      <c r="I11">
        <v>2020</v>
      </c>
      <c r="J11">
        <v>2030</v>
      </c>
      <c r="K11">
        <v>0.995</v>
      </c>
      <c r="N11">
        <v>0.95</v>
      </c>
      <c r="O11" s="138">
        <v>50</v>
      </c>
      <c r="P11" s="140">
        <v>1</v>
      </c>
      <c r="Q11">
        <f>'CO2'!$C$29</f>
        <v>0.37671232876712324</v>
      </c>
      <c r="R11">
        <f>'CO2'!D29</f>
        <v>2.2831050228310504E-4</v>
      </c>
      <c r="T11" s="137">
        <v>1</v>
      </c>
      <c r="Y11" s="128" t="s">
        <v>264</v>
      </c>
      <c r="Z11" s="129"/>
      <c r="AA11" s="129"/>
      <c r="AB11" s="129"/>
      <c r="AC11" s="129"/>
      <c r="AD11" s="129"/>
      <c r="AE11" s="129"/>
      <c r="AF11" s="129"/>
    </row>
    <row r="12" spans="3:32">
      <c r="I12" s="133">
        <v>2030</v>
      </c>
      <c r="J12" s="133"/>
      <c r="K12">
        <v>0.995</v>
      </c>
      <c r="N12">
        <v>0.95</v>
      </c>
      <c r="O12" s="138">
        <v>50</v>
      </c>
      <c r="P12" s="140">
        <v>1</v>
      </c>
      <c r="Q12">
        <f>'CO2'!$C$29</f>
        <v>0.37671232876712324</v>
      </c>
      <c r="R12">
        <f>'CO2'!D30</f>
        <v>2.5114155251141555E-4</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1</v>
      </c>
      <c r="Q13">
        <f>'CO2'!$C$29</f>
        <v>0.37671232876712324</v>
      </c>
      <c r="R13">
        <f>'CO2'!D31</f>
        <v>2.7397260273972601E-4</v>
      </c>
      <c r="T13" s="137">
        <v>1</v>
      </c>
      <c r="Y13" s="131" t="s">
        <v>271</v>
      </c>
      <c r="Z13" s="131" t="s">
        <v>272</v>
      </c>
      <c r="AA13" s="131" t="s">
        <v>242</v>
      </c>
      <c r="AB13" s="131" t="s">
        <v>273</v>
      </c>
      <c r="AC13" s="131" t="s">
        <v>274</v>
      </c>
      <c r="AD13" s="131" t="s">
        <v>275</v>
      </c>
      <c r="AE13" s="131" t="s">
        <v>276</v>
      </c>
      <c r="AF13" s="131" t="s">
        <v>277</v>
      </c>
    </row>
    <row r="14" spans="3:32" ht="15" thickBot="1">
      <c r="C14" s="141" t="s">
        <v>321</v>
      </c>
      <c r="D14" s="141" t="s">
        <v>323</v>
      </c>
      <c r="E14" s="141"/>
      <c r="F14" s="141" t="s">
        <v>318</v>
      </c>
      <c r="G14" s="141" t="s">
        <v>325</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278</v>
      </c>
      <c r="Z14" s="131"/>
      <c r="AA14" s="131"/>
      <c r="AB14" s="131"/>
      <c r="AC14" s="131"/>
      <c r="AD14" s="131"/>
      <c r="AE14" s="131"/>
      <c r="AF14" s="131"/>
    </row>
    <row r="15" spans="3:32">
      <c r="E15" t="s">
        <v>326</v>
      </c>
      <c r="J15" s="133"/>
      <c r="L15">
        <f>'CO2'!S19/10</f>
        <v>9.2571428571428561E-6</v>
      </c>
      <c r="T15" s="137"/>
      <c r="Y15" t="s">
        <v>279</v>
      </c>
      <c r="Z15" t="s">
        <v>320</v>
      </c>
      <c r="AA15" t="s">
        <v>322</v>
      </c>
      <c r="AB15" s="139" t="s">
        <v>319</v>
      </c>
      <c r="AC15" s="139" t="s">
        <v>324</v>
      </c>
      <c r="AD15" s="133" t="s">
        <v>220</v>
      </c>
      <c r="AE15" t="s">
        <v>318</v>
      </c>
      <c r="AF15" s="139" t="s">
        <v>280</v>
      </c>
    </row>
    <row r="16" spans="3:32">
      <c r="F16" t="s">
        <v>318</v>
      </c>
      <c r="G16" t="s">
        <v>325</v>
      </c>
      <c r="I16" s="133">
        <v>2030</v>
      </c>
      <c r="K16">
        <v>1</v>
      </c>
      <c r="N16">
        <v>0.95</v>
      </c>
      <c r="O16" s="138">
        <v>40</v>
      </c>
      <c r="P16" s="140">
        <v>1</v>
      </c>
      <c r="Q16" s="141">
        <f>'CO2'!M14/1000</f>
        <v>5.9272</v>
      </c>
      <c r="R16">
        <f>'CO2'!M16/1000</f>
        <v>0.28332015999999999</v>
      </c>
      <c r="T16" s="137"/>
      <c r="Y16" t="s">
        <v>279</v>
      </c>
      <c r="Z16" t="s">
        <v>321</v>
      </c>
      <c r="AA16" t="s">
        <v>323</v>
      </c>
      <c r="AB16" t="s">
        <v>319</v>
      </c>
      <c r="AC16" t="s">
        <v>324</v>
      </c>
      <c r="AD16" s="133" t="s">
        <v>220</v>
      </c>
      <c r="AE16" t="s">
        <v>318</v>
      </c>
      <c r="AF16" t="s">
        <v>280</v>
      </c>
    </row>
    <row r="17" spans="5:18">
      <c r="E17" t="s">
        <v>326</v>
      </c>
      <c r="L17">
        <f>'CO2'!S19/10</f>
        <v>9.2571428571428561E-6</v>
      </c>
    </row>
    <row r="18" spans="5:18">
      <c r="F18" t="s">
        <v>318</v>
      </c>
      <c r="G18" t="s">
        <v>325</v>
      </c>
      <c r="I18">
        <v>2050</v>
      </c>
      <c r="K18">
        <v>1</v>
      </c>
      <c r="N18">
        <v>0.95</v>
      </c>
      <c r="O18" s="138">
        <v>40</v>
      </c>
      <c r="P18" s="140">
        <v>1</v>
      </c>
      <c r="Q18">
        <f>'CO2'!N14/1000</f>
        <v>4.78</v>
      </c>
      <c r="R18">
        <f>'CO2'!N16/1000</f>
        <v>0.22848399999999999</v>
      </c>
    </row>
    <row r="19" spans="5:18">
      <c r="E19" t="s">
        <v>326</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S125"/>
  <sheetViews>
    <sheetView workbookViewId="0">
      <selection activeCell="H30" sqref="H30"/>
    </sheetView>
  </sheetViews>
  <sheetFormatPr defaultRowHeight="14.4"/>
  <cols>
    <col min="8" max="8" width="26.88671875" customWidth="1"/>
    <col min="9" max="9" width="18.33203125" customWidth="1"/>
    <col min="11" max="12" width="15" bestFit="1" customWidth="1"/>
  </cols>
  <sheetData>
    <row r="2" spans="2:19" ht="18">
      <c r="B2" t="s">
        <v>216</v>
      </c>
      <c r="H2" s="65" t="s">
        <v>155</v>
      </c>
    </row>
    <row r="3" spans="2:19">
      <c r="H3" t="s">
        <v>219</v>
      </c>
      <c r="O3" t="s">
        <v>0</v>
      </c>
    </row>
    <row r="5" spans="2:19">
      <c r="H5" s="47" t="s">
        <v>25</v>
      </c>
      <c r="I5" s="52">
        <v>20</v>
      </c>
    </row>
    <row r="6" spans="2:19">
      <c r="O6" t="s">
        <v>217</v>
      </c>
    </row>
    <row r="7" spans="2:19">
      <c r="O7">
        <v>6.1109999999999998</v>
      </c>
      <c r="P7" t="s">
        <v>157</v>
      </c>
    </row>
    <row r="8" spans="2:19">
      <c r="O8">
        <v>6.11</v>
      </c>
      <c r="P8" t="s">
        <v>158</v>
      </c>
    </row>
    <row r="9" spans="2:19">
      <c r="I9" t="s">
        <v>200</v>
      </c>
      <c r="J9">
        <v>2050</v>
      </c>
      <c r="O9">
        <v>6.11</v>
      </c>
      <c r="P9" t="s">
        <v>159</v>
      </c>
      <c r="Q9">
        <f>O9/1000</f>
        <v>6.11E-3</v>
      </c>
      <c r="R9" t="s">
        <v>208</v>
      </c>
    </row>
    <row r="10" spans="2:19">
      <c r="H10" s="27" t="s">
        <v>126</v>
      </c>
      <c r="I10" s="52">
        <v>2205</v>
      </c>
      <c r="J10" s="52">
        <v>1715</v>
      </c>
      <c r="O10">
        <f>O8/1000</f>
        <v>6.11E-3</v>
      </c>
      <c r="P10" t="s">
        <v>160</v>
      </c>
    </row>
    <row r="11" spans="2:19">
      <c r="H11" t="s">
        <v>314</v>
      </c>
      <c r="I11">
        <f>I10/1000000</f>
        <v>2.2049999999999999E-3</v>
      </c>
      <c r="J11">
        <f>J10/1000000</f>
        <v>1.7149999999999999E-3</v>
      </c>
    </row>
    <row r="12" spans="2:19">
      <c r="H12" s="62" t="s">
        <v>131</v>
      </c>
      <c r="I12" s="52">
        <v>780.22546079682832</v>
      </c>
    </row>
    <row r="13" spans="2:19">
      <c r="H13" s="62" t="s">
        <v>134</v>
      </c>
      <c r="I13" s="52">
        <v>4.2534908720000004</v>
      </c>
    </row>
    <row r="14" spans="2:19">
      <c r="H14" s="62" t="s">
        <v>137</v>
      </c>
      <c r="I14" s="52">
        <v>1.4887218052</v>
      </c>
      <c r="O14" t="s">
        <v>161</v>
      </c>
      <c r="R14" t="s">
        <v>298</v>
      </c>
    </row>
    <row r="15" spans="2:19">
      <c r="O15">
        <v>3.5999999999999998E-6</v>
      </c>
      <c r="R15">
        <v>45000</v>
      </c>
      <c r="S15" t="s">
        <v>299</v>
      </c>
    </row>
    <row r="17" spans="8:19">
      <c r="H17" s="27"/>
    </row>
    <row r="18" spans="8:19">
      <c r="H18" s="62" t="s">
        <v>336</v>
      </c>
      <c r="I18" s="63">
        <f>I12/(O8*O15*1000000)</f>
        <v>35.471242989490278</v>
      </c>
      <c r="R18">
        <f>R15*O8*O15</f>
        <v>0.98981999999999992</v>
      </c>
      <c r="S18" t="s">
        <v>222</v>
      </c>
    </row>
    <row r="19" spans="8:19">
      <c r="H19" s="62" t="s">
        <v>337</v>
      </c>
      <c r="I19" s="63">
        <f>I13/($O$8*1000000*O15)</f>
        <v>0.19337565339152576</v>
      </c>
    </row>
    <row r="20" spans="8:19">
      <c r="H20" s="62" t="s">
        <v>338</v>
      </c>
      <c r="I20" s="63">
        <f>I14/($O$8*1000000*O15)</f>
        <v>6.7681478687034002E-2</v>
      </c>
    </row>
    <row r="25" spans="8:19">
      <c r="H25" t="s">
        <v>153</v>
      </c>
      <c r="K25" t="s">
        <v>301</v>
      </c>
      <c r="L25" t="s">
        <v>302</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2024-02-03T11:53:12Z</dcterms:modified>
</cp:coreProperties>
</file>