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DBEA8F0B-C03D-4CF3-81A4-5EA7EA685553}" xr6:coauthVersionLast="47" xr6:coauthVersionMax="47" xr10:uidLastSave="{00000000-0000-0000-0000-000000000000}"/>
  <bookViews>
    <workbookView xWindow="-108" yWindow="-108" windowWidth="23256" windowHeight="12456" xr2:uid="{A69C0FD7-C65D-4750-AB22-1B7E2A0EC618}"/>
  </bookViews>
  <sheets>
    <sheet name="Transmission lines" sheetId="1" r:id="rId1"/>
    <sheet name="ELC_TRANSPORT" sheetId="15" r:id="rId2"/>
    <sheet name="H2" sheetId="2" r:id="rId3"/>
    <sheet name="H2_TRANSPORT" sheetId="16" r:id="rId4"/>
    <sheet name="NH3" sheetId="3" r:id="rId5"/>
    <sheet name="NH3_TRANSPORT" sheetId="18" r:id="rId6"/>
    <sheet name="METHANOL" sheetId="5" r:id="rId7"/>
    <sheet name="METHANOL_TRANSPORT" sheetId="20" r:id="rId8"/>
    <sheet name="JET FUEL" sheetId="6" r:id="rId9"/>
    <sheet name="Jetfuel_TRANSPORT" sheetId="21" r:id="rId10"/>
    <sheet name="111 1 el Main distri50-60kVcabl" sheetId="8" r:id="rId11"/>
    <sheet name="H2 140" sheetId="9" r:id="rId12"/>
    <sheet name="NH3_DATA_PIPE" sheetId="10" r:id="rId13"/>
    <sheet name="Ship Transport" sheetId="11"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6" i="21" l="1"/>
  <c r="L14" i="21"/>
  <c r="L12" i="21"/>
  <c r="R13" i="18"/>
  <c r="R12" i="18"/>
  <c r="R11" i="18"/>
  <c r="Q13" i="18"/>
  <c r="Q12" i="18"/>
  <c r="Q11" i="18"/>
  <c r="Q13" i="16"/>
  <c r="Q12" i="16"/>
  <c r="R12" i="16"/>
  <c r="R13" i="16"/>
  <c r="R11" i="16"/>
  <c r="Q11" i="16"/>
  <c r="G37" i="1"/>
  <c r="K16" i="16" l="1"/>
  <c r="K15" i="16"/>
  <c r="K14" i="16"/>
  <c r="R13" i="15" l="1"/>
  <c r="R12" i="15"/>
  <c r="R11" i="15"/>
  <c r="I18" i="5" l="1"/>
  <c r="Q14" i="18"/>
  <c r="T9" i="2"/>
  <c r="T11" i="5"/>
  <c r="V11" i="3"/>
  <c r="Q12" i="15"/>
  <c r="Q13" i="15"/>
  <c r="Q11" i="15"/>
  <c r="E28"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4" i="1"/>
  <c r="J63" i="1"/>
  <c r="J61" i="1"/>
  <c r="J57" i="1"/>
  <c r="E27" i="1"/>
  <c r="R13" i="21"/>
  <c r="R15" i="21"/>
  <c r="R11" i="21"/>
  <c r="Q15" i="21"/>
  <c r="Q13" i="21"/>
  <c r="Q11" i="21"/>
  <c r="J20" i="6"/>
  <c r="J19" i="6"/>
  <c r="J18" i="6"/>
  <c r="J32" i="6"/>
  <c r="J28" i="6"/>
  <c r="J29" i="6"/>
  <c r="J30" i="6"/>
  <c r="J31" i="6"/>
  <c r="J33" i="6"/>
  <c r="J34" i="6"/>
  <c r="J35" i="6"/>
  <c r="J36" i="6"/>
  <c r="K66" i="6"/>
  <c r="K65" i="6"/>
  <c r="K64" i="6"/>
  <c r="K63" i="6"/>
  <c r="K50" i="6"/>
  <c r="K49" i="6"/>
  <c r="K48" i="6"/>
  <c r="K47" i="6"/>
  <c r="K34" i="6"/>
  <c r="K33" i="6"/>
  <c r="K32" i="6"/>
  <c r="K31"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K29" i="6"/>
  <c r="J26" i="6"/>
  <c r="J25" i="6"/>
  <c r="K79" i="6"/>
  <c r="K80" i="6"/>
  <c r="K81" i="6"/>
  <c r="K82" i="6"/>
  <c r="K95" i="6"/>
  <c r="K96" i="6"/>
  <c r="K97" i="6"/>
  <c r="K98" i="6"/>
  <c r="K111" i="6"/>
  <c r="K112" i="6"/>
  <c r="K113" i="6"/>
  <c r="K114" i="6"/>
  <c r="J27" i="6"/>
  <c r="K17" i="6"/>
  <c r="K62" i="6" s="1"/>
  <c r="R16" i="16"/>
  <c r="R15" i="16"/>
  <c r="R14" i="16"/>
  <c r="Q16" i="16"/>
  <c r="Q15" i="16"/>
  <c r="Q14" i="16"/>
  <c r="R16" i="18"/>
  <c r="R15" i="18"/>
  <c r="R14" i="18"/>
  <c r="Q16" i="18"/>
  <c r="Q15" i="18"/>
  <c r="S22" i="6"/>
  <c r="J17" i="6"/>
  <c r="K94" i="6" l="1"/>
  <c r="K78" i="6"/>
  <c r="K109" i="6"/>
  <c r="K77" i="6"/>
  <c r="K36" i="6"/>
  <c r="K52" i="6"/>
  <c r="K124" i="6"/>
  <c r="K92" i="6"/>
  <c r="K76" i="6"/>
  <c r="K53" i="6"/>
  <c r="K123" i="6"/>
  <c r="K107" i="6"/>
  <c r="K75" i="6"/>
  <c r="K38" i="6"/>
  <c r="K54" i="6"/>
  <c r="K122" i="6"/>
  <c r="K106" i="6"/>
  <c r="K74" i="6"/>
  <c r="K55" i="6"/>
  <c r="K121" i="6"/>
  <c r="K89" i="6"/>
  <c r="K73" i="6"/>
  <c r="K104" i="6"/>
  <c r="K72" i="6"/>
  <c r="K41" i="6"/>
  <c r="K57" i="6"/>
  <c r="K119" i="6"/>
  <c r="K87" i="6"/>
  <c r="K71" i="6"/>
  <c r="K25" i="6"/>
  <c r="K86" i="6"/>
  <c r="K43" i="6"/>
  <c r="K59" i="6"/>
  <c r="K101" i="6"/>
  <c r="K116" i="6"/>
  <c r="K100" i="6"/>
  <c r="K84" i="6"/>
  <c r="K68" i="6"/>
  <c r="K28" i="6"/>
  <c r="K45" i="6"/>
  <c r="K61" i="6"/>
  <c r="K110" i="6"/>
  <c r="K35" i="6"/>
  <c r="K51" i="6"/>
  <c r="K93" i="6"/>
  <c r="K108" i="6"/>
  <c r="K37" i="6"/>
  <c r="K91" i="6"/>
  <c r="K90" i="6"/>
  <c r="K39" i="6"/>
  <c r="K105" i="6"/>
  <c r="K40" i="6"/>
  <c r="K56" i="6"/>
  <c r="K120" i="6"/>
  <c r="K88" i="6"/>
  <c r="K103" i="6"/>
  <c r="K42" i="6"/>
  <c r="K58" i="6"/>
  <c r="K118" i="6"/>
  <c r="K102" i="6"/>
  <c r="K70" i="6"/>
  <c r="K26" i="6"/>
  <c r="K117" i="6"/>
  <c r="K85" i="6"/>
  <c r="K69" i="6"/>
  <c r="K27" i="6"/>
  <c r="K44" i="6"/>
  <c r="K60" i="6"/>
  <c r="K115" i="6"/>
  <c r="K99" i="6"/>
  <c r="K83" i="6"/>
  <c r="K67" i="6"/>
  <c r="K30" i="6"/>
  <c r="K46" i="6"/>
  <c r="K27" i="5" l="1"/>
  <c r="L27" i="5"/>
  <c r="L43" i="5"/>
  <c r="L59" i="5"/>
  <c r="L75" i="5"/>
  <c r="L91" i="5"/>
  <c r="L107" i="5"/>
  <c r="L123" i="5"/>
  <c r="K43" i="5"/>
  <c r="K59" i="5"/>
  <c r="K75" i="5"/>
  <c r="K91" i="5"/>
  <c r="K107" i="5"/>
  <c r="K123" i="5"/>
  <c r="I20" i="5"/>
  <c r="I19"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28" i="5"/>
  <c r="J29" i="5"/>
  <c r="J30" i="5"/>
  <c r="J31" i="5"/>
  <c r="J27" i="5"/>
  <c r="I51" i="5"/>
  <c r="I38" i="5"/>
  <c r="I39" i="5"/>
  <c r="I40" i="5"/>
  <c r="I41" i="5"/>
  <c r="I42" i="5"/>
  <c r="I43" i="5"/>
  <c r="I44" i="5"/>
  <c r="I45" i="5"/>
  <c r="I46" i="5"/>
  <c r="I47" i="5"/>
  <c r="I48" i="5"/>
  <c r="I49" i="5"/>
  <c r="I50"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31" i="5"/>
  <c r="I32" i="5"/>
  <c r="I33" i="5"/>
  <c r="I34" i="5"/>
  <c r="I35" i="5"/>
  <c r="I36" i="5"/>
  <c r="I37" i="5"/>
  <c r="I27" i="5"/>
  <c r="I28" i="5"/>
  <c r="I29" i="5"/>
  <c r="I30" i="5"/>
  <c r="J26" i="5"/>
  <c r="I26" i="5"/>
  <c r="J11" i="5"/>
  <c r="R18" i="5"/>
  <c r="L28" i="5" s="1"/>
  <c r="I11" i="5"/>
  <c r="N11" i="3"/>
  <c r="N12" i="3"/>
  <c r="N13" i="3"/>
  <c r="M12" i="3"/>
  <c r="M13" i="3"/>
  <c r="M11" i="3"/>
  <c r="M20" i="2"/>
  <c r="O24" i="3"/>
  <c r="P24" i="3"/>
  <c r="O25" i="3"/>
  <c r="P25" i="3"/>
  <c r="O26" i="3"/>
  <c r="P26" i="3"/>
  <c r="O27" i="3"/>
  <c r="P27" i="3"/>
  <c r="O28"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O48" i="3"/>
  <c r="P48" i="3"/>
  <c r="O49"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O73" i="3"/>
  <c r="P73" i="3"/>
  <c r="O74"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O90" i="3"/>
  <c r="P90" i="3"/>
  <c r="O91"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P23" i="3"/>
  <c r="O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23" i="3"/>
  <c r="N6" i="3"/>
  <c r="M6" i="3"/>
  <c r="V17" i="3"/>
  <c r="K90" i="5" l="1"/>
  <c r="L74" i="5"/>
  <c r="K89" i="5"/>
  <c r="K41" i="5"/>
  <c r="L57" i="5"/>
  <c r="K120" i="5"/>
  <c r="K88" i="5"/>
  <c r="K40" i="5"/>
  <c r="L56" i="5"/>
  <c r="K119" i="5"/>
  <c r="K55" i="5"/>
  <c r="L103" i="5"/>
  <c r="L39" i="5"/>
  <c r="K118" i="5"/>
  <c r="K102" i="5"/>
  <c r="K86" i="5"/>
  <c r="K70" i="5"/>
  <c r="K54" i="5"/>
  <c r="K38" i="5"/>
  <c r="L118" i="5"/>
  <c r="L102" i="5"/>
  <c r="L86" i="5"/>
  <c r="L70" i="5"/>
  <c r="L54" i="5"/>
  <c r="L38" i="5"/>
  <c r="K117" i="5"/>
  <c r="K101" i="5"/>
  <c r="K85" i="5"/>
  <c r="K69" i="5"/>
  <c r="K53" i="5"/>
  <c r="K37" i="5"/>
  <c r="L117" i="5"/>
  <c r="L101" i="5"/>
  <c r="L85" i="5"/>
  <c r="L69" i="5"/>
  <c r="L53" i="5"/>
  <c r="L37" i="5"/>
  <c r="K74" i="5"/>
  <c r="K42" i="5"/>
  <c r="L106" i="5"/>
  <c r="L42" i="5"/>
  <c r="K121" i="5"/>
  <c r="K105" i="5"/>
  <c r="K73" i="5"/>
  <c r="K57" i="5"/>
  <c r="L121" i="5"/>
  <c r="L105" i="5"/>
  <c r="L89" i="5"/>
  <c r="L73" i="5"/>
  <c r="L41" i="5"/>
  <c r="K26" i="5"/>
  <c r="K104" i="5"/>
  <c r="K72" i="5"/>
  <c r="K56" i="5"/>
  <c r="L120" i="5"/>
  <c r="L104" i="5"/>
  <c r="L88" i="5"/>
  <c r="L72" i="5"/>
  <c r="L40" i="5"/>
  <c r="L26" i="5"/>
  <c r="K103" i="5"/>
  <c r="K87" i="5"/>
  <c r="K71" i="5"/>
  <c r="K39" i="5"/>
  <c r="L119" i="5"/>
  <c r="L87" i="5"/>
  <c r="L71" i="5"/>
  <c r="L55" i="5"/>
  <c r="K116" i="5"/>
  <c r="K100" i="5"/>
  <c r="K84" i="5"/>
  <c r="K68" i="5"/>
  <c r="K52" i="5"/>
  <c r="K36" i="5"/>
  <c r="L116" i="5"/>
  <c r="L100" i="5"/>
  <c r="L84" i="5"/>
  <c r="L68" i="5"/>
  <c r="L52" i="5"/>
  <c r="L36" i="5"/>
  <c r="K115" i="5"/>
  <c r="K99" i="5"/>
  <c r="K83" i="5"/>
  <c r="K67" i="5"/>
  <c r="K51" i="5"/>
  <c r="K35" i="5"/>
  <c r="L115" i="5"/>
  <c r="L99" i="5"/>
  <c r="L83" i="5"/>
  <c r="L67" i="5"/>
  <c r="L51" i="5"/>
  <c r="L35" i="5"/>
  <c r="L90" i="5"/>
  <c r="L98" i="5"/>
  <c r="K97" i="5"/>
  <c r="L63" i="5"/>
  <c r="K29" i="5"/>
  <c r="K110" i="5"/>
  <c r="K94" i="5"/>
  <c r="K78" i="5"/>
  <c r="K62" i="5"/>
  <c r="K46" i="5"/>
  <c r="K30" i="5"/>
  <c r="L110" i="5"/>
  <c r="L94" i="5"/>
  <c r="L78" i="5"/>
  <c r="L62" i="5"/>
  <c r="L46" i="5"/>
  <c r="L30" i="5"/>
  <c r="K106" i="5"/>
  <c r="K28" i="5"/>
  <c r="K114" i="5"/>
  <c r="K50" i="5"/>
  <c r="L50" i="5"/>
  <c r="K81" i="5"/>
  <c r="L49" i="5"/>
  <c r="Q12" i="20"/>
  <c r="Q11" i="20"/>
  <c r="Q13" i="20"/>
  <c r="K95" i="5"/>
  <c r="K63" i="5"/>
  <c r="K31" i="5"/>
  <c r="L47" i="5"/>
  <c r="K125" i="5"/>
  <c r="K109" i="5"/>
  <c r="K93" i="5"/>
  <c r="K77" i="5"/>
  <c r="K61" i="5"/>
  <c r="K45" i="5"/>
  <c r="L125" i="5"/>
  <c r="L109" i="5"/>
  <c r="L93" i="5"/>
  <c r="L77" i="5"/>
  <c r="L61" i="5"/>
  <c r="L45" i="5"/>
  <c r="K13" i="20" s="1"/>
  <c r="L29" i="5"/>
  <c r="K122" i="5"/>
  <c r="K58" i="5"/>
  <c r="L122" i="5"/>
  <c r="L58" i="5"/>
  <c r="K98" i="5"/>
  <c r="K82" i="5"/>
  <c r="K66" i="5"/>
  <c r="K34" i="5"/>
  <c r="L114" i="5"/>
  <c r="L82" i="5"/>
  <c r="L66" i="5"/>
  <c r="L34" i="5"/>
  <c r="K113" i="5"/>
  <c r="K65" i="5"/>
  <c r="K49" i="5"/>
  <c r="K33" i="5"/>
  <c r="L113" i="5"/>
  <c r="L97" i="5"/>
  <c r="L81" i="5"/>
  <c r="L65" i="5"/>
  <c r="L33" i="5"/>
  <c r="R13" i="20"/>
  <c r="R11" i="20"/>
  <c r="R12" i="20"/>
  <c r="K112" i="5"/>
  <c r="K96" i="5"/>
  <c r="K80" i="5"/>
  <c r="K64" i="5"/>
  <c r="K48" i="5"/>
  <c r="K32" i="5"/>
  <c r="L112" i="5"/>
  <c r="L96" i="5"/>
  <c r="L80" i="5"/>
  <c r="L64" i="5"/>
  <c r="L48" i="5"/>
  <c r="L32" i="5"/>
  <c r="K111" i="5"/>
  <c r="K79" i="5"/>
  <c r="K47" i="5"/>
  <c r="L111" i="5"/>
  <c r="L95" i="5"/>
  <c r="L79" i="5"/>
  <c r="L31" i="5"/>
  <c r="K124" i="5"/>
  <c r="K108" i="5"/>
  <c r="K92" i="5"/>
  <c r="K76" i="5"/>
  <c r="K60" i="5"/>
  <c r="K44" i="5"/>
  <c r="L124" i="5"/>
  <c r="L108" i="5"/>
  <c r="L92" i="5"/>
  <c r="L76" i="5"/>
  <c r="L60" i="5"/>
  <c r="L44" i="5"/>
  <c r="M21" i="2"/>
  <c r="N21" i="2"/>
  <c r="M22" i="2"/>
  <c r="N22" i="2"/>
  <c r="N20" i="2"/>
  <c r="O82" i="2"/>
  <c r="P82" i="2"/>
  <c r="O83" i="2"/>
  <c r="P83" i="2"/>
  <c r="O84" i="2"/>
  <c r="P84" i="2"/>
  <c r="O85" i="2"/>
  <c r="P85" i="2"/>
  <c r="O86" i="2"/>
  <c r="P86" i="2"/>
  <c r="O87" i="2"/>
  <c r="P87" i="2"/>
  <c r="O88" i="2"/>
  <c r="P88" i="2"/>
  <c r="O89" i="2"/>
  <c r="P89" i="2"/>
  <c r="O90" i="2"/>
  <c r="P90" i="2"/>
  <c r="O91" i="2"/>
  <c r="P91" i="2"/>
  <c r="O92" i="2"/>
  <c r="P92" i="2"/>
  <c r="O93" i="2"/>
  <c r="P93" i="2"/>
  <c r="O94" i="2"/>
  <c r="P94" i="2"/>
  <c r="O95" i="2"/>
  <c r="P95" i="2"/>
  <c r="O96" i="2"/>
  <c r="P96" i="2"/>
  <c r="O97" i="2"/>
  <c r="P97" i="2"/>
  <c r="O98" i="2"/>
  <c r="P98" i="2"/>
  <c r="O99" i="2"/>
  <c r="P99" i="2"/>
  <c r="O100" i="2"/>
  <c r="P100" i="2"/>
  <c r="O101" i="2"/>
  <c r="P101" i="2"/>
  <c r="O102" i="2"/>
  <c r="P102" i="2"/>
  <c r="O103" i="2"/>
  <c r="P103" i="2"/>
  <c r="O104" i="2"/>
  <c r="P104" i="2"/>
  <c r="O105" i="2"/>
  <c r="P105" i="2"/>
  <c r="O106" i="2"/>
  <c r="P106" i="2"/>
  <c r="O107" i="2"/>
  <c r="P107" i="2"/>
  <c r="O108" i="2"/>
  <c r="P108" i="2"/>
  <c r="O109" i="2"/>
  <c r="P109" i="2"/>
  <c r="O110" i="2"/>
  <c r="P110" i="2"/>
  <c r="O111" i="2"/>
  <c r="P111" i="2"/>
  <c r="O112" i="2"/>
  <c r="P112" i="2"/>
  <c r="O113" i="2"/>
  <c r="P113" i="2"/>
  <c r="O114" i="2"/>
  <c r="P114" i="2"/>
  <c r="O115" i="2"/>
  <c r="P115" i="2"/>
  <c r="O116" i="2"/>
  <c r="P116" i="2"/>
  <c r="O117" i="2"/>
  <c r="P117" i="2"/>
  <c r="O118" i="2"/>
  <c r="P118" i="2"/>
  <c r="O119" i="2"/>
  <c r="P119" i="2"/>
  <c r="O120" i="2"/>
  <c r="P120" i="2"/>
  <c r="O121" i="2"/>
  <c r="P121" i="2"/>
  <c r="O122" i="2"/>
  <c r="P122" i="2"/>
  <c r="O123" i="2"/>
  <c r="P123" i="2"/>
  <c r="O124" i="2"/>
  <c r="P124" i="2"/>
  <c r="O125" i="2"/>
  <c r="P125" i="2"/>
  <c r="O27" i="2"/>
  <c r="P27" i="2"/>
  <c r="O28" i="2"/>
  <c r="P28" i="2"/>
  <c r="O29" i="2"/>
  <c r="P29" i="2"/>
  <c r="O30" i="2"/>
  <c r="P30" i="2"/>
  <c r="O31" i="2"/>
  <c r="P31" i="2"/>
  <c r="O32" i="2"/>
  <c r="P32" i="2"/>
  <c r="O33" i="2"/>
  <c r="P33" i="2"/>
  <c r="O34" i="2"/>
  <c r="P34" i="2"/>
  <c r="O35" i="2"/>
  <c r="P35" i="2"/>
  <c r="O36" i="2"/>
  <c r="P36" i="2"/>
  <c r="O37" i="2"/>
  <c r="P37" i="2"/>
  <c r="O38" i="2"/>
  <c r="P38" i="2"/>
  <c r="O39" i="2"/>
  <c r="P39" i="2"/>
  <c r="O40" i="2"/>
  <c r="P40" i="2"/>
  <c r="O41" i="2"/>
  <c r="P41" i="2"/>
  <c r="O42" i="2"/>
  <c r="P42" i="2"/>
  <c r="O43" i="2"/>
  <c r="P43" i="2"/>
  <c r="O44" i="2"/>
  <c r="P44" i="2"/>
  <c r="O45" i="2"/>
  <c r="P45" i="2"/>
  <c r="O46" i="2"/>
  <c r="P46" i="2"/>
  <c r="O47" i="2"/>
  <c r="P47" i="2"/>
  <c r="O48" i="2"/>
  <c r="P48" i="2"/>
  <c r="O49" i="2"/>
  <c r="P49" i="2"/>
  <c r="O50" i="2"/>
  <c r="P50" i="2"/>
  <c r="O51" i="2"/>
  <c r="P51" i="2"/>
  <c r="O52" i="2"/>
  <c r="P52" i="2"/>
  <c r="O53" i="2"/>
  <c r="P53" i="2"/>
  <c r="O54" i="2"/>
  <c r="P54" i="2"/>
  <c r="O55" i="2"/>
  <c r="P55" i="2"/>
  <c r="O56" i="2"/>
  <c r="P56" i="2"/>
  <c r="O57" i="2"/>
  <c r="P57" i="2"/>
  <c r="O58" i="2"/>
  <c r="P58" i="2"/>
  <c r="O59" i="2"/>
  <c r="P59" i="2"/>
  <c r="O60" i="2"/>
  <c r="P60" i="2"/>
  <c r="O61" i="2"/>
  <c r="P61" i="2"/>
  <c r="O62" i="2"/>
  <c r="P62" i="2"/>
  <c r="O63" i="2"/>
  <c r="P63" i="2"/>
  <c r="O64" i="2"/>
  <c r="P64" i="2"/>
  <c r="O65" i="2"/>
  <c r="P65" i="2"/>
  <c r="O66" i="2"/>
  <c r="P66" i="2"/>
  <c r="O67" i="2"/>
  <c r="P67" i="2"/>
  <c r="O68" i="2"/>
  <c r="P68" i="2"/>
  <c r="O69" i="2"/>
  <c r="P69" i="2"/>
  <c r="O70" i="2"/>
  <c r="P70" i="2"/>
  <c r="O71" i="2"/>
  <c r="P71" i="2"/>
  <c r="O72" i="2"/>
  <c r="P72" i="2"/>
  <c r="O73" i="2"/>
  <c r="P73" i="2"/>
  <c r="O74" i="2"/>
  <c r="P74" i="2"/>
  <c r="O75" i="2"/>
  <c r="P75" i="2"/>
  <c r="O76" i="2"/>
  <c r="P76" i="2"/>
  <c r="O77" i="2"/>
  <c r="P77" i="2"/>
  <c r="O78" i="2"/>
  <c r="P78" i="2"/>
  <c r="O79" i="2"/>
  <c r="P79" i="2"/>
  <c r="O80" i="2"/>
  <c r="P80" i="2"/>
  <c r="O81" i="2"/>
  <c r="P81" i="2"/>
  <c r="P26" i="2"/>
  <c r="O26" i="2"/>
  <c r="M27" i="2"/>
  <c r="N27" i="2"/>
  <c r="M28" i="2"/>
  <c r="N28" i="2"/>
  <c r="M29" i="2"/>
  <c r="N29" i="2"/>
  <c r="M30" i="2"/>
  <c r="N30" i="2"/>
  <c r="M31" i="2"/>
  <c r="N31" i="2"/>
  <c r="M32" i="2"/>
  <c r="N32" i="2"/>
  <c r="M33" i="2"/>
  <c r="N33" i="2"/>
  <c r="M34" i="2"/>
  <c r="N34" i="2"/>
  <c r="M35" i="2"/>
  <c r="N35" i="2"/>
  <c r="M36" i="2"/>
  <c r="N36" i="2"/>
  <c r="M37" i="2"/>
  <c r="N37" i="2"/>
  <c r="M38" i="2"/>
  <c r="N38" i="2"/>
  <c r="M39" i="2"/>
  <c r="N39" i="2"/>
  <c r="M40" i="2"/>
  <c r="N40" i="2"/>
  <c r="M41" i="2"/>
  <c r="N41" i="2"/>
  <c r="M42" i="2"/>
  <c r="N42" i="2"/>
  <c r="M43" i="2"/>
  <c r="N43" i="2"/>
  <c r="M44" i="2"/>
  <c r="N44" i="2"/>
  <c r="M45" i="2"/>
  <c r="N45" i="2"/>
  <c r="M46" i="2"/>
  <c r="N46" i="2"/>
  <c r="M47" i="2"/>
  <c r="N47" i="2"/>
  <c r="M48" i="2"/>
  <c r="N48" i="2"/>
  <c r="M49" i="2"/>
  <c r="N49" i="2"/>
  <c r="M50" i="2"/>
  <c r="N50" i="2"/>
  <c r="M51" i="2"/>
  <c r="N51" i="2"/>
  <c r="M52" i="2"/>
  <c r="N52" i="2"/>
  <c r="M53" i="2"/>
  <c r="N53" i="2"/>
  <c r="M54" i="2"/>
  <c r="N54" i="2"/>
  <c r="M55" i="2"/>
  <c r="N55" i="2"/>
  <c r="M56" i="2"/>
  <c r="N56" i="2"/>
  <c r="M57" i="2"/>
  <c r="N57" i="2"/>
  <c r="M58" i="2"/>
  <c r="N58" i="2"/>
  <c r="M59" i="2"/>
  <c r="N59" i="2"/>
  <c r="M60" i="2"/>
  <c r="N60" i="2"/>
  <c r="M61" i="2"/>
  <c r="N61" i="2"/>
  <c r="M62" i="2"/>
  <c r="N62" i="2"/>
  <c r="M63" i="2"/>
  <c r="N63" i="2"/>
  <c r="M64" i="2"/>
  <c r="N64" i="2"/>
  <c r="M65" i="2"/>
  <c r="N65" i="2"/>
  <c r="M66" i="2"/>
  <c r="N66" i="2"/>
  <c r="M67" i="2"/>
  <c r="N67" i="2"/>
  <c r="M68" i="2"/>
  <c r="N68" i="2"/>
  <c r="M69" i="2"/>
  <c r="N69" i="2"/>
  <c r="M70" i="2"/>
  <c r="N70" i="2"/>
  <c r="M71" i="2"/>
  <c r="N71" i="2"/>
  <c r="M72" i="2"/>
  <c r="N72" i="2"/>
  <c r="M73" i="2"/>
  <c r="N73" i="2"/>
  <c r="M74" i="2"/>
  <c r="N74" i="2"/>
  <c r="M75" i="2"/>
  <c r="N75" i="2"/>
  <c r="M76" i="2"/>
  <c r="N76" i="2"/>
  <c r="M77" i="2"/>
  <c r="N77" i="2"/>
  <c r="M78" i="2"/>
  <c r="N78" i="2"/>
  <c r="M79" i="2"/>
  <c r="N79" i="2"/>
  <c r="M80" i="2"/>
  <c r="N80" i="2"/>
  <c r="M81" i="2"/>
  <c r="N81" i="2"/>
  <c r="M82" i="2"/>
  <c r="N82" i="2"/>
  <c r="M83" i="2"/>
  <c r="N83" i="2"/>
  <c r="M84" i="2"/>
  <c r="N84" i="2"/>
  <c r="M85" i="2"/>
  <c r="N85" i="2"/>
  <c r="M86" i="2"/>
  <c r="N86" i="2"/>
  <c r="M87" i="2"/>
  <c r="N87" i="2"/>
  <c r="M88" i="2"/>
  <c r="N88" i="2"/>
  <c r="M89" i="2"/>
  <c r="N89" i="2"/>
  <c r="M90" i="2"/>
  <c r="N90" i="2"/>
  <c r="M91" i="2"/>
  <c r="N91" i="2"/>
  <c r="M92" i="2"/>
  <c r="N92" i="2"/>
  <c r="M93" i="2"/>
  <c r="N93" i="2"/>
  <c r="M94" i="2"/>
  <c r="N94" i="2"/>
  <c r="M95" i="2"/>
  <c r="N95" i="2"/>
  <c r="M96" i="2"/>
  <c r="N96" i="2"/>
  <c r="M97" i="2"/>
  <c r="N97" i="2"/>
  <c r="M98" i="2"/>
  <c r="N98" i="2"/>
  <c r="M99" i="2"/>
  <c r="N99" i="2"/>
  <c r="M100" i="2"/>
  <c r="N100" i="2"/>
  <c r="M101" i="2"/>
  <c r="N101" i="2"/>
  <c r="M102" i="2"/>
  <c r="N102" i="2"/>
  <c r="M103" i="2"/>
  <c r="N103" i="2"/>
  <c r="M104" i="2"/>
  <c r="N104" i="2"/>
  <c r="M105" i="2"/>
  <c r="N105" i="2"/>
  <c r="M106" i="2"/>
  <c r="N106" i="2"/>
  <c r="M107" i="2"/>
  <c r="N107" i="2"/>
  <c r="M108" i="2"/>
  <c r="N108" i="2"/>
  <c r="M109" i="2"/>
  <c r="N109" i="2"/>
  <c r="M110" i="2"/>
  <c r="N110" i="2"/>
  <c r="M111" i="2"/>
  <c r="N111" i="2"/>
  <c r="M112" i="2"/>
  <c r="N112" i="2"/>
  <c r="M113" i="2"/>
  <c r="N113" i="2"/>
  <c r="M114" i="2"/>
  <c r="N114" i="2"/>
  <c r="M115" i="2"/>
  <c r="N115" i="2"/>
  <c r="M116" i="2"/>
  <c r="N116" i="2"/>
  <c r="M117" i="2"/>
  <c r="N117" i="2"/>
  <c r="M118" i="2"/>
  <c r="N118" i="2"/>
  <c r="M119" i="2"/>
  <c r="N119" i="2"/>
  <c r="M120" i="2"/>
  <c r="N120" i="2"/>
  <c r="M121" i="2"/>
  <c r="N121" i="2"/>
  <c r="M122" i="2"/>
  <c r="N122" i="2"/>
  <c r="M123" i="2"/>
  <c r="N123" i="2"/>
  <c r="M124" i="2"/>
  <c r="N124" i="2"/>
  <c r="M125" i="2"/>
  <c r="N125" i="2"/>
  <c r="N26" i="2"/>
  <c r="M26" i="2"/>
  <c r="N14" i="2"/>
  <c r="M14" i="2"/>
  <c r="T14" i="2"/>
  <c r="K12" i="15"/>
  <c r="K13" i="15"/>
  <c r="K11" i="15"/>
  <c r="P11" i="6"/>
  <c r="R10" i="6"/>
  <c r="O10" i="5"/>
  <c r="Q9" i="5"/>
  <c r="T7" i="3"/>
  <c r="D11" i="3"/>
  <c r="D10" i="3"/>
  <c r="C22" i="3" s="1"/>
  <c r="R5" i="2"/>
  <c r="E12" i="2"/>
  <c r="D12" i="2"/>
  <c r="E4" i="2"/>
  <c r="E3" i="2"/>
  <c r="G18" i="1"/>
  <c r="G19" i="1"/>
  <c r="G17" i="1"/>
  <c r="H8" i="1"/>
  <c r="I8" i="1"/>
  <c r="G8" i="1"/>
  <c r="G3" i="1"/>
  <c r="R8" i="3"/>
  <c r="C18" i="3"/>
  <c r="D18" i="3"/>
  <c r="C19" i="3"/>
  <c r="D19" i="3"/>
  <c r="C20" i="3"/>
  <c r="D20" i="3"/>
  <c r="C21" i="3"/>
  <c r="D21"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D17" i="3"/>
  <c r="C17" i="3"/>
  <c r="D13" i="3"/>
  <c r="K11" i="20" l="1"/>
  <c r="K12" i="20"/>
  <c r="D23" i="2"/>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E22" i="2"/>
  <c r="D22" i="2"/>
  <c r="G32" i="2"/>
  <c r="F29" i="2"/>
  <c r="F30" i="2"/>
  <c r="F31" i="2"/>
  <c r="F32" i="2"/>
  <c r="F33" i="2"/>
  <c r="F34" i="2"/>
  <c r="F47" i="2"/>
  <c r="F48" i="2"/>
  <c r="F49" i="2"/>
  <c r="F50" i="2"/>
  <c r="F53" i="2"/>
  <c r="F54" i="2"/>
  <c r="F65" i="2"/>
  <c r="F66" i="2"/>
  <c r="F69" i="2"/>
  <c r="F70" i="2"/>
  <c r="F71" i="2"/>
  <c r="F72" i="2"/>
  <c r="F85" i="2"/>
  <c r="F86" i="2"/>
  <c r="F87" i="2"/>
  <c r="F88" i="2"/>
  <c r="F89" i="2"/>
  <c r="F90" i="2"/>
  <c r="F103" i="2"/>
  <c r="F104" i="2"/>
  <c r="F105" i="2"/>
  <c r="F106" i="2"/>
  <c r="F107" i="2"/>
  <c r="F108" i="2"/>
  <c r="F121" i="2"/>
  <c r="G26" i="2"/>
  <c r="G27" i="2"/>
  <c r="G30" i="2"/>
  <c r="G31" i="2"/>
  <c r="G34" i="2"/>
  <c r="G35" i="2"/>
  <c r="G36" i="2"/>
  <c r="G37" i="2"/>
  <c r="G38" i="2"/>
  <c r="G39" i="2"/>
  <c r="G40" i="2"/>
  <c r="G43" i="2"/>
  <c r="G50" i="2"/>
  <c r="G51" i="2"/>
  <c r="G52" i="2"/>
  <c r="G53" i="2"/>
  <c r="G54" i="2"/>
  <c r="G55" i="2"/>
  <c r="G56" i="2"/>
  <c r="G57" i="2"/>
  <c r="G58" i="2"/>
  <c r="G59" i="2"/>
  <c r="G60" i="2"/>
  <c r="G63" i="2"/>
  <c r="G70" i="2"/>
  <c r="G71" i="2"/>
  <c r="G72" i="2"/>
  <c r="G73" i="2"/>
  <c r="G74" i="2"/>
  <c r="G75" i="2"/>
  <c r="G76" i="2"/>
  <c r="G77" i="2"/>
  <c r="G78" i="2"/>
  <c r="G79" i="2"/>
  <c r="G82" i="2"/>
  <c r="G87" i="2"/>
  <c r="G90" i="2"/>
  <c r="G91" i="2"/>
  <c r="G92" i="2"/>
  <c r="G93" i="2"/>
  <c r="G94" i="2"/>
  <c r="G95" i="2"/>
  <c r="G98" i="2"/>
  <c r="G99" i="2"/>
  <c r="G100" i="2"/>
  <c r="G101" i="2"/>
  <c r="G102" i="2"/>
  <c r="G106" i="2"/>
  <c r="G108" i="2"/>
  <c r="G109" i="2"/>
  <c r="G110" i="2"/>
  <c r="G111" i="2"/>
  <c r="G114" i="2"/>
  <c r="G115" i="2"/>
  <c r="G116" i="2"/>
  <c r="G117" i="2"/>
  <c r="G118" i="2"/>
  <c r="G119" i="2"/>
  <c r="G120" i="2"/>
  <c r="G22" i="2"/>
  <c r="F35" i="2"/>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5" i="1"/>
  <c r="R5" i="1"/>
  <c r="Q6" i="1"/>
  <c r="R6" i="1"/>
  <c r="Q7" i="1"/>
  <c r="R7" i="1"/>
  <c r="Q8" i="1"/>
  <c r="R8" i="1"/>
  <c r="Q9" i="1"/>
  <c r="R9" i="1"/>
  <c r="Q10" i="1"/>
  <c r="R10" i="1"/>
  <c r="Q11" i="1"/>
  <c r="R11" i="1"/>
  <c r="Q12" i="1"/>
  <c r="R12" i="1"/>
  <c r="Q13" i="1"/>
  <c r="R13" i="1"/>
  <c r="Q14" i="1"/>
  <c r="R14" i="1"/>
  <c r="Q15" i="1"/>
  <c r="R15" i="1"/>
  <c r="R4" i="1"/>
  <c r="Q4" i="1"/>
  <c r="H7" i="1"/>
  <c r="I7" i="1"/>
  <c r="G7" i="1"/>
  <c r="G2" i="1"/>
  <c r="G89" i="2" l="1"/>
  <c r="G69" i="2"/>
  <c r="G45" i="2"/>
  <c r="G25" i="2"/>
  <c r="G107" i="2"/>
  <c r="G88" i="2"/>
  <c r="G68" i="2"/>
  <c r="G44" i="2"/>
  <c r="G24" i="2"/>
  <c r="G105" i="2"/>
  <c r="G86" i="2"/>
  <c r="G62" i="2"/>
  <c r="G42" i="2"/>
  <c r="G23" i="2"/>
  <c r="G104" i="2"/>
  <c r="G83" i="2"/>
  <c r="G61" i="2"/>
  <c r="G41" i="2"/>
  <c r="F120" i="2"/>
  <c r="F102" i="2"/>
  <c r="F82" i="2"/>
  <c r="F64" i="2"/>
  <c r="F46" i="2"/>
  <c r="F28" i="2"/>
  <c r="F119" i="2"/>
  <c r="F101" i="2"/>
  <c r="F81" i="2"/>
  <c r="F63" i="2"/>
  <c r="F45" i="2"/>
  <c r="F27" i="2"/>
  <c r="F118" i="2"/>
  <c r="F98" i="2"/>
  <c r="F80" i="2"/>
  <c r="F62" i="2"/>
  <c r="F44" i="2"/>
  <c r="F26" i="2"/>
  <c r="F117" i="2"/>
  <c r="F97" i="2"/>
  <c r="F79" i="2"/>
  <c r="F61" i="2"/>
  <c r="F43" i="2"/>
  <c r="F25" i="2"/>
  <c r="F114" i="2"/>
  <c r="F96" i="2"/>
  <c r="F78" i="2"/>
  <c r="F60" i="2"/>
  <c r="F42" i="2"/>
  <c r="F24" i="2"/>
  <c r="F113" i="2"/>
  <c r="F95" i="2"/>
  <c r="F77" i="2"/>
  <c r="F59" i="2"/>
  <c r="F41" i="2"/>
  <c r="F23" i="2"/>
  <c r="F112" i="2"/>
  <c r="F94" i="2"/>
  <c r="F76" i="2"/>
  <c r="F58" i="2"/>
  <c r="F40" i="2"/>
  <c r="F22" i="2"/>
  <c r="F111" i="2"/>
  <c r="F93" i="2"/>
  <c r="F75" i="2"/>
  <c r="F57" i="2"/>
  <c r="F39" i="2"/>
  <c r="G121" i="2"/>
  <c r="G103" i="2"/>
  <c r="G85" i="2"/>
  <c r="G67" i="2"/>
  <c r="G47" i="2"/>
  <c r="G29" i="2"/>
  <c r="F110" i="2"/>
  <c r="F92" i="2"/>
  <c r="F74" i="2"/>
  <c r="F56" i="2"/>
  <c r="F38" i="2"/>
  <c r="G84" i="2"/>
  <c r="G66" i="2"/>
  <c r="G46" i="2"/>
  <c r="G28" i="2"/>
  <c r="F109" i="2"/>
  <c r="F91" i="2"/>
  <c r="F73" i="2"/>
  <c r="F55" i="2"/>
  <c r="F37" i="2"/>
  <c r="G113" i="2"/>
  <c r="G97" i="2"/>
  <c r="G81" i="2"/>
  <c r="G65" i="2"/>
  <c r="G49" i="2"/>
  <c r="G33" i="2"/>
  <c r="F116" i="2"/>
  <c r="F100" i="2"/>
  <c r="F84" i="2"/>
  <c r="F68" i="2"/>
  <c r="F52" i="2"/>
  <c r="F36" i="2"/>
  <c r="G112" i="2"/>
  <c r="G96" i="2"/>
  <c r="G80" i="2"/>
  <c r="G64" i="2"/>
  <c r="G48" i="2"/>
  <c r="F115" i="2"/>
  <c r="F99" i="2"/>
  <c r="F83" i="2"/>
  <c r="F67" i="2"/>
  <c r="F51" i="2"/>
  <c r="E8" i="11"/>
  <c r="D8" i="11"/>
  <c r="E7" i="11"/>
  <c r="D7" i="11"/>
  <c r="E6" i="11"/>
  <c r="D6" i="11"/>
  <c r="J13" i="8"/>
  <c r="I13" i="8"/>
  <c r="H9" i="8"/>
  <c r="G9" i="8"/>
  <c r="F9" i="8"/>
  <c r="E9" i="8"/>
  <c r="D9" i="8"/>
  <c r="C9" i="8"/>
  <c r="J8" i="8"/>
  <c r="I8" i="8"/>
  <c r="F8" i="8"/>
  <c r="E8" i="8"/>
  <c r="D8" i="8"/>
  <c r="C8" i="8"/>
  <c r="J7" i="8"/>
  <c r="I7" i="8"/>
  <c r="G7" i="8"/>
  <c r="F7" i="8"/>
  <c r="E7" i="8"/>
  <c r="D7" i="8"/>
  <c r="C7" i="8"/>
  <c r="J6" i="8"/>
  <c r="I6" i="8"/>
  <c r="G6" i="8"/>
  <c r="F6" i="8"/>
  <c r="E6" i="8"/>
  <c r="D6" i="8"/>
  <c r="C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2127A6EE-A923-4E10-B941-E2D009F99B44}">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F2BCBD03-050F-4BB1-B806-85A8E72D28D3}">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74075EBD-ED35-4695-B9A8-BD340AC83421}">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FDC3CD00-E484-4660-9AB9-CE7C608F83BC}">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9E63377-AFB0-41D5-8571-422808C5D9A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A868FEB-21CC-4257-A083-E7C7CAECA43D}">
      <text>
        <r>
          <rPr>
            <sz val="8"/>
            <color indexed="81"/>
            <rFont val="Tahoma"/>
            <family val="2"/>
          </rPr>
          <t>Comm-IN-A 
indicates an auxillary input, thus not consider with respect the efficiency</t>
        </r>
      </text>
    </comment>
    <comment ref="H8" authorId="2" shapeId="0" xr:uid="{00BFB4F4-4EBD-46D0-9C29-82626F2BE5AF}">
      <text>
        <r>
          <rPr>
            <sz val="8"/>
            <color indexed="81"/>
            <rFont val="Tahoma"/>
            <family val="2"/>
          </rPr>
          <t>Comm-OUT-A 
indicates an auxillary output, thus not consider with respect the efficiency</t>
        </r>
      </text>
    </comment>
    <comment ref="AD12" authorId="2" shapeId="0" xr:uid="{856B05B5-BAD8-488D-96C4-032100619DF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4D50B718-608C-4026-9370-F039010E15B4}">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8C0A83CB-8ED6-4345-BED9-8F1F05C6273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4D639B16-9913-4013-A69B-FC194184A6E4}">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97CC3084-E0BA-46E9-BC49-1735807BFF9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EBFDD7-D456-4CC2-A88A-66F4B173002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E55CFED-AD34-4097-B62C-0AD3CEE32E2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3CE77F48-96C1-49B7-B46B-63C7D35F5C92}">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8BC342A-41CD-4F53-ADA4-668719DF3BED}">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CEB8830F-7D05-45DD-8A6B-5A2B3C7066AC}">
      <text>
        <r>
          <rPr>
            <sz val="8"/>
            <color indexed="81"/>
            <rFont val="Tahoma"/>
            <family val="2"/>
          </rPr>
          <t>Comm-IN-A 
indicates an auxillary input, thus not consider with respect the efficiency</t>
        </r>
      </text>
    </comment>
    <comment ref="H8" authorId="2" shapeId="0" xr:uid="{DECC91E3-272F-4337-9499-F9CBF2281B01}">
      <text>
        <r>
          <rPr>
            <sz val="8"/>
            <color indexed="81"/>
            <rFont val="Tahoma"/>
            <family val="2"/>
          </rPr>
          <t>Comm-OUT-A 
indicates an auxillary output, thus not consider with respect the efficiency</t>
        </r>
      </text>
    </comment>
    <comment ref="AD12" authorId="2" shapeId="0" xr:uid="{8A80562F-98CC-46FE-88E6-53B04A2A0FC7}">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F44A00B1-357E-45A6-9C66-495477A1076B}">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19BA74-86E5-4D71-A1C2-3D44931A057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2AE0F933-4A30-4503-8B2F-B2155C45576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04605087-5420-4A39-BBB4-4AAEBEACD82D}">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616ACE3-E66E-43EC-8F9D-47CFCA799CC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B72B402-F65A-49B1-A7D8-AB4D7DA31F85}">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5EA246DC-D948-49F5-83BC-E7D3A5996A31}">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6ADA7169-997D-4F16-927E-050639E77E4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BBBDAEC7-FCC8-4D8D-B005-E32D912BD68B}">
      <text>
        <r>
          <rPr>
            <sz val="8"/>
            <color indexed="81"/>
            <rFont val="Tahoma"/>
            <family val="2"/>
          </rPr>
          <t>Comm-IN-A 
indicates an auxillary input, thus not consider with respect the efficiency</t>
        </r>
      </text>
    </comment>
    <comment ref="H8" authorId="2" shapeId="0" xr:uid="{06292DB0-900F-49EE-B1C9-B314AB07EC75}">
      <text>
        <r>
          <rPr>
            <sz val="8"/>
            <color indexed="81"/>
            <rFont val="Tahoma"/>
            <family val="2"/>
          </rPr>
          <t>Comm-OUT-A 
indicates an auxillary output, thus not consider with respect the efficiency</t>
        </r>
      </text>
    </comment>
    <comment ref="AD12" authorId="2" shapeId="0" xr:uid="{C123C952-F99E-443B-B019-8ED4F2A7366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9EC532C7-8548-4E8A-AA57-13C251EC0F3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F3EF105-C995-4D1B-8CE3-7B2EDE31AA78}">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74A892A0-6AB0-429F-B928-A2CD6B8D846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14A5F565-15D6-4B1A-A738-1A339DF62FB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CDD8CD-A742-466B-9672-B05BF245B27C}">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96E67236-D33E-4500-89E4-CB38525194D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316A132-F570-45B2-AA3B-5BE2A107EC6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5FDB6BB-AC31-45E2-9285-12057159895C}">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9D002F5E-75A3-4404-8400-8B65724799EB}">
      <text>
        <r>
          <rPr>
            <sz val="8"/>
            <color indexed="81"/>
            <rFont val="Tahoma"/>
            <family val="2"/>
          </rPr>
          <t>Comm-IN-A 
indicates an auxillary input, thus not consider with respect the efficiency</t>
        </r>
      </text>
    </comment>
    <comment ref="H8" authorId="2" shapeId="0" xr:uid="{EF71303D-0F44-4719-AD23-FFDBA2B047CE}">
      <text>
        <r>
          <rPr>
            <sz val="8"/>
            <color indexed="81"/>
            <rFont val="Tahoma"/>
            <family val="2"/>
          </rPr>
          <t>Comm-OUT-A 
indicates an auxillary output, thus not consider with respect the efficiency</t>
        </r>
      </text>
    </comment>
    <comment ref="AD12" authorId="2" shapeId="0" xr:uid="{64DC97AC-EC70-427B-9380-6D8B33C0977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815B7E71-FB5F-4D1E-A747-A6A603537AC5}">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F5E493-BE7E-40CB-8FB8-FD010AAF2617}">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AA9724F8-B34B-44A4-A5F0-F84F563A957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E4BB27E6-BFD0-4DBC-84F6-056DAE896D2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B43D1DE-356A-4E80-A7AF-5B54527C8D8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BFBAE9A4-27F1-4E26-85DF-E69F61226B0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BD239710-0B97-4624-8F4A-6ACC75B18BC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46D8B4F-D231-4085-B30A-D0317298EE8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3A81966-F929-4E9D-BB79-73A163CE1DE9}">
      <text>
        <r>
          <rPr>
            <sz val="8"/>
            <color indexed="81"/>
            <rFont val="Tahoma"/>
            <family val="2"/>
          </rPr>
          <t>Comm-IN-A 
indicates an auxillary input, thus not consider with respect the efficiency</t>
        </r>
      </text>
    </comment>
    <comment ref="H8" authorId="2" shapeId="0" xr:uid="{5E136130-5DCF-4273-A21C-5A17E682BD6B}">
      <text>
        <r>
          <rPr>
            <sz val="8"/>
            <color indexed="81"/>
            <rFont val="Tahoma"/>
            <family val="2"/>
          </rPr>
          <t>Comm-OUT-A 
indicates an auxillary output, thus not consider with respect the efficiency</t>
        </r>
      </text>
    </comment>
    <comment ref="AD12" authorId="2" shapeId="0" xr:uid="{47B7AFAC-DDB8-454B-9CE1-A3C129AD8E3F}">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3A06B86E-095A-460E-9FA0-E1E5DFC33D9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E34CE094-3A1A-446A-A5A1-55D7D170086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671D3F7C-EC9F-4FBA-844E-7D8A7937C1C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<sst xmlns="http://schemas.openxmlformats.org/spreadsheetml/2006/main" count="912" uniqueCount="316">
  <si>
    <t>Methanol=LHC in technology cathalogue</t>
  </si>
  <si>
    <t>JET FUEL=LHC in technology cathalogue</t>
  </si>
  <si>
    <t>Technology</t>
  </si>
  <si>
    <t>Energy Transport Electricity Main distribution, electricity cables</t>
  </si>
  <si>
    <t>year</t>
  </si>
  <si>
    <t>Note</t>
  </si>
  <si>
    <t>Ref</t>
  </si>
  <si>
    <t>est</t>
  </si>
  <si>
    <t>Est</t>
  </si>
  <si>
    <t>Lower</t>
  </si>
  <si>
    <t>Upper</t>
  </si>
  <si>
    <t>-</t>
  </si>
  <si>
    <t>cat</t>
  </si>
  <si>
    <t>par</t>
  </si>
  <si>
    <t>Energy/technical data</t>
  </si>
  <si>
    <t>Energy losses, lines 1-20 MW [%]</t>
  </si>
  <si>
    <t>[A, B]</t>
  </si>
  <si>
    <t>[1, 2, 3, 4]</t>
  </si>
  <si>
    <t>Energy losses, lines 20-100 MW [%]</t>
  </si>
  <si>
    <t>Energy losses, lines above 100 MW [%]</t>
  </si>
  <si>
    <t>Energy losses, stations type 1 [%]</t>
  </si>
  <si>
    <t>Energy losses, stations type 2 [%]</t>
  </si>
  <si>
    <t>N/A</t>
  </si>
  <si>
    <t>[A, B, S]</t>
  </si>
  <si>
    <t>Auxiliary electricity consumption [%] of energy transmitted</t>
  </si>
  <si>
    <t>Technical life time [years]</t>
  </si>
  <si>
    <t>C</t>
  </si>
  <si>
    <t>Typical load profile (-)</t>
  </si>
  <si>
    <t>D</t>
  </si>
  <si>
    <t>Construction time [years]</t>
  </si>
  <si>
    <t>E</t>
  </si>
  <si>
    <t>Financial data</t>
  </si>
  <si>
    <t>Investment costs; single line, 0 - 50 MW  [EUR/MW/m]</t>
  </si>
  <si>
    <t>[F, G]</t>
  </si>
  <si>
    <t>[6, 7]</t>
  </si>
  <si>
    <t>Investment costs; single line, 50-100 MW [EUR/MW/m]</t>
  </si>
  <si>
    <t>[H, G]</t>
  </si>
  <si>
    <t>Investment costs; single line, 100 - 250 MW [EUR/MW/m]</t>
  </si>
  <si>
    <t>[I, G]</t>
  </si>
  <si>
    <t>Investment costs; single line, 250-500 MW [EUR/MW/m]</t>
  </si>
  <si>
    <t>J</t>
  </si>
  <si>
    <t>Investment costs; single line, 500-1000 MW [EUR/MW/m]</t>
  </si>
  <si>
    <t>Investment costs; single line, above 1000 MW [EUR/MW/m]</t>
  </si>
  <si>
    <t>Reinforcement costs [EUR/MW]</t>
  </si>
  <si>
    <t>[K, O]</t>
  </si>
  <si>
    <t>Investment costs; type 1 station [EUR/MW]</t>
  </si>
  <si>
    <t>[L, O]</t>
  </si>
  <si>
    <t>Investment costs; type 2 station [EUR/MW]</t>
  </si>
  <si>
    <t>[M, O]</t>
  </si>
  <si>
    <t>Investments, percentage installation</t>
  </si>
  <si>
    <t>P</t>
  </si>
  <si>
    <t>Investments, percentage materials</t>
  </si>
  <si>
    <t>Fixed O&amp;M [EUR/MW/km/year]</t>
  </si>
  <si>
    <t>Q</t>
  </si>
  <si>
    <t>Variable O&amp;M [EUR/MWh/km]</t>
  </si>
  <si>
    <t>R</t>
  </si>
  <si>
    <t>Technology-specific data</t>
  </si>
  <si>
    <t>References:</t>
  </si>
  <si>
    <t>1. U.S. Energy Information Administration (http://www.eia.gov/tools/faqs/faq.cfm?id=105&amp;t=3)</t>
  </si>
  <si>
    <t>2. energinet.dk (http://www.energinet.dk/DA/KLIMA-OG-MILJOE/Energinetdks-miljoepaavirkninger/Miljoepaavirkninger-ved-transport-af-el/Sider/Tab-i-elnettet.aspx)</t>
  </si>
  <si>
    <t>3. Svenska Kraftnät, Nätuvecklingsplan 2016 – 2025, Oktober 2015 (http://www.svk.se/siteassets/om-oss/rapporter/natutvecklingsplan-2016-2025.pdf)</t>
  </si>
  <si>
    <t>4. International Electrotechnical Comission, Efficient Electrical Energy Transmission and Distribution (http://www.iec.ch/about/brochures/pdf/technology/transmission.pdf)</t>
  </si>
  <si>
    <t>5. Svenska Kraftnät, Technology (http://www.svk.se/en/grid-development/the-construction-process/technology/)</t>
  </si>
  <si>
    <t>6. EBR cost database, developed by Swedish bransch organisation Svensk Energi.</t>
  </si>
  <si>
    <t>7. PEX Guiden, Ericsson</t>
  </si>
  <si>
    <t>8. Standard value list for the Swedish Energy Markets Inspectorate (2015 value) (http://ei.se/sv/el/Elnat-och-natprisreglering/forhandsreglering-av-elnatstariffer-ar-2016-2019/dokument-elnatsreglering/normvardeslista-elnat-2016-2019/)</t>
  </si>
  <si>
    <t>9. Swedish Energy Markets Inspectorate (http://ei.se/sv/el/Elnat-och-natprisreglering/de-olika-delarna-i-intaktsramen/)</t>
  </si>
  <si>
    <t>Notes:</t>
  </si>
  <si>
    <t>A. Energy losses are estimated from total energy loss on transmission levels in the voltage range 20kV to 130 kV in Sweden. Transmission lines/cables accounts for approximately 60% of the losses and transformers accounts for approximately 40%.</t>
  </si>
  <si>
    <t xml:space="preserve">B. 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</si>
  <si>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 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</si>
  <si>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D. 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</si>
  <si>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E. Construction time ranges normally from 1 to 2 years. In technically complex projects and for long cable stretches, the construction time increases and could stretch up to 5 years.</t>
  </si>
  <si>
    <t xml:space="preserve">F. 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mm2  and 630 mm2,,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</si>
  <si>
    <t xml:space="preserve">G.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</si>
  <si>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H. 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mm2, 800mm2  and 1000 mm2,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</si>
  <si>
    <t>I. 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mm2, corresponding to a power level of 100 MW. Power levels above 100 MW are not considered for this voltage level.</t>
  </si>
  <si>
    <t>J. 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</si>
  <si>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 xml:space="preserve">K. 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</si>
  <si>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 xml:space="preserve">L. 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</si>
  <si>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 Station cost is based on average cost for capacity banks and inductor with a design voltage of 72 kV. It is assumed that the equipment is installed in a existing station.</t>
  </si>
  <si>
    <t xml:space="preserve">O.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</si>
  <si>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P. 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</si>
  <si>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Q. 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</si>
  <si>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R. Variable O&amp;M cost is in very low for electric transmission systems and considered to be negligible</t>
  </si>
  <si>
    <t>S. Energy losses and auxiliary electricity consumption can be considered negligible</t>
  </si>
  <si>
    <t>Main distribution line H2 - 140 bar</t>
  </si>
  <si>
    <t>Energy losses, lines 1-100 MW, [%/1000 km]</t>
  </si>
  <si>
    <t>A</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</si>
  <si>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</si>
  <si>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</si>
  <si>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</si>
  <si>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</si>
  <si>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</si>
  <si>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</si>
  <si>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</si>
  <si>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B</t>
  </si>
  <si>
    <t>Investment costs; single line, 0 - 100 MW  [EUR/MW/m]</t>
  </si>
  <si>
    <t>Investment costs; single line, 1000-4000 MW [EUR/MW/m]</t>
  </si>
  <si>
    <t>Investment costs; single line, above 6000 MW [EUR/MW/m]</t>
  </si>
  <si>
    <t>Investments, percentage installation [%]</t>
  </si>
  <si>
    <t>Investments, percentage materials [%]</t>
  </si>
  <si>
    <t>Fixed O&amp;M [EUR/km/year/MW]</t>
  </si>
  <si>
    <t>Variable O&amp;M [EUR/MW/km]</t>
  </si>
  <si>
    <t>A. Energy required to overcome pipeline pressure drop (dP). Optimal dP/km depend on cost of booster compressor vs pipe material cost. 
 Curently, the optimum seems to be:  velosity (m/s)≈4.4*Q^0.1, dPdL(bar/km)≈1.28*Q^(-0.75), Q=energy flow (MW)</t>
  </si>
  <si>
    <t>B. Energy to compress from 35 barg to 140 barg. This value can be lowered by only compress to curent operation pressure in transmission line using outtake from interstages compressors</t>
  </si>
  <si>
    <t>C. Estimate includes: installation based on burried pipeline with 8% tunneling, coating, sectionalisation with depressurizations vents for every 20 km, cathodic protection, coating, pressure boosting stations, permitting, landowner compensation</t>
  </si>
  <si>
    <t>D. Installation cost is ~80% for small pipes and ~75% for large pipes</t>
  </si>
  <si>
    <t>E. Fixed operation cost is per pipelength and capacity. 4% of CAPEX is assumed in 2020,  2% in 2030 and 1.5% in 2050.</t>
  </si>
  <si>
    <t>&lt;none&gt;</t>
  </si>
  <si>
    <t>Main distribution line - NH3</t>
  </si>
  <si>
    <t>Energy losses [‰]</t>
  </si>
  <si>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</si>
  <si>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</si>
  <si>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</si>
  <si>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</si>
  <si>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</si>
  <si>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</si>
  <si>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</si>
  <si>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</si>
  <si>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</si>
  <si>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</si>
  <si>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Ship transport</t>
  </si>
  <si>
    <t>LH2: Energy demand [MJ/km]</t>
  </si>
  <si>
    <t>[A, F]</t>
  </si>
  <si>
    <t>L20: Energy demand [MJ/km]</t>
  </si>
  <si>
    <t>LHC: Energy demand [MJ/km]</t>
  </si>
  <si>
    <t>LH2 Investment cost [EUR/tonH2]</t>
  </si>
  <si>
    <t>G</t>
  </si>
  <si>
    <t>[2, 3]</t>
  </si>
  <si>
    <t>L20: Investment cost [EUR/tonL20]</t>
  </si>
  <si>
    <t>LHC: Investment cost [EUR/tonLHC]</t>
  </si>
  <si>
    <t>LH2: Fixed O&amp;M cost [EUR/tonH2/y]</t>
  </si>
  <si>
    <t>L20:Fixed O&amp;M cost [EUR/tonL20/y]</t>
  </si>
  <si>
    <t>LHC: Fixed O&amp;M cost [EUR/tonLHC/y]</t>
  </si>
  <si>
    <t>LH2: Port cost [EUR/tonH2]</t>
  </si>
  <si>
    <t>L20: Port cost [EUR/tonH2]</t>
  </si>
  <si>
    <t>LHC: Port cost [EUR/tonLHC]</t>
  </si>
  <si>
    <t>1. The Basics of the Tanker Shipping Market, Euronav, 2017</t>
  </si>
  <si>
    <t>2. Torm annual report 2018</t>
  </si>
  <si>
    <t>3. Shipping CO₂ - UK cost estimation study, 2018</t>
  </si>
  <si>
    <t>A. Energy based on fuel LHV which is approximated by: 0.023*Mcargo+1400 for L20 and LHC. For LH2 the weight of the cargo is much less (do to the low weight of H2) why the weight of the entire ship have been used instead</t>
  </si>
  <si>
    <t>B. Investment cost based on: Cost [€/t] = 4000 - 0.05*Mcargo, where Mcargo is design capacity of ship</t>
  </si>
  <si>
    <t>C. CAPEX of LPG carrier see https://www.seatrade-maritime.com/tankers/euronav-buys-another-scrubber-fitted-resale-vlcc-newbuild</t>
  </si>
  <si>
    <t>D. CAPEX of tanker see BRS group annual review 2019</t>
  </si>
  <si>
    <t>E. Fixed O&amp;M is assumed to be ~5% of annual CAPEX</t>
  </si>
  <si>
    <t xml:space="preserve">F. 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</si>
  <si>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G. Assumed cost reduction after LH2 tanker is commercialized </t>
  </si>
  <si>
    <t>Investment cost</t>
  </si>
  <si>
    <t>Fixed OM</t>
  </si>
  <si>
    <t>EUR/MW/m</t>
  </si>
  <si>
    <t>EUR/MW/KM/year</t>
  </si>
  <si>
    <t xml:space="preserve">Energy losses (efficiency) </t>
  </si>
  <si>
    <t>Distance (km)</t>
  </si>
  <si>
    <t>PIPES</t>
  </si>
  <si>
    <t>SHIPS</t>
  </si>
  <si>
    <t>H2</t>
  </si>
  <si>
    <t>kwh/kg</t>
  </si>
  <si>
    <t>MWh/t</t>
  </si>
  <si>
    <t>mw/t</t>
  </si>
  <si>
    <t>MWh/kg</t>
  </si>
  <si>
    <t>MWh--&gt;pj</t>
  </si>
  <si>
    <t>no km??</t>
  </si>
  <si>
    <t>NH3=L20 in technology cathalogue SHIPS</t>
  </si>
  <si>
    <t>2030 and 2050</t>
  </si>
  <si>
    <t>MEUR/KM/YEAR</t>
  </si>
  <si>
    <t>FIXEDCOST 2030 (MEUR/year)</t>
  </si>
  <si>
    <t>NH3</t>
  </si>
  <si>
    <t>L20: Port cost [EUR/tonL20]</t>
  </si>
  <si>
    <t>MEUR/GW/KM</t>
  </si>
  <si>
    <t>MEUR/GW/KM/year</t>
  </si>
  <si>
    <t>MEUR/KM/YEAR/GW</t>
  </si>
  <si>
    <t>GW/T</t>
  </si>
  <si>
    <t>INVCOST (MEUR/GW) 1000-4000</t>
  </si>
  <si>
    <t>INVCOST (MEUR/GW) 6000</t>
  </si>
  <si>
    <t>FIXEDCOST 2030 (MEUR/GW/year)</t>
  </si>
  <si>
    <t>FIXEDCOST 2050 (MEUR/GW/year)</t>
  </si>
  <si>
    <t>INVCOST (MEUR/GW)</t>
  </si>
  <si>
    <t>NO PIPES??</t>
  </si>
  <si>
    <t>Methanol</t>
  </si>
  <si>
    <t>Jet fuel</t>
  </si>
  <si>
    <t>NO KM??</t>
  </si>
  <si>
    <t>DAYNITE</t>
  </si>
  <si>
    <t>~FI_T</t>
  </si>
  <si>
    <t>PJ</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</si>
  <si>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</si>
  <si>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</si>
  <si>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</si>
  <si>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</si>
  <si>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</si>
  <si>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</si>
  <si>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</si>
  <si>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</si>
  <si>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</si>
  <si>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</si>
  <si>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</si>
  <si>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</si>
  <si>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</si>
  <si>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</si>
  <si>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</si>
  <si>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</si>
  <si>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</si>
  <si>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</si>
  <si>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</si>
  <si>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</si>
  <si>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</si>
  <si>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</si>
  <si>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</si>
  <si>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</si>
  <si>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</si>
  <si>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</si>
  <si>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</si>
  <si>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</si>
  <si>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</si>
  <si>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</si>
  <si>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</si>
  <si>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</si>
  <si>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</si>
  <si>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</si>
  <si>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</si>
  <si>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</si>
  <si>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PJ/PJ out</t>
  </si>
  <si>
    <t>Factor</t>
  </si>
  <si>
    <t>years</t>
  </si>
  <si>
    <t>PJ/GW</t>
  </si>
  <si>
    <t>M€ /PJ</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</si>
  <si>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</si>
  <si>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</si>
  <si>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</si>
  <si>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</si>
  <si>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</si>
  <si>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</si>
  <si>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</si>
  <si>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</si>
  <si>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</si>
  <si>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</si>
  <si>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</si>
  <si>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</si>
  <si>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</si>
  <si>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</si>
  <si>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t>
  </si>
  <si>
    <t>PRE</t>
  </si>
  <si>
    <t>YES</t>
  </si>
  <si>
    <t>M€ /GW</t>
  </si>
  <si>
    <t>GW</t>
  </si>
  <si>
    <t xml:space="preserve">Transmission line </t>
  </si>
  <si>
    <t>ELC</t>
  </si>
  <si>
    <t>MEUR/GW</t>
  </si>
  <si>
    <t>Hydrogen Pipeline</t>
  </si>
  <si>
    <t>Hydrogen ship</t>
  </si>
  <si>
    <t>Pja</t>
  </si>
  <si>
    <t>Typical ship</t>
  </si>
  <si>
    <t>tons</t>
  </si>
  <si>
    <t>PJ/KM</t>
  </si>
  <si>
    <t>EFFICIENCY 2030</t>
  </si>
  <si>
    <t>EFFICIENCY 2050</t>
  </si>
  <si>
    <t>M€ /GW or M€/Pja</t>
  </si>
  <si>
    <t>LH2 Investment cost [MEUR/PJ]</t>
  </si>
  <si>
    <t>LH2: Fixed O&amp;M cost [MEUR/PJ/y]</t>
  </si>
  <si>
    <t>LH2: Port cost [MEUR/PJ]</t>
  </si>
  <si>
    <t>Ammonia Pipeline</t>
  </si>
  <si>
    <t>Ammonia ship</t>
  </si>
  <si>
    <t>AMM</t>
  </si>
  <si>
    <t>pj</t>
  </si>
  <si>
    <t>pj/km</t>
  </si>
  <si>
    <t>L20: Investment cost [MEUR/PJ]</t>
  </si>
  <si>
    <t>L20:Fixed O&amp;M cost [MEUR/PJ/y]</t>
  </si>
  <si>
    <t>L20: Port cost [MEUR/PJ]</t>
  </si>
  <si>
    <t>HFO</t>
  </si>
  <si>
    <t>METH ship</t>
  </si>
  <si>
    <t>LHC: Investment cost [MEUR/PJ]</t>
  </si>
  <si>
    <t>LHC: Fixed O&amp;M cost [MEUR/PJ/y]</t>
  </si>
  <si>
    <t>LHC: Port cost [MEUR/PJ]</t>
  </si>
  <si>
    <t>LHC: Energy demand [pJ/km]</t>
  </si>
  <si>
    <t>KRE ship</t>
  </si>
  <si>
    <t>KRE</t>
  </si>
  <si>
    <t>METH</t>
  </si>
  <si>
    <t xml:space="preserve">I need arounf 300 kv </t>
  </si>
  <si>
    <t>baggrundsrapport_for_forudsaetninger_og_anvendte_data_i_cost_benefit_analyse_fra_2020.pdf</t>
  </si>
  <si>
    <t>mill kr/km</t>
  </si>
  <si>
    <t>mill eur/km</t>
  </si>
  <si>
    <t>1 gw aprox</t>
  </si>
  <si>
    <t>1GW CABLE</t>
  </si>
  <si>
    <t>cost_benefit_analyse_endelig_version.pdf</t>
  </si>
  <si>
    <t>DKK/EUR</t>
  </si>
  <si>
    <t>milldkk</t>
  </si>
  <si>
    <t>millEUR</t>
  </si>
  <si>
    <t>AC/DC  in the island</t>
  </si>
  <si>
    <t>Not platforms!!!!</t>
  </si>
  <si>
    <t xml:space="preserve">COSTS OF CABLES  ARE NOT  PER GW ACCORDING TO </t>
  </si>
  <si>
    <t>AC/DC  in land</t>
  </si>
  <si>
    <t>hvdc sea</t>
  </si>
  <si>
    <t>hvdc land</t>
  </si>
  <si>
    <t>meur/gw</t>
  </si>
  <si>
    <t>PJ/TON</t>
  </si>
  <si>
    <t>PJ/ton</t>
  </si>
  <si>
    <t>EXP_ELC_NL</t>
  </si>
  <si>
    <t>TRANS_LINE_NL</t>
  </si>
  <si>
    <t>EXP_H2_NL</t>
  </si>
  <si>
    <t>h2_pipe_NL</t>
  </si>
  <si>
    <t>h2_ship_NL</t>
  </si>
  <si>
    <t>EXP_AMM_NL</t>
  </si>
  <si>
    <t>nh3_pipe_NL</t>
  </si>
  <si>
    <t>nh3_ship_NL</t>
  </si>
  <si>
    <t>EXP_METH_NL</t>
  </si>
  <si>
    <t>METH_ship_NL</t>
  </si>
  <si>
    <t>EXP_KRE_NL</t>
  </si>
  <si>
    <t>KRE_ship_NL</t>
  </si>
  <si>
    <t>H2_COMP</t>
  </si>
  <si>
    <t>bELGIUM CONNECTION</t>
  </si>
  <si>
    <t>450+20</t>
  </si>
  <si>
    <t>EXP_ELC_BEL</t>
  </si>
  <si>
    <t>EXP_H2_BEL</t>
  </si>
  <si>
    <t>EXP_AMM_BEL</t>
  </si>
  <si>
    <t>EXP_METH_BEL</t>
  </si>
  <si>
    <t>EXP_KRE_BEL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</si>
</sst>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Te\x\t"/>
    <numFmt numFmtId="167" formatCode="0.00000000"/>
  </numFmts>
  <fonts count="2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8"/>
      <color rgb="FF969696"/>
      <name val="Arial"/>
      <family val="2"/>
    </font>
    <font>
      <sz val="8"/>
      <color rgb="FF969696"/>
      <name val="Calibri"/>
      <family val="2"/>
      <scheme val="minor"/>
    </font>
    <font>
      <b/>
      <sz val="8"/>
      <color theme="1"/>
      <name val="Calibri"/>
      <family val="2"/>
      <scheme val="minor"/>
    </font>
    <font>
      <sz val="8"/>
      <color rgb="FF969696"/>
      <name val="Arial"/>
      <family val="2"/>
    </font>
    <font>
      <b/>
      <sz val="8"/>
      <name val="Arial"/>
      <family val="2"/>
    </font>
    <font>
      <sz val="8"/>
      <name val="Arial"/>
      <family val="2"/>
    </font>
    <font>
      <b/>
      <sz val="8"/>
      <name val="Calibri"/>
      <family val="2"/>
      <scheme val="minor"/>
    </font>
    <font>
      <b/>
      <sz val="9"/>
      <name val="Arial"/>
      <family val="2"/>
    </font>
    <font>
      <sz val="11"/>
      <name val="Calibri"/>
      <family val="2"/>
      <scheme val="minor"/>
    </font>
    <font>
      <sz val="9"/>
      <name val="Arial"/>
      <family val="2"/>
    </font>
    <font>
      <b/>
      <sz val="8"/>
      <color theme="1"/>
      <name val="Arial"/>
      <family val="2"/>
    </font>
    <font>
      <sz val="8"/>
      <color theme="1"/>
      <name val="Arial"/>
      <family val="2"/>
    </font>
    <font>
      <b/>
      <sz val="8"/>
      <color rgb="FF000000"/>
      <name val="Arial"/>
      <family val="2"/>
    </font>
    <font>
      <sz val="8"/>
      <color rgb="FF000000"/>
      <name val="Arial"/>
      <family val="2"/>
    </font>
    <font>
      <sz val="8"/>
      <color theme="1"/>
      <name val="Calibri"/>
      <family val="2"/>
      <scheme val="minor"/>
    </font>
    <font>
      <sz val="9"/>
      <color theme="1"/>
      <name val="Arial"/>
      <family val="2"/>
    </font>
    <font>
      <b/>
      <sz val="14"/>
      <color theme="1"/>
      <name val="Calibri"/>
      <family val="2"/>
      <scheme val="minor"/>
    </font>
    <font>
      <sz val="8"/>
      <name val="Calibri"/>
      <family val="2"/>
      <scheme val="minor"/>
    </font>
    <font>
      <b/>
      <sz val="10"/>
      <color indexed="12"/>
      <name val="Arial"/>
      <family val="2"/>
    </font>
    <font>
      <sz val="10"/>
      <name val="Arial"/>
      <family val="2"/>
    </font>
    <font>
      <b/>
      <sz val="10"/>
      <name val="Arial"/>
      <family val="2"/>
    </font>
    <font>
      <sz val="8"/>
      <color indexed="81"/>
      <name val="Tahoma"/>
      <family val="2"/>
    </font>
    <font>
      <b/>
      <sz val="8"/>
      <color indexed="81"/>
      <name val="Tahoma"/>
      <family val="2"/>
    </font>
  </fonts>
  <fills count="7">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5"/>
      </patternFill>
    </fill>
    <fill>
      <patternFill patternType="solid">
        <fgColor indexed="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8" fillId="3" borderId="0" applyBorder="0">
      <alignment horizontal="center"/>
    </xf>
    <xf numFmtId="0" fontId="1" fillId="5" borderId="0" applyNumberFormat="0" applyBorder="0" applyAlignment="0" applyProtection="0"/>
    <xf numFmtId="0" fontId="23" fillId="0" borderId="0"/>
    <xf numFmtId="0" fontId="23" fillId="0" borderId="0"/>
  </cellStyleXfs>
  <cellXfs count="101">
    <xf numFmtId="0" fontId="0" fillId="0" borderId="0" xfId="0"/>
    <xf numFmtId="0" fontId="9" fillId="3" borderId="0" xfId="0" applyFont="1" applyFill="1" applyAlignment="1">
      <alignment horizontal="right" vertical="top"/>
    </xf>
    <xf numFmtId="0" fontId="10" fillId="3" borderId="0" xfId="0" applyFont="1" applyFill="1" applyAlignment="1">
      <alignment horizontal="left" vertical="top"/>
    </xf>
    <xf numFmtId="0" fontId="8" fillId="3" borderId="0" xfId="0"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center" vertical="top"/>
    </xf>
    <xf numFmtId="0" fontId="11" fillId="3" borderId="0" xfId="0" applyFont="1" applyFill="1"/>
    <xf numFmtId="0" fontId="12" fillId="3" borderId="0" xfId="0" applyFont="1" applyFill="1"/>
    <xf numFmtId="0" fontId="9" fillId="3" borderId="0" xfId="0" applyFont="1" applyFill="1" applyAlignment="1">
      <alignment vertical="top"/>
    </xf>
    <xf numFmtId="0" fontId="13" fillId="3" borderId="0" xfId="0" applyFont="1" applyFill="1"/>
    <xf numFmtId="0" fontId="13" fillId="3" borderId="0" xfId="0" applyFont="1" applyFill="1" applyAlignment="1">
      <alignment vertical="top" wrapText="1"/>
    </xf>
    <xf numFmtId="0" fontId="12" fillId="0" borderId="0" xfId="0" applyFont="1" applyAlignment="1">
      <alignment vertical="top"/>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7" fillId="2" borderId="1" xfId="0" applyFont="1" applyFill="1" applyBorder="1" applyAlignment="1">
      <alignment horizontal="left" vertical="top"/>
    </xf>
    <xf numFmtId="1" fontId="8" fillId="2" borderId="1" xfId="0" applyNumberFormat="1" applyFont="1" applyFill="1" applyBorder="1" applyAlignment="1">
      <alignment horizontal="right" vertical="top"/>
    </xf>
    <xf numFmtId="0" fontId="8" fillId="2" borderId="1" xfId="0" applyFont="1" applyFill="1" applyBorder="1" applyAlignment="1">
      <alignment horizontal="right" vertical="top"/>
    </xf>
    <xf numFmtId="0" fontId="8" fillId="2" borderId="1" xfId="0" applyFont="1" applyFill="1" applyBorder="1" applyAlignment="1">
      <alignment vertical="top"/>
    </xf>
    <xf numFmtId="0" fontId="8" fillId="2" borderId="1" xfId="0" applyFont="1" applyFill="1" applyBorder="1" applyAlignment="1">
      <alignment horizontal="center" vertical="top"/>
    </xf>
    <xf numFmtId="164" fontId="8" fillId="2" borderId="1" xfId="0" applyNumberFormat="1" applyFont="1" applyFill="1" applyBorder="1" applyAlignment="1">
      <alignment horizontal="left" vertical="top"/>
    </xf>
    <xf numFmtId="0" fontId="8" fillId="2" borderId="1" xfId="0" applyFont="1" applyFill="1" applyBorder="1" applyAlignment="1">
      <alignment horizontal="left" vertical="top"/>
    </xf>
    <xf numFmtId="0" fontId="4" fillId="3" borderId="1" xfId="0" applyFont="1" applyFill="1" applyBorder="1" applyAlignment="1">
      <alignment horizontal="left" vertical="top"/>
    </xf>
    <xf numFmtId="0" fontId="9" fillId="3" borderId="1" xfId="0" applyFont="1" applyFill="1" applyBorder="1" applyAlignment="1">
      <alignment horizontal="right" vertical="top"/>
    </xf>
    <xf numFmtId="0" fontId="8" fillId="3" borderId="1" xfId="0" applyFont="1" applyFill="1" applyBorder="1" applyAlignment="1">
      <alignment horizontal="right" vertical="top"/>
    </xf>
    <xf numFmtId="0" fontId="8" fillId="3" borderId="1" xfId="0" applyFont="1" applyFill="1" applyBorder="1" applyAlignment="1">
      <alignment horizontal="center" vertical="top"/>
    </xf>
    <xf numFmtId="0" fontId="10" fillId="3" borderId="1" xfId="0" applyFont="1" applyFill="1" applyBorder="1" applyAlignment="1">
      <alignment horizontal="left" vertical="top"/>
    </xf>
    <xf numFmtId="0" fontId="8" fillId="3" borderId="1" xfId="0" applyFont="1" applyFill="1" applyBorder="1" applyAlignment="1">
      <alignment horizontal="left" vertical="top"/>
    </xf>
    <xf numFmtId="0" fontId="9" fillId="3" borderId="1" xfId="0" applyFont="1" applyFill="1" applyBorder="1" applyAlignment="1">
      <alignment horizontal="left" vertical="top"/>
    </xf>
    <xf numFmtId="2" fontId="9" fillId="3" borderId="1" xfId="0" applyNumberFormat="1" applyFont="1" applyFill="1" applyBorder="1" applyAlignment="1">
      <alignment horizontal="right" vertical="top"/>
    </xf>
    <xf numFmtId="164" fontId="9" fillId="3" borderId="1" xfId="0" applyNumberFormat="1" applyFont="1" applyFill="1" applyBorder="1" applyAlignment="1">
      <alignment horizontal="right" vertical="top"/>
    </xf>
    <xf numFmtId="0" fontId="9" fillId="3" borderId="1" xfId="0" applyFont="1" applyFill="1" applyBorder="1" applyAlignment="1">
      <alignment horizontal="center" vertical="top"/>
    </xf>
    <xf numFmtId="9" fontId="9" fillId="3" borderId="1" xfId="0" applyNumberFormat="1" applyFont="1" applyFill="1" applyBorder="1" applyAlignment="1">
      <alignment horizontal="right" vertical="top"/>
    </xf>
    <xf numFmtId="9" fontId="9" fillId="0" borderId="1" xfId="1" applyFont="1" applyFill="1" applyBorder="1" applyAlignment="1">
      <alignment horizontal="right" vertical="top"/>
    </xf>
    <xf numFmtId="3" fontId="9" fillId="3" borderId="1" xfId="0" applyNumberFormat="1" applyFont="1" applyFill="1" applyBorder="1" applyAlignment="1">
      <alignment horizontal="right" vertical="top"/>
    </xf>
    <xf numFmtId="1" fontId="9" fillId="3" borderId="1" xfId="0" applyNumberFormat="1" applyFont="1" applyFill="1" applyBorder="1" applyAlignment="1">
      <alignment horizontal="right" vertical="top"/>
    </xf>
    <xf numFmtId="0" fontId="0" fillId="3" borderId="0" xfId="0" applyFill="1"/>
    <xf numFmtId="0" fontId="13" fillId="3" borderId="0" xfId="0" applyFont="1" applyFill="1" applyAlignment="1">
      <alignment vertical="top"/>
    </xf>
    <xf numFmtId="0" fontId="13" fillId="3" borderId="0" xfId="0" applyFont="1" applyFill="1" applyAlignment="1">
      <alignment horizontal="left" vertical="top" wrapText="1"/>
    </xf>
    <xf numFmtId="0" fontId="15" fillId="3" borderId="0" xfId="0" applyFont="1" applyFill="1" applyAlignment="1">
      <alignment horizontal="left"/>
    </xf>
    <xf numFmtId="0" fontId="19" fillId="3" borderId="0" xfId="0" applyFont="1" applyFill="1" applyAlignment="1">
      <alignment horizontal="left" wrapText="1"/>
    </xf>
    <xf numFmtId="0" fontId="2" fillId="3" borderId="0" xfId="0" applyFont="1" applyFill="1"/>
    <xf numFmtId="0" fontId="15" fillId="3" borderId="0" xfId="0" applyFont="1" applyFill="1"/>
    <xf numFmtId="0" fontId="15" fillId="3" borderId="1" xfId="0" applyFont="1" applyFill="1" applyBorder="1" applyAlignment="1">
      <alignment horizontal="right" vertical="top"/>
    </xf>
    <xf numFmtId="0" fontId="16" fillId="3" borderId="1" xfId="0" applyFont="1" applyFill="1" applyBorder="1" applyAlignment="1">
      <alignment horizontal="right" vertical="top"/>
    </xf>
    <xf numFmtId="0" fontId="16" fillId="3" borderId="1" xfId="0" applyFont="1" applyFill="1" applyBorder="1" applyAlignment="1">
      <alignment horizontal="center" vertical="top"/>
    </xf>
    <xf numFmtId="0" fontId="6" fillId="3" borderId="1" xfId="0" applyFont="1" applyFill="1" applyBorder="1" applyAlignment="1">
      <alignment horizontal="left" vertical="top"/>
    </xf>
    <xf numFmtId="0" fontId="14" fillId="3" borderId="1" xfId="0" applyFont="1" applyFill="1" applyBorder="1" applyAlignment="1">
      <alignment horizontal="left" vertical="top"/>
    </xf>
    <xf numFmtId="0" fontId="15" fillId="3" borderId="1" xfId="0" applyFont="1" applyFill="1" applyBorder="1" applyAlignment="1">
      <alignment horizontal="left" vertical="top"/>
    </xf>
    <xf numFmtId="164" fontId="17" fillId="3" borderId="1" xfId="0" applyNumberFormat="1" applyFont="1" applyFill="1" applyBorder="1" applyAlignment="1">
      <alignment horizontal="right" vertical="top"/>
    </xf>
    <xf numFmtId="0" fontId="17" fillId="3" borderId="1" xfId="0" applyFont="1" applyFill="1" applyBorder="1" applyAlignment="1">
      <alignment horizontal="center" vertical="top"/>
    </xf>
    <xf numFmtId="164" fontId="17" fillId="3" borderId="1" xfId="0" quotePrefix="1" applyNumberFormat="1" applyFont="1" applyFill="1" applyBorder="1" applyAlignment="1">
      <alignment horizontal="right" vertical="top"/>
    </xf>
    <xf numFmtId="164" fontId="9" fillId="3" borderId="1" xfId="0" quotePrefix="1" applyNumberFormat="1" applyFont="1" applyFill="1" applyBorder="1" applyAlignment="1">
      <alignment horizontal="right" vertical="top"/>
    </xf>
    <xf numFmtId="0" fontId="17" fillId="3" borderId="1" xfId="0" applyFont="1" applyFill="1" applyBorder="1" applyAlignment="1">
      <alignment horizontal="right" vertical="top"/>
    </xf>
    <xf numFmtId="165" fontId="18" fillId="3" borderId="1" xfId="0" applyNumberFormat="1" applyFont="1" applyFill="1" applyBorder="1"/>
    <xf numFmtId="2" fontId="17" fillId="3" borderId="1" xfId="0" applyNumberFormat="1" applyFont="1" applyFill="1" applyBorder="1" applyAlignment="1">
      <alignment horizontal="right" vertical="top"/>
    </xf>
    <xf numFmtId="1" fontId="17" fillId="3" borderId="1" xfId="0" applyNumberFormat="1" applyFont="1" applyFill="1" applyBorder="1" applyAlignment="1">
      <alignment horizontal="right" vertical="top"/>
    </xf>
    <xf numFmtId="0" fontId="18" fillId="3" borderId="1" xfId="0" applyFont="1" applyFill="1" applyBorder="1" applyAlignment="1">
      <alignment horizontal="left" vertical="top"/>
    </xf>
    <xf numFmtId="0" fontId="18" fillId="3" borderId="1" xfId="0" applyFont="1" applyFill="1" applyBorder="1" applyAlignment="1">
      <alignment horizontal="center" vertical="top"/>
    </xf>
    <xf numFmtId="0" fontId="0" fillId="3" borderId="1" xfId="0" applyFill="1" applyBorder="1"/>
    <xf numFmtId="0" fontId="9" fillId="3" borderId="0" xfId="0" applyFont="1" applyFill="1" applyAlignment="1">
      <alignment vertical="center"/>
    </xf>
    <xf numFmtId="0" fontId="13" fillId="3" borderId="0" xfId="0" applyFont="1" applyFill="1" applyAlignment="1">
      <alignment vertical="center" wrapText="1"/>
    </xf>
    <xf numFmtId="0" fontId="0" fillId="0" borderId="1" xfId="0" applyBorder="1"/>
    <xf numFmtId="0" fontId="9" fillId="3" borderId="1" xfId="0" quotePrefix="1" applyFont="1" applyFill="1" applyBorder="1" applyAlignment="1">
      <alignment horizontal="left" vertical="top"/>
    </xf>
    <xf numFmtId="0" fontId="0" fillId="4" borderId="0" xfId="0" applyFill="1"/>
    <xf numFmtId="10" fontId="0" fillId="0" borderId="0" xfId="0" applyNumberFormat="1"/>
    <xf numFmtId="0" fontId="20" fillId="0" borderId="0" xfId="0" applyFont="1"/>
    <xf numFmtId="164" fontId="0" fillId="4" borderId="0" xfId="0" applyNumberFormat="1" applyFill="1"/>
    <xf numFmtId="166" fontId="22" fillId="0" borderId="0" xfId="0" applyNumberFormat="1" applyFont="1"/>
    <xf numFmtId="166" fontId="23" fillId="0" borderId="0" xfId="0" applyNumberFormat="1" applyFont="1"/>
    <xf numFmtId="166" fontId="24" fillId="6" borderId="2" xfId="0" applyNumberFormat="1" applyFont="1" applyFill="1" applyBorder="1" applyAlignment="1">
      <alignment horizontal="left"/>
    </xf>
    <xf numFmtId="166" fontId="15" fillId="5" borderId="3" xfId="4" applyNumberFormat="1" applyFont="1" applyBorder="1" applyAlignment="1">
      <alignment horizontal="left" wrapText="1"/>
    </xf>
    <xf numFmtId="0" fontId="22" fillId="0" borderId="0" xfId="5" applyFont="1"/>
    <xf numFmtId="0" fontId="23" fillId="0" borderId="0" xfId="5"/>
    <xf numFmtId="166" fontId="15" fillId="5" borderId="2" xfId="4" applyNumberFormat="1" applyFont="1" applyBorder="1" applyAlignment="1">
      <alignment horizontal="left" wrapText="1"/>
    </xf>
    <xf numFmtId="0" fontId="23" fillId="0" borderId="4" xfId="5" applyBorder="1"/>
    <xf numFmtId="1" fontId="23" fillId="0" borderId="4" xfId="5" applyNumberFormat="1" applyBorder="1"/>
    <xf numFmtId="2" fontId="23" fillId="0" borderId="0" xfId="6" applyNumberFormat="1"/>
    <xf numFmtId="1" fontId="23" fillId="0" borderId="0" xfId="5" applyNumberFormat="1"/>
    <xf numFmtId="166" fontId="23" fillId="0" borderId="0" xfId="5" applyNumberFormat="1"/>
    <xf numFmtId="0" fontId="23" fillId="0" borderId="0" xfId="6"/>
    <xf numFmtId="0" fontId="0" fillId="0" borderId="2" xfId="0" applyBorder="1"/>
    <xf numFmtId="1" fontId="23" fillId="0" borderId="2" xfId="5" applyNumberFormat="1" applyBorder="1"/>
    <xf numFmtId="2" fontId="23" fillId="0" borderId="2" xfId="6" applyNumberFormat="1" applyBorder="1"/>
    <xf numFmtId="167" fontId="0" fillId="0" borderId="0" xfId="0" applyNumberFormat="1"/>
    <xf numFmtId="166" fontId="24" fillId="0" borderId="0" xfId="0" applyNumberFormat="1" applyFont="1" applyAlignment="1">
      <alignment horizontal="left"/>
    </xf>
    <xf numFmtId="166" fontId="15" fillId="0" borderId="0" xfId="4" applyNumberFormat="1" applyFont="1" applyFill="1" applyBorder="1" applyAlignment="1">
      <alignment horizontal="left" wrapText="1"/>
    </xf>
    <xf numFmtId="0" fontId="3" fillId="0" borderId="0" xfId="2"/>
    <xf numFmtId="0" fontId="0" fillId="0" borderId="5" xfId="0" applyBorder="1"/>
    <xf numFmtId="0" fontId="0" fillId="0" borderId="4" xfId="0" applyBorder="1"/>
    <xf numFmtId="0" fontId="0" fillId="0" borderId="6" xfId="0" applyBorder="1"/>
    <xf numFmtId="0" fontId="0" fillId="0" borderId="7" xfId="0" applyBorder="1"/>
    <xf numFmtId="0" fontId="3" fillId="0" borderId="0" xfId="2" applyBorder="1"/>
    <xf numFmtId="0" fontId="0" fillId="0" borderId="8" xfId="0" applyBorder="1"/>
    <xf numFmtId="0" fontId="0" fillId="0" borderId="9" xfId="0" applyBorder="1"/>
    <xf numFmtId="0" fontId="0" fillId="0" borderId="10" xfId="0" applyBorder="1"/>
    <xf numFmtId="0" fontId="0" fillId="0" borderId="11" xfId="0" applyBorder="1"/>
    <xf numFmtId="0" fontId="0" fillId="4" borderId="7" xfId="0" applyFill="1" applyBorder="1"/>
    <xf numFmtId="0" fontId="20" fillId="4" borderId="0" xfId="0" applyFont="1" applyFill="1"/>
    <xf numFmtId="0" fontId="23" fillId="0" borderId="0" xfId="0" applyFont="1"/>
    <xf numFmtId="0" fontId="6" fillId="2" borderId="1" xfId="2" applyFont="1" applyFill="1" applyBorder="1" applyAlignment="1">
      <alignment horizontal="center" vertical="top" wrapText="1"/>
    </xf>
    <xf numFmtId="0" fontId="14" fillId="2" borderId="1" xfId="0" applyFont="1" applyFill="1" applyBorder="1" applyAlignment="1">
      <alignment horizontal="center" vertical="top" wrapText="1"/>
    </xf>
  </cellXfs>
  <cellStyles count="7">
    <cellStyle name="20% - Accent5" xfId="4" builtinId="46"/>
    <cellStyle name="Hyperlink" xfId="2" builtinId="8"/>
    <cellStyle name="Normal" xfId="0" builtinId="0"/>
    <cellStyle name="Normal 10" xfId="6" xr:uid="{D5DF29E8-2112-425A-8842-812477400601}"/>
    <cellStyle name="Normal 3" xfId="3" xr:uid="{BD600BFE-4B8D-488E-9B49-335A19F47D8A}"/>
    <cellStyle name="Normal 42" xfId="5" xr:uid="{290060B6-C4D1-4F48-81DF-ABFE9577708E}"/>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495523</xdr:colOff>
      <xdr:row>66</xdr:row>
      <xdr:rowOff>31424</xdr:rowOff>
    </xdr:from>
    <xdr:to>
      <xdr:col>4</xdr:col>
      <xdr:colOff>4206465</xdr:colOff>
      <xdr:row>90</xdr:row>
      <xdr:rowOff>54418</xdr:rowOff>
    </xdr:to>
    <xdr:pic>
      <xdr:nvPicPr>
        <xdr:cNvPr id="2" name="Picture 1">
          <a:extLst>
            <a:ext uri="{FF2B5EF4-FFF2-40B4-BE49-F238E27FC236}">
              <a16:creationId xmlns:a16="http://schemas.microsoft.com/office/drawing/2014/main" id="{8A0DE1DA-90A7-A0C9-4FCF-ECF9B46D9E8B}"/>
            </a:ext>
          </a:extLst>
        </xdr:cNvPr>
        <xdr:cNvPicPr>
          <a:picLocks noChangeAspect="1"/>
        </xdr:cNvPicPr>
      </xdr:nvPicPr>
      <xdr:blipFill rotWithShape="1">
        <a:blip xmlns:r="http://schemas.openxmlformats.org/officeDocument/2006/relationships" r:embed="rId1"/>
        <a:srcRect l="37755" t="30101" r="28131" b="25919"/>
        <a:stretch/>
      </xdr:blipFill>
      <xdr:spPr>
        <a:xfrm>
          <a:off x="495523" y="12367198"/>
          <a:ext cx="6207645" cy="4551910"/>
        </a:xfrm>
        <a:prstGeom prst="rect">
          <a:avLst/>
        </a:prstGeom>
      </xdr:spPr>
    </xdr:pic>
    <xdr:clientData/>
  </xdr:twoCellAnchor>
  <xdr:twoCellAnchor editAs="oneCell">
    <xdr:from>
      <xdr:col>0</xdr:col>
      <xdr:colOff>276300</xdr:colOff>
      <xdr:row>93</xdr:row>
      <xdr:rowOff>80303</xdr:rowOff>
    </xdr:from>
    <xdr:to>
      <xdr:col>4</xdr:col>
      <xdr:colOff>4171646</xdr:colOff>
      <xdr:row>115</xdr:row>
      <xdr:rowOff>2795</xdr:rowOff>
    </xdr:to>
    <xdr:pic>
      <xdr:nvPicPr>
        <xdr:cNvPr id="3" name="Picture 2">
          <a:extLst>
            <a:ext uri="{FF2B5EF4-FFF2-40B4-BE49-F238E27FC236}">
              <a16:creationId xmlns:a16="http://schemas.microsoft.com/office/drawing/2014/main" id="{2010A37B-390F-BC4E-50BB-56A1607D2BAB}"/>
            </a:ext>
          </a:extLst>
        </xdr:cNvPr>
        <xdr:cNvPicPr>
          <a:picLocks noChangeAspect="1"/>
        </xdr:cNvPicPr>
      </xdr:nvPicPr>
      <xdr:blipFill rotWithShape="1">
        <a:blip xmlns:r="http://schemas.openxmlformats.org/officeDocument/2006/relationships" r:embed="rId2"/>
        <a:srcRect l="34677" t="24683" r="29979" b="36057"/>
        <a:stretch/>
      </xdr:blipFill>
      <xdr:spPr>
        <a:xfrm>
          <a:off x="276300" y="17462529"/>
          <a:ext cx="6403479" cy="4023357"/>
        </a:xfrm>
        <a:prstGeom prst="rect">
          <a:avLst/>
        </a:prstGeom>
      </xdr:spPr>
    </xdr:pic>
    <xdr:clientData/>
  </xdr:twoCellAnchor>
  <xdr:twoCellAnchor editAs="oneCell">
    <xdr:from>
      <xdr:col>21</xdr:col>
      <xdr:colOff>315951</xdr:colOff>
      <xdr:row>33</xdr:row>
      <xdr:rowOff>175716</xdr:rowOff>
    </xdr:from>
    <xdr:to>
      <xdr:col>32</xdr:col>
      <xdr:colOff>2814</xdr:colOff>
      <xdr:row>54</xdr:row>
      <xdr:rowOff>20098</xdr:rowOff>
    </xdr:to>
    <xdr:pic>
      <xdr:nvPicPr>
        <xdr:cNvPr id="4" name="Picture 3">
          <a:extLst>
            <a:ext uri="{FF2B5EF4-FFF2-40B4-BE49-F238E27FC236}">
              <a16:creationId xmlns:a16="http://schemas.microsoft.com/office/drawing/2014/main" id="{D9E64993-DA87-01EA-69F7-DAE1B2AD7D9E}"/>
            </a:ext>
          </a:extLst>
        </xdr:cNvPr>
        <xdr:cNvPicPr>
          <a:picLocks noChangeAspect="1"/>
        </xdr:cNvPicPr>
      </xdr:nvPicPr>
      <xdr:blipFill rotWithShape="1">
        <a:blip xmlns:r="http://schemas.openxmlformats.org/officeDocument/2006/relationships" r:embed="rId3"/>
        <a:srcRect l="38263" t="32776" r="27263" b="27039"/>
        <a:stretch/>
      </xdr:blipFill>
      <xdr:spPr>
        <a:xfrm>
          <a:off x="17191463" y="6308887"/>
          <a:ext cx="6433352" cy="4159179"/>
        </a:xfrm>
        <a:prstGeom prst="rect">
          <a:avLst/>
        </a:prstGeom>
      </xdr:spPr>
    </xdr:pic>
    <xdr:clientData/>
  </xdr:twoCellAnchor>
  <xdr:twoCellAnchor editAs="oneCell">
    <xdr:from>
      <xdr:col>21</xdr:col>
      <xdr:colOff>383533</xdr:colOff>
      <xdr:row>7</xdr:row>
      <xdr:rowOff>142348</xdr:rowOff>
    </xdr:from>
    <xdr:to>
      <xdr:col>32</xdr:col>
      <xdr:colOff>37169</xdr:colOff>
      <xdr:row>31</xdr:row>
      <xdr:rowOff>134556</xdr:rowOff>
    </xdr:to>
    <xdr:pic>
      <xdr:nvPicPr>
        <xdr:cNvPr id="5" name="Picture 4">
          <a:extLst>
            <a:ext uri="{FF2B5EF4-FFF2-40B4-BE49-F238E27FC236}">
              <a16:creationId xmlns:a16="http://schemas.microsoft.com/office/drawing/2014/main" id="{23E389A5-D95B-3AFD-E28E-FD400F2AA73D}"/>
            </a:ext>
          </a:extLst>
        </xdr:cNvPr>
        <xdr:cNvPicPr>
          <a:picLocks noChangeAspect="1"/>
        </xdr:cNvPicPr>
      </xdr:nvPicPr>
      <xdr:blipFill rotWithShape="1">
        <a:blip xmlns:r="http://schemas.openxmlformats.org/officeDocument/2006/relationships" r:embed="rId4"/>
        <a:srcRect l="38736" t="31845" r="26695" b="23840"/>
        <a:stretch/>
      </xdr:blipFill>
      <xdr:spPr>
        <a:xfrm>
          <a:off x="17259045" y="1443324"/>
          <a:ext cx="6400125" cy="4443170"/>
        </a:xfrm>
        <a:prstGeom prst="rect">
          <a:avLst/>
        </a:prstGeom>
      </xdr:spPr>
    </xdr:pic>
    <xdr:clientData/>
  </xdr:twoCellAnchor>
  <xdr:twoCellAnchor editAs="oneCell">
    <xdr:from>
      <xdr:col>35</xdr:col>
      <xdr:colOff>222250</xdr:colOff>
      <xdr:row>59</xdr:row>
      <xdr:rowOff>127000</xdr:rowOff>
    </xdr:from>
    <xdr:to>
      <xdr:col>45</xdr:col>
      <xdr:colOff>136054</xdr:colOff>
      <xdr:row>93</xdr:row>
      <xdr:rowOff>94287</xdr:rowOff>
    </xdr:to>
    <xdr:pic>
      <xdr:nvPicPr>
        <xdr:cNvPr id="7" name="Picture 6">
          <a:extLst>
            <a:ext uri="{FF2B5EF4-FFF2-40B4-BE49-F238E27FC236}">
              <a16:creationId xmlns:a16="http://schemas.microsoft.com/office/drawing/2014/main" id="{76D891CB-06BE-E74D-BD72-821C93CA890C}"/>
            </a:ext>
          </a:extLst>
        </xdr:cNvPr>
        <xdr:cNvPicPr>
          <a:picLocks noChangeAspect="1"/>
        </xdr:cNvPicPr>
      </xdr:nvPicPr>
      <xdr:blipFill rotWithShape="1">
        <a:blip xmlns:r="http://schemas.openxmlformats.org/officeDocument/2006/relationships" r:embed="rId5"/>
        <a:srcRect l="35893" t="39288" r="42350" b="10327"/>
        <a:stretch/>
      </xdr:blipFill>
      <xdr:spPr>
        <a:xfrm>
          <a:off x="25712379" y="10377129"/>
          <a:ext cx="6070395" cy="6205002"/>
        </a:xfrm>
        <a:prstGeom prst="rect">
          <a:avLst/>
        </a:prstGeom>
      </xdr:spPr>
    </xdr:pic>
    <xdr:clientData/>
  </xdr:twoCellAnchor>
  <xdr:twoCellAnchor editAs="oneCell">
    <xdr:from>
      <xdr:col>0</xdr:col>
      <xdr:colOff>0</xdr:colOff>
      <xdr:row>42</xdr:row>
      <xdr:rowOff>14018</xdr:rowOff>
    </xdr:from>
    <xdr:to>
      <xdr:col>4</xdr:col>
      <xdr:colOff>4535567</xdr:colOff>
      <xdr:row>60</xdr:row>
      <xdr:rowOff>35465</xdr:rowOff>
    </xdr:to>
    <xdr:pic>
      <xdr:nvPicPr>
        <xdr:cNvPr id="8" name="Picture 7">
          <a:extLst>
            <a:ext uri="{FF2B5EF4-FFF2-40B4-BE49-F238E27FC236}">
              <a16:creationId xmlns:a16="http://schemas.microsoft.com/office/drawing/2014/main" id="{0A9D864C-419E-7A7F-DE41-5D92F8997DEF}"/>
            </a:ext>
          </a:extLst>
        </xdr:cNvPr>
        <xdr:cNvPicPr>
          <a:picLocks noChangeAspect="1"/>
        </xdr:cNvPicPr>
      </xdr:nvPicPr>
      <xdr:blipFill rotWithShape="1">
        <a:blip xmlns:r="http://schemas.openxmlformats.org/officeDocument/2006/relationships" r:embed="rId6"/>
        <a:srcRect l="36341" t="41165" r="27004" b="22994"/>
        <a:stretch/>
      </xdr:blipFill>
      <xdr:spPr>
        <a:xfrm>
          <a:off x="0" y="7864056"/>
          <a:ext cx="7034972" cy="3997265"/>
        </a:xfrm>
        <a:prstGeom prst="rect">
          <a:avLst/>
        </a:prstGeom>
      </xdr:spPr>
    </xdr:pic>
    <xdr:clientData/>
  </xdr:twoCellAnchor>
  <xdr:twoCellAnchor editAs="oneCell">
    <xdr:from>
      <xdr:col>21</xdr:col>
      <xdr:colOff>270386</xdr:colOff>
      <xdr:row>59</xdr:row>
      <xdr:rowOff>73743</xdr:rowOff>
    </xdr:from>
    <xdr:to>
      <xdr:col>33</xdr:col>
      <xdr:colOff>364898</xdr:colOff>
      <xdr:row>106</xdr:row>
      <xdr:rowOff>136307</xdr:rowOff>
    </xdr:to>
    <xdr:pic>
      <xdr:nvPicPr>
        <xdr:cNvPr id="9" name="Picture 8">
          <a:extLst>
            <a:ext uri="{FF2B5EF4-FFF2-40B4-BE49-F238E27FC236}">
              <a16:creationId xmlns:a16="http://schemas.microsoft.com/office/drawing/2014/main" id="{11B062D5-0443-C347-C4BA-3C55AE47A115}"/>
            </a:ext>
          </a:extLst>
        </xdr:cNvPr>
        <xdr:cNvPicPr>
          <a:picLocks noChangeAspect="1"/>
        </xdr:cNvPicPr>
      </xdr:nvPicPr>
      <xdr:blipFill rotWithShape="1">
        <a:blip xmlns:r="http://schemas.openxmlformats.org/officeDocument/2006/relationships" r:embed="rId7"/>
        <a:srcRect l="30561" t="16603" r="34033" b="10141"/>
        <a:stretch/>
      </xdr:blipFill>
      <xdr:spPr>
        <a:xfrm>
          <a:off x="17157289" y="10323872"/>
          <a:ext cx="7472517" cy="8523782"/>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Users\panch\OneDrive\Escritorio\Master%20thesis\Info%20for%20master%20thesis\cost_benefit_analyse_endelig_version.pdf" TargetMode="External"/><Relationship Id="rId1" Type="http://schemas.openxmlformats.org/officeDocument/2006/relationships/hyperlink" Target="..\..\..\..\Users\panch\OneDrive\Escritorio\Master%20thesis\Info%20for%20master%20thesis\baggrundsrapport_for_forudsaetninger_og_anvendte_data_i_cost_benefit_analyse_fra_2020.pdf"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ED96-960B-4230-B66B-2305DFDAF12F}">
  <sheetPr>
    <tabColor theme="5" tint="0.39997558519241921"/>
  </sheetPr>
  <dimension ref="D2:R103"/>
  <sheetViews>
    <sheetView tabSelected="1" topLeftCell="F46" zoomScale="47" workbookViewId="0">
      <selection activeCell="G40" sqref="G40"/>
    </sheetView>
  </sheetViews>
  <sheetFormatPr defaultRowHeight="14.4" x14ac:dyDescent="0.3"/>
  <cols>
    <col min="4" max="4" width="10.33203125" customWidth="1"/>
    <col min="5" max="5" width="90.88671875" customWidth="1"/>
    <col min="7" max="7" width="12" bestFit="1" customWidth="1"/>
    <col min="15" max="15" width="12" bestFit="1" customWidth="1"/>
    <col min="16" max="16" width="19.44140625" bestFit="1" customWidth="1"/>
    <col min="17" max="17" width="30.33203125" bestFit="1" customWidth="1"/>
  </cols>
  <sheetData>
    <row r="2" spans="5:18" x14ac:dyDescent="0.3">
      <c r="E2" t="s">
        <v>148</v>
      </c>
      <c r="G2">
        <f>'111 1 el Main distri50-60kVcabl'!C18</f>
        <v>3.2964554258000005</v>
      </c>
      <c r="H2" t="s">
        <v>150</v>
      </c>
    </row>
    <row r="3" spans="5:18" x14ac:dyDescent="0.3">
      <c r="G3" s="63">
        <f>G2*1000000/1000000</f>
        <v>3.2964554258000005</v>
      </c>
      <c r="H3" s="63" t="s">
        <v>169</v>
      </c>
      <c r="O3" t="s">
        <v>153</v>
      </c>
      <c r="P3" t="s">
        <v>177</v>
      </c>
      <c r="Q3" t="s">
        <v>175</v>
      </c>
      <c r="R3" t="s">
        <v>176</v>
      </c>
    </row>
    <row r="4" spans="5:18" x14ac:dyDescent="0.3">
      <c r="O4">
        <v>10</v>
      </c>
      <c r="P4">
        <f>$E$27*O4+$J$57+$J$63</f>
        <v>423.99463806970505</v>
      </c>
      <c r="Q4">
        <f>$H$8*O4</f>
        <v>0.2747186596076775</v>
      </c>
      <c r="R4">
        <f>$I$8*O4</f>
        <v>0.28803853116380018</v>
      </c>
    </row>
    <row r="5" spans="5:18" x14ac:dyDescent="0.3">
      <c r="O5">
        <v>20</v>
      </c>
      <c r="P5">
        <f t="shared" ref="P5:P68" si="0">$E$27*O5+$J$57+$J$63</f>
        <v>439.14209115281506</v>
      </c>
      <c r="Q5">
        <f t="shared" ref="Q5:Q15" si="1">$H$8*O5</f>
        <v>0.54943731921535499</v>
      </c>
      <c r="R5">
        <f t="shared" ref="R5:R15" si="2">$I$8*O5</f>
        <v>0.57607706232760036</v>
      </c>
    </row>
    <row r="6" spans="5:18" x14ac:dyDescent="0.3">
      <c r="G6">
        <v>2020</v>
      </c>
      <c r="H6">
        <v>2030</v>
      </c>
      <c r="I6">
        <v>2050</v>
      </c>
      <c r="O6">
        <v>30</v>
      </c>
      <c r="P6">
        <f t="shared" si="0"/>
        <v>454.28954423592495</v>
      </c>
      <c r="Q6">
        <f t="shared" si="1"/>
        <v>0.8241559788230326</v>
      </c>
      <c r="R6">
        <f t="shared" si="2"/>
        <v>0.86411559349140066</v>
      </c>
    </row>
    <row r="7" spans="5:18" x14ac:dyDescent="0.3">
      <c r="E7" t="s">
        <v>149</v>
      </c>
      <c r="G7">
        <f>'111 1 el Main distri50-60kVcabl'!D27</f>
        <v>26.201474376260066</v>
      </c>
      <c r="H7">
        <f>'111 1 el Main distri50-60kVcabl'!E27</f>
        <v>27.471865960767751</v>
      </c>
      <c r="I7">
        <f>'111 1 el Main distri50-60kVcabl'!F27</f>
        <v>28.803853116380022</v>
      </c>
      <c r="J7" t="s">
        <v>151</v>
      </c>
      <c r="O7">
        <v>40</v>
      </c>
      <c r="P7">
        <f t="shared" si="0"/>
        <v>469.43699731903484</v>
      </c>
      <c r="Q7">
        <f t="shared" si="1"/>
        <v>1.09887463843071</v>
      </c>
      <c r="R7">
        <f t="shared" si="2"/>
        <v>1.1521541246552007</v>
      </c>
    </row>
    <row r="8" spans="5:18" x14ac:dyDescent="0.3">
      <c r="G8" s="63">
        <f>G7*1000/1000000</f>
        <v>2.6201474376260067E-2</v>
      </c>
      <c r="H8" s="63">
        <f t="shared" ref="H8:I8" si="3">H7*1000/1000000</f>
        <v>2.7471865960767752E-2</v>
      </c>
      <c r="I8" s="63">
        <f t="shared" si="3"/>
        <v>2.8803853116380021E-2</v>
      </c>
      <c r="J8" t="s">
        <v>170</v>
      </c>
      <c r="O8">
        <v>50</v>
      </c>
      <c r="P8">
        <f t="shared" si="0"/>
        <v>484.58445040214474</v>
      </c>
      <c r="Q8">
        <f t="shared" si="1"/>
        <v>1.3735932980383876</v>
      </c>
      <c r="R8">
        <f t="shared" si="2"/>
        <v>1.440192655819001</v>
      </c>
    </row>
    <row r="9" spans="5:18" x14ac:dyDescent="0.3">
      <c r="O9">
        <v>60</v>
      </c>
      <c r="P9">
        <f t="shared" si="0"/>
        <v>499.73190348525475</v>
      </c>
      <c r="Q9">
        <f t="shared" si="1"/>
        <v>1.6483119576460652</v>
      </c>
      <c r="R9">
        <f t="shared" si="2"/>
        <v>1.7282311869828013</v>
      </c>
    </row>
    <row r="10" spans="5:18" x14ac:dyDescent="0.3">
      <c r="O10">
        <v>70</v>
      </c>
      <c r="P10">
        <f t="shared" si="0"/>
        <v>514.87935656836464</v>
      </c>
      <c r="Q10">
        <f t="shared" si="1"/>
        <v>1.9230306172537426</v>
      </c>
      <c r="R10">
        <f t="shared" si="2"/>
        <v>2.0162697181466016</v>
      </c>
    </row>
    <row r="11" spans="5:18" x14ac:dyDescent="0.3">
      <c r="E11" t="s">
        <v>152</v>
      </c>
      <c r="H11" s="64">
        <v>3.0000000000000001E-3</v>
      </c>
      <c r="O11">
        <v>80</v>
      </c>
      <c r="P11">
        <f t="shared" si="0"/>
        <v>530.02680965147454</v>
      </c>
      <c r="Q11">
        <f t="shared" si="1"/>
        <v>2.19774927686142</v>
      </c>
      <c r="R11">
        <f t="shared" si="2"/>
        <v>2.3043082493104015</v>
      </c>
    </row>
    <row r="12" spans="5:18" x14ac:dyDescent="0.3">
      <c r="O12">
        <v>90</v>
      </c>
      <c r="P12">
        <f t="shared" si="0"/>
        <v>545.17426273458443</v>
      </c>
      <c r="Q12">
        <f t="shared" si="1"/>
        <v>2.4724679364690978</v>
      </c>
      <c r="R12">
        <f t="shared" si="2"/>
        <v>2.5923467804742018</v>
      </c>
    </row>
    <row r="13" spans="5:18" x14ac:dyDescent="0.3">
      <c r="E13" s="27" t="s">
        <v>25</v>
      </c>
      <c r="F13" s="22">
        <v>40</v>
      </c>
      <c r="O13">
        <v>100</v>
      </c>
      <c r="P13">
        <f t="shared" si="0"/>
        <v>560.32171581769433</v>
      </c>
      <c r="Q13">
        <f t="shared" si="1"/>
        <v>2.7471865960767752</v>
      </c>
      <c r="R13">
        <f t="shared" si="2"/>
        <v>2.880385311638002</v>
      </c>
    </row>
    <row r="14" spans="5:18" x14ac:dyDescent="0.3">
      <c r="E14" s="27" t="s">
        <v>27</v>
      </c>
      <c r="F14" s="31">
        <v>0.45</v>
      </c>
      <c r="O14">
        <v>110</v>
      </c>
      <c r="P14">
        <f t="shared" si="0"/>
        <v>575.46916890080433</v>
      </c>
      <c r="Q14">
        <f t="shared" si="1"/>
        <v>3.0219052556844526</v>
      </c>
      <c r="R14">
        <f t="shared" si="2"/>
        <v>3.1684238428018023</v>
      </c>
    </row>
    <row r="15" spans="5:18" x14ac:dyDescent="0.3">
      <c r="E15" s="27" t="s">
        <v>29</v>
      </c>
      <c r="F15" s="22">
        <v>1.5</v>
      </c>
      <c r="O15">
        <v>120</v>
      </c>
      <c r="P15">
        <f t="shared" si="0"/>
        <v>590.61662198391423</v>
      </c>
      <c r="Q15">
        <f t="shared" si="1"/>
        <v>3.2966239152921304</v>
      </c>
      <c r="R15">
        <f t="shared" si="2"/>
        <v>3.4564623739656026</v>
      </c>
    </row>
    <row r="16" spans="5:18" x14ac:dyDescent="0.3">
      <c r="O16">
        <v>130</v>
      </c>
      <c r="P16">
        <f t="shared" si="0"/>
        <v>605.76407506702412</v>
      </c>
      <c r="Q16">
        <f t="shared" ref="Q16:Q79" si="4">$H$8*O16</f>
        <v>3.5713425748998078</v>
      </c>
      <c r="R16">
        <f t="shared" ref="R16:R79" si="5">$I$8*O16</f>
        <v>3.7445009051294029</v>
      </c>
    </row>
    <row r="17" spans="4:18" x14ac:dyDescent="0.3">
      <c r="E17" s="27" t="s">
        <v>43</v>
      </c>
      <c r="F17" s="33">
        <v>16801</v>
      </c>
      <c r="G17">
        <f>F17*1000/1000000</f>
        <v>16.800999999999998</v>
      </c>
      <c r="H17" t="s">
        <v>247</v>
      </c>
      <c r="O17">
        <v>140</v>
      </c>
      <c r="P17">
        <f t="shared" si="0"/>
        <v>620.91152815013402</v>
      </c>
      <c r="Q17">
        <f t="shared" si="4"/>
        <v>3.8460612345074852</v>
      </c>
      <c r="R17">
        <f t="shared" si="5"/>
        <v>4.0325394362932032</v>
      </c>
    </row>
    <row r="18" spans="4:18" x14ac:dyDescent="0.3">
      <c r="E18" s="27" t="s">
        <v>45</v>
      </c>
      <c r="F18" s="33">
        <v>80816.326568000004</v>
      </c>
      <c r="G18">
        <f t="shared" ref="G18:G19" si="6">F18*1000/1000000</f>
        <v>80.816326568000008</v>
      </c>
      <c r="H18" t="s">
        <v>247</v>
      </c>
      <c r="O18">
        <v>150</v>
      </c>
      <c r="P18">
        <f t="shared" si="0"/>
        <v>636.05898123324403</v>
      </c>
      <c r="Q18">
        <f t="shared" si="4"/>
        <v>4.120779894115163</v>
      </c>
      <c r="R18">
        <f t="shared" si="5"/>
        <v>4.3205779674570035</v>
      </c>
    </row>
    <row r="19" spans="4:18" x14ac:dyDescent="0.3">
      <c r="E19" s="27" t="s">
        <v>47</v>
      </c>
      <c r="F19" s="22">
        <v>4759.6562857680001</v>
      </c>
      <c r="G19">
        <f t="shared" si="6"/>
        <v>4.759656285768</v>
      </c>
      <c r="H19" t="s">
        <v>247</v>
      </c>
      <c r="O19">
        <v>160</v>
      </c>
      <c r="P19">
        <f t="shared" si="0"/>
        <v>651.20643431635392</v>
      </c>
      <c r="Q19">
        <f t="shared" si="4"/>
        <v>4.3954985537228399</v>
      </c>
      <c r="R19">
        <f t="shared" si="5"/>
        <v>4.6086164986208029</v>
      </c>
    </row>
    <row r="20" spans="4:18" x14ac:dyDescent="0.3">
      <c r="O20">
        <v>170</v>
      </c>
      <c r="P20">
        <f t="shared" si="0"/>
        <v>666.35388739946382</v>
      </c>
      <c r="Q20">
        <f t="shared" si="4"/>
        <v>4.6702172133305178</v>
      </c>
      <c r="R20">
        <f t="shared" si="5"/>
        <v>4.8966550297846032</v>
      </c>
    </row>
    <row r="21" spans="4:18" ht="15" thickBot="1" x14ac:dyDescent="0.35">
      <c r="O21">
        <v>180</v>
      </c>
      <c r="P21">
        <f t="shared" si="0"/>
        <v>681.50134048257371</v>
      </c>
      <c r="Q21">
        <f t="shared" si="4"/>
        <v>4.9449358729381956</v>
      </c>
      <c r="R21">
        <f t="shared" si="5"/>
        <v>5.1846935609484035</v>
      </c>
    </row>
    <row r="22" spans="4:18" x14ac:dyDescent="0.3">
      <c r="D22" s="87"/>
      <c r="E22" s="88"/>
      <c r="F22" s="88"/>
      <c r="G22" s="88"/>
      <c r="H22" s="88"/>
      <c r="I22" s="88"/>
      <c r="J22" s="88"/>
      <c r="K22" s="88"/>
      <c r="L22" s="89"/>
      <c r="O22">
        <v>190</v>
      </c>
      <c r="P22">
        <f t="shared" si="0"/>
        <v>696.6487935656836</v>
      </c>
      <c r="Q22">
        <f t="shared" si="4"/>
        <v>5.2196545325458725</v>
      </c>
      <c r="R22">
        <f t="shared" si="5"/>
        <v>5.4727320921122038</v>
      </c>
    </row>
    <row r="23" spans="4:18" x14ac:dyDescent="0.3">
      <c r="D23" s="90"/>
      <c r="E23" s="91" t="s">
        <v>278</v>
      </c>
      <c r="L23" s="92"/>
      <c r="O23">
        <v>200</v>
      </c>
      <c r="P23">
        <f t="shared" si="0"/>
        <v>711.7962466487935</v>
      </c>
      <c r="Q23">
        <f t="shared" si="4"/>
        <v>5.4943731921535504</v>
      </c>
      <c r="R23">
        <f t="shared" si="5"/>
        <v>5.7607706232760041</v>
      </c>
    </row>
    <row r="24" spans="4:18" x14ac:dyDescent="0.3">
      <c r="D24" s="90"/>
      <c r="L24" s="92"/>
      <c r="O24">
        <v>210</v>
      </c>
      <c r="P24">
        <f t="shared" si="0"/>
        <v>726.94369973190351</v>
      </c>
      <c r="Q24">
        <f t="shared" si="4"/>
        <v>5.7690918517612282</v>
      </c>
      <c r="R24">
        <f t="shared" si="5"/>
        <v>6.0488091544398044</v>
      </c>
    </row>
    <row r="25" spans="4:18" x14ac:dyDescent="0.3">
      <c r="D25" s="90" t="s">
        <v>291</v>
      </c>
      <c r="E25">
        <v>11.3</v>
      </c>
      <c r="F25" t="s">
        <v>279</v>
      </c>
      <c r="H25">
        <v>7.46</v>
      </c>
      <c r="I25" t="s">
        <v>284</v>
      </c>
      <c r="L25" s="92"/>
      <c r="O25">
        <v>220</v>
      </c>
      <c r="P25">
        <f t="shared" si="0"/>
        <v>742.0911528150134</v>
      </c>
      <c r="Q25">
        <f t="shared" si="4"/>
        <v>6.0438105113689051</v>
      </c>
      <c r="R25">
        <f t="shared" si="5"/>
        <v>6.3368476856036047</v>
      </c>
    </row>
    <row r="26" spans="4:18" x14ac:dyDescent="0.3">
      <c r="D26" s="90" t="s">
        <v>292</v>
      </c>
      <c r="E26">
        <v>10.8</v>
      </c>
      <c r="F26" t="s">
        <v>279</v>
      </c>
      <c r="J26" t="s">
        <v>282</v>
      </c>
      <c r="L26" s="92"/>
      <c r="O26">
        <v>230</v>
      </c>
      <c r="P26">
        <f t="shared" si="0"/>
        <v>757.23860589812341</v>
      </c>
      <c r="Q26">
        <f t="shared" si="4"/>
        <v>6.318529170976583</v>
      </c>
      <c r="R26">
        <f t="shared" si="5"/>
        <v>6.624886216767405</v>
      </c>
    </row>
    <row r="27" spans="4:18" x14ac:dyDescent="0.3">
      <c r="D27" s="96" t="s">
        <v>291</v>
      </c>
      <c r="E27" s="63">
        <f>E25/H25</f>
        <v>1.5147453083109921</v>
      </c>
      <c r="F27" s="63" t="s">
        <v>280</v>
      </c>
      <c r="L27" s="92"/>
      <c r="O27">
        <v>240</v>
      </c>
      <c r="P27">
        <f t="shared" si="0"/>
        <v>772.3860589812333</v>
      </c>
      <c r="Q27">
        <f t="shared" si="4"/>
        <v>6.5932478305842608</v>
      </c>
      <c r="R27">
        <f t="shared" si="5"/>
        <v>6.9129247479312053</v>
      </c>
    </row>
    <row r="28" spans="4:18" x14ac:dyDescent="0.3">
      <c r="D28" s="96" t="s">
        <v>292</v>
      </c>
      <c r="E28" s="63">
        <f>E26/H25</f>
        <v>1.447721179624665</v>
      </c>
      <c r="F28" s="63" t="s">
        <v>280</v>
      </c>
      <c r="L28" s="92"/>
      <c r="O28">
        <v>250</v>
      </c>
      <c r="P28">
        <f t="shared" si="0"/>
        <v>787.5335120643432</v>
      </c>
      <c r="Q28">
        <f t="shared" si="4"/>
        <v>6.8679664901919377</v>
      </c>
      <c r="R28">
        <f t="shared" si="5"/>
        <v>7.2009632790950056</v>
      </c>
    </row>
    <row r="29" spans="4:18" x14ac:dyDescent="0.3">
      <c r="D29" s="90"/>
      <c r="E29" t="s">
        <v>281</v>
      </c>
      <c r="L29" s="92"/>
      <c r="O29">
        <v>260</v>
      </c>
      <c r="P29">
        <f t="shared" si="0"/>
        <v>802.68096514745309</v>
      </c>
      <c r="Q29">
        <f t="shared" si="4"/>
        <v>7.1426851497996156</v>
      </c>
      <c r="R29">
        <f t="shared" si="5"/>
        <v>7.4890018102588058</v>
      </c>
    </row>
    <row r="30" spans="4:18" ht="15" thickBot="1" x14ac:dyDescent="0.35">
      <c r="D30" s="93"/>
      <c r="E30" s="94"/>
      <c r="F30" s="94"/>
      <c r="G30" s="94"/>
      <c r="H30" s="94"/>
      <c r="I30" s="94"/>
      <c r="J30" s="94"/>
      <c r="K30" s="94"/>
      <c r="L30" s="95"/>
      <c r="O30">
        <v>270</v>
      </c>
      <c r="P30">
        <f t="shared" si="0"/>
        <v>817.82841823056299</v>
      </c>
      <c r="Q30">
        <f t="shared" si="4"/>
        <v>7.4174038094072934</v>
      </c>
      <c r="R30">
        <f t="shared" si="5"/>
        <v>7.7770403414226053</v>
      </c>
    </row>
    <row r="31" spans="4:18" x14ac:dyDescent="0.3">
      <c r="O31">
        <v>280</v>
      </c>
      <c r="P31">
        <f t="shared" si="0"/>
        <v>832.97587131367288</v>
      </c>
      <c r="Q31">
        <f t="shared" si="4"/>
        <v>7.6921224690149703</v>
      </c>
      <c r="R31">
        <f t="shared" si="5"/>
        <v>8.0650788725864064</v>
      </c>
    </row>
    <row r="32" spans="4:18" x14ac:dyDescent="0.3">
      <c r="O32">
        <v>290</v>
      </c>
      <c r="P32">
        <f t="shared" si="0"/>
        <v>848.12332439678278</v>
      </c>
      <c r="Q32">
        <f t="shared" si="4"/>
        <v>7.9668411286226481</v>
      </c>
      <c r="R32">
        <f t="shared" si="5"/>
        <v>8.3531174037502058</v>
      </c>
    </row>
    <row r="33" spans="5:18" x14ac:dyDescent="0.3">
      <c r="O33">
        <v>300</v>
      </c>
      <c r="P33">
        <f t="shared" si="0"/>
        <v>863.27077747989279</v>
      </c>
      <c r="Q33">
        <f t="shared" si="4"/>
        <v>8.241559788230326</v>
      </c>
      <c r="R33">
        <f t="shared" si="5"/>
        <v>8.641155934914007</v>
      </c>
    </row>
    <row r="34" spans="5:18" ht="18" x14ac:dyDescent="0.35">
      <c r="E34" s="65" t="s">
        <v>289</v>
      </c>
      <c r="F34" s="86" t="s">
        <v>283</v>
      </c>
      <c r="O34">
        <v>310</v>
      </c>
      <c r="P34">
        <f t="shared" si="0"/>
        <v>878.41823056300268</v>
      </c>
      <c r="Q34">
        <f t="shared" si="4"/>
        <v>8.5162784478380029</v>
      </c>
      <c r="R34">
        <f t="shared" si="5"/>
        <v>8.9291944660778064</v>
      </c>
    </row>
    <row r="35" spans="5:18" x14ac:dyDescent="0.3">
      <c r="O35">
        <v>320</v>
      </c>
      <c r="P35">
        <f t="shared" si="0"/>
        <v>893.56568364611269</v>
      </c>
      <c r="Q35">
        <f t="shared" si="4"/>
        <v>8.7909971074456799</v>
      </c>
      <c r="R35">
        <f t="shared" si="5"/>
        <v>9.2172329972416058</v>
      </c>
    </row>
    <row r="36" spans="5:18" x14ac:dyDescent="0.3">
      <c r="O36">
        <v>330</v>
      </c>
      <c r="P36">
        <f t="shared" si="0"/>
        <v>908.71313672922258</v>
      </c>
      <c r="Q36">
        <f t="shared" si="4"/>
        <v>9.0657157670533586</v>
      </c>
      <c r="R36">
        <f t="shared" si="5"/>
        <v>9.505271528405407</v>
      </c>
    </row>
    <row r="37" spans="5:18" ht="18" x14ac:dyDescent="0.35">
      <c r="E37" s="97" t="s">
        <v>309</v>
      </c>
      <c r="F37" s="97"/>
      <c r="G37" s="97">
        <f>E27*450+E28*20+J57+J63</f>
        <v>1119.4369973190348</v>
      </c>
      <c r="H37" s="97" t="s">
        <v>293</v>
      </c>
      <c r="I37" s="97"/>
      <c r="O37">
        <v>340</v>
      </c>
      <c r="P37">
        <f t="shared" si="0"/>
        <v>923.86058981233248</v>
      </c>
      <c r="Q37">
        <f t="shared" si="4"/>
        <v>9.3404344266610355</v>
      </c>
      <c r="R37">
        <f t="shared" si="5"/>
        <v>9.7933100595692064</v>
      </c>
    </row>
    <row r="38" spans="5:18" x14ac:dyDescent="0.3">
      <c r="O38">
        <v>350</v>
      </c>
      <c r="P38">
        <f t="shared" si="0"/>
        <v>939.00804289544237</v>
      </c>
      <c r="Q38">
        <f t="shared" si="4"/>
        <v>9.6151530862687125</v>
      </c>
      <c r="R38">
        <f t="shared" si="5"/>
        <v>10.081348590733008</v>
      </c>
    </row>
    <row r="39" spans="5:18" ht="18" x14ac:dyDescent="0.35">
      <c r="E39" s="65" t="s">
        <v>288</v>
      </c>
      <c r="G39" t="s">
        <v>310</v>
      </c>
      <c r="O39">
        <v>360</v>
      </c>
      <c r="P39">
        <f t="shared" si="0"/>
        <v>954.15549597855227</v>
      </c>
      <c r="Q39">
        <f t="shared" si="4"/>
        <v>9.8898717458763912</v>
      </c>
      <c r="R39">
        <f t="shared" si="5"/>
        <v>10.369387121896807</v>
      </c>
    </row>
    <row r="40" spans="5:18" x14ac:dyDescent="0.3">
      <c r="O40">
        <v>370</v>
      </c>
      <c r="P40">
        <f t="shared" si="0"/>
        <v>969.30294906166228</v>
      </c>
      <c r="Q40">
        <f t="shared" si="4"/>
        <v>10.164590405484068</v>
      </c>
      <c r="R40">
        <f t="shared" si="5"/>
        <v>10.657425653060608</v>
      </c>
    </row>
    <row r="41" spans="5:18" x14ac:dyDescent="0.3">
      <c r="O41">
        <v>380</v>
      </c>
      <c r="P41">
        <f t="shared" si="0"/>
        <v>984.45040214477217</v>
      </c>
      <c r="Q41">
        <f t="shared" si="4"/>
        <v>10.439309065091745</v>
      </c>
      <c r="R41">
        <f t="shared" si="5"/>
        <v>10.945464184224408</v>
      </c>
    </row>
    <row r="42" spans="5:18" x14ac:dyDescent="0.3">
      <c r="O42">
        <v>390</v>
      </c>
      <c r="P42">
        <f t="shared" si="0"/>
        <v>999.59785522788206</v>
      </c>
      <c r="Q42">
        <f t="shared" si="4"/>
        <v>10.714027724699424</v>
      </c>
      <c r="R42">
        <f t="shared" si="5"/>
        <v>11.233502715388209</v>
      </c>
    </row>
    <row r="43" spans="5:18" x14ac:dyDescent="0.3">
      <c r="O43">
        <v>400</v>
      </c>
      <c r="P43">
        <f t="shared" si="0"/>
        <v>1014.745308310992</v>
      </c>
      <c r="Q43">
        <f t="shared" si="4"/>
        <v>10.988746384307101</v>
      </c>
      <c r="R43">
        <f t="shared" si="5"/>
        <v>11.521541246552008</v>
      </c>
    </row>
    <row r="44" spans="5:18" x14ac:dyDescent="0.3">
      <c r="O44">
        <v>410</v>
      </c>
      <c r="P44">
        <f t="shared" si="0"/>
        <v>1029.8927613941019</v>
      </c>
      <c r="Q44">
        <f t="shared" si="4"/>
        <v>11.263465043914778</v>
      </c>
      <c r="R44">
        <f t="shared" si="5"/>
        <v>11.809579777715809</v>
      </c>
    </row>
    <row r="45" spans="5:18" x14ac:dyDescent="0.3">
      <c r="O45">
        <v>420</v>
      </c>
      <c r="P45">
        <f t="shared" si="0"/>
        <v>1045.040214477212</v>
      </c>
      <c r="Q45">
        <f t="shared" si="4"/>
        <v>11.538183703522456</v>
      </c>
      <c r="R45">
        <f t="shared" si="5"/>
        <v>12.097618308879609</v>
      </c>
    </row>
    <row r="46" spans="5:18" x14ac:dyDescent="0.3">
      <c r="O46">
        <v>430</v>
      </c>
      <c r="P46">
        <f t="shared" si="0"/>
        <v>1060.1876675603219</v>
      </c>
      <c r="Q46">
        <f t="shared" si="4"/>
        <v>11.812902363130133</v>
      </c>
      <c r="R46">
        <f t="shared" si="5"/>
        <v>12.385656840043408</v>
      </c>
    </row>
    <row r="47" spans="5:18" x14ac:dyDescent="0.3">
      <c r="O47">
        <v>440</v>
      </c>
      <c r="P47">
        <f t="shared" si="0"/>
        <v>1075.3351206434318</v>
      </c>
      <c r="Q47">
        <f t="shared" si="4"/>
        <v>12.08762102273781</v>
      </c>
      <c r="R47">
        <f t="shared" si="5"/>
        <v>12.673695371207209</v>
      </c>
    </row>
    <row r="48" spans="5:18" x14ac:dyDescent="0.3">
      <c r="O48">
        <v>450</v>
      </c>
      <c r="P48">
        <f t="shared" si="0"/>
        <v>1090.4825737265417</v>
      </c>
      <c r="Q48">
        <f t="shared" si="4"/>
        <v>12.362339682345489</v>
      </c>
      <c r="R48">
        <f t="shared" si="5"/>
        <v>12.961733902371009</v>
      </c>
    </row>
    <row r="49" spans="9:18" ht="18" x14ac:dyDescent="0.35">
      <c r="I49" s="65"/>
      <c r="J49" s="65"/>
      <c r="K49" s="65"/>
      <c r="L49" s="65"/>
      <c r="M49" s="65"/>
      <c r="O49">
        <v>460</v>
      </c>
      <c r="P49">
        <f t="shared" si="0"/>
        <v>1105.6300268096516</v>
      </c>
      <c r="Q49">
        <f t="shared" si="4"/>
        <v>12.637058341953166</v>
      </c>
      <c r="R49">
        <f t="shared" si="5"/>
        <v>13.24977243353481</v>
      </c>
    </row>
    <row r="50" spans="9:18" ht="18" x14ac:dyDescent="0.35">
      <c r="I50" s="65"/>
      <c r="J50" s="65"/>
      <c r="K50" s="65"/>
      <c r="L50" s="65"/>
      <c r="M50" s="65"/>
      <c r="O50">
        <v>470</v>
      </c>
      <c r="P50">
        <f t="shared" si="0"/>
        <v>1120.7774798927614</v>
      </c>
      <c r="Q50">
        <f t="shared" si="4"/>
        <v>12.911777001560843</v>
      </c>
      <c r="R50">
        <f t="shared" si="5"/>
        <v>13.537810964698609</v>
      </c>
    </row>
    <row r="51" spans="9:18" ht="18" x14ac:dyDescent="0.35">
      <c r="I51" s="65"/>
      <c r="J51" s="65"/>
      <c r="K51" s="65"/>
      <c r="L51" s="65"/>
      <c r="M51" s="65"/>
      <c r="O51">
        <v>480</v>
      </c>
      <c r="P51">
        <f t="shared" si="0"/>
        <v>1135.9249329758713</v>
      </c>
      <c r="Q51">
        <f t="shared" si="4"/>
        <v>13.186495661168522</v>
      </c>
      <c r="R51">
        <f t="shared" si="5"/>
        <v>13.825849495862411</v>
      </c>
    </row>
    <row r="52" spans="9:18" ht="18" x14ac:dyDescent="0.35">
      <c r="I52" s="65"/>
      <c r="J52" s="65"/>
      <c r="K52" s="65"/>
      <c r="L52" s="65"/>
      <c r="M52" s="65"/>
      <c r="O52">
        <v>490</v>
      </c>
      <c r="P52">
        <f t="shared" si="0"/>
        <v>1151.0723860589812</v>
      </c>
      <c r="Q52">
        <f t="shared" si="4"/>
        <v>13.461214320776199</v>
      </c>
      <c r="R52">
        <f t="shared" si="5"/>
        <v>14.11388802702621</v>
      </c>
    </row>
    <row r="53" spans="9:18" ht="18" x14ac:dyDescent="0.35">
      <c r="I53" s="65"/>
      <c r="J53" s="65" t="s">
        <v>287</v>
      </c>
      <c r="K53" s="65"/>
      <c r="L53" s="65"/>
      <c r="M53" s="65"/>
      <c r="O53">
        <v>500</v>
      </c>
      <c r="P53">
        <f t="shared" si="0"/>
        <v>1166.2198391420914</v>
      </c>
      <c r="Q53">
        <f t="shared" si="4"/>
        <v>13.735932980383875</v>
      </c>
      <c r="R53">
        <f t="shared" si="5"/>
        <v>14.401926558190011</v>
      </c>
    </row>
    <row r="54" spans="9:18" ht="18" x14ac:dyDescent="0.35">
      <c r="I54" s="65"/>
      <c r="J54" s="65"/>
      <c r="K54" s="65"/>
      <c r="L54" s="65"/>
      <c r="M54" s="65"/>
      <c r="O54">
        <v>510</v>
      </c>
      <c r="P54">
        <f t="shared" si="0"/>
        <v>1181.3672922252013</v>
      </c>
      <c r="Q54">
        <f t="shared" si="4"/>
        <v>14.010651639991554</v>
      </c>
      <c r="R54">
        <f t="shared" si="5"/>
        <v>14.689965089353811</v>
      </c>
    </row>
    <row r="55" spans="9:18" ht="18" x14ac:dyDescent="0.35">
      <c r="I55" s="65"/>
      <c r="J55" s="65">
        <v>1830</v>
      </c>
      <c r="K55" s="65" t="s">
        <v>285</v>
      </c>
      <c r="L55" s="65"/>
      <c r="M55" s="65"/>
      <c r="O55">
        <v>520</v>
      </c>
      <c r="P55">
        <f t="shared" si="0"/>
        <v>1196.5147453083111</v>
      </c>
      <c r="Q55">
        <f t="shared" si="4"/>
        <v>14.285370299599231</v>
      </c>
      <c r="R55">
        <f t="shared" si="5"/>
        <v>14.978003620517612</v>
      </c>
    </row>
    <row r="56" spans="9:18" ht="18" x14ac:dyDescent="0.35">
      <c r="I56" s="65"/>
      <c r="J56" s="65"/>
      <c r="K56" s="65"/>
      <c r="L56" s="65"/>
      <c r="M56" s="65"/>
      <c r="O56">
        <v>530</v>
      </c>
      <c r="P56">
        <f t="shared" si="0"/>
        <v>1211.662198391421</v>
      </c>
      <c r="Q56">
        <f t="shared" si="4"/>
        <v>14.560088959206908</v>
      </c>
      <c r="R56">
        <f t="shared" si="5"/>
        <v>15.266042151681411</v>
      </c>
    </row>
    <row r="57" spans="9:18" ht="18" x14ac:dyDescent="0.35">
      <c r="I57" s="65"/>
      <c r="J57" s="65">
        <f>J55/H25</f>
        <v>245.30831099195711</v>
      </c>
      <c r="K57" s="65" t="s">
        <v>286</v>
      </c>
      <c r="L57" s="65"/>
      <c r="M57" s="65"/>
      <c r="O57">
        <v>540</v>
      </c>
      <c r="P57">
        <f t="shared" si="0"/>
        <v>1226.8096514745309</v>
      </c>
      <c r="Q57">
        <f t="shared" si="4"/>
        <v>14.834807618814587</v>
      </c>
      <c r="R57">
        <f t="shared" si="5"/>
        <v>15.554080682845211</v>
      </c>
    </row>
    <row r="58" spans="9:18" ht="18" x14ac:dyDescent="0.35">
      <c r="I58" s="65"/>
      <c r="J58" s="65"/>
      <c r="K58" s="65"/>
      <c r="L58" s="65"/>
      <c r="M58" s="65"/>
      <c r="O58">
        <v>550</v>
      </c>
      <c r="P58">
        <f t="shared" si="0"/>
        <v>1241.9571045576411</v>
      </c>
      <c r="Q58">
        <f t="shared" si="4"/>
        <v>15.109526278422264</v>
      </c>
      <c r="R58">
        <f t="shared" si="5"/>
        <v>15.842119214009012</v>
      </c>
    </row>
    <row r="59" spans="9:18" ht="18" x14ac:dyDescent="0.35">
      <c r="I59" s="65"/>
      <c r="J59" s="65"/>
      <c r="K59" s="65"/>
      <c r="L59" s="65"/>
      <c r="M59" s="65"/>
      <c r="O59">
        <v>560</v>
      </c>
      <c r="P59">
        <f t="shared" si="0"/>
        <v>1257.1045576407507</v>
      </c>
      <c r="Q59">
        <f t="shared" si="4"/>
        <v>15.384244938029941</v>
      </c>
      <c r="R59">
        <f t="shared" si="5"/>
        <v>16.130157745172813</v>
      </c>
    </row>
    <row r="60" spans="9:18" ht="18" x14ac:dyDescent="0.35">
      <c r="I60" s="65"/>
      <c r="J60" s="65" t="s">
        <v>290</v>
      </c>
      <c r="K60" s="65"/>
      <c r="L60" s="65"/>
      <c r="M60" s="65"/>
      <c r="O60">
        <v>570</v>
      </c>
      <c r="P60">
        <f t="shared" si="0"/>
        <v>1272.2520107238608</v>
      </c>
      <c r="Q60">
        <f t="shared" si="4"/>
        <v>15.658963597637618</v>
      </c>
      <c r="R60">
        <f t="shared" si="5"/>
        <v>16.418196276336612</v>
      </c>
    </row>
    <row r="61" spans="9:18" ht="18" x14ac:dyDescent="0.35">
      <c r="I61" s="65"/>
      <c r="J61" s="65">
        <f>1220</f>
        <v>1220</v>
      </c>
      <c r="K61" s="65" t="s">
        <v>285</v>
      </c>
      <c r="L61" s="65"/>
      <c r="M61" s="65"/>
      <c r="O61">
        <v>580</v>
      </c>
      <c r="P61">
        <f t="shared" si="0"/>
        <v>1287.3994638069705</v>
      </c>
      <c r="Q61">
        <f t="shared" si="4"/>
        <v>15.933682257245296</v>
      </c>
      <c r="R61">
        <f t="shared" si="5"/>
        <v>16.706234807500412</v>
      </c>
    </row>
    <row r="62" spans="9:18" ht="18" x14ac:dyDescent="0.35">
      <c r="I62" s="65"/>
      <c r="J62" s="65"/>
      <c r="K62" s="65"/>
      <c r="L62" s="65"/>
      <c r="M62" s="65"/>
      <c r="O62">
        <v>590</v>
      </c>
      <c r="P62">
        <f t="shared" si="0"/>
        <v>1302.5469168900806</v>
      </c>
      <c r="Q62">
        <f t="shared" si="4"/>
        <v>16.208400916852973</v>
      </c>
      <c r="R62">
        <f t="shared" si="5"/>
        <v>16.994273338664211</v>
      </c>
    </row>
    <row r="63" spans="9:18" ht="18" x14ac:dyDescent="0.35">
      <c r="I63" s="65"/>
      <c r="J63" s="65">
        <f>J61/H25</f>
        <v>163.53887399463807</v>
      </c>
      <c r="K63" s="65" t="s">
        <v>286</v>
      </c>
      <c r="L63" s="65"/>
      <c r="M63" s="65"/>
      <c r="O63">
        <v>600</v>
      </c>
      <c r="P63">
        <f t="shared" si="0"/>
        <v>1317.6943699731905</v>
      </c>
      <c r="Q63">
        <f t="shared" si="4"/>
        <v>16.483119576460652</v>
      </c>
      <c r="R63">
        <f t="shared" si="5"/>
        <v>17.282311869828014</v>
      </c>
    </row>
    <row r="64" spans="9:18" ht="18" x14ac:dyDescent="0.35">
      <c r="I64" s="65"/>
      <c r="J64" s="65"/>
      <c r="K64" s="65"/>
      <c r="L64" s="65"/>
      <c r="M64" s="65"/>
      <c r="O64">
        <v>610</v>
      </c>
      <c r="P64">
        <f t="shared" si="0"/>
        <v>1332.8418230563004</v>
      </c>
      <c r="Q64">
        <f t="shared" si="4"/>
        <v>16.757838236068327</v>
      </c>
      <c r="R64">
        <f t="shared" si="5"/>
        <v>17.570350400991813</v>
      </c>
    </row>
    <row r="65" spans="9:18" ht="18" x14ac:dyDescent="0.35">
      <c r="I65" s="65"/>
      <c r="J65" s="65"/>
      <c r="K65" s="65"/>
      <c r="L65" s="65"/>
      <c r="M65" s="65"/>
      <c r="O65">
        <v>620</v>
      </c>
      <c r="P65">
        <f t="shared" si="0"/>
        <v>1347.9892761394103</v>
      </c>
      <c r="Q65">
        <f t="shared" si="4"/>
        <v>17.032556895676006</v>
      </c>
      <c r="R65">
        <f t="shared" si="5"/>
        <v>17.858388932155613</v>
      </c>
    </row>
    <row r="66" spans="9:18" ht="18" x14ac:dyDescent="0.35">
      <c r="I66" s="65"/>
      <c r="J66" s="65"/>
      <c r="K66" s="65"/>
      <c r="L66" s="65"/>
      <c r="M66" s="65"/>
      <c r="O66">
        <v>630</v>
      </c>
      <c r="P66">
        <f t="shared" si="0"/>
        <v>1363.1367292225202</v>
      </c>
      <c r="Q66">
        <f t="shared" si="4"/>
        <v>17.307275555283685</v>
      </c>
      <c r="R66">
        <f t="shared" si="5"/>
        <v>18.146427463319412</v>
      </c>
    </row>
    <row r="67" spans="9:18" ht="18" x14ac:dyDescent="0.35">
      <c r="I67" s="65"/>
      <c r="J67" s="65"/>
      <c r="K67" s="65"/>
      <c r="L67" s="65"/>
      <c r="M67" s="65"/>
      <c r="O67">
        <v>640</v>
      </c>
      <c r="P67">
        <f t="shared" si="0"/>
        <v>1378.2841823056303</v>
      </c>
      <c r="Q67">
        <f t="shared" si="4"/>
        <v>17.58199421489136</v>
      </c>
      <c r="R67">
        <f t="shared" si="5"/>
        <v>18.434465994483212</v>
      </c>
    </row>
    <row r="68" spans="9:18" x14ac:dyDescent="0.3">
      <c r="O68">
        <v>650</v>
      </c>
      <c r="P68">
        <f t="shared" si="0"/>
        <v>1393.43163538874</v>
      </c>
      <c r="Q68">
        <f t="shared" si="4"/>
        <v>17.856712874499038</v>
      </c>
      <c r="R68">
        <f t="shared" si="5"/>
        <v>18.722504525647015</v>
      </c>
    </row>
    <row r="69" spans="9:18" x14ac:dyDescent="0.3">
      <c r="O69">
        <v>660</v>
      </c>
      <c r="P69">
        <f t="shared" ref="P69:P103" si="7">$E$27*O69+$J$57+$J$63</f>
        <v>1408.5790884718501</v>
      </c>
      <c r="Q69">
        <f t="shared" si="4"/>
        <v>18.131431534106717</v>
      </c>
      <c r="R69">
        <f t="shared" si="5"/>
        <v>19.010543056810814</v>
      </c>
    </row>
    <row r="70" spans="9:18" x14ac:dyDescent="0.3">
      <c r="O70">
        <v>670</v>
      </c>
      <c r="P70">
        <f t="shared" si="7"/>
        <v>1423.7265415549598</v>
      </c>
      <c r="Q70">
        <f t="shared" si="4"/>
        <v>18.406150193714392</v>
      </c>
      <c r="R70">
        <f t="shared" si="5"/>
        <v>19.298581587974613</v>
      </c>
    </row>
    <row r="71" spans="9:18" x14ac:dyDescent="0.3">
      <c r="O71">
        <v>680</v>
      </c>
      <c r="P71">
        <f t="shared" si="7"/>
        <v>1438.8739946380699</v>
      </c>
      <c r="Q71">
        <f t="shared" si="4"/>
        <v>18.680868853322071</v>
      </c>
      <c r="R71">
        <f t="shared" si="5"/>
        <v>19.586620119138413</v>
      </c>
    </row>
    <row r="72" spans="9:18" x14ac:dyDescent="0.3">
      <c r="O72">
        <v>690</v>
      </c>
      <c r="P72">
        <f t="shared" si="7"/>
        <v>1454.0214477211798</v>
      </c>
      <c r="Q72">
        <f t="shared" si="4"/>
        <v>18.95558751292975</v>
      </c>
      <c r="R72">
        <f t="shared" si="5"/>
        <v>19.874658650302216</v>
      </c>
    </row>
    <row r="73" spans="9:18" x14ac:dyDescent="0.3">
      <c r="O73">
        <v>700</v>
      </c>
      <c r="P73">
        <f t="shared" si="7"/>
        <v>1469.1689008042897</v>
      </c>
      <c r="Q73">
        <f t="shared" si="4"/>
        <v>19.230306172537425</v>
      </c>
      <c r="R73">
        <f t="shared" si="5"/>
        <v>20.162697181466015</v>
      </c>
    </row>
    <row r="74" spans="9:18" x14ac:dyDescent="0.3">
      <c r="O74">
        <v>710</v>
      </c>
      <c r="P74">
        <f t="shared" si="7"/>
        <v>1484.3163538873996</v>
      </c>
      <c r="Q74">
        <f t="shared" si="4"/>
        <v>19.505024832145104</v>
      </c>
      <c r="R74">
        <f t="shared" si="5"/>
        <v>20.450735712629815</v>
      </c>
    </row>
    <row r="75" spans="9:18" x14ac:dyDescent="0.3">
      <c r="O75">
        <v>720</v>
      </c>
      <c r="P75">
        <f t="shared" si="7"/>
        <v>1499.4638069705095</v>
      </c>
      <c r="Q75">
        <f t="shared" si="4"/>
        <v>19.779743491752782</v>
      </c>
      <c r="R75">
        <f t="shared" si="5"/>
        <v>20.738774243793614</v>
      </c>
    </row>
    <row r="76" spans="9:18" x14ac:dyDescent="0.3">
      <c r="O76">
        <v>730</v>
      </c>
      <c r="P76">
        <f t="shared" si="7"/>
        <v>1514.6112600536194</v>
      </c>
      <c r="Q76">
        <f t="shared" si="4"/>
        <v>20.054462151360458</v>
      </c>
      <c r="R76">
        <f t="shared" si="5"/>
        <v>21.026812774957417</v>
      </c>
    </row>
    <row r="77" spans="9:18" x14ac:dyDescent="0.3">
      <c r="O77">
        <v>740</v>
      </c>
      <c r="P77">
        <f t="shared" si="7"/>
        <v>1529.7587131367295</v>
      </c>
      <c r="Q77">
        <f t="shared" si="4"/>
        <v>20.329180810968136</v>
      </c>
      <c r="R77">
        <f t="shared" si="5"/>
        <v>21.314851306121216</v>
      </c>
    </row>
    <row r="78" spans="9:18" x14ac:dyDescent="0.3">
      <c r="O78">
        <v>750</v>
      </c>
      <c r="P78">
        <f t="shared" si="7"/>
        <v>1544.9061662198394</v>
      </c>
      <c r="Q78">
        <f t="shared" si="4"/>
        <v>20.603899470575815</v>
      </c>
      <c r="R78">
        <f t="shared" si="5"/>
        <v>21.602889837285016</v>
      </c>
    </row>
    <row r="79" spans="9:18" x14ac:dyDescent="0.3">
      <c r="O79">
        <v>760</v>
      </c>
      <c r="P79">
        <f t="shared" si="7"/>
        <v>1560.0536193029493</v>
      </c>
      <c r="Q79">
        <f t="shared" si="4"/>
        <v>20.87861813018349</v>
      </c>
      <c r="R79">
        <f t="shared" si="5"/>
        <v>21.890928368448815</v>
      </c>
    </row>
    <row r="80" spans="9:18" x14ac:dyDescent="0.3">
      <c r="O80">
        <v>770</v>
      </c>
      <c r="P80">
        <f t="shared" si="7"/>
        <v>1575.2010723860592</v>
      </c>
      <c r="Q80">
        <f t="shared" ref="Q80:Q103" si="8">$H$8*O80</f>
        <v>21.153336789791169</v>
      </c>
      <c r="R80">
        <f t="shared" ref="R80:R103" si="9">$I$8*O80</f>
        <v>22.178966899612615</v>
      </c>
    </row>
    <row r="81" spans="15:18" x14ac:dyDescent="0.3">
      <c r="O81">
        <v>780</v>
      </c>
      <c r="P81">
        <f t="shared" si="7"/>
        <v>1590.3485254691691</v>
      </c>
      <c r="Q81">
        <f t="shared" si="8"/>
        <v>21.428055449398848</v>
      </c>
      <c r="R81">
        <f t="shared" si="9"/>
        <v>22.467005430776418</v>
      </c>
    </row>
    <row r="82" spans="15:18" x14ac:dyDescent="0.3">
      <c r="O82">
        <v>790</v>
      </c>
      <c r="P82">
        <f t="shared" si="7"/>
        <v>1605.495978552279</v>
      </c>
      <c r="Q82">
        <f t="shared" si="8"/>
        <v>21.702774109006523</v>
      </c>
      <c r="R82">
        <f t="shared" si="9"/>
        <v>22.755043961940217</v>
      </c>
    </row>
    <row r="83" spans="15:18" x14ac:dyDescent="0.3">
      <c r="O83">
        <v>800</v>
      </c>
      <c r="P83">
        <f t="shared" si="7"/>
        <v>1620.6434316353889</v>
      </c>
      <c r="Q83">
        <f t="shared" si="8"/>
        <v>21.977492768614201</v>
      </c>
      <c r="R83">
        <f t="shared" si="9"/>
        <v>23.043082493104016</v>
      </c>
    </row>
    <row r="84" spans="15:18" x14ac:dyDescent="0.3">
      <c r="O84">
        <v>810</v>
      </c>
      <c r="P84">
        <f t="shared" si="7"/>
        <v>1635.7908847184988</v>
      </c>
      <c r="Q84">
        <f t="shared" si="8"/>
        <v>22.25221142822188</v>
      </c>
      <c r="R84">
        <f t="shared" si="9"/>
        <v>23.331121024267816</v>
      </c>
    </row>
    <row r="85" spans="15:18" x14ac:dyDescent="0.3">
      <c r="O85">
        <v>820</v>
      </c>
      <c r="P85">
        <f t="shared" si="7"/>
        <v>1650.9383378016087</v>
      </c>
      <c r="Q85">
        <f t="shared" si="8"/>
        <v>22.526930087829555</v>
      </c>
      <c r="R85">
        <f t="shared" si="9"/>
        <v>23.619159555431619</v>
      </c>
    </row>
    <row r="86" spans="15:18" x14ac:dyDescent="0.3">
      <c r="O86">
        <v>830</v>
      </c>
      <c r="P86">
        <f t="shared" si="7"/>
        <v>1666.0857908847188</v>
      </c>
      <c r="Q86">
        <f t="shared" si="8"/>
        <v>22.801648747437234</v>
      </c>
      <c r="R86">
        <f t="shared" si="9"/>
        <v>23.907198086595418</v>
      </c>
    </row>
    <row r="87" spans="15:18" x14ac:dyDescent="0.3">
      <c r="O87">
        <v>840</v>
      </c>
      <c r="P87">
        <f t="shared" si="7"/>
        <v>1681.2332439678287</v>
      </c>
      <c r="Q87">
        <f t="shared" si="8"/>
        <v>23.076367407044913</v>
      </c>
      <c r="R87">
        <f t="shared" si="9"/>
        <v>24.195236617759218</v>
      </c>
    </row>
    <row r="88" spans="15:18" x14ac:dyDescent="0.3">
      <c r="O88">
        <v>850</v>
      </c>
      <c r="P88">
        <f t="shared" si="7"/>
        <v>1696.3806970509386</v>
      </c>
      <c r="Q88">
        <f t="shared" si="8"/>
        <v>23.351086066652588</v>
      </c>
      <c r="R88">
        <f t="shared" si="9"/>
        <v>24.483275148923017</v>
      </c>
    </row>
    <row r="89" spans="15:18" x14ac:dyDescent="0.3">
      <c r="O89">
        <v>860</v>
      </c>
      <c r="P89">
        <f t="shared" si="7"/>
        <v>1711.5281501340485</v>
      </c>
      <c r="Q89">
        <f t="shared" si="8"/>
        <v>23.625804726260267</v>
      </c>
      <c r="R89">
        <f t="shared" si="9"/>
        <v>24.771313680086816</v>
      </c>
    </row>
    <row r="90" spans="15:18" x14ac:dyDescent="0.3">
      <c r="O90">
        <v>870</v>
      </c>
      <c r="P90">
        <f t="shared" si="7"/>
        <v>1726.6756032171584</v>
      </c>
      <c r="Q90">
        <f t="shared" si="8"/>
        <v>23.900523385867945</v>
      </c>
      <c r="R90">
        <f t="shared" si="9"/>
        <v>25.059352211250619</v>
      </c>
    </row>
    <row r="91" spans="15:18" x14ac:dyDescent="0.3">
      <c r="O91">
        <v>880</v>
      </c>
      <c r="P91">
        <f t="shared" si="7"/>
        <v>1741.8230563002683</v>
      </c>
      <c r="Q91">
        <f t="shared" si="8"/>
        <v>24.175242045475621</v>
      </c>
      <c r="R91">
        <f t="shared" si="9"/>
        <v>25.347390742414419</v>
      </c>
    </row>
    <row r="92" spans="15:18" x14ac:dyDescent="0.3">
      <c r="O92">
        <v>890</v>
      </c>
      <c r="P92">
        <f t="shared" si="7"/>
        <v>1756.9705093833782</v>
      </c>
      <c r="Q92">
        <f t="shared" si="8"/>
        <v>24.449960705083299</v>
      </c>
      <c r="R92">
        <f t="shared" si="9"/>
        <v>25.635429273578218</v>
      </c>
    </row>
    <row r="93" spans="15:18" x14ac:dyDescent="0.3">
      <c r="O93">
        <v>900</v>
      </c>
      <c r="P93">
        <f t="shared" si="7"/>
        <v>1772.1179624664881</v>
      </c>
      <c r="Q93">
        <f t="shared" si="8"/>
        <v>24.724679364690978</v>
      </c>
      <c r="R93">
        <f t="shared" si="9"/>
        <v>25.923467804742018</v>
      </c>
    </row>
    <row r="94" spans="15:18" x14ac:dyDescent="0.3">
      <c r="O94">
        <v>910</v>
      </c>
      <c r="P94">
        <f t="shared" si="7"/>
        <v>1787.2654155495979</v>
      </c>
      <c r="Q94">
        <f t="shared" si="8"/>
        <v>24.999398024298653</v>
      </c>
      <c r="R94">
        <f t="shared" si="9"/>
        <v>26.21150633590582</v>
      </c>
    </row>
    <row r="95" spans="15:18" x14ac:dyDescent="0.3">
      <c r="O95">
        <v>920</v>
      </c>
      <c r="P95">
        <f t="shared" si="7"/>
        <v>1802.4128686327081</v>
      </c>
      <c r="Q95">
        <f t="shared" si="8"/>
        <v>25.274116683906332</v>
      </c>
      <c r="R95">
        <f t="shared" si="9"/>
        <v>26.49954486706962</v>
      </c>
    </row>
    <row r="96" spans="15:18" x14ac:dyDescent="0.3">
      <c r="O96">
        <v>930</v>
      </c>
      <c r="P96">
        <f t="shared" si="7"/>
        <v>1817.560321715818</v>
      </c>
      <c r="Q96">
        <f t="shared" si="8"/>
        <v>25.548835343514011</v>
      </c>
      <c r="R96">
        <f t="shared" si="9"/>
        <v>26.787583398233419</v>
      </c>
    </row>
    <row r="97" spans="15:18" x14ac:dyDescent="0.3">
      <c r="O97">
        <v>940</v>
      </c>
      <c r="P97">
        <f t="shared" si="7"/>
        <v>1832.7077747989279</v>
      </c>
      <c r="Q97">
        <f t="shared" si="8"/>
        <v>25.823554003121686</v>
      </c>
      <c r="R97">
        <f t="shared" si="9"/>
        <v>27.075621929397219</v>
      </c>
    </row>
    <row r="98" spans="15:18" x14ac:dyDescent="0.3">
      <c r="O98">
        <v>950</v>
      </c>
      <c r="P98">
        <f t="shared" si="7"/>
        <v>1847.8552278820378</v>
      </c>
      <c r="Q98">
        <f t="shared" si="8"/>
        <v>26.098272662729364</v>
      </c>
      <c r="R98">
        <f t="shared" si="9"/>
        <v>27.363660460561022</v>
      </c>
    </row>
    <row r="99" spans="15:18" x14ac:dyDescent="0.3">
      <c r="O99">
        <v>960</v>
      </c>
      <c r="P99">
        <f t="shared" si="7"/>
        <v>1863.0026809651476</v>
      </c>
      <c r="Q99">
        <f t="shared" si="8"/>
        <v>26.372991322337043</v>
      </c>
      <c r="R99">
        <f t="shared" si="9"/>
        <v>27.651698991724821</v>
      </c>
    </row>
    <row r="100" spans="15:18" x14ac:dyDescent="0.3">
      <c r="O100">
        <v>970</v>
      </c>
      <c r="P100">
        <f t="shared" si="7"/>
        <v>1878.1501340482575</v>
      </c>
      <c r="Q100">
        <f t="shared" si="8"/>
        <v>26.647709981944718</v>
      </c>
      <c r="R100">
        <f t="shared" si="9"/>
        <v>27.93973752288862</v>
      </c>
    </row>
    <row r="101" spans="15:18" x14ac:dyDescent="0.3">
      <c r="O101">
        <v>980</v>
      </c>
      <c r="P101">
        <f t="shared" si="7"/>
        <v>1893.2975871313674</v>
      </c>
      <c r="Q101">
        <f t="shared" si="8"/>
        <v>26.922428641552397</v>
      </c>
      <c r="R101">
        <f t="shared" si="9"/>
        <v>28.22777605405242</v>
      </c>
    </row>
    <row r="102" spans="15:18" x14ac:dyDescent="0.3">
      <c r="O102">
        <v>990</v>
      </c>
      <c r="P102">
        <f t="shared" si="7"/>
        <v>1908.4450402144773</v>
      </c>
      <c r="Q102">
        <f t="shared" si="8"/>
        <v>27.197147301160076</v>
      </c>
      <c r="R102">
        <f t="shared" si="9"/>
        <v>28.515814585216219</v>
      </c>
    </row>
    <row r="103" spans="15:18" x14ac:dyDescent="0.3">
      <c r="O103">
        <v>1000</v>
      </c>
      <c r="P103">
        <f t="shared" si="7"/>
        <v>1923.5924932975875</v>
      </c>
      <c r="Q103">
        <f t="shared" si="8"/>
        <v>27.471865960767751</v>
      </c>
      <c r="R103">
        <f t="shared" si="9"/>
        <v>28.803853116380022</v>
      </c>
    </row>
  </sheetData>
  <hyperlinks>
    <hyperlink ref="E23" r:id="rId1" display="..\..\..\..\Users\panch\OneDrive\Escritorio\Master thesis\Info for master thesis\baggrundsrapport_for_forudsaetninger_og_anvendte_data_i_cost_benefit_analyse_fra_2020.pdf" xr:uid="{FE8B1868-5720-4957-8E10-56FE9114E52E}"/>
    <hyperlink ref="F34" r:id="rId2" display="../../../../Users/panch/OneDrive/Escritorio/Master thesis/Info for master thesis/cost_benefit_analyse_endelig_version.pdf" xr:uid="{9F8BABD4-6A98-4C32-B04D-997C53F82CB3}"/>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BF64-9F46-4536-8385-3D462E705609}">
  <dimension ref="C3:AF16"/>
  <sheetViews>
    <sheetView topLeftCell="B1" zoomScale="71" workbookViewId="0">
      <selection activeCell="G16" sqref="G16"/>
    </sheetView>
  </sheetViews>
  <sheetFormatPr defaultRowHeight="14.4" x14ac:dyDescent="0.3"/>
  <cols>
    <col min="3" max="3" width="11.8867187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c r="Y7" s="68"/>
      <c r="AC7" s="68"/>
      <c r="AD7" s="68"/>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21.6" x14ac:dyDescent="0.3">
      <c r="C10" s="73" t="s">
        <v>219</v>
      </c>
      <c r="D10" s="73"/>
      <c r="E10" s="73"/>
      <c r="F10" s="73"/>
      <c r="G10" s="73"/>
      <c r="H10" s="73"/>
      <c r="I10" s="73"/>
      <c r="J10" s="73"/>
      <c r="K10" s="73" t="s">
        <v>220</v>
      </c>
      <c r="L10" s="73" t="s">
        <v>221</v>
      </c>
      <c r="M10" s="73" t="s">
        <v>221</v>
      </c>
      <c r="N10" s="73" t="s">
        <v>222</v>
      </c>
      <c r="O10" s="73" t="s">
        <v>223</v>
      </c>
      <c r="P10" s="73" t="s">
        <v>224</v>
      </c>
      <c r="Q10" s="73" t="s">
        <v>256</v>
      </c>
      <c r="R10" s="73" t="s">
        <v>256</v>
      </c>
      <c r="S10" s="73" t="s">
        <v>225</v>
      </c>
      <c r="T10" s="73" t="s">
        <v>223</v>
      </c>
    </row>
    <row r="11" spans="3:32" x14ac:dyDescent="0.3">
      <c r="C11" t="s">
        <v>307</v>
      </c>
      <c r="D11" s="80" t="s">
        <v>274</v>
      </c>
      <c r="E11" s="80"/>
      <c r="F11" s="80" t="s">
        <v>275</v>
      </c>
      <c r="G11" t="s">
        <v>315</v>
      </c>
      <c r="H11" s="80"/>
      <c r="I11" s="80">
        <v>2020</v>
      </c>
      <c r="J11" s="80">
        <v>2030</v>
      </c>
      <c r="K11" s="80">
        <v>1</v>
      </c>
      <c r="L11" s="80"/>
      <c r="M11" s="80"/>
      <c r="N11" s="80">
        <v>0.95</v>
      </c>
      <c r="O11" s="81">
        <v>20</v>
      </c>
      <c r="P11" s="80">
        <v>1</v>
      </c>
      <c r="Q11" s="80">
        <f>('JET FUEL'!$J$18+'JET FUEL'!$J$20)*4/365</f>
        <v>0.19913367662113918</v>
      </c>
      <c r="R11" s="80">
        <f>'JET FUEL'!$J$19*4/365</f>
        <v>1.0835332077466361E-3</v>
      </c>
      <c r="S11" s="80"/>
      <c r="T11" s="82"/>
      <c r="Y11" s="67" t="s">
        <v>226</v>
      </c>
      <c r="Z11" s="68"/>
      <c r="AA11" s="68"/>
      <c r="AB11" s="68"/>
      <c r="AC11" s="68"/>
      <c r="AD11" s="68"/>
      <c r="AE11" s="68"/>
      <c r="AF11" s="68"/>
    </row>
    <row r="12" spans="3:32" x14ac:dyDescent="0.3">
      <c r="E12" t="s">
        <v>268</v>
      </c>
      <c r="I12">
        <v>2020</v>
      </c>
      <c r="J12" s="72"/>
      <c r="L12">
        <f>'JET FUEL'!$J$71/'JET FUEL'!$S$22</f>
        <v>0.5353324035332403</v>
      </c>
      <c r="T12" s="76"/>
      <c r="Y12" s="69" t="s">
        <v>227</v>
      </c>
      <c r="Z12" s="69" t="s">
        <v>185</v>
      </c>
      <c r="AA12" s="69" t="s">
        <v>186</v>
      </c>
      <c r="AB12" s="69" t="s">
        <v>228</v>
      </c>
      <c r="AC12" s="69" t="s">
        <v>229</v>
      </c>
      <c r="AD12" s="69" t="s">
        <v>230</v>
      </c>
      <c r="AE12" s="69" t="s">
        <v>231</v>
      </c>
      <c r="AF12" s="69" t="s">
        <v>232</v>
      </c>
    </row>
    <row r="13" spans="3:32" ht="42.6" thickBot="1" x14ac:dyDescent="0.35">
      <c r="F13" t="s">
        <v>275</v>
      </c>
      <c r="G13" t="s">
        <v>315</v>
      </c>
      <c r="I13" s="72">
        <v>2030</v>
      </c>
      <c r="K13">
        <v>1</v>
      </c>
      <c r="N13">
        <v>0.95</v>
      </c>
      <c r="O13" s="77">
        <v>20</v>
      </c>
      <c r="P13" s="79">
        <v>1</v>
      </c>
      <c r="Q13">
        <f>('JET FUEL'!$J$18+'JET FUEL'!$J$20)*4/365</f>
        <v>0.19913367662113918</v>
      </c>
      <c r="R13">
        <f>'JET FUEL'!$J$19*4/365</f>
        <v>1.0835332077466361E-3</v>
      </c>
      <c r="T13" s="76"/>
      <c r="Y13" s="70" t="s">
        <v>233</v>
      </c>
      <c r="Z13" s="70" t="s">
        <v>234</v>
      </c>
      <c r="AA13" s="70" t="s">
        <v>204</v>
      </c>
      <c r="AB13" s="70" t="s">
        <v>235</v>
      </c>
      <c r="AC13" s="70" t="s">
        <v>236</v>
      </c>
      <c r="AD13" s="70" t="s">
        <v>237</v>
      </c>
      <c r="AE13" s="70" t="s">
        <v>238</v>
      </c>
      <c r="AF13" s="70" t="s">
        <v>239</v>
      </c>
    </row>
    <row r="14" spans="3:32" ht="15" thickBot="1" x14ac:dyDescent="0.35">
      <c r="E14" t="s">
        <v>268</v>
      </c>
      <c r="I14" s="72">
        <v>2030</v>
      </c>
      <c r="L14">
        <f>'JET FUEL'!$J$71/'JET FUEL'!$S$22</f>
        <v>0.5353324035332403</v>
      </c>
      <c r="Y14" s="70" t="s">
        <v>240</v>
      </c>
      <c r="Z14" s="70"/>
      <c r="AA14" s="70"/>
      <c r="AB14" s="70"/>
      <c r="AC14" s="70"/>
      <c r="AD14" s="70"/>
      <c r="AE14" s="70"/>
      <c r="AF14" s="70"/>
    </row>
    <row r="15" spans="3:32" x14ac:dyDescent="0.3">
      <c r="F15" t="s">
        <v>275</v>
      </c>
      <c r="G15" t="s">
        <v>315</v>
      </c>
      <c r="I15">
        <v>2050</v>
      </c>
      <c r="K15">
        <v>1</v>
      </c>
      <c r="N15">
        <v>0.95</v>
      </c>
      <c r="O15" s="77">
        <v>20</v>
      </c>
      <c r="P15" s="79">
        <v>1</v>
      </c>
      <c r="Q15">
        <f>('JET FUEL'!$J$18+'JET FUEL'!$J$20)*4/365</f>
        <v>0.19913367662113918</v>
      </c>
      <c r="R15">
        <f>'JET FUEL'!$J$19*4/365</f>
        <v>1.0835332077466361E-3</v>
      </c>
      <c r="Y15" t="s">
        <v>241</v>
      </c>
      <c r="Z15" t="s">
        <v>307</v>
      </c>
      <c r="AA15" t="s">
        <v>274</v>
      </c>
      <c r="AB15" t="s">
        <v>184</v>
      </c>
      <c r="AC15" t="s">
        <v>250</v>
      </c>
      <c r="AD15" s="72" t="s">
        <v>182</v>
      </c>
      <c r="AE15" t="s">
        <v>306</v>
      </c>
      <c r="AF15" t="s">
        <v>242</v>
      </c>
    </row>
    <row r="16" spans="3:32" x14ac:dyDescent="0.3">
      <c r="E16" t="s">
        <v>268</v>
      </c>
      <c r="I16">
        <v>2050</v>
      </c>
      <c r="L16">
        <f>'JET FUEL'!$J$71/'JET FUEL'!$S$22</f>
        <v>0.5353324035332403</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9F3B-465C-4841-87F8-27DF8E0D988B}">
  <sheetPr>
    <tabColor theme="4" tint="0.39997558519241921"/>
  </sheetPr>
  <dimension ref="A1:O61"/>
  <sheetViews>
    <sheetView workbookViewId="0">
      <selection activeCell="C22" sqref="C22"/>
    </sheetView>
  </sheetViews>
  <sheetFormatPr defaultRowHeight="14.4" x14ac:dyDescent="0.3"/>
  <cols>
    <col min="2" max="2" width="44.88671875" customWidth="1"/>
  </cols>
  <sheetData>
    <row r="1" spans="1:15" x14ac:dyDescent="0.3">
      <c r="A1" s="12" t="s">
        <v>2</v>
      </c>
      <c r="B1" s="13"/>
      <c r="C1" s="99" t="s">
        <v>3</v>
      </c>
      <c r="D1" s="99"/>
      <c r="E1" s="99"/>
      <c r="F1" s="99"/>
      <c r="G1" s="99"/>
      <c r="H1" s="99"/>
      <c r="I1" s="99"/>
      <c r="J1" s="99"/>
      <c r="K1" s="99"/>
      <c r="L1" s="99"/>
    </row>
    <row r="2" spans="1:15" x14ac:dyDescent="0.3">
      <c r="A2" s="14" t="s">
        <v>4</v>
      </c>
      <c r="B2" s="13"/>
      <c r="C2" s="15">
        <v>2015</v>
      </c>
      <c r="D2" s="15">
        <v>2020</v>
      </c>
      <c r="E2" s="16">
        <v>2030</v>
      </c>
      <c r="F2" s="16">
        <v>2050</v>
      </c>
      <c r="G2" s="17">
        <v>2020</v>
      </c>
      <c r="H2" s="17">
        <v>2020</v>
      </c>
      <c r="I2" s="17">
        <v>2050</v>
      </c>
      <c r="J2" s="17">
        <v>2050</v>
      </c>
      <c r="K2" s="18" t="s">
        <v>5</v>
      </c>
      <c r="L2" s="18" t="s">
        <v>6</v>
      </c>
      <c r="O2" t="s">
        <v>277</v>
      </c>
    </row>
    <row r="3" spans="1:15" x14ac:dyDescent="0.3">
      <c r="A3" s="12" t="s">
        <v>7</v>
      </c>
      <c r="B3" s="13"/>
      <c r="C3" s="19" t="s">
        <v>8</v>
      </c>
      <c r="D3" s="19" t="s">
        <v>8</v>
      </c>
      <c r="E3" s="20" t="s">
        <v>8</v>
      </c>
      <c r="F3" s="20" t="s">
        <v>8</v>
      </c>
      <c r="G3" s="20" t="s">
        <v>9</v>
      </c>
      <c r="H3" s="20" t="s">
        <v>10</v>
      </c>
      <c r="I3" s="20" t="s">
        <v>9</v>
      </c>
      <c r="J3" s="20" t="s">
        <v>10</v>
      </c>
      <c r="K3" s="18" t="s">
        <v>11</v>
      </c>
      <c r="L3" s="18" t="s">
        <v>11</v>
      </c>
    </row>
    <row r="4" spans="1:15" x14ac:dyDescent="0.3">
      <c r="A4" s="21" t="s">
        <v>12</v>
      </c>
      <c r="B4" s="21" t="s">
        <v>13</v>
      </c>
      <c r="C4" s="22"/>
      <c r="D4" s="23"/>
      <c r="E4" s="23"/>
      <c r="F4" s="23"/>
      <c r="G4" s="22"/>
      <c r="H4" s="22"/>
      <c r="I4" s="22"/>
      <c r="J4" s="22"/>
      <c r="K4" s="24"/>
      <c r="L4" s="24"/>
    </row>
    <row r="5" spans="1:15" x14ac:dyDescent="0.3">
      <c r="A5" s="25" t="s">
        <v>14</v>
      </c>
      <c r="B5" s="26"/>
      <c r="C5" s="23"/>
      <c r="D5" s="23"/>
      <c r="E5" s="23"/>
      <c r="F5" s="23"/>
      <c r="G5" s="22"/>
      <c r="H5" s="22"/>
      <c r="I5" s="22"/>
      <c r="J5" s="22"/>
      <c r="K5" s="24"/>
      <c r="L5" s="24"/>
    </row>
    <row r="6" spans="1:15" x14ac:dyDescent="0.3">
      <c r="A6" s="25"/>
      <c r="B6" s="27" t="s">
        <v>15</v>
      </c>
      <c r="C6" s="28">
        <f>1.2/4</f>
        <v>0.3</v>
      </c>
      <c r="D6" s="28">
        <f t="shared" ref="D6:G8" si="0">1.2/4</f>
        <v>0.3</v>
      </c>
      <c r="E6" s="28">
        <f t="shared" si="0"/>
        <v>0.3</v>
      </c>
      <c r="F6" s="28">
        <f t="shared" si="0"/>
        <v>0.3</v>
      </c>
      <c r="G6" s="28">
        <f t="shared" si="0"/>
        <v>0.3</v>
      </c>
      <c r="H6" s="29">
        <v>0.5</v>
      </c>
      <c r="I6" s="22">
        <f>0.6/4</f>
        <v>0.15</v>
      </c>
      <c r="J6" s="29">
        <f>2/4</f>
        <v>0.5</v>
      </c>
      <c r="K6" s="30" t="s">
        <v>16</v>
      </c>
      <c r="L6" s="30" t="s">
        <v>17</v>
      </c>
    </row>
    <row r="7" spans="1:15" x14ac:dyDescent="0.3">
      <c r="A7" s="25"/>
      <c r="B7" s="27" t="s">
        <v>18</v>
      </c>
      <c r="C7" s="28">
        <f>1.2/4</f>
        <v>0.3</v>
      </c>
      <c r="D7" s="28">
        <f t="shared" si="0"/>
        <v>0.3</v>
      </c>
      <c r="E7" s="28">
        <f t="shared" si="0"/>
        <v>0.3</v>
      </c>
      <c r="F7" s="28">
        <f t="shared" si="0"/>
        <v>0.3</v>
      </c>
      <c r="G7" s="28">
        <f t="shared" si="0"/>
        <v>0.3</v>
      </c>
      <c r="H7" s="29">
        <v>0.5</v>
      </c>
      <c r="I7" s="22">
        <f t="shared" ref="I7:I8" si="1">0.6/4</f>
        <v>0.15</v>
      </c>
      <c r="J7" s="29">
        <f t="shared" ref="J7:J8" si="2">2/4</f>
        <v>0.5</v>
      </c>
      <c r="K7" s="30" t="s">
        <v>16</v>
      </c>
      <c r="L7" s="30" t="s">
        <v>17</v>
      </c>
    </row>
    <row r="8" spans="1:15" x14ac:dyDescent="0.3">
      <c r="A8" s="25"/>
      <c r="B8" s="27" t="s">
        <v>19</v>
      </c>
      <c r="C8" s="28">
        <f>1.2/4</f>
        <v>0.3</v>
      </c>
      <c r="D8" s="28">
        <f t="shared" si="0"/>
        <v>0.3</v>
      </c>
      <c r="E8" s="28">
        <f t="shared" si="0"/>
        <v>0.3</v>
      </c>
      <c r="F8" s="28">
        <f t="shared" si="0"/>
        <v>0.3</v>
      </c>
      <c r="G8" s="22">
        <v>0.6</v>
      </c>
      <c r="H8" s="29">
        <v>0.5</v>
      </c>
      <c r="I8" s="22">
        <f t="shared" si="1"/>
        <v>0.15</v>
      </c>
      <c r="J8" s="29">
        <f t="shared" si="2"/>
        <v>0.5</v>
      </c>
      <c r="K8" s="30" t="s">
        <v>16</v>
      </c>
      <c r="L8" s="30" t="s">
        <v>17</v>
      </c>
    </row>
    <row r="9" spans="1:15" x14ac:dyDescent="0.3">
      <c r="A9" s="25"/>
      <c r="B9" s="27" t="s">
        <v>20</v>
      </c>
      <c r="C9" s="22">
        <f>0.8/4</f>
        <v>0.2</v>
      </c>
      <c r="D9" s="22">
        <f t="shared" ref="D9:G9" si="3">0.8/4</f>
        <v>0.2</v>
      </c>
      <c r="E9" s="22">
        <f t="shared" si="3"/>
        <v>0.2</v>
      </c>
      <c r="F9" s="22">
        <f t="shared" si="3"/>
        <v>0.2</v>
      </c>
      <c r="G9" s="22">
        <f t="shared" si="3"/>
        <v>0.2</v>
      </c>
      <c r="H9" s="28">
        <f>1/4</f>
        <v>0.25</v>
      </c>
      <c r="I9" s="22">
        <v>0.1</v>
      </c>
      <c r="J9" s="28">
        <v>0.25</v>
      </c>
      <c r="K9" s="30" t="s">
        <v>16</v>
      </c>
      <c r="L9" s="30" t="s">
        <v>17</v>
      </c>
    </row>
    <row r="10" spans="1:15" x14ac:dyDescent="0.3">
      <c r="A10" s="25"/>
      <c r="B10" s="27" t="s">
        <v>21</v>
      </c>
      <c r="C10" s="22" t="s">
        <v>22</v>
      </c>
      <c r="D10" s="22" t="s">
        <v>22</v>
      </c>
      <c r="E10" s="22" t="s">
        <v>22</v>
      </c>
      <c r="F10" s="22" t="s">
        <v>22</v>
      </c>
      <c r="G10" s="22" t="s">
        <v>22</v>
      </c>
      <c r="H10" s="22" t="s">
        <v>22</v>
      </c>
      <c r="I10" s="22" t="s">
        <v>22</v>
      </c>
      <c r="J10" s="22" t="s">
        <v>22</v>
      </c>
      <c r="K10" s="30" t="s">
        <v>23</v>
      </c>
      <c r="L10" s="30"/>
    </row>
    <row r="11" spans="1:15" x14ac:dyDescent="0.3">
      <c r="A11" s="25"/>
      <c r="B11" s="27" t="s">
        <v>24</v>
      </c>
      <c r="C11" s="22" t="s">
        <v>22</v>
      </c>
      <c r="D11" s="22" t="s">
        <v>22</v>
      </c>
      <c r="E11" s="22" t="s">
        <v>22</v>
      </c>
      <c r="F11" s="22" t="s">
        <v>22</v>
      </c>
      <c r="G11" s="22" t="s">
        <v>22</v>
      </c>
      <c r="H11" s="22" t="s">
        <v>22</v>
      </c>
      <c r="I11" s="22" t="s">
        <v>22</v>
      </c>
      <c r="J11" s="22" t="s">
        <v>22</v>
      </c>
      <c r="K11" s="30" t="s">
        <v>23</v>
      </c>
      <c r="L11" s="30">
        <v>4</v>
      </c>
    </row>
    <row r="12" spans="1:15" x14ac:dyDescent="0.3">
      <c r="A12" s="25"/>
      <c r="B12" s="27" t="s">
        <v>25</v>
      </c>
      <c r="C12" s="22">
        <v>40</v>
      </c>
      <c r="D12" s="22">
        <v>40</v>
      </c>
      <c r="E12" s="22">
        <v>40</v>
      </c>
      <c r="F12" s="22">
        <v>40</v>
      </c>
      <c r="G12" s="22">
        <v>35</v>
      </c>
      <c r="H12" s="22">
        <v>40</v>
      </c>
      <c r="I12" s="22">
        <v>40</v>
      </c>
      <c r="J12" s="22">
        <v>50</v>
      </c>
      <c r="K12" s="30" t="s">
        <v>26</v>
      </c>
      <c r="L12" s="30">
        <v>5</v>
      </c>
    </row>
    <row r="13" spans="1:15" x14ac:dyDescent="0.3">
      <c r="A13" s="25"/>
      <c r="B13" s="27" t="s">
        <v>27</v>
      </c>
      <c r="C13" s="31">
        <v>0.45</v>
      </c>
      <c r="D13" s="31">
        <v>0.45</v>
      </c>
      <c r="E13" s="31">
        <v>0.45</v>
      </c>
      <c r="F13" s="31">
        <v>0.45</v>
      </c>
      <c r="G13" s="31">
        <v>0.45</v>
      </c>
      <c r="H13" s="31">
        <v>0.45</v>
      </c>
      <c r="I13" s="32">
        <f>C13*0.94</f>
        <v>0.42299999999999999</v>
      </c>
      <c r="J13" s="32">
        <f>C13*1.2</f>
        <v>0.54</v>
      </c>
      <c r="K13" s="30" t="s">
        <v>28</v>
      </c>
      <c r="L13" s="30"/>
    </row>
    <row r="14" spans="1:15" x14ac:dyDescent="0.3">
      <c r="A14" s="25"/>
      <c r="B14" s="27" t="s">
        <v>29</v>
      </c>
      <c r="C14" s="22">
        <v>1.5</v>
      </c>
      <c r="D14" s="22">
        <v>1.5</v>
      </c>
      <c r="E14" s="22">
        <v>1.5</v>
      </c>
      <c r="F14" s="22">
        <v>1.5</v>
      </c>
      <c r="G14" s="22">
        <v>1</v>
      </c>
      <c r="H14" s="22">
        <v>5</v>
      </c>
      <c r="I14" s="22">
        <v>1</v>
      </c>
      <c r="J14" s="22">
        <v>5</v>
      </c>
      <c r="K14" s="30" t="s">
        <v>30</v>
      </c>
      <c r="L14" s="30"/>
    </row>
    <row r="15" spans="1:15" x14ac:dyDescent="0.3">
      <c r="A15" s="25" t="s">
        <v>31</v>
      </c>
      <c r="B15" s="26"/>
      <c r="C15" s="23"/>
      <c r="D15" s="23"/>
      <c r="E15" s="23"/>
      <c r="F15" s="23"/>
      <c r="G15" s="23"/>
      <c r="H15" s="23"/>
      <c r="I15" s="23"/>
      <c r="J15" s="23"/>
      <c r="K15" s="24"/>
      <c r="L15" s="24"/>
    </row>
    <row r="16" spans="1:15" x14ac:dyDescent="0.3">
      <c r="A16" s="25"/>
      <c r="B16" s="27" t="s">
        <v>32</v>
      </c>
      <c r="C16" s="29">
        <v>6.3802363080000006</v>
      </c>
      <c r="D16" s="29">
        <v>6.3802363080000006</v>
      </c>
      <c r="E16" s="29">
        <v>6.3802363080000006</v>
      </c>
      <c r="F16" s="29">
        <v>6.3802363080000006</v>
      </c>
      <c r="G16" s="22">
        <v>6.1061123018882215</v>
      </c>
      <c r="H16" s="29">
        <v>6.7845692243202462</v>
      </c>
      <c r="I16" s="22">
        <v>5.8437659113849039</v>
      </c>
      <c r="J16" s="29">
        <v>7.2145258165245725</v>
      </c>
      <c r="K16" s="30" t="s">
        <v>33</v>
      </c>
      <c r="L16" s="30" t="s">
        <v>34</v>
      </c>
    </row>
    <row r="17" spans="1:12" x14ac:dyDescent="0.3">
      <c r="A17" s="25"/>
      <c r="B17" s="27" t="s">
        <v>35</v>
      </c>
      <c r="C17" s="29">
        <v>4.1471536002000002</v>
      </c>
      <c r="D17" s="29">
        <v>4.1471536002000002</v>
      </c>
      <c r="E17" s="29">
        <v>4.1471536002000002</v>
      </c>
      <c r="F17" s="29">
        <v>4.1471536002000002</v>
      </c>
      <c r="G17" s="22">
        <v>3.9689729962273441</v>
      </c>
      <c r="H17" s="29">
        <v>4.4099699958081597</v>
      </c>
      <c r="I17" s="22">
        <v>3.7984478424001877</v>
      </c>
      <c r="J17" s="29">
        <v>4.6894417807409718</v>
      </c>
      <c r="K17" s="30" t="s">
        <v>36</v>
      </c>
      <c r="L17" s="30" t="s">
        <v>34</v>
      </c>
    </row>
    <row r="18" spans="1:12" x14ac:dyDescent="0.3">
      <c r="A18" s="25"/>
      <c r="B18" s="27" t="s">
        <v>37</v>
      </c>
      <c r="C18" s="29">
        <v>3.2964554258000005</v>
      </c>
      <c r="D18" s="29">
        <v>3.2964554258000005</v>
      </c>
      <c r="E18" s="29">
        <v>3.2964554258000005</v>
      </c>
      <c r="F18" s="29">
        <v>3.2964554258000005</v>
      </c>
      <c r="G18" s="22">
        <v>3.1548246893089149</v>
      </c>
      <c r="H18" s="29">
        <v>3.5053607658987942</v>
      </c>
      <c r="I18" s="22">
        <v>3.0192790542155343</v>
      </c>
      <c r="J18" s="29">
        <v>3.727505005204363</v>
      </c>
      <c r="K18" s="30" t="s">
        <v>38</v>
      </c>
      <c r="L18" s="30" t="s">
        <v>34</v>
      </c>
    </row>
    <row r="19" spans="1:12" x14ac:dyDescent="0.3">
      <c r="A19" s="25"/>
      <c r="B19" s="27" t="s">
        <v>39</v>
      </c>
      <c r="C19" s="22" t="s">
        <v>22</v>
      </c>
      <c r="D19" s="22" t="s">
        <v>22</v>
      </c>
      <c r="E19" s="22" t="s">
        <v>22</v>
      </c>
      <c r="F19" s="22" t="s">
        <v>22</v>
      </c>
      <c r="G19" s="22" t="s">
        <v>22</v>
      </c>
      <c r="H19" s="22" t="s">
        <v>22</v>
      </c>
      <c r="I19" s="22" t="s">
        <v>22</v>
      </c>
      <c r="J19" s="22" t="s">
        <v>22</v>
      </c>
      <c r="K19" s="30" t="s">
        <v>40</v>
      </c>
      <c r="L19" s="30">
        <v>6</v>
      </c>
    </row>
    <row r="20" spans="1:12" x14ac:dyDescent="0.3">
      <c r="A20" s="25"/>
      <c r="B20" s="27" t="s">
        <v>41</v>
      </c>
      <c r="C20" s="22" t="s">
        <v>22</v>
      </c>
      <c r="D20" s="22" t="s">
        <v>22</v>
      </c>
      <c r="E20" s="22" t="s">
        <v>22</v>
      </c>
      <c r="F20" s="22" t="s">
        <v>22</v>
      </c>
      <c r="G20" s="22" t="s">
        <v>22</v>
      </c>
      <c r="H20" s="22" t="s">
        <v>22</v>
      </c>
      <c r="I20" s="22" t="s">
        <v>22</v>
      </c>
      <c r="J20" s="22" t="s">
        <v>22</v>
      </c>
      <c r="K20" s="30" t="s">
        <v>40</v>
      </c>
      <c r="L20" s="30">
        <v>7</v>
      </c>
    </row>
    <row r="21" spans="1:12" x14ac:dyDescent="0.3">
      <c r="A21" s="25"/>
      <c r="B21" s="27" t="s">
        <v>42</v>
      </c>
      <c r="C21" s="22" t="s">
        <v>22</v>
      </c>
      <c r="D21" s="22" t="s">
        <v>22</v>
      </c>
      <c r="E21" s="22" t="s">
        <v>22</v>
      </c>
      <c r="F21" s="22" t="s">
        <v>22</v>
      </c>
      <c r="G21" s="22" t="s">
        <v>22</v>
      </c>
      <c r="H21" s="22" t="s">
        <v>22</v>
      </c>
      <c r="I21" s="22" t="s">
        <v>22</v>
      </c>
      <c r="J21" s="22" t="s">
        <v>22</v>
      </c>
      <c r="K21" s="30" t="s">
        <v>40</v>
      </c>
      <c r="L21" s="30">
        <v>8</v>
      </c>
    </row>
    <row r="22" spans="1:12" x14ac:dyDescent="0.3">
      <c r="A22" s="25"/>
      <c r="B22" s="27" t="s">
        <v>43</v>
      </c>
      <c r="C22" s="33">
        <v>16801.288944400003</v>
      </c>
      <c r="D22" s="33">
        <v>16801.288944400003</v>
      </c>
      <c r="E22" s="33">
        <v>16801.288944400003</v>
      </c>
      <c r="F22" s="33">
        <v>16801.288944400003</v>
      </c>
      <c r="G22" s="34">
        <v>17044.194805337323</v>
      </c>
      <c r="H22" s="34">
        <v>17866.032290709983</v>
      </c>
      <c r="I22" s="34">
        <v>17290.612495484471</v>
      </c>
      <c r="J22" s="34">
        <v>18998.251316848044</v>
      </c>
      <c r="K22" s="30" t="s">
        <v>44</v>
      </c>
      <c r="L22" s="30">
        <v>6</v>
      </c>
    </row>
    <row r="23" spans="1:12" x14ac:dyDescent="0.3">
      <c r="A23" s="25"/>
      <c r="B23" s="27" t="s">
        <v>45</v>
      </c>
      <c r="C23" s="33">
        <v>80816.326568000004</v>
      </c>
      <c r="D23" s="33">
        <v>80816.326568000004</v>
      </c>
      <c r="E23" s="33">
        <v>80816.326568000004</v>
      </c>
      <c r="F23" s="33">
        <v>80816.326568000004</v>
      </c>
      <c r="G23" s="34">
        <v>81984.734506685854</v>
      </c>
      <c r="H23" s="34">
        <v>85937.876841389778</v>
      </c>
      <c r="I23" s="34">
        <v>83170.034788406309</v>
      </c>
      <c r="J23" s="34">
        <v>91383.993675977908</v>
      </c>
      <c r="K23" s="30" t="s">
        <v>46</v>
      </c>
      <c r="L23" s="30">
        <v>8</v>
      </c>
    </row>
    <row r="24" spans="1:12" x14ac:dyDescent="0.3">
      <c r="A24" s="25"/>
      <c r="B24" s="27" t="s">
        <v>47</v>
      </c>
      <c r="C24" s="22">
        <v>4759.6562857680001</v>
      </c>
      <c r="D24" s="22">
        <v>4759.6562857680001</v>
      </c>
      <c r="E24" s="22">
        <v>4759.6562857680001</v>
      </c>
      <c r="F24" s="22">
        <v>4759.6562857680001</v>
      </c>
      <c r="G24" s="34">
        <v>4828.46936384113</v>
      </c>
      <c r="H24" s="34">
        <v>5061.2886413429032</v>
      </c>
      <c r="I24" s="34">
        <v>4898.2773120119291</v>
      </c>
      <c r="J24" s="34">
        <v>5382.0362591273306</v>
      </c>
      <c r="K24" s="30" t="s">
        <v>48</v>
      </c>
      <c r="L24" s="30"/>
    </row>
    <row r="25" spans="1:12" x14ac:dyDescent="0.3">
      <c r="A25" s="25"/>
      <c r="B25" s="27" t="s">
        <v>49</v>
      </c>
      <c r="C25" s="31">
        <v>0.42</v>
      </c>
      <c r="D25" s="31">
        <v>0.42</v>
      </c>
      <c r="E25" s="31">
        <v>0.42</v>
      </c>
      <c r="F25" s="31">
        <v>0.42</v>
      </c>
      <c r="G25" s="31">
        <v>0.37370421561852107</v>
      </c>
      <c r="H25" s="31">
        <v>0.42</v>
      </c>
      <c r="I25" s="31">
        <v>0.32961145944602421</v>
      </c>
      <c r="J25" s="31">
        <v>0.42</v>
      </c>
      <c r="K25" s="30" t="s">
        <v>50</v>
      </c>
      <c r="L25" s="30">
        <v>6</v>
      </c>
    </row>
    <row r="26" spans="1:12" x14ac:dyDescent="0.3">
      <c r="A26" s="25"/>
      <c r="B26" s="27" t="s">
        <v>51</v>
      </c>
      <c r="C26" s="31">
        <v>0.57999999999999996</v>
      </c>
      <c r="D26" s="31">
        <v>0.57999999999999996</v>
      </c>
      <c r="E26" s="31">
        <v>0.57999999999999996</v>
      </c>
      <c r="F26" s="31">
        <v>0.57999999999999996</v>
      </c>
      <c r="G26" s="31">
        <v>0.57999999999999996</v>
      </c>
      <c r="H26" s="31">
        <v>0.62629578438147893</v>
      </c>
      <c r="I26" s="31">
        <v>0.57999999999999996</v>
      </c>
      <c r="J26" s="31">
        <v>0.67038854055397579</v>
      </c>
      <c r="K26" s="30" t="s">
        <v>50</v>
      </c>
      <c r="L26" s="30">
        <v>6</v>
      </c>
    </row>
    <row r="27" spans="1:12" x14ac:dyDescent="0.3">
      <c r="A27" s="25"/>
      <c r="B27" s="27" t="s">
        <v>52</v>
      </c>
      <c r="C27" s="29">
        <v>24.989829976246245</v>
      </c>
      <c r="D27" s="29">
        <v>26.201474376260066</v>
      </c>
      <c r="E27" s="29">
        <v>27.471865960767751</v>
      </c>
      <c r="F27" s="29">
        <v>28.803853116380022</v>
      </c>
      <c r="G27" s="29">
        <v>26.095180362563269</v>
      </c>
      <c r="H27" s="29">
        <v>26.573503424198847</v>
      </c>
      <c r="I27" s="29">
        <v>25.164208707948461</v>
      </c>
      <c r="J27" s="29">
        <v>26.573503424198847</v>
      </c>
      <c r="K27" s="30" t="s">
        <v>53</v>
      </c>
      <c r="L27" s="30">
        <v>9</v>
      </c>
    </row>
    <row r="28" spans="1:12" x14ac:dyDescent="0.3">
      <c r="A28" s="25"/>
      <c r="B28" s="27" t="s">
        <v>54</v>
      </c>
      <c r="C28" s="22" t="s">
        <v>22</v>
      </c>
      <c r="D28" s="22" t="s">
        <v>22</v>
      </c>
      <c r="E28" s="22" t="s">
        <v>22</v>
      </c>
      <c r="F28" s="22" t="s">
        <v>22</v>
      </c>
      <c r="G28" s="22" t="s">
        <v>22</v>
      </c>
      <c r="H28" s="22" t="s">
        <v>22</v>
      </c>
      <c r="I28" s="22" t="s">
        <v>22</v>
      </c>
      <c r="J28" s="22" t="s">
        <v>22</v>
      </c>
      <c r="K28" s="30" t="s">
        <v>55</v>
      </c>
      <c r="L28" s="30"/>
    </row>
    <row r="29" spans="1:12" x14ac:dyDescent="0.3">
      <c r="A29" s="25" t="s">
        <v>56</v>
      </c>
      <c r="B29" s="26"/>
      <c r="C29" s="22"/>
      <c r="D29" s="22"/>
      <c r="E29" s="22"/>
      <c r="F29" s="22"/>
      <c r="G29" s="22"/>
      <c r="H29" s="22"/>
      <c r="I29" s="22"/>
      <c r="J29" s="22"/>
      <c r="K29" s="30"/>
      <c r="L29" s="30"/>
    </row>
    <row r="30" spans="1:12" x14ac:dyDescent="0.3">
      <c r="A30" s="2"/>
      <c r="B30" s="3"/>
      <c r="C30" s="1"/>
      <c r="D30" s="1"/>
      <c r="E30" s="1"/>
      <c r="F30" s="1"/>
      <c r="G30" s="1"/>
      <c r="H30" s="1"/>
      <c r="I30" s="1"/>
      <c r="J30" s="1"/>
      <c r="K30" s="5"/>
      <c r="L30" s="5"/>
    </row>
    <row r="31" spans="1:12" x14ac:dyDescent="0.3">
      <c r="A31" s="6" t="s">
        <v>57</v>
      </c>
      <c r="B31" s="7"/>
      <c r="C31" s="7"/>
      <c r="D31" s="7"/>
      <c r="E31" s="7"/>
      <c r="F31" s="7"/>
      <c r="G31" s="7"/>
      <c r="H31" s="7"/>
      <c r="I31" s="7"/>
      <c r="J31" s="7"/>
      <c r="K31" s="7"/>
      <c r="L31" s="7"/>
    </row>
    <row r="32" spans="1:12" x14ac:dyDescent="0.3">
      <c r="A32" s="1"/>
      <c r="B32" s="8" t="s">
        <v>58</v>
      </c>
      <c r="C32" s="7"/>
      <c r="D32" s="7"/>
      <c r="E32" s="7"/>
      <c r="F32" s="7"/>
      <c r="G32" s="7"/>
      <c r="H32" s="7"/>
      <c r="I32" s="7"/>
      <c r="J32" s="7"/>
      <c r="K32" s="7"/>
      <c r="L32" s="7"/>
    </row>
    <row r="33" spans="1:12" x14ac:dyDescent="0.3">
      <c r="A33" s="1"/>
      <c r="B33" s="8" t="s">
        <v>59</v>
      </c>
      <c r="C33" s="7"/>
      <c r="D33" s="7"/>
      <c r="E33" s="7"/>
      <c r="F33" s="7"/>
      <c r="G33" s="7"/>
      <c r="H33" s="7"/>
      <c r="I33" s="7"/>
      <c r="J33" s="7"/>
      <c r="K33" s="7"/>
      <c r="L33" s="7"/>
    </row>
    <row r="34" spans="1:12" x14ac:dyDescent="0.3">
      <c r="A34" s="1"/>
      <c r="B34" s="8" t="s">
        <v>60</v>
      </c>
      <c r="C34" s="7"/>
      <c r="D34" s="7"/>
      <c r="E34" s="7"/>
      <c r="F34" s="7"/>
      <c r="G34" s="7"/>
      <c r="H34" s="7"/>
      <c r="I34" s="7"/>
      <c r="J34" s="7"/>
      <c r="K34" s="7"/>
      <c r="L34" s="7"/>
    </row>
    <row r="35" spans="1:12" x14ac:dyDescent="0.3">
      <c r="A35" s="1"/>
      <c r="B35" s="8" t="s">
        <v>61</v>
      </c>
      <c r="C35" s="7"/>
      <c r="D35" s="7"/>
      <c r="E35" s="7"/>
      <c r="F35" s="7"/>
      <c r="G35" s="7"/>
      <c r="H35" s="7"/>
      <c r="I35" s="7"/>
      <c r="J35" s="7"/>
      <c r="K35" s="7"/>
      <c r="L35" s="7"/>
    </row>
    <row r="36" spans="1:12" x14ac:dyDescent="0.3">
      <c r="A36" s="1"/>
      <c r="B36" s="8" t="s">
        <v>62</v>
      </c>
      <c r="C36" s="7"/>
      <c r="D36" s="7"/>
      <c r="E36" s="7"/>
      <c r="F36" s="7"/>
      <c r="G36" s="7"/>
      <c r="H36" s="7"/>
      <c r="I36" s="7"/>
      <c r="J36" s="7"/>
      <c r="K36" s="7"/>
      <c r="L36" s="7"/>
    </row>
    <row r="37" spans="1:12" x14ac:dyDescent="0.3">
      <c r="A37" s="1"/>
      <c r="B37" s="8" t="s">
        <v>63</v>
      </c>
      <c r="C37" s="7"/>
      <c r="D37" s="7"/>
      <c r="E37" s="7"/>
      <c r="F37" s="7"/>
      <c r="G37" s="7"/>
      <c r="H37" s="7"/>
      <c r="I37" s="7"/>
      <c r="J37" s="7"/>
      <c r="K37" s="7"/>
      <c r="L37" s="7"/>
    </row>
    <row r="38" spans="1:12" x14ac:dyDescent="0.3">
      <c r="A38" s="1"/>
      <c r="B38" s="8" t="s">
        <v>64</v>
      </c>
      <c r="C38" s="7"/>
      <c r="D38" s="7"/>
      <c r="E38" s="7"/>
      <c r="F38" s="7"/>
      <c r="G38" s="7"/>
      <c r="H38" s="7"/>
      <c r="I38" s="7"/>
      <c r="J38" s="7"/>
      <c r="K38" s="7"/>
      <c r="L38" s="7"/>
    </row>
    <row r="39" spans="1:12" x14ac:dyDescent="0.3">
      <c r="A39" s="1"/>
      <c r="B39" s="8" t="s">
        <v>65</v>
      </c>
      <c r="C39" s="7"/>
      <c r="D39" s="7"/>
      <c r="E39" s="7"/>
      <c r="F39" s="7"/>
      <c r="G39" s="7"/>
      <c r="H39" s="7"/>
      <c r="I39" s="7"/>
      <c r="J39" s="7"/>
      <c r="K39" s="7"/>
      <c r="L39" s="7"/>
    </row>
    <row r="40" spans="1:12" x14ac:dyDescent="0.3">
      <c r="A40" s="1"/>
      <c r="B40" s="8" t="s">
        <v>66</v>
      </c>
      <c r="C40" s="7"/>
      <c r="D40" s="7"/>
      <c r="E40" s="7"/>
      <c r="F40" s="7"/>
      <c r="G40" s="7"/>
      <c r="H40" s="7"/>
      <c r="I40" s="7"/>
      <c r="J40" s="7"/>
      <c r="K40" s="7"/>
      <c r="L40" s="7"/>
    </row>
    <row r="41" spans="1:12" x14ac:dyDescent="0.3">
      <c r="A41" s="1"/>
      <c r="B41" s="8"/>
      <c r="C41" s="7"/>
      <c r="D41" s="7"/>
      <c r="E41" s="7"/>
      <c r="F41" s="7"/>
      <c r="G41" s="7"/>
      <c r="H41" s="7"/>
      <c r="I41" s="7"/>
      <c r="J41" s="7"/>
      <c r="K41" s="7"/>
      <c r="L41" s="7"/>
    </row>
    <row r="42" spans="1:12" x14ac:dyDescent="0.3">
      <c r="A42" s="6" t="s">
        <v>67</v>
      </c>
      <c r="B42" s="7"/>
      <c r="C42" s="9"/>
      <c r="D42" s="9"/>
      <c r="E42" s="9"/>
      <c r="F42" s="9"/>
      <c r="G42" s="9"/>
      <c r="H42" s="9"/>
      <c r="I42" s="9"/>
      <c r="J42" s="9"/>
      <c r="K42" s="9"/>
      <c r="L42" s="9"/>
    </row>
    <row r="43" spans="1:12" x14ac:dyDescent="0.3">
      <c r="A43" s="1"/>
      <c r="B43" s="8" t="s">
        <v>68</v>
      </c>
      <c r="C43" s="10"/>
      <c r="D43" s="10"/>
      <c r="E43" s="10"/>
      <c r="F43" s="10"/>
      <c r="G43" s="10"/>
      <c r="H43" s="10"/>
      <c r="I43" s="10"/>
      <c r="J43" s="10"/>
      <c r="K43" s="10"/>
      <c r="L43" s="10"/>
    </row>
    <row r="44" spans="1:12" x14ac:dyDescent="0.3">
      <c r="A44" s="1"/>
      <c r="B44" s="8" t="s">
        <v>69</v>
      </c>
      <c r="C44" s="10"/>
      <c r="D44" s="10"/>
      <c r="E44" s="10"/>
      <c r="F44" s="10"/>
      <c r="G44" s="10"/>
      <c r="H44" s="10"/>
      <c r="I44" s="10"/>
      <c r="J44" s="10"/>
      <c r="K44" s="10"/>
      <c r="L44" s="10"/>
    </row>
    <row r="45" spans="1:12" x14ac:dyDescent="0.3">
      <c r="A45" s="1"/>
      <c r="B45" s="8" t="s">
        <v>70</v>
      </c>
      <c r="C45" s="11"/>
      <c r="D45" s="11"/>
      <c r="E45" s="11"/>
      <c r="F45" s="11"/>
      <c r="G45" s="11"/>
      <c r="H45" s="11"/>
      <c r="I45" s="11"/>
      <c r="J45" s="11"/>
      <c r="K45" s="11"/>
      <c r="L45" s="11"/>
    </row>
    <row r="46" spans="1:12" x14ac:dyDescent="0.3">
      <c r="A46" s="1"/>
      <c r="B46" s="8" t="s">
        <v>71</v>
      </c>
      <c r="C46" s="11"/>
      <c r="D46" s="11"/>
      <c r="E46" s="11"/>
      <c r="F46" s="11"/>
      <c r="G46" s="11"/>
      <c r="H46" s="11"/>
      <c r="I46" s="11"/>
      <c r="J46" s="11"/>
      <c r="K46" s="11"/>
      <c r="L46" s="11"/>
    </row>
    <row r="47" spans="1:12" x14ac:dyDescent="0.3">
      <c r="A47" s="1"/>
      <c r="B47" s="8" t="s">
        <v>72</v>
      </c>
      <c r="C47" s="11"/>
      <c r="D47" s="11"/>
      <c r="E47" s="11"/>
      <c r="F47" s="11"/>
      <c r="G47" s="11"/>
      <c r="H47" s="11"/>
      <c r="I47" s="11"/>
      <c r="J47" s="11"/>
      <c r="K47" s="11"/>
      <c r="L47" s="11"/>
    </row>
    <row r="48" spans="1:12" x14ac:dyDescent="0.3">
      <c r="A48" s="1"/>
      <c r="B48" s="8" t="s">
        <v>73</v>
      </c>
      <c r="C48" s="10"/>
      <c r="D48" s="10"/>
      <c r="E48" s="10"/>
      <c r="F48" s="10"/>
      <c r="G48" s="10"/>
      <c r="H48" s="10"/>
      <c r="I48" s="10"/>
      <c r="J48" s="10"/>
      <c r="K48" s="10"/>
      <c r="L48" s="10"/>
    </row>
    <row r="49" spans="1:12" x14ac:dyDescent="0.3">
      <c r="A49" s="1"/>
      <c r="B49" s="8" t="s">
        <v>74</v>
      </c>
      <c r="C49" s="10"/>
      <c r="D49" s="10"/>
      <c r="E49" s="10"/>
      <c r="F49" s="10"/>
      <c r="G49" s="10"/>
      <c r="H49" s="10"/>
      <c r="I49" s="10"/>
      <c r="J49" s="10"/>
      <c r="K49" s="10"/>
      <c r="L49" s="10"/>
    </row>
    <row r="50" spans="1:12" x14ac:dyDescent="0.3">
      <c r="A50" s="1"/>
      <c r="B50" s="8" t="s">
        <v>75</v>
      </c>
      <c r="C50" s="10"/>
      <c r="D50" s="10"/>
      <c r="E50" s="10"/>
      <c r="F50" s="10"/>
      <c r="G50" s="10"/>
      <c r="H50" s="10"/>
      <c r="I50" s="10"/>
      <c r="J50" s="10"/>
      <c r="K50" s="10"/>
      <c r="L50" s="10"/>
    </row>
    <row r="51" spans="1:12" x14ac:dyDescent="0.3">
      <c r="A51" s="1"/>
      <c r="B51" s="8" t="s">
        <v>76</v>
      </c>
      <c r="C51" s="10"/>
      <c r="D51" s="10"/>
      <c r="E51" s="10"/>
      <c r="F51" s="10"/>
      <c r="G51" s="10"/>
      <c r="H51" s="10"/>
      <c r="I51" s="10"/>
      <c r="J51" s="10"/>
      <c r="K51" s="10"/>
      <c r="L51" s="10"/>
    </row>
    <row r="52" spans="1:12" x14ac:dyDescent="0.3">
      <c r="A52" s="1"/>
      <c r="B52" s="8" t="s">
        <v>77</v>
      </c>
      <c r="C52" s="10"/>
      <c r="D52" s="10"/>
      <c r="E52" s="10"/>
      <c r="F52" s="10"/>
      <c r="G52" s="10"/>
      <c r="H52" s="10"/>
      <c r="I52" s="10"/>
      <c r="J52" s="10"/>
      <c r="K52" s="10"/>
      <c r="L52" s="10"/>
    </row>
    <row r="53" spans="1:12" x14ac:dyDescent="0.3">
      <c r="A53" s="1"/>
      <c r="B53" s="8" t="s">
        <v>78</v>
      </c>
      <c r="C53" s="10"/>
      <c r="D53" s="10"/>
      <c r="E53" s="10"/>
      <c r="F53" s="10"/>
      <c r="G53" s="10"/>
      <c r="H53" s="10"/>
      <c r="I53" s="10"/>
      <c r="J53" s="10"/>
      <c r="K53" s="10"/>
      <c r="L53" s="10"/>
    </row>
    <row r="54" spans="1:12" x14ac:dyDescent="0.3">
      <c r="A54" s="1"/>
      <c r="B54" s="8" t="s">
        <v>79</v>
      </c>
      <c r="C54" s="10"/>
      <c r="D54" s="10"/>
      <c r="E54" s="10"/>
      <c r="F54" s="10"/>
      <c r="G54" s="10"/>
      <c r="H54" s="10"/>
      <c r="I54" s="10"/>
      <c r="J54" s="10"/>
      <c r="K54" s="10"/>
      <c r="L54" s="10"/>
    </row>
    <row r="55" spans="1:12" x14ac:dyDescent="0.3">
      <c r="A55" s="1"/>
      <c r="B55" s="8" t="s">
        <v>80</v>
      </c>
      <c r="C55" s="10"/>
      <c r="D55" s="10"/>
      <c r="E55" s="10"/>
      <c r="F55" s="10"/>
      <c r="G55" s="10"/>
      <c r="H55" s="10"/>
      <c r="I55" s="10"/>
      <c r="J55" s="10"/>
      <c r="K55" s="10"/>
      <c r="L55" s="10"/>
    </row>
    <row r="56" spans="1:12" x14ac:dyDescent="0.3">
      <c r="A56" s="1"/>
      <c r="B56" s="8" t="s">
        <v>81</v>
      </c>
      <c r="C56" s="10"/>
      <c r="D56" s="10"/>
      <c r="E56" s="10"/>
      <c r="F56" s="10"/>
      <c r="G56" s="10"/>
      <c r="H56" s="10"/>
      <c r="I56" s="10"/>
      <c r="J56" s="10"/>
      <c r="K56" s="10"/>
      <c r="L56" s="10"/>
    </row>
    <row r="57" spans="1:12" x14ac:dyDescent="0.3">
      <c r="A57" s="1"/>
      <c r="B57" s="8" t="s">
        <v>82</v>
      </c>
      <c r="C57" s="10"/>
      <c r="D57" s="10"/>
      <c r="E57" s="10"/>
      <c r="F57" s="10"/>
      <c r="G57" s="10"/>
      <c r="H57" s="10"/>
      <c r="I57" s="10"/>
      <c r="J57" s="10"/>
      <c r="K57" s="10"/>
      <c r="L57" s="10"/>
    </row>
    <row r="58" spans="1:12" x14ac:dyDescent="0.3">
      <c r="A58" s="1"/>
      <c r="B58" s="8" t="s">
        <v>83</v>
      </c>
      <c r="C58" s="10"/>
      <c r="D58" s="10"/>
      <c r="E58" s="10"/>
      <c r="F58" s="10"/>
      <c r="G58" s="10"/>
      <c r="H58" s="10"/>
      <c r="I58" s="10"/>
      <c r="J58" s="10"/>
      <c r="K58" s="10"/>
      <c r="L58" s="10"/>
    </row>
    <row r="59" spans="1:12" x14ac:dyDescent="0.3">
      <c r="A59" s="1"/>
      <c r="B59" s="8" t="s">
        <v>84</v>
      </c>
      <c r="C59" s="11"/>
      <c r="D59" s="11"/>
      <c r="E59" s="11"/>
      <c r="F59" s="11"/>
      <c r="G59" s="11"/>
      <c r="H59" s="11"/>
      <c r="I59" s="11"/>
      <c r="J59" s="11"/>
      <c r="K59" s="11"/>
      <c r="L59" s="11"/>
    </row>
    <row r="60" spans="1:12" x14ac:dyDescent="0.3">
      <c r="A60" s="1"/>
      <c r="B60" s="8" t="s">
        <v>85</v>
      </c>
      <c r="C60" s="11"/>
      <c r="D60" s="11"/>
      <c r="E60" s="11"/>
      <c r="F60" s="11"/>
      <c r="G60" s="11"/>
      <c r="H60" s="11"/>
      <c r="I60" s="11"/>
      <c r="J60" s="11"/>
      <c r="K60" s="11"/>
      <c r="L60" s="11"/>
    </row>
    <row r="61" spans="1:12" x14ac:dyDescent="0.3">
      <c r="A61" s="7"/>
      <c r="B61" s="7"/>
      <c r="C61" s="7"/>
      <c r="D61" s="7"/>
      <c r="E61" s="7"/>
      <c r="F61" s="7"/>
      <c r="G61" s="7"/>
      <c r="H61" s="7"/>
      <c r="I61" s="7"/>
      <c r="J61" s="7"/>
      <c r="K61" s="7"/>
      <c r="L61" s="7"/>
    </row>
  </sheetData>
  <mergeCells count="1">
    <mergeCell ref="C1:L1"/>
  </mergeCells>
  <hyperlinks>
    <hyperlink ref="C1" location="INDEX" display="Energy Transport Electricity Main distribution, electricity cables" xr:uid="{07EBA0C9-7551-4438-82E4-00FA628D793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97FC-9449-421B-B08F-BC81CB522D11}">
  <sheetPr>
    <tabColor theme="4" tint="0.39997558519241921"/>
  </sheetPr>
  <dimension ref="A1:K40"/>
  <sheetViews>
    <sheetView topLeftCell="A7" workbookViewId="0">
      <selection activeCell="D13" sqref="D13:E13"/>
    </sheetView>
  </sheetViews>
  <sheetFormatPr defaultRowHeight="14.4" x14ac:dyDescent="0.3"/>
  <cols>
    <col min="2" max="2" width="41.6640625" customWidth="1"/>
  </cols>
  <sheetData>
    <row r="1" spans="1:11" x14ac:dyDescent="0.3">
      <c r="A1" s="12" t="s">
        <v>2</v>
      </c>
      <c r="B1" s="13"/>
      <c r="C1" s="100" t="s">
        <v>86</v>
      </c>
      <c r="D1" s="100"/>
      <c r="E1" s="100"/>
      <c r="F1" s="100"/>
      <c r="G1" s="100"/>
      <c r="H1" s="100"/>
      <c r="I1" s="100"/>
      <c r="J1" s="100"/>
      <c r="K1" s="100"/>
    </row>
    <row r="2" spans="1:11" x14ac:dyDescent="0.3">
      <c r="A2" s="14" t="s">
        <v>4</v>
      </c>
      <c r="B2" s="13"/>
      <c r="C2" s="15">
        <v>2020</v>
      </c>
      <c r="D2" s="16">
        <v>2030</v>
      </c>
      <c r="E2" s="16">
        <v>2050</v>
      </c>
      <c r="F2" s="17">
        <v>2020</v>
      </c>
      <c r="G2" s="17">
        <v>2020</v>
      </c>
      <c r="H2" s="17">
        <v>2050</v>
      </c>
      <c r="I2" s="17">
        <v>2050</v>
      </c>
      <c r="J2" s="18" t="s">
        <v>5</v>
      </c>
      <c r="K2" s="18" t="s">
        <v>6</v>
      </c>
    </row>
    <row r="3" spans="1:11" x14ac:dyDescent="0.3">
      <c r="A3" s="12" t="s">
        <v>7</v>
      </c>
      <c r="B3" s="13"/>
      <c r="C3" s="19" t="s">
        <v>8</v>
      </c>
      <c r="D3" s="20" t="s">
        <v>8</v>
      </c>
      <c r="E3" s="20" t="s">
        <v>8</v>
      </c>
      <c r="F3" s="20" t="s">
        <v>9</v>
      </c>
      <c r="G3" s="20" t="s">
        <v>10</v>
      </c>
      <c r="H3" s="20" t="s">
        <v>9</v>
      </c>
      <c r="I3" s="20" t="s">
        <v>10</v>
      </c>
      <c r="J3" s="18" t="s">
        <v>11</v>
      </c>
      <c r="K3" s="18" t="s">
        <v>11</v>
      </c>
    </row>
    <row r="4" spans="1:11" x14ac:dyDescent="0.3">
      <c r="A4" s="21" t="s">
        <v>12</v>
      </c>
      <c r="B4" s="21" t="s">
        <v>13</v>
      </c>
      <c r="C4" s="42"/>
      <c r="D4" s="43"/>
      <c r="E4" s="43"/>
      <c r="F4" s="42"/>
      <c r="G4" s="42"/>
      <c r="H4" s="42"/>
      <c r="I4" s="42"/>
      <c r="J4" s="44"/>
      <c r="K4" s="44"/>
    </row>
    <row r="5" spans="1:11" x14ac:dyDescent="0.3">
      <c r="A5" s="45" t="s">
        <v>14</v>
      </c>
      <c r="B5" s="46"/>
      <c r="C5" s="43"/>
      <c r="D5" s="43"/>
      <c r="E5" s="43"/>
      <c r="F5" s="42"/>
      <c r="G5" s="42"/>
      <c r="H5" s="42"/>
      <c r="I5" s="42"/>
      <c r="J5" s="44"/>
      <c r="K5" s="44"/>
    </row>
    <row r="6" spans="1:11" x14ac:dyDescent="0.3">
      <c r="A6" s="45"/>
      <c r="B6" s="47" t="s">
        <v>87</v>
      </c>
      <c r="C6" s="48">
        <v>7.5</v>
      </c>
      <c r="D6" s="48">
        <v>7</v>
      </c>
      <c r="E6" s="48">
        <v>6.3</v>
      </c>
      <c r="F6" s="48">
        <v>6.2</v>
      </c>
      <c r="G6" s="48">
        <v>12.3</v>
      </c>
      <c r="H6" s="48">
        <v>5.5</v>
      </c>
      <c r="I6" s="48">
        <v>10.3</v>
      </c>
      <c r="J6" s="49" t="s">
        <v>88</v>
      </c>
      <c r="K6" s="49"/>
    </row>
    <row r="7" spans="1:11" x14ac:dyDescent="0.3">
      <c r="A7" s="45"/>
      <c r="B7" s="47" t="s">
        <v>89</v>
      </c>
      <c r="C7" s="48">
        <v>6.4</v>
      </c>
      <c r="D7" s="48">
        <v>5.9</v>
      </c>
      <c r="E7" s="48">
        <v>5.3</v>
      </c>
      <c r="F7" s="48">
        <v>5.2</v>
      </c>
      <c r="G7" s="48">
        <v>10.4</v>
      </c>
      <c r="H7" s="48">
        <v>4.5999999999999996</v>
      </c>
      <c r="I7" s="48">
        <v>8.6999999999999993</v>
      </c>
      <c r="J7" s="49" t="s">
        <v>88</v>
      </c>
      <c r="K7" s="49"/>
    </row>
    <row r="8" spans="1:11" x14ac:dyDescent="0.3">
      <c r="A8" s="45"/>
      <c r="B8" s="47" t="s">
        <v>90</v>
      </c>
      <c r="C8" s="48">
        <v>5.0999999999999996</v>
      </c>
      <c r="D8" s="48">
        <v>4.7</v>
      </c>
      <c r="E8" s="48">
        <v>4.2</v>
      </c>
      <c r="F8" s="48">
        <v>4.0999999999999996</v>
      </c>
      <c r="G8" s="48">
        <v>8.3000000000000007</v>
      </c>
      <c r="H8" s="48">
        <v>3.7</v>
      </c>
      <c r="I8" s="48">
        <v>6.9</v>
      </c>
      <c r="J8" s="49" t="s">
        <v>88</v>
      </c>
      <c r="K8" s="49"/>
    </row>
    <row r="9" spans="1:11" x14ac:dyDescent="0.3">
      <c r="A9" s="45"/>
      <c r="B9" s="47" t="s">
        <v>91</v>
      </c>
      <c r="C9" s="48">
        <v>3.8</v>
      </c>
      <c r="D9" s="48">
        <v>3.5</v>
      </c>
      <c r="E9" s="48">
        <v>3.1</v>
      </c>
      <c r="F9" s="48">
        <v>3.1</v>
      </c>
      <c r="G9" s="48">
        <v>6.2</v>
      </c>
      <c r="H9" s="48">
        <v>2.7</v>
      </c>
      <c r="I9" s="48">
        <v>5.2</v>
      </c>
      <c r="J9" s="49" t="s">
        <v>88</v>
      </c>
      <c r="K9" s="49"/>
    </row>
    <row r="10" spans="1:11" x14ac:dyDescent="0.3">
      <c r="A10" s="45"/>
      <c r="B10" s="47" t="s">
        <v>92</v>
      </c>
      <c r="C10" s="48">
        <v>2.7</v>
      </c>
      <c r="D10" s="48">
        <v>2.5</v>
      </c>
      <c r="E10" s="48">
        <v>2.2000000000000002</v>
      </c>
      <c r="F10" s="48">
        <v>2.2000000000000002</v>
      </c>
      <c r="G10" s="48">
        <v>4.3</v>
      </c>
      <c r="H10" s="48">
        <v>1.9</v>
      </c>
      <c r="I10" s="48">
        <v>3.6</v>
      </c>
      <c r="J10" s="49" t="s">
        <v>88</v>
      </c>
      <c r="K10" s="49"/>
    </row>
    <row r="11" spans="1:11" x14ac:dyDescent="0.3">
      <c r="A11" s="45"/>
      <c r="B11" s="47" t="s">
        <v>93</v>
      </c>
      <c r="C11" s="50">
        <v>2.1</v>
      </c>
      <c r="D11" s="48">
        <v>1.9</v>
      </c>
      <c r="E11" s="48">
        <v>1.7</v>
      </c>
      <c r="F11" s="48">
        <v>1.7</v>
      </c>
      <c r="G11" s="48">
        <v>3.4</v>
      </c>
      <c r="H11" s="48">
        <v>1.5</v>
      </c>
      <c r="I11" s="48">
        <v>2.8</v>
      </c>
      <c r="J11" s="49" t="s">
        <v>88</v>
      </c>
      <c r="K11" s="49"/>
    </row>
    <row r="12" spans="1:11" x14ac:dyDescent="0.3">
      <c r="A12" s="45"/>
      <c r="B12" s="47" t="s">
        <v>94</v>
      </c>
      <c r="C12" s="51">
        <v>1.5</v>
      </c>
      <c r="D12" s="51">
        <v>1.4</v>
      </c>
      <c r="E12" s="51">
        <v>1.3</v>
      </c>
      <c r="F12" s="51">
        <v>1.3</v>
      </c>
      <c r="G12" s="51">
        <v>2.5</v>
      </c>
      <c r="H12" s="51">
        <v>1.1000000000000001</v>
      </c>
      <c r="I12" s="51">
        <v>2.1</v>
      </c>
      <c r="J12" s="49" t="s">
        <v>88</v>
      </c>
      <c r="K12" s="49"/>
    </row>
    <row r="13" spans="1:11" x14ac:dyDescent="0.3">
      <c r="A13" s="45"/>
      <c r="B13" s="47" t="s">
        <v>95</v>
      </c>
      <c r="C13" s="50">
        <v>2.1</v>
      </c>
      <c r="D13" s="51">
        <v>1.6800000000000002</v>
      </c>
      <c r="E13" s="51">
        <v>1.47</v>
      </c>
      <c r="F13" s="51">
        <v>1.47</v>
      </c>
      <c r="G13" s="51">
        <v>3.7</v>
      </c>
      <c r="H13" s="51">
        <v>0.9</v>
      </c>
      <c r="I13" s="51">
        <v>2.5</v>
      </c>
      <c r="J13" s="49" t="s">
        <v>96</v>
      </c>
      <c r="K13" s="49"/>
    </row>
    <row r="14" spans="1:11" x14ac:dyDescent="0.3">
      <c r="A14" s="45"/>
      <c r="B14" s="47" t="s">
        <v>25</v>
      </c>
      <c r="C14" s="52">
        <v>50</v>
      </c>
      <c r="D14" s="52">
        <v>50</v>
      </c>
      <c r="E14" s="52">
        <v>50</v>
      </c>
      <c r="F14" s="52">
        <v>45</v>
      </c>
      <c r="G14" s="52">
        <v>55</v>
      </c>
      <c r="H14" s="52">
        <v>45</v>
      </c>
      <c r="I14" s="52">
        <v>55</v>
      </c>
      <c r="J14" s="49"/>
      <c r="K14" s="49"/>
    </row>
    <row r="15" spans="1:11" x14ac:dyDescent="0.3">
      <c r="A15" s="45"/>
      <c r="B15" s="47" t="s">
        <v>29</v>
      </c>
      <c r="C15" s="52">
        <v>1</v>
      </c>
      <c r="D15" s="52">
        <v>1</v>
      </c>
      <c r="E15" s="52">
        <v>1</v>
      </c>
      <c r="F15" s="52">
        <v>0.5</v>
      </c>
      <c r="G15" s="52">
        <v>2</v>
      </c>
      <c r="H15" s="52">
        <v>0.5</v>
      </c>
      <c r="I15" s="52">
        <v>2</v>
      </c>
      <c r="J15" s="49"/>
      <c r="K15" s="49"/>
    </row>
    <row r="16" spans="1:11" x14ac:dyDescent="0.3">
      <c r="A16" s="45" t="s">
        <v>31</v>
      </c>
      <c r="B16" s="46"/>
      <c r="C16" s="43"/>
      <c r="D16" s="43"/>
      <c r="E16" s="43"/>
      <c r="F16" s="43"/>
      <c r="G16" s="43"/>
      <c r="H16" s="43"/>
      <c r="I16" s="43"/>
      <c r="J16" s="44"/>
      <c r="K16" s="44"/>
    </row>
    <row r="17" spans="1:11" x14ac:dyDescent="0.3">
      <c r="A17" s="45"/>
      <c r="B17" s="27" t="s">
        <v>97</v>
      </c>
      <c r="C17" s="48">
        <v>4.3598281437999997</v>
      </c>
      <c r="D17" s="48">
        <v>4.1471536002000002</v>
      </c>
      <c r="E17" s="48">
        <v>3.9344790566000007</v>
      </c>
      <c r="F17" s="48">
        <v>3.9344790566000007</v>
      </c>
      <c r="G17" s="48">
        <v>5.5295381336000009</v>
      </c>
      <c r="H17" s="48">
        <v>3.5091299694</v>
      </c>
      <c r="I17" s="48">
        <v>4.9978517746000009</v>
      </c>
      <c r="J17" s="49" t="s">
        <v>26</v>
      </c>
      <c r="K17" s="49">
        <v>0</v>
      </c>
    </row>
    <row r="18" spans="1:11" x14ac:dyDescent="0.3">
      <c r="A18" s="45"/>
      <c r="B18" s="27" t="s">
        <v>37</v>
      </c>
      <c r="C18" s="48">
        <v>1.9140708924000003</v>
      </c>
      <c r="D18" s="48">
        <v>1.8077336206000001</v>
      </c>
      <c r="E18" s="48">
        <v>1.7013963488000003</v>
      </c>
      <c r="F18" s="48">
        <v>1.7013963488000003</v>
      </c>
      <c r="G18" s="48">
        <v>2.4457572513999999</v>
      </c>
      <c r="H18" s="48">
        <v>1.5950590770000002</v>
      </c>
      <c r="I18" s="48">
        <v>2.2330827078000004</v>
      </c>
      <c r="J18" s="49" t="s">
        <v>26</v>
      </c>
      <c r="K18" s="49">
        <v>0</v>
      </c>
    </row>
    <row r="19" spans="1:11" x14ac:dyDescent="0.3">
      <c r="A19" s="45"/>
      <c r="B19" s="27" t="s">
        <v>39</v>
      </c>
      <c r="C19" s="48">
        <v>1.1697099898000003</v>
      </c>
      <c r="D19" s="48">
        <v>1.1697099898000003</v>
      </c>
      <c r="E19" s="48">
        <v>1.0633727180000001</v>
      </c>
      <c r="F19" s="48">
        <v>1.0633727180000001</v>
      </c>
      <c r="G19" s="48">
        <v>1.4887218052</v>
      </c>
      <c r="H19" s="48">
        <v>0.95703544620000014</v>
      </c>
      <c r="I19" s="48">
        <v>1.3823845334000002</v>
      </c>
      <c r="J19" s="49" t="s">
        <v>26</v>
      </c>
      <c r="K19" s="49">
        <v>0</v>
      </c>
    </row>
    <row r="20" spans="1:11" x14ac:dyDescent="0.3">
      <c r="A20" s="45"/>
      <c r="B20" s="27" t="s">
        <v>41</v>
      </c>
      <c r="C20" s="48">
        <v>0.85069817440000017</v>
      </c>
      <c r="D20" s="48">
        <v>0.74436090259999999</v>
      </c>
      <c r="E20" s="48">
        <v>0.74436090259999999</v>
      </c>
      <c r="F20" s="48">
        <v>0.74436090259999999</v>
      </c>
      <c r="G20" s="48">
        <v>0.95703544620000014</v>
      </c>
      <c r="H20" s="48">
        <v>0.63802363080000002</v>
      </c>
      <c r="I20" s="48">
        <v>0.95703544620000014</v>
      </c>
      <c r="J20" s="49" t="s">
        <v>26</v>
      </c>
      <c r="K20" s="49">
        <v>0</v>
      </c>
    </row>
    <row r="21" spans="1:11" x14ac:dyDescent="0.3">
      <c r="A21" s="45"/>
      <c r="B21" s="27" t="s">
        <v>98</v>
      </c>
      <c r="C21" s="48">
        <v>0.42534908720000009</v>
      </c>
      <c r="D21" s="48">
        <v>0.42534908720000009</v>
      </c>
      <c r="E21" s="48">
        <v>0.42534908720000009</v>
      </c>
      <c r="F21" s="48">
        <v>0.42534908720000009</v>
      </c>
      <c r="G21" s="48">
        <v>0.53168635900000005</v>
      </c>
      <c r="H21" s="48">
        <v>0.42534908720000009</v>
      </c>
      <c r="I21" s="48">
        <v>0.53168635900000005</v>
      </c>
      <c r="J21" s="49" t="s">
        <v>26</v>
      </c>
      <c r="K21" s="49">
        <v>0</v>
      </c>
    </row>
    <row r="22" spans="1:11" x14ac:dyDescent="0.3">
      <c r="A22" s="45"/>
      <c r="B22" s="27" t="s">
        <v>99</v>
      </c>
      <c r="C22" s="48">
        <v>0.24457572514000003</v>
      </c>
      <c r="D22" s="48">
        <v>0.21267454360000004</v>
      </c>
      <c r="E22" s="48">
        <v>0.21267454360000004</v>
      </c>
      <c r="F22" s="48">
        <v>0.21267454360000004</v>
      </c>
      <c r="G22" s="48">
        <v>0.21267454360000004</v>
      </c>
      <c r="H22" s="48">
        <v>0.21267454360000004</v>
      </c>
      <c r="I22" s="48">
        <v>0.21267454360000004</v>
      </c>
      <c r="J22" s="49" t="s">
        <v>26</v>
      </c>
      <c r="K22" s="49">
        <v>0</v>
      </c>
    </row>
    <row r="23" spans="1:11" x14ac:dyDescent="0.3">
      <c r="A23" s="45"/>
      <c r="B23" s="27" t="s">
        <v>100</v>
      </c>
      <c r="C23" s="53">
        <v>0.77500000000000002</v>
      </c>
      <c r="D23" s="53">
        <v>0.77500000000000002</v>
      </c>
      <c r="E23" s="53">
        <v>0.77500000000000002</v>
      </c>
      <c r="F23" s="53">
        <v>0.75</v>
      </c>
      <c r="G23" s="53">
        <v>0.8</v>
      </c>
      <c r="H23" s="53">
        <v>0.7</v>
      </c>
      <c r="I23" s="53">
        <v>0.8</v>
      </c>
      <c r="J23" s="49" t="s">
        <v>28</v>
      </c>
      <c r="K23" s="49">
        <v>0</v>
      </c>
    </row>
    <row r="24" spans="1:11" x14ac:dyDescent="0.3">
      <c r="A24" s="45"/>
      <c r="B24" s="27" t="s">
        <v>101</v>
      </c>
      <c r="C24" s="53">
        <v>0.22500000000000001</v>
      </c>
      <c r="D24" s="53">
        <v>0.22500000000000001</v>
      </c>
      <c r="E24" s="53">
        <v>0.22500000000000001</v>
      </c>
      <c r="F24" s="53">
        <v>0.2</v>
      </c>
      <c r="G24" s="53">
        <v>0.25</v>
      </c>
      <c r="H24" s="53">
        <v>0.2</v>
      </c>
      <c r="I24" s="53">
        <v>0.3</v>
      </c>
      <c r="J24" s="49" t="s">
        <v>28</v>
      </c>
      <c r="K24" s="49">
        <v>0</v>
      </c>
    </row>
    <row r="25" spans="1:11" x14ac:dyDescent="0.3">
      <c r="A25" s="45"/>
      <c r="B25" s="27" t="s">
        <v>102</v>
      </c>
      <c r="C25" s="48">
        <v>0.54232008618000005</v>
      </c>
      <c r="D25" s="54">
        <v>0.26584317950000003</v>
      </c>
      <c r="E25" s="48">
        <v>0.19938238462500002</v>
      </c>
      <c r="F25" s="48">
        <v>0.21267454360000004</v>
      </c>
      <c r="G25" s="48">
        <v>1.0633727180000001</v>
      </c>
      <c r="H25" s="48">
        <v>0.11697099898000002</v>
      </c>
      <c r="I25" s="48">
        <v>1.0633727180000001</v>
      </c>
      <c r="J25" s="49" t="s">
        <v>30</v>
      </c>
      <c r="K25" s="49">
        <v>0</v>
      </c>
    </row>
    <row r="26" spans="1:11" x14ac:dyDescent="0.3">
      <c r="A26" s="45"/>
      <c r="B26" s="27" t="s">
        <v>103</v>
      </c>
      <c r="C26" s="52">
        <v>0</v>
      </c>
      <c r="D26" s="52">
        <v>0</v>
      </c>
      <c r="E26" s="52">
        <v>0</v>
      </c>
      <c r="F26" s="55">
        <v>0</v>
      </c>
      <c r="G26" s="55">
        <v>0</v>
      </c>
      <c r="H26" s="55">
        <v>0</v>
      </c>
      <c r="I26" s="55">
        <v>0</v>
      </c>
      <c r="J26" s="49">
        <v>0</v>
      </c>
      <c r="K26" s="49">
        <v>0</v>
      </c>
    </row>
    <row r="27" spans="1:11" x14ac:dyDescent="0.3">
      <c r="A27" s="45" t="s">
        <v>56</v>
      </c>
      <c r="B27" s="46"/>
      <c r="C27" s="52"/>
      <c r="D27" s="52"/>
      <c r="E27" s="52"/>
      <c r="F27" s="52"/>
      <c r="G27" s="52"/>
      <c r="H27" s="52"/>
      <c r="I27" s="52"/>
      <c r="J27" s="49"/>
      <c r="K27" s="49"/>
    </row>
    <row r="28" spans="1:11" x14ac:dyDescent="0.3">
      <c r="A28" s="45"/>
      <c r="B28" s="56"/>
      <c r="C28" s="42"/>
      <c r="D28" s="42"/>
      <c r="E28" s="42"/>
      <c r="F28" s="42"/>
      <c r="G28" s="42"/>
      <c r="H28" s="42"/>
      <c r="I28" s="42"/>
      <c r="J28" s="57"/>
      <c r="K28" s="57"/>
    </row>
    <row r="29" spans="1:11" x14ac:dyDescent="0.3">
      <c r="A29" s="6" t="s">
        <v>67</v>
      </c>
      <c r="B29" s="35"/>
      <c r="C29" s="9"/>
      <c r="D29" s="9"/>
      <c r="E29" s="9"/>
      <c r="F29" s="9"/>
      <c r="G29" s="9"/>
      <c r="H29" s="9"/>
      <c r="I29" s="9"/>
      <c r="J29" s="9"/>
      <c r="K29" s="9"/>
    </row>
    <row r="30" spans="1:11" x14ac:dyDescent="0.3">
      <c r="A30" s="1"/>
      <c r="B30" s="8" t="s">
        <v>104</v>
      </c>
      <c r="C30" s="36"/>
      <c r="D30" s="36"/>
      <c r="E30" s="36"/>
      <c r="F30" s="36"/>
      <c r="G30" s="36"/>
      <c r="H30" s="36"/>
      <c r="I30" s="36"/>
      <c r="J30" s="36"/>
      <c r="K30" s="36"/>
    </row>
    <row r="31" spans="1:11" x14ac:dyDescent="0.3">
      <c r="A31" s="1"/>
      <c r="B31" s="4" t="s">
        <v>105</v>
      </c>
      <c r="C31" s="37"/>
      <c r="D31" s="37"/>
      <c r="E31" s="37"/>
      <c r="F31" s="37"/>
      <c r="G31" s="37"/>
      <c r="H31" s="37"/>
      <c r="I31" s="37"/>
      <c r="J31" s="37"/>
      <c r="K31" s="37"/>
    </row>
    <row r="32" spans="1:11" x14ac:dyDescent="0.3">
      <c r="A32" s="1"/>
      <c r="B32" s="8" t="s">
        <v>106</v>
      </c>
      <c r="C32" s="10"/>
      <c r="D32" s="10"/>
      <c r="E32" s="10"/>
      <c r="F32" s="10"/>
      <c r="G32" s="10"/>
      <c r="H32" s="10"/>
      <c r="I32" s="10"/>
      <c r="J32" s="10"/>
      <c r="K32" s="10"/>
    </row>
    <row r="33" spans="1:11" x14ac:dyDescent="0.3">
      <c r="A33" s="1"/>
      <c r="B33" s="38" t="s">
        <v>107</v>
      </c>
      <c r="C33" s="39"/>
      <c r="D33" s="39"/>
      <c r="E33" s="39"/>
      <c r="F33" s="39"/>
      <c r="G33" s="39"/>
      <c r="H33" s="39"/>
      <c r="I33" s="39"/>
      <c r="J33" s="39"/>
      <c r="K33" s="39"/>
    </row>
    <row r="34" spans="1:11" x14ac:dyDescent="0.3">
      <c r="A34" s="1"/>
      <c r="B34" s="8" t="s">
        <v>108</v>
      </c>
      <c r="C34" s="10"/>
      <c r="D34" s="10"/>
      <c r="E34" s="10"/>
      <c r="F34" s="10"/>
      <c r="G34" s="10"/>
      <c r="H34" s="10"/>
      <c r="I34" s="10"/>
      <c r="J34" s="10"/>
      <c r="K34" s="10"/>
    </row>
    <row r="35" spans="1:11" x14ac:dyDescent="0.3">
      <c r="A35" s="1"/>
      <c r="B35" s="8"/>
      <c r="C35" s="10"/>
      <c r="D35" s="10"/>
      <c r="E35" s="10"/>
      <c r="F35" s="10"/>
      <c r="G35" s="10"/>
      <c r="H35" s="10"/>
      <c r="I35" s="10"/>
      <c r="J35" s="10"/>
      <c r="K35" s="10"/>
    </row>
    <row r="36" spans="1:11" x14ac:dyDescent="0.3">
      <c r="A36" s="40" t="s">
        <v>57</v>
      </c>
      <c r="B36" s="35"/>
      <c r="C36" s="35"/>
      <c r="D36" s="35"/>
      <c r="E36" s="35"/>
      <c r="F36" s="35"/>
      <c r="G36" s="35"/>
      <c r="H36" s="35"/>
      <c r="I36" s="35"/>
      <c r="J36" s="35"/>
      <c r="K36" s="35"/>
    </row>
    <row r="37" spans="1:11" x14ac:dyDescent="0.3">
      <c r="A37" s="41"/>
      <c r="B37" s="41" t="s">
        <v>109</v>
      </c>
      <c r="C37" s="35"/>
      <c r="D37" s="35"/>
      <c r="E37" s="35"/>
      <c r="F37" s="35"/>
      <c r="G37" s="35"/>
      <c r="H37" s="35"/>
      <c r="I37" s="35"/>
      <c r="J37" s="35"/>
      <c r="K37" s="35"/>
    </row>
    <row r="38" spans="1:11" x14ac:dyDescent="0.3">
      <c r="A38" s="35"/>
      <c r="B38" s="35"/>
      <c r="C38" s="35"/>
      <c r="D38" s="35"/>
      <c r="E38" s="35"/>
      <c r="F38" s="35"/>
      <c r="G38" s="35"/>
      <c r="H38" s="35"/>
      <c r="I38" s="35"/>
      <c r="J38" s="35"/>
      <c r="K38" s="35"/>
    </row>
    <row r="39" spans="1:11" x14ac:dyDescent="0.3">
      <c r="A39" s="35"/>
      <c r="B39" s="35"/>
      <c r="C39" s="35"/>
      <c r="D39" s="35"/>
      <c r="E39" s="35"/>
      <c r="F39" s="35"/>
      <c r="G39" s="35"/>
      <c r="H39" s="35"/>
      <c r="I39" s="35"/>
      <c r="J39" s="35"/>
      <c r="K39" s="35"/>
    </row>
    <row r="40" spans="1:11" x14ac:dyDescent="0.3">
      <c r="A40" s="35"/>
      <c r="B40" s="35"/>
      <c r="C40" s="35"/>
      <c r="D40" s="35"/>
      <c r="E40" s="35"/>
      <c r="F40" s="35"/>
      <c r="G40" s="35"/>
      <c r="H40" s="35"/>
      <c r="I40" s="35"/>
      <c r="J40" s="35"/>
      <c r="K40" s="35"/>
    </row>
  </sheetData>
  <mergeCells count="1">
    <mergeCell ref="C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663B-9E70-4962-BA69-B03C3BF2C2DA}">
  <sheetPr>
    <tabColor theme="4" tint="0.39997558519241921"/>
  </sheetPr>
  <dimension ref="A1:L23"/>
  <sheetViews>
    <sheetView workbookViewId="0">
      <selection activeCell="C20" sqref="C20"/>
    </sheetView>
  </sheetViews>
  <sheetFormatPr defaultRowHeight="14.4" x14ac:dyDescent="0.3"/>
  <cols>
    <col min="2" max="2" width="42.33203125" customWidth="1"/>
  </cols>
  <sheetData>
    <row r="1" spans="1:12" x14ac:dyDescent="0.3">
      <c r="A1" s="12" t="s">
        <v>2</v>
      </c>
      <c r="B1" s="13"/>
      <c r="C1" s="100" t="s">
        <v>110</v>
      </c>
      <c r="D1" s="100"/>
      <c r="E1" s="100"/>
      <c r="F1" s="100"/>
      <c r="G1" s="100"/>
      <c r="H1" s="100"/>
      <c r="I1" s="100"/>
      <c r="J1" s="100"/>
      <c r="K1" s="100"/>
      <c r="L1" s="58"/>
    </row>
    <row r="2" spans="1:12" x14ac:dyDescent="0.3">
      <c r="A2" s="14" t="s">
        <v>4</v>
      </c>
      <c r="B2" s="13"/>
      <c r="C2" s="15">
        <v>2020</v>
      </c>
      <c r="D2" s="16">
        <v>2030</v>
      </c>
      <c r="E2" s="16">
        <v>2050</v>
      </c>
      <c r="F2" s="17">
        <v>2020</v>
      </c>
      <c r="G2" s="17">
        <v>2020</v>
      </c>
      <c r="H2" s="17">
        <v>2050</v>
      </c>
      <c r="I2" s="17">
        <v>2050</v>
      </c>
      <c r="J2" s="18" t="s">
        <v>5</v>
      </c>
      <c r="K2" s="18" t="s">
        <v>6</v>
      </c>
      <c r="L2" s="58"/>
    </row>
    <row r="3" spans="1:12" x14ac:dyDescent="0.3">
      <c r="A3" s="12" t="s">
        <v>7</v>
      </c>
      <c r="B3" s="13"/>
      <c r="C3" s="19" t="s">
        <v>8</v>
      </c>
      <c r="D3" s="20" t="s">
        <v>8</v>
      </c>
      <c r="E3" s="20" t="s">
        <v>8</v>
      </c>
      <c r="F3" s="20" t="s">
        <v>9</v>
      </c>
      <c r="G3" s="20" t="s">
        <v>10</v>
      </c>
      <c r="H3" s="20" t="s">
        <v>9</v>
      </c>
      <c r="I3" s="20" t="s">
        <v>10</v>
      </c>
      <c r="J3" s="18" t="s">
        <v>11</v>
      </c>
      <c r="K3" s="18" t="s">
        <v>11</v>
      </c>
      <c r="L3" s="58"/>
    </row>
    <row r="4" spans="1:12" x14ac:dyDescent="0.3">
      <c r="A4" s="21" t="s">
        <v>12</v>
      </c>
      <c r="B4" s="21" t="s">
        <v>13</v>
      </c>
      <c r="C4" s="42"/>
      <c r="D4" s="43"/>
      <c r="E4" s="43"/>
      <c r="F4" s="42"/>
      <c r="G4" s="42"/>
      <c r="H4" s="42"/>
      <c r="I4" s="42"/>
      <c r="J4" s="44"/>
      <c r="K4" s="44"/>
      <c r="L4" s="58"/>
    </row>
    <row r="5" spans="1:12" x14ac:dyDescent="0.3">
      <c r="A5" s="45" t="s">
        <v>14</v>
      </c>
      <c r="B5" s="46"/>
      <c r="C5" s="43"/>
      <c r="D5" s="43"/>
      <c r="E5" s="43"/>
      <c r="F5" s="42"/>
      <c r="G5" s="42"/>
      <c r="H5" s="42"/>
      <c r="I5" s="42"/>
      <c r="J5" s="44"/>
      <c r="K5" s="44"/>
      <c r="L5" s="58"/>
    </row>
    <row r="6" spans="1:12" x14ac:dyDescent="0.3">
      <c r="A6" s="45"/>
      <c r="B6" s="47" t="s">
        <v>111</v>
      </c>
      <c r="C6" s="48" t="s">
        <v>112</v>
      </c>
      <c r="D6" s="48" t="s">
        <v>112</v>
      </c>
      <c r="E6" s="48" t="s">
        <v>112</v>
      </c>
      <c r="F6" s="54">
        <v>0.01</v>
      </c>
      <c r="G6" s="48">
        <v>0.1</v>
      </c>
      <c r="H6" s="54">
        <v>0.01</v>
      </c>
      <c r="I6" s="48">
        <v>0.1</v>
      </c>
      <c r="J6" s="49" t="s">
        <v>16</v>
      </c>
      <c r="K6" s="49"/>
      <c r="L6" s="58"/>
    </row>
    <row r="7" spans="1:12" x14ac:dyDescent="0.3">
      <c r="A7" s="45"/>
      <c r="B7" s="47" t="s">
        <v>25</v>
      </c>
      <c r="C7" s="52">
        <v>50</v>
      </c>
      <c r="D7" s="52">
        <v>50</v>
      </c>
      <c r="E7" s="52">
        <v>50</v>
      </c>
      <c r="F7" s="52">
        <v>45</v>
      </c>
      <c r="G7" s="52">
        <v>55</v>
      </c>
      <c r="H7" s="52">
        <v>45</v>
      </c>
      <c r="I7" s="52">
        <v>55</v>
      </c>
      <c r="J7" s="49"/>
      <c r="K7" s="49"/>
      <c r="L7" s="58"/>
    </row>
    <row r="8" spans="1:12" x14ac:dyDescent="0.3">
      <c r="A8" s="45"/>
      <c r="B8" s="47" t="s">
        <v>29</v>
      </c>
      <c r="C8" s="52">
        <v>1</v>
      </c>
      <c r="D8" s="52">
        <v>1</v>
      </c>
      <c r="E8" s="52">
        <v>1</v>
      </c>
      <c r="F8" s="52">
        <v>0.5</v>
      </c>
      <c r="G8" s="52">
        <v>2</v>
      </c>
      <c r="H8" s="52">
        <v>0.5</v>
      </c>
      <c r="I8" s="52">
        <v>2</v>
      </c>
      <c r="J8" s="49"/>
      <c r="K8" s="49"/>
      <c r="L8" s="58"/>
    </row>
    <row r="9" spans="1:12" x14ac:dyDescent="0.3">
      <c r="A9" s="45" t="s">
        <v>31</v>
      </c>
      <c r="B9" s="46"/>
      <c r="C9" s="43"/>
      <c r="D9" s="43"/>
      <c r="E9" s="43"/>
      <c r="F9" s="43"/>
      <c r="G9" s="43"/>
      <c r="H9" s="43"/>
      <c r="I9" s="43"/>
      <c r="J9" s="44"/>
      <c r="K9" s="44"/>
      <c r="L9" s="58"/>
    </row>
    <row r="10" spans="1:12" x14ac:dyDescent="0.3">
      <c r="A10" s="45"/>
      <c r="B10" s="27" t="s">
        <v>113</v>
      </c>
      <c r="C10" s="48">
        <v>10.7400644518</v>
      </c>
      <c r="D10" s="48">
        <v>10.2083780928</v>
      </c>
      <c r="E10" s="48">
        <v>9.7830290055999996</v>
      </c>
      <c r="F10" s="48">
        <v>9.6502305306570051</v>
      </c>
      <c r="G10" s="48">
        <v>16.08371755109501</v>
      </c>
      <c r="H10" s="48">
        <v>8.8106604744898469</v>
      </c>
      <c r="I10" s="48">
        <v>13.705471849206427</v>
      </c>
      <c r="J10" s="49" t="s">
        <v>114</v>
      </c>
      <c r="K10" s="49">
        <v>0</v>
      </c>
      <c r="L10" s="58"/>
    </row>
    <row r="11" spans="1:12" x14ac:dyDescent="0.3">
      <c r="A11" s="45"/>
      <c r="B11" s="27" t="s">
        <v>115</v>
      </c>
      <c r="C11" s="48">
        <v>7.1245972106000011</v>
      </c>
      <c r="D11" s="48">
        <v>6.8055853952000014</v>
      </c>
      <c r="E11" s="48">
        <v>6.4865735797999999</v>
      </c>
      <c r="F11" s="48">
        <v>6.4129623242056706</v>
      </c>
      <c r="G11" s="48">
        <v>10.688270540342783</v>
      </c>
      <c r="H11" s="48">
        <v>5.8550346019997779</v>
      </c>
      <c r="I11" s="48">
        <v>9.1078316031107658</v>
      </c>
      <c r="J11" s="49" t="s">
        <v>114</v>
      </c>
      <c r="K11" s="49">
        <v>0</v>
      </c>
      <c r="L11" s="58"/>
    </row>
    <row r="12" spans="1:12" x14ac:dyDescent="0.3">
      <c r="A12" s="45"/>
      <c r="B12" s="27" t="s">
        <v>116</v>
      </c>
      <c r="C12" s="48">
        <v>2.9774436103999999</v>
      </c>
      <c r="D12" s="48">
        <v>2.8711063386000006</v>
      </c>
      <c r="E12" s="48">
        <v>2.6584317950000003</v>
      </c>
      <c r="F12" s="48">
        <v>2.6629418606172144</v>
      </c>
      <c r="G12" s="48">
        <v>4.4382364343620235</v>
      </c>
      <c r="H12" s="48">
        <v>2.4312659187435166</v>
      </c>
      <c r="I12" s="48">
        <v>3.7819692069343596</v>
      </c>
      <c r="J12" s="49" t="s">
        <v>114</v>
      </c>
      <c r="K12" s="49">
        <v>0</v>
      </c>
      <c r="L12" s="58"/>
    </row>
    <row r="13" spans="1:12" x14ac:dyDescent="0.3">
      <c r="A13" s="45"/>
      <c r="B13" s="27" t="s">
        <v>117</v>
      </c>
      <c r="C13" s="48">
        <v>1.3823845334000002</v>
      </c>
      <c r="D13" s="48">
        <v>1.2760472616</v>
      </c>
      <c r="E13" s="48">
        <v>1.2760472616</v>
      </c>
      <c r="F13" s="48">
        <v>1.2150291544006955</v>
      </c>
      <c r="G13" s="48">
        <v>2.0250485906678257</v>
      </c>
      <c r="H13" s="48">
        <v>1.1093216179678349</v>
      </c>
      <c r="I13" s="48">
        <v>1.7256114057277432</v>
      </c>
      <c r="J13" s="49" t="s">
        <v>114</v>
      </c>
      <c r="K13" s="49">
        <v>0</v>
      </c>
      <c r="L13" s="58"/>
    </row>
    <row r="14" spans="1:12" x14ac:dyDescent="0.3">
      <c r="A14" s="45"/>
      <c r="B14" s="27" t="s">
        <v>118</v>
      </c>
      <c r="C14" s="48">
        <v>0.74436090259999999</v>
      </c>
      <c r="D14" s="48">
        <v>0.74436090259999999</v>
      </c>
      <c r="E14" s="48">
        <v>0.74436090259999999</v>
      </c>
      <c r="F14" s="48">
        <v>0.69785099546675866</v>
      </c>
      <c r="G14" s="48">
        <v>1.1630849924445976</v>
      </c>
      <c r="H14" s="48">
        <v>0.63713795886115066</v>
      </c>
      <c r="I14" s="48">
        <v>0.99110349156178978</v>
      </c>
      <c r="J14" s="49" t="s">
        <v>114</v>
      </c>
      <c r="K14" s="49">
        <v>0</v>
      </c>
      <c r="L14" s="58"/>
    </row>
    <row r="15" spans="1:12" x14ac:dyDescent="0.3">
      <c r="A15" s="45"/>
      <c r="B15" s="27" t="s">
        <v>41</v>
      </c>
      <c r="C15" s="48">
        <v>0.42534908720000009</v>
      </c>
      <c r="D15" s="48">
        <v>0.42534908720000009</v>
      </c>
      <c r="E15" s="48">
        <v>0.42534908720000009</v>
      </c>
      <c r="F15" s="48">
        <v>0.42204784268119516</v>
      </c>
      <c r="G15" s="48">
        <v>0.70341307113532514</v>
      </c>
      <c r="H15" s="48">
        <v>0.38532968036793119</v>
      </c>
      <c r="I15" s="48">
        <v>0.59940172501678179</v>
      </c>
      <c r="J15" s="49" t="s">
        <v>114</v>
      </c>
      <c r="K15" s="49">
        <v>0</v>
      </c>
      <c r="L15" s="58"/>
    </row>
    <row r="16" spans="1:12" x14ac:dyDescent="0.3">
      <c r="A16" s="45"/>
      <c r="B16" s="27" t="s">
        <v>119</v>
      </c>
      <c r="C16" s="48">
        <v>0.31901181540000001</v>
      </c>
      <c r="D16" s="48">
        <v>0.21267454360000004</v>
      </c>
      <c r="E16" s="48">
        <v>0.21267454360000004</v>
      </c>
      <c r="F16" s="48">
        <v>0.24240283130896817</v>
      </c>
      <c r="G16" s="48">
        <v>0.40400471884828021</v>
      </c>
      <c r="H16" s="48">
        <v>0.22131378498508791</v>
      </c>
      <c r="I16" s="48">
        <v>0.34426588775458122</v>
      </c>
      <c r="J16" s="49" t="s">
        <v>114</v>
      </c>
      <c r="K16" s="49">
        <v>0</v>
      </c>
      <c r="L16" s="58"/>
    </row>
    <row r="17" spans="1:12" x14ac:dyDescent="0.3">
      <c r="A17" s="45"/>
      <c r="B17" s="27" t="s">
        <v>120</v>
      </c>
      <c r="C17" s="48">
        <v>0.21267454360000004</v>
      </c>
      <c r="D17" s="48">
        <v>0.21267454360000004</v>
      </c>
      <c r="E17" s="48">
        <v>0.21267454360000004</v>
      </c>
      <c r="F17" s="48">
        <v>0.19256914354514448</v>
      </c>
      <c r="G17" s="48">
        <v>0.32094857257524079</v>
      </c>
      <c r="H17" s="48">
        <v>0.17581562805671691</v>
      </c>
      <c r="I17" s="48">
        <v>0.27349097697711522</v>
      </c>
      <c r="J17" s="49" t="s">
        <v>114</v>
      </c>
      <c r="K17" s="49">
        <v>0</v>
      </c>
      <c r="L17" s="58"/>
    </row>
    <row r="18" spans="1:12" x14ac:dyDescent="0.3">
      <c r="A18" s="45"/>
      <c r="B18" s="27" t="s">
        <v>100</v>
      </c>
      <c r="C18" s="53">
        <v>0.87</v>
      </c>
      <c r="D18" s="53">
        <v>0.8264999999999999</v>
      </c>
      <c r="E18" s="53">
        <v>0.78299999999999992</v>
      </c>
      <c r="F18" s="53">
        <v>0.8</v>
      </c>
      <c r="G18" s="53">
        <v>0.9</v>
      </c>
      <c r="H18" s="53">
        <v>0.75</v>
      </c>
      <c r="I18" s="53">
        <v>0.9</v>
      </c>
      <c r="J18" s="49" t="s">
        <v>28</v>
      </c>
      <c r="K18" s="49">
        <v>0</v>
      </c>
      <c r="L18" s="58"/>
    </row>
    <row r="19" spans="1:12" x14ac:dyDescent="0.3">
      <c r="A19" s="45"/>
      <c r="B19" s="27" t="s">
        <v>101</v>
      </c>
      <c r="C19" s="53">
        <v>0.13</v>
      </c>
      <c r="D19" s="53">
        <v>0.1735000000000001</v>
      </c>
      <c r="E19" s="53">
        <v>0.21700000000000003</v>
      </c>
      <c r="F19" s="53">
        <v>0.1</v>
      </c>
      <c r="G19" s="53">
        <v>0.2</v>
      </c>
      <c r="H19" s="53">
        <v>0.1</v>
      </c>
      <c r="I19" s="53">
        <v>0.25</v>
      </c>
      <c r="J19" s="49" t="s">
        <v>26</v>
      </c>
      <c r="K19" s="49">
        <v>0</v>
      </c>
      <c r="L19" s="58"/>
    </row>
    <row r="20" spans="1:12" x14ac:dyDescent="0.3">
      <c r="A20" s="45"/>
      <c r="B20" s="27" t="s">
        <v>121</v>
      </c>
      <c r="C20" s="55">
        <v>106.33727180000001</v>
      </c>
      <c r="D20" s="55">
        <v>106.33727180000001</v>
      </c>
      <c r="E20" s="55">
        <v>106.33727180000001</v>
      </c>
      <c r="F20" s="55">
        <v>53.168635900000005</v>
      </c>
      <c r="G20" s="55">
        <v>212.67454360000002</v>
      </c>
      <c r="H20" s="55">
        <v>53.168635900000005</v>
      </c>
      <c r="I20" s="55">
        <v>212.67454360000002</v>
      </c>
      <c r="J20" s="49" t="s">
        <v>30</v>
      </c>
      <c r="K20" s="49">
        <v>0</v>
      </c>
      <c r="L20" s="58"/>
    </row>
    <row r="21" spans="1:12" x14ac:dyDescent="0.3">
      <c r="A21" s="45"/>
      <c r="B21" s="27" t="s">
        <v>103</v>
      </c>
      <c r="C21" s="52">
        <v>0</v>
      </c>
      <c r="D21" s="52">
        <v>0</v>
      </c>
      <c r="E21" s="52">
        <v>0</v>
      </c>
      <c r="F21" s="55">
        <v>0</v>
      </c>
      <c r="G21" s="55">
        <v>0</v>
      </c>
      <c r="H21" s="55">
        <v>0</v>
      </c>
      <c r="I21" s="55">
        <v>0</v>
      </c>
      <c r="J21" s="49">
        <v>0</v>
      </c>
      <c r="K21" s="49">
        <v>0</v>
      </c>
      <c r="L21" s="58"/>
    </row>
    <row r="22" spans="1:12" x14ac:dyDescent="0.3">
      <c r="A22" s="45" t="s">
        <v>56</v>
      </c>
      <c r="B22" s="46"/>
      <c r="C22" s="52"/>
      <c r="D22" s="52"/>
      <c r="E22" s="52"/>
      <c r="F22" s="52"/>
      <c r="G22" s="52"/>
      <c r="H22" s="52"/>
      <c r="I22" s="52"/>
      <c r="J22" s="49"/>
      <c r="K22" s="49"/>
      <c r="L22" s="58"/>
    </row>
    <row r="23" spans="1:12" x14ac:dyDescent="0.3">
      <c r="A23" s="45"/>
      <c r="B23" s="46"/>
      <c r="C23" s="52"/>
      <c r="D23" s="52"/>
      <c r="E23" s="52"/>
      <c r="F23" s="52"/>
      <c r="G23" s="52"/>
      <c r="H23" s="52"/>
      <c r="I23" s="52"/>
      <c r="J23" s="49"/>
      <c r="K23" s="49"/>
      <c r="L23" s="58"/>
    </row>
  </sheetData>
  <mergeCells count="1">
    <mergeCell ref="C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5A7E-1101-430D-BDB9-D43082BABE51}">
  <sheetPr>
    <tabColor theme="4" tint="0.59999389629810485"/>
  </sheetPr>
  <dimension ref="A1:O34"/>
  <sheetViews>
    <sheetView workbookViewId="0">
      <selection activeCell="B7" sqref="B7"/>
    </sheetView>
  </sheetViews>
  <sheetFormatPr defaultRowHeight="14.4" x14ac:dyDescent="0.3"/>
  <cols>
    <col min="2" max="2" width="34.6640625" customWidth="1"/>
  </cols>
  <sheetData>
    <row r="1" spans="1:15" x14ac:dyDescent="0.3">
      <c r="A1" s="12" t="s">
        <v>2</v>
      </c>
      <c r="B1" s="13"/>
      <c r="C1" s="100" t="s">
        <v>122</v>
      </c>
      <c r="D1" s="100"/>
      <c r="E1" s="100"/>
      <c r="F1" s="100"/>
      <c r="G1" s="100"/>
      <c r="H1" s="100"/>
      <c r="I1" s="100"/>
      <c r="J1" s="100"/>
      <c r="K1" s="100"/>
      <c r="L1" s="58"/>
      <c r="M1" s="58"/>
      <c r="N1" s="58"/>
      <c r="O1" s="61"/>
    </row>
    <row r="2" spans="1:15" x14ac:dyDescent="0.3">
      <c r="A2" s="14" t="s">
        <v>4</v>
      </c>
      <c r="B2" s="13"/>
      <c r="C2" s="15">
        <v>2020</v>
      </c>
      <c r="D2" s="16">
        <v>2030</v>
      </c>
      <c r="E2" s="16">
        <v>2050</v>
      </c>
      <c r="F2" s="17">
        <v>2020</v>
      </c>
      <c r="G2" s="17">
        <v>2020</v>
      </c>
      <c r="H2" s="17">
        <v>2050</v>
      </c>
      <c r="I2" s="17">
        <v>2050</v>
      </c>
      <c r="J2" s="18" t="s">
        <v>5</v>
      </c>
      <c r="K2" s="18" t="s">
        <v>6</v>
      </c>
      <c r="L2" s="58"/>
      <c r="M2" s="58"/>
      <c r="N2" s="58"/>
      <c r="O2" s="61"/>
    </row>
    <row r="3" spans="1:15" x14ac:dyDescent="0.3">
      <c r="A3" s="12" t="s">
        <v>7</v>
      </c>
      <c r="B3" s="13"/>
      <c r="C3" s="19" t="s">
        <v>8</v>
      </c>
      <c r="D3" s="20" t="s">
        <v>8</v>
      </c>
      <c r="E3" s="20" t="s">
        <v>8</v>
      </c>
      <c r="F3" s="20" t="s">
        <v>9</v>
      </c>
      <c r="G3" s="20" t="s">
        <v>10</v>
      </c>
      <c r="H3" s="20" t="s">
        <v>9</v>
      </c>
      <c r="I3" s="20" t="s">
        <v>10</v>
      </c>
      <c r="J3" s="18" t="s">
        <v>11</v>
      </c>
      <c r="K3" s="18" t="s">
        <v>11</v>
      </c>
      <c r="L3" s="58"/>
      <c r="M3" s="58"/>
      <c r="N3" s="58"/>
      <c r="O3" s="61"/>
    </row>
    <row r="4" spans="1:15" x14ac:dyDescent="0.3">
      <c r="A4" s="21" t="s">
        <v>12</v>
      </c>
      <c r="B4" s="21" t="s">
        <v>13</v>
      </c>
      <c r="C4" s="42"/>
      <c r="D4" s="43"/>
      <c r="E4" s="43"/>
      <c r="F4" s="42"/>
      <c r="G4" s="42"/>
      <c r="H4" s="42"/>
      <c r="I4" s="42"/>
      <c r="J4" s="44"/>
      <c r="K4" s="44"/>
      <c r="L4" s="58"/>
      <c r="M4" s="58"/>
      <c r="N4" s="58"/>
      <c r="O4" s="61"/>
    </row>
    <row r="5" spans="1:15" x14ac:dyDescent="0.3">
      <c r="A5" s="45" t="s">
        <v>14</v>
      </c>
      <c r="B5" s="46"/>
      <c r="C5" s="43"/>
      <c r="D5" s="43"/>
      <c r="E5" s="43"/>
      <c r="F5" s="42"/>
      <c r="G5" s="42"/>
      <c r="H5" s="42"/>
      <c r="I5" s="42"/>
      <c r="J5" s="44"/>
      <c r="K5" s="44"/>
      <c r="L5" s="58"/>
      <c r="M5" s="58"/>
      <c r="N5" s="58"/>
      <c r="O5" s="61"/>
    </row>
    <row r="6" spans="1:15" x14ac:dyDescent="0.3">
      <c r="A6" s="45"/>
      <c r="B6" s="27" t="s">
        <v>123</v>
      </c>
      <c r="C6" s="52">
        <v>2250</v>
      </c>
      <c r="D6" s="52">
        <f>+C6*0.9</f>
        <v>2025</v>
      </c>
      <c r="E6" s="52">
        <f>+C6*0.7</f>
        <v>1575</v>
      </c>
      <c r="F6" s="52"/>
      <c r="G6" s="52"/>
      <c r="H6" s="52"/>
      <c r="I6" s="52"/>
      <c r="J6" s="49" t="s">
        <v>124</v>
      </c>
      <c r="K6" s="49"/>
      <c r="L6" s="58"/>
      <c r="M6" s="58"/>
      <c r="N6" s="58"/>
      <c r="O6" s="61"/>
    </row>
    <row r="7" spans="1:15" x14ac:dyDescent="0.3">
      <c r="A7" s="45"/>
      <c r="B7" s="27" t="s">
        <v>125</v>
      </c>
      <c r="C7" s="52">
        <v>2450</v>
      </c>
      <c r="D7" s="52">
        <f t="shared" ref="D7:D8" si="0">+C7*0.9</f>
        <v>2205</v>
      </c>
      <c r="E7" s="52">
        <f t="shared" ref="E7:E8" si="1">+C7*0.7</f>
        <v>1715</v>
      </c>
      <c r="F7" s="52"/>
      <c r="G7" s="52"/>
      <c r="H7" s="52"/>
      <c r="I7" s="52"/>
      <c r="J7" s="49" t="s">
        <v>124</v>
      </c>
      <c r="K7" s="49"/>
      <c r="L7" s="58"/>
      <c r="M7" s="58"/>
      <c r="N7" s="58"/>
      <c r="O7" s="61"/>
    </row>
    <row r="8" spans="1:15" x14ac:dyDescent="0.3">
      <c r="A8" s="45"/>
      <c r="B8" s="27" t="s">
        <v>126</v>
      </c>
      <c r="C8" s="52">
        <v>2450</v>
      </c>
      <c r="D8" s="52">
        <f t="shared" si="0"/>
        <v>2205</v>
      </c>
      <c r="E8" s="52">
        <f t="shared" si="1"/>
        <v>1715</v>
      </c>
      <c r="F8" s="52"/>
      <c r="G8" s="52"/>
      <c r="H8" s="52"/>
      <c r="I8" s="52"/>
      <c r="J8" s="49" t="s">
        <v>124</v>
      </c>
      <c r="K8" s="49"/>
      <c r="L8" s="58"/>
      <c r="M8" s="58"/>
      <c r="N8" s="58"/>
      <c r="O8" s="61"/>
    </row>
    <row r="9" spans="1:15" x14ac:dyDescent="0.3">
      <c r="A9" s="45"/>
      <c r="B9" s="47" t="s">
        <v>25</v>
      </c>
      <c r="C9" s="52">
        <v>20</v>
      </c>
      <c r="D9" s="52">
        <v>20</v>
      </c>
      <c r="E9" s="52">
        <v>20</v>
      </c>
      <c r="F9" s="52"/>
      <c r="G9" s="52"/>
      <c r="H9" s="52"/>
      <c r="I9" s="52"/>
      <c r="J9" s="49"/>
      <c r="K9" s="49">
        <v>1</v>
      </c>
      <c r="L9" s="58"/>
      <c r="M9" s="58"/>
      <c r="N9" s="58"/>
      <c r="O9" s="61"/>
    </row>
    <row r="10" spans="1:15" x14ac:dyDescent="0.3">
      <c r="A10" s="45" t="s">
        <v>31</v>
      </c>
      <c r="B10" s="46"/>
      <c r="C10" s="43"/>
      <c r="D10" s="43"/>
      <c r="E10" s="43"/>
      <c r="F10" s="43"/>
      <c r="G10" s="43"/>
      <c r="H10" s="43"/>
      <c r="I10" s="43"/>
      <c r="J10" s="44"/>
      <c r="K10" s="44"/>
      <c r="L10" s="58"/>
      <c r="M10" s="58"/>
      <c r="N10" s="58"/>
      <c r="O10" s="61"/>
    </row>
    <row r="11" spans="1:15" x14ac:dyDescent="0.3">
      <c r="A11" s="45"/>
      <c r="B11" s="62" t="s">
        <v>127</v>
      </c>
      <c r="C11" s="52">
        <v>15950.590770000001</v>
      </c>
      <c r="D11" s="52">
        <v>14887.218052000002</v>
      </c>
      <c r="E11" s="52">
        <v>10633.727180000002</v>
      </c>
      <c r="F11" s="52">
        <v>0</v>
      </c>
      <c r="G11" s="52">
        <v>0</v>
      </c>
      <c r="H11" s="52">
        <v>0</v>
      </c>
      <c r="I11" s="52">
        <v>0</v>
      </c>
      <c r="J11" s="49" t="s">
        <v>128</v>
      </c>
      <c r="K11" s="49" t="s">
        <v>129</v>
      </c>
      <c r="L11" s="58"/>
      <c r="M11" s="58"/>
      <c r="N11" s="58"/>
      <c r="O11" s="61"/>
    </row>
    <row r="12" spans="1:15" x14ac:dyDescent="0.3">
      <c r="A12" s="45"/>
      <c r="B12" s="62" t="s">
        <v>130</v>
      </c>
      <c r="C12" s="52">
        <v>1860.9022565000002</v>
      </c>
      <c r="D12" s="52">
        <v>1978.8326904267387</v>
      </c>
      <c r="E12" s="52">
        <v>1978.8326904267387</v>
      </c>
      <c r="F12" s="52">
        <v>0</v>
      </c>
      <c r="G12" s="52">
        <v>0</v>
      </c>
      <c r="H12" s="52">
        <v>0</v>
      </c>
      <c r="I12" s="52">
        <v>0</v>
      </c>
      <c r="J12" s="49" t="s">
        <v>114</v>
      </c>
      <c r="K12" s="49" t="s">
        <v>129</v>
      </c>
      <c r="L12" s="58"/>
      <c r="M12" s="58"/>
      <c r="N12" s="58"/>
      <c r="O12" s="61"/>
    </row>
    <row r="13" spans="1:15" x14ac:dyDescent="0.3">
      <c r="A13" s="45"/>
      <c r="B13" s="62" t="s">
        <v>131</v>
      </c>
      <c r="C13" s="52">
        <v>733.72717542000009</v>
      </c>
      <c r="D13" s="52">
        <v>780.22546079682832</v>
      </c>
      <c r="E13" s="52">
        <v>780.22546079682832</v>
      </c>
      <c r="F13" s="52">
        <v>0</v>
      </c>
      <c r="G13" s="52">
        <v>0</v>
      </c>
      <c r="H13" s="52">
        <v>0</v>
      </c>
      <c r="I13" s="52">
        <v>0</v>
      </c>
      <c r="J13" s="49" t="s">
        <v>28</v>
      </c>
      <c r="K13" s="49">
        <v>0</v>
      </c>
      <c r="L13" s="58"/>
      <c r="M13" s="58"/>
      <c r="N13" s="58"/>
      <c r="O13" s="61"/>
    </row>
    <row r="14" spans="1:15" x14ac:dyDescent="0.3">
      <c r="A14" s="45"/>
      <c r="B14" s="62" t="s">
        <v>132</v>
      </c>
      <c r="C14" s="52">
        <v>79.752953850000011</v>
      </c>
      <c r="D14" s="52">
        <v>74.436090260000014</v>
      </c>
      <c r="E14" s="52">
        <v>53.168635900000005</v>
      </c>
      <c r="F14" s="52">
        <v>0</v>
      </c>
      <c r="G14" s="52">
        <v>0</v>
      </c>
      <c r="H14" s="52">
        <v>0</v>
      </c>
      <c r="I14" s="52">
        <v>0</v>
      </c>
      <c r="J14" s="49" t="s">
        <v>30</v>
      </c>
      <c r="K14" s="49">
        <v>0</v>
      </c>
      <c r="L14" s="58"/>
      <c r="M14" s="58"/>
      <c r="N14" s="58"/>
      <c r="O14" s="61"/>
    </row>
    <row r="15" spans="1:15" x14ac:dyDescent="0.3">
      <c r="A15" s="45"/>
      <c r="B15" s="62" t="s">
        <v>133</v>
      </c>
      <c r="C15" s="52">
        <v>9.570354462000001</v>
      </c>
      <c r="D15" s="52">
        <v>9.570354462000001</v>
      </c>
      <c r="E15" s="52">
        <v>9.570354462000001</v>
      </c>
      <c r="F15" s="52">
        <v>0</v>
      </c>
      <c r="G15" s="52">
        <v>0</v>
      </c>
      <c r="H15" s="52">
        <v>0</v>
      </c>
      <c r="I15" s="52">
        <v>0</v>
      </c>
      <c r="J15" s="49" t="s">
        <v>30</v>
      </c>
      <c r="K15" s="49">
        <v>0</v>
      </c>
      <c r="L15" s="58"/>
      <c r="M15" s="58"/>
      <c r="N15" s="58"/>
      <c r="O15" s="61"/>
    </row>
    <row r="16" spans="1:15" x14ac:dyDescent="0.3">
      <c r="A16" s="45"/>
      <c r="B16" s="62" t="s">
        <v>134</v>
      </c>
      <c r="C16" s="52">
        <v>4.2534908720000004</v>
      </c>
      <c r="D16" s="52">
        <v>4.2534908720000004</v>
      </c>
      <c r="E16" s="52">
        <v>4.2534908720000004</v>
      </c>
      <c r="F16" s="52">
        <v>0</v>
      </c>
      <c r="G16" s="52">
        <v>0</v>
      </c>
      <c r="H16" s="52">
        <v>0</v>
      </c>
      <c r="I16" s="52">
        <v>0</v>
      </c>
      <c r="J16" s="49" t="s">
        <v>30</v>
      </c>
      <c r="K16" s="49">
        <v>0</v>
      </c>
      <c r="L16" s="58"/>
      <c r="M16" s="58"/>
      <c r="N16" s="58"/>
      <c r="O16" s="61"/>
    </row>
    <row r="17" spans="1:15" x14ac:dyDescent="0.3">
      <c r="A17" s="45"/>
      <c r="B17" s="62" t="s">
        <v>135</v>
      </c>
      <c r="C17" s="52">
        <v>7.2309344824000004</v>
      </c>
      <c r="D17" s="52">
        <v>6.3802363080000006</v>
      </c>
      <c r="E17" s="52">
        <v>4.2534908720000004</v>
      </c>
      <c r="F17" s="52">
        <v>0</v>
      </c>
      <c r="G17" s="52">
        <v>0</v>
      </c>
      <c r="H17" s="52">
        <v>0</v>
      </c>
      <c r="I17" s="52">
        <v>0</v>
      </c>
      <c r="J17" s="49">
        <v>0</v>
      </c>
      <c r="K17" s="49">
        <v>3.1901181540000003</v>
      </c>
      <c r="L17" s="58"/>
      <c r="M17" s="58"/>
      <c r="N17" s="58"/>
      <c r="O17" s="61"/>
    </row>
    <row r="18" spans="1:15" x14ac:dyDescent="0.3">
      <c r="A18" s="45"/>
      <c r="B18" s="62" t="s">
        <v>136</v>
      </c>
      <c r="C18" s="52">
        <v>1.8077336206000001</v>
      </c>
      <c r="D18" s="52">
        <v>1.8077336206000001</v>
      </c>
      <c r="E18" s="52">
        <v>1.8077336206000001</v>
      </c>
      <c r="F18" s="52">
        <v>0</v>
      </c>
      <c r="G18" s="52">
        <v>0</v>
      </c>
      <c r="H18" s="52">
        <v>0</v>
      </c>
      <c r="I18" s="52">
        <v>0</v>
      </c>
      <c r="J18" s="49">
        <v>0</v>
      </c>
      <c r="K18" s="49">
        <v>3.1901181540000003</v>
      </c>
      <c r="L18" s="58"/>
      <c r="M18" s="58"/>
      <c r="N18" s="58"/>
      <c r="O18" s="61"/>
    </row>
    <row r="19" spans="1:15" x14ac:dyDescent="0.3">
      <c r="A19" s="45"/>
      <c r="B19" s="62" t="s">
        <v>137</v>
      </c>
      <c r="C19" s="52">
        <v>1.4887218052</v>
      </c>
      <c r="D19" s="52">
        <v>1.4887218052</v>
      </c>
      <c r="E19" s="52">
        <v>1.4887218052</v>
      </c>
      <c r="F19" s="52">
        <v>0</v>
      </c>
      <c r="G19" s="52">
        <v>0</v>
      </c>
      <c r="H19" s="52">
        <v>0</v>
      </c>
      <c r="I19" s="52">
        <v>0</v>
      </c>
      <c r="J19" s="49">
        <v>0</v>
      </c>
      <c r="K19" s="49">
        <v>3.1901181540000003</v>
      </c>
      <c r="L19" s="58"/>
      <c r="M19" s="58"/>
      <c r="N19" s="58"/>
      <c r="O19" s="61"/>
    </row>
    <row r="20" spans="1:15" x14ac:dyDescent="0.3">
      <c r="A20" s="45" t="s">
        <v>56</v>
      </c>
      <c r="B20" s="46"/>
      <c r="C20" s="52"/>
      <c r="D20" s="52"/>
      <c r="E20" s="52"/>
      <c r="F20" s="52"/>
      <c r="G20" s="52"/>
      <c r="H20" s="52"/>
      <c r="I20" s="52"/>
      <c r="J20" s="49"/>
      <c r="K20" s="49"/>
      <c r="L20" s="58"/>
      <c r="M20" s="58"/>
      <c r="N20" s="58"/>
      <c r="O20" s="61"/>
    </row>
    <row r="21" spans="1:15" x14ac:dyDescent="0.3">
      <c r="A21" s="45"/>
      <c r="B21" s="46"/>
      <c r="C21" s="52"/>
      <c r="D21" s="52"/>
      <c r="E21" s="52"/>
      <c r="F21" s="52"/>
      <c r="G21" s="52"/>
      <c r="H21" s="52"/>
      <c r="I21" s="52"/>
      <c r="J21" s="49"/>
      <c r="K21" s="49"/>
      <c r="L21" s="58"/>
      <c r="M21" s="58"/>
      <c r="N21" s="58"/>
      <c r="O21" s="61"/>
    </row>
    <row r="22" spans="1:15" x14ac:dyDescent="0.3">
      <c r="A22" s="6" t="s">
        <v>57</v>
      </c>
      <c r="B22" s="35"/>
      <c r="C22" s="35"/>
      <c r="D22" s="35"/>
      <c r="E22" s="35"/>
      <c r="F22" s="35"/>
      <c r="G22" s="35"/>
      <c r="H22" s="35"/>
      <c r="I22" s="35"/>
      <c r="J22" s="35"/>
      <c r="K22" s="35"/>
      <c r="L22" s="35"/>
      <c r="M22" s="35"/>
      <c r="N22" s="35"/>
    </row>
    <row r="23" spans="1:15" x14ac:dyDescent="0.3">
      <c r="A23" s="1"/>
      <c r="B23" s="59" t="s">
        <v>138</v>
      </c>
      <c r="C23" s="60"/>
      <c r="D23" s="60"/>
      <c r="E23" s="60"/>
      <c r="F23" s="60"/>
      <c r="G23" s="60"/>
      <c r="H23" s="60"/>
      <c r="I23" s="60"/>
      <c r="J23" s="60"/>
      <c r="K23" s="60"/>
      <c r="L23" s="35"/>
      <c r="M23" s="35"/>
      <c r="N23" s="35"/>
    </row>
    <row r="24" spans="1:15" x14ac:dyDescent="0.3">
      <c r="A24" s="1"/>
      <c r="B24" s="59" t="s">
        <v>139</v>
      </c>
      <c r="C24" s="60"/>
      <c r="D24" s="60"/>
      <c r="E24" s="60"/>
      <c r="F24" s="60"/>
      <c r="G24" s="60"/>
      <c r="H24" s="60"/>
      <c r="I24" s="60"/>
      <c r="J24" s="60"/>
      <c r="K24" s="60"/>
      <c r="L24" s="35"/>
      <c r="M24" s="35"/>
      <c r="N24" s="35"/>
    </row>
    <row r="25" spans="1:15" x14ac:dyDescent="0.3">
      <c r="A25" s="1"/>
      <c r="B25" s="59" t="s">
        <v>140</v>
      </c>
      <c r="C25" s="60"/>
      <c r="D25" s="60"/>
      <c r="E25" s="60"/>
      <c r="F25" s="60"/>
      <c r="G25" s="60"/>
      <c r="H25" s="60"/>
      <c r="I25" s="60"/>
      <c r="J25" s="60"/>
      <c r="K25" s="60"/>
      <c r="L25" s="35"/>
      <c r="M25" s="35"/>
      <c r="N25" s="35"/>
    </row>
    <row r="26" spans="1:15" x14ac:dyDescent="0.3">
      <c r="A26" s="1"/>
      <c r="B26" s="59"/>
      <c r="C26" s="60"/>
      <c r="D26" s="60"/>
      <c r="E26" s="60"/>
      <c r="F26" s="60"/>
      <c r="G26" s="60"/>
      <c r="H26" s="60"/>
      <c r="I26" s="60"/>
      <c r="J26" s="60"/>
      <c r="K26" s="60"/>
      <c r="L26" s="35"/>
      <c r="M26" s="35"/>
      <c r="N26" s="35"/>
    </row>
    <row r="27" spans="1:15" x14ac:dyDescent="0.3">
      <c r="A27" s="6" t="s">
        <v>67</v>
      </c>
      <c r="B27" s="35"/>
      <c r="C27" s="35"/>
      <c r="D27" s="35"/>
      <c r="E27" s="35"/>
      <c r="F27" s="35"/>
      <c r="G27" s="35"/>
      <c r="H27" s="35"/>
      <c r="I27" s="35"/>
      <c r="J27" s="35"/>
      <c r="K27" s="35"/>
      <c r="L27" s="35"/>
      <c r="M27" s="35"/>
      <c r="N27" s="35"/>
    </row>
    <row r="28" spans="1:15" x14ac:dyDescent="0.3">
      <c r="A28" s="1"/>
      <c r="B28" s="8" t="s">
        <v>141</v>
      </c>
      <c r="C28" s="10"/>
      <c r="D28" s="10"/>
      <c r="E28" s="10"/>
      <c r="F28" s="10"/>
      <c r="G28" s="10"/>
      <c r="H28" s="10"/>
      <c r="I28" s="10"/>
      <c r="J28" s="10"/>
      <c r="K28" s="10"/>
      <c r="L28" s="35"/>
      <c r="M28" s="35"/>
      <c r="N28" s="35"/>
    </row>
    <row r="29" spans="1:15" x14ac:dyDescent="0.3">
      <c r="A29" s="1"/>
      <c r="B29" s="8" t="s">
        <v>142</v>
      </c>
      <c r="C29" s="10"/>
      <c r="D29" s="10"/>
      <c r="E29" s="10"/>
      <c r="F29" s="10"/>
      <c r="G29" s="10"/>
      <c r="H29" s="10"/>
      <c r="I29" s="10"/>
      <c r="J29" s="10"/>
      <c r="K29" s="10"/>
      <c r="L29" s="35"/>
      <c r="M29" s="35"/>
      <c r="N29" s="35"/>
    </row>
    <row r="30" spans="1:15" x14ac:dyDescent="0.3">
      <c r="A30" s="1"/>
      <c r="B30" s="8" t="s">
        <v>143</v>
      </c>
      <c r="C30" s="10"/>
      <c r="D30" s="10"/>
      <c r="E30" s="10"/>
      <c r="F30" s="10"/>
      <c r="G30" s="10"/>
      <c r="H30" s="10"/>
      <c r="I30" s="10"/>
      <c r="J30" s="10"/>
      <c r="K30" s="10"/>
      <c r="L30" s="35"/>
      <c r="M30" s="35"/>
      <c r="N30" s="35"/>
    </row>
    <row r="31" spans="1:15" x14ac:dyDescent="0.3">
      <c r="A31" s="1"/>
      <c r="B31" s="8" t="s">
        <v>144</v>
      </c>
      <c r="C31" s="10"/>
      <c r="D31" s="10"/>
      <c r="E31" s="10"/>
      <c r="F31" s="10"/>
      <c r="G31" s="10"/>
      <c r="H31" s="10"/>
      <c r="I31" s="10"/>
      <c r="J31" s="10"/>
      <c r="K31" s="10"/>
      <c r="L31" s="35"/>
      <c r="M31" s="35"/>
      <c r="N31" s="35"/>
    </row>
    <row r="32" spans="1:15" x14ac:dyDescent="0.3">
      <c r="A32" s="1"/>
      <c r="B32" s="8" t="s">
        <v>145</v>
      </c>
      <c r="C32" s="10"/>
      <c r="D32" s="10"/>
      <c r="E32" s="10"/>
      <c r="F32" s="10"/>
      <c r="G32" s="10"/>
      <c r="H32" s="10"/>
      <c r="I32" s="10"/>
      <c r="J32" s="10"/>
      <c r="K32" s="10"/>
      <c r="L32" s="35"/>
      <c r="M32" s="35"/>
      <c r="N32" s="35"/>
    </row>
    <row r="33" spans="1:14" x14ac:dyDescent="0.3">
      <c r="A33" s="1"/>
      <c r="B33" s="8" t="s">
        <v>146</v>
      </c>
      <c r="C33" s="10"/>
      <c r="D33" s="10"/>
      <c r="E33" s="10"/>
      <c r="F33" s="10"/>
      <c r="G33" s="10"/>
      <c r="H33" s="10"/>
      <c r="I33" s="10"/>
      <c r="J33" s="10"/>
      <c r="K33" s="10"/>
      <c r="L33" s="35"/>
      <c r="M33" s="35"/>
      <c r="N33" s="35"/>
    </row>
    <row r="34" spans="1:14" x14ac:dyDescent="0.3">
      <c r="A34" s="1"/>
      <c r="B34" s="8" t="s">
        <v>147</v>
      </c>
      <c r="C34" s="10"/>
      <c r="D34" s="10"/>
      <c r="E34" s="10"/>
      <c r="F34" s="10"/>
      <c r="G34" s="10"/>
      <c r="H34" s="10"/>
      <c r="I34" s="10"/>
      <c r="J34" s="10"/>
      <c r="K34" s="10"/>
      <c r="L34" s="35"/>
      <c r="M34" s="35"/>
      <c r="N34" s="35"/>
    </row>
  </sheetData>
  <mergeCells count="1">
    <mergeCell ref="C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17BE-2B49-4D94-8D23-F69EEBB61B78}">
  <dimension ref="C3:AF26"/>
  <sheetViews>
    <sheetView zoomScale="78" workbookViewId="0">
      <selection activeCell="G12" sqref="G12"/>
    </sheetView>
  </sheetViews>
  <sheetFormatPr defaultRowHeight="14.4" x14ac:dyDescent="0.3"/>
  <cols>
    <col min="11" max="11" width="11" bestFit="1" customWidth="1"/>
    <col min="17" max="18" width="12" bestFit="1" customWidth="1"/>
    <col min="27" max="27" width="18.664062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15" thickBot="1" x14ac:dyDescent="0.35">
      <c r="C10" s="70" t="s">
        <v>219</v>
      </c>
      <c r="D10" s="70"/>
      <c r="E10" s="70"/>
      <c r="F10" s="70"/>
      <c r="G10" s="70"/>
      <c r="H10" s="70"/>
      <c r="I10" s="70"/>
      <c r="J10" s="70"/>
      <c r="K10" s="70" t="s">
        <v>220</v>
      </c>
      <c r="L10" s="70" t="s">
        <v>221</v>
      </c>
      <c r="M10" s="70" t="s">
        <v>221</v>
      </c>
      <c r="N10" s="70" t="s">
        <v>222</v>
      </c>
      <c r="O10" s="70" t="s">
        <v>223</v>
      </c>
      <c r="P10" s="70" t="s">
        <v>224</v>
      </c>
      <c r="Q10" s="73" t="s">
        <v>243</v>
      </c>
      <c r="R10" s="73" t="s">
        <v>243</v>
      </c>
      <c r="S10" s="70" t="s">
        <v>225</v>
      </c>
      <c r="T10" s="73" t="s">
        <v>223</v>
      </c>
    </row>
    <row r="11" spans="3:32" x14ac:dyDescent="0.3">
      <c r="C11" t="s">
        <v>297</v>
      </c>
      <c r="D11" t="s">
        <v>245</v>
      </c>
      <c r="F11" t="s">
        <v>246</v>
      </c>
      <c r="G11" t="s">
        <v>311</v>
      </c>
      <c r="I11">
        <v>2020</v>
      </c>
      <c r="J11" s="74">
        <v>2030</v>
      </c>
      <c r="K11">
        <f>1-0.003</f>
        <v>0.997</v>
      </c>
      <c r="N11">
        <v>0.45</v>
      </c>
      <c r="O11" s="75">
        <v>40</v>
      </c>
      <c r="P11" s="79">
        <v>31.536000000000001</v>
      </c>
      <c r="Q11">
        <f>'Transmission lines'!$G$37</f>
        <v>1119.4369973190348</v>
      </c>
      <c r="R11">
        <f>'Transmission lines'!G8*'Transmission lines'!O38</f>
        <v>9.1705160316910241</v>
      </c>
      <c r="T11" s="76">
        <v>1.5</v>
      </c>
      <c r="Y11" s="67" t="s">
        <v>226</v>
      </c>
      <c r="Z11" s="68"/>
      <c r="AA11" s="68"/>
      <c r="AB11" s="68"/>
      <c r="AC11" s="68"/>
      <c r="AD11" s="68"/>
      <c r="AE11" s="68"/>
      <c r="AF11" s="68"/>
    </row>
    <row r="12" spans="3:32" x14ac:dyDescent="0.3">
      <c r="I12" s="72">
        <v>2030</v>
      </c>
      <c r="J12" s="72"/>
      <c r="K12">
        <f t="shared" ref="K12:K13" si="0">1-0.003</f>
        <v>0.997</v>
      </c>
      <c r="N12">
        <v>0.45</v>
      </c>
      <c r="O12" s="77">
        <v>40</v>
      </c>
      <c r="P12" s="79">
        <v>31.536000000000001</v>
      </c>
      <c r="Q12">
        <f>'Transmission lines'!$G$37</f>
        <v>1119.4369973190348</v>
      </c>
      <c r="R12">
        <f>'Transmission lines'!Q38</f>
        <v>9.6151530862687125</v>
      </c>
      <c r="T12" s="76">
        <v>1.5</v>
      </c>
      <c r="Y12" s="69" t="s">
        <v>227</v>
      </c>
      <c r="Z12" s="69" t="s">
        <v>185</v>
      </c>
      <c r="AA12" s="69" t="s">
        <v>186</v>
      </c>
      <c r="AB12" s="69" t="s">
        <v>228</v>
      </c>
      <c r="AC12" s="69" t="s">
        <v>229</v>
      </c>
      <c r="AD12" s="69" t="s">
        <v>230</v>
      </c>
      <c r="AE12" s="69" t="s">
        <v>231</v>
      </c>
      <c r="AF12" s="69" t="s">
        <v>232</v>
      </c>
    </row>
    <row r="13" spans="3:32" ht="42.6" thickBot="1" x14ac:dyDescent="0.35">
      <c r="I13">
        <v>2050</v>
      </c>
      <c r="K13">
        <f t="shared" si="0"/>
        <v>0.997</v>
      </c>
      <c r="N13">
        <v>0.45</v>
      </c>
      <c r="O13">
        <v>40</v>
      </c>
      <c r="P13" s="79">
        <v>31.536000000000001</v>
      </c>
      <c r="Q13">
        <f>'Transmission lines'!$G$37</f>
        <v>1119.4369973190348</v>
      </c>
      <c r="R13">
        <f>'Transmission lines'!R38</f>
        <v>10.081348590733008</v>
      </c>
      <c r="T13">
        <v>1.5</v>
      </c>
      <c r="Y13" s="70" t="s">
        <v>233</v>
      </c>
      <c r="Z13" s="70" t="s">
        <v>234</v>
      </c>
      <c r="AA13" s="70" t="s">
        <v>204</v>
      </c>
      <c r="AB13" s="70" t="s">
        <v>235</v>
      </c>
      <c r="AC13" s="70" t="s">
        <v>236</v>
      </c>
      <c r="AD13" s="70" t="s">
        <v>237</v>
      </c>
      <c r="AE13" s="70" t="s">
        <v>238</v>
      </c>
      <c r="AF13" s="70" t="s">
        <v>239</v>
      </c>
    </row>
    <row r="14" spans="3:32" ht="15" thickBot="1" x14ac:dyDescent="0.35">
      <c r="H14" s="72"/>
      <c r="O14" s="77"/>
      <c r="T14" s="76"/>
      <c r="Y14" s="70" t="s">
        <v>240</v>
      </c>
      <c r="Z14" s="70"/>
      <c r="AA14" s="70"/>
      <c r="AB14" s="70"/>
      <c r="AC14" s="70"/>
      <c r="AD14" s="70"/>
      <c r="AE14" s="70"/>
      <c r="AF14" s="70"/>
    </row>
    <row r="15" spans="3:32" x14ac:dyDescent="0.3">
      <c r="I15" s="72"/>
      <c r="O15" s="77"/>
      <c r="P15" s="79"/>
      <c r="T15" s="76"/>
      <c r="Y15" t="s">
        <v>241</v>
      </c>
      <c r="Z15" t="s">
        <v>297</v>
      </c>
      <c r="AA15" t="s">
        <v>245</v>
      </c>
      <c r="AB15" s="78" t="s">
        <v>184</v>
      </c>
      <c r="AC15" s="78" t="s">
        <v>244</v>
      </c>
      <c r="AD15" s="72" t="s">
        <v>182</v>
      </c>
      <c r="AE15" t="s">
        <v>296</v>
      </c>
      <c r="AF15" s="78" t="s">
        <v>242</v>
      </c>
    </row>
    <row r="16" spans="3:32" x14ac:dyDescent="0.3">
      <c r="I16" s="72"/>
      <c r="O16" s="77"/>
      <c r="T16" s="76"/>
    </row>
    <row r="18" spans="8:20" x14ac:dyDescent="0.3">
      <c r="H18" s="72"/>
      <c r="I18" s="72"/>
    </row>
    <row r="19" spans="8:20" x14ac:dyDescent="0.3">
      <c r="I19" s="72"/>
      <c r="O19" s="77"/>
      <c r="P19" s="79"/>
    </row>
    <row r="22" spans="8:20" x14ac:dyDescent="0.3">
      <c r="H22" s="72"/>
    </row>
    <row r="23" spans="8:20" x14ac:dyDescent="0.3">
      <c r="I23" s="72"/>
      <c r="O23" s="77"/>
      <c r="P23" s="79"/>
      <c r="T23" s="76"/>
    </row>
    <row r="26" spans="8:20" x14ac:dyDescent="0.3">
      <c r="H26" s="7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7A4C-74C9-4AC6-9374-1665F48D78A1}">
  <sheetPr>
    <tabColor theme="5" tint="0.39997558519241921"/>
  </sheetPr>
  <dimension ref="C1:U125"/>
  <sheetViews>
    <sheetView topLeftCell="A25" zoomScale="57" workbookViewId="0">
      <selection activeCell="L60" sqref="L60"/>
    </sheetView>
  </sheetViews>
  <sheetFormatPr defaultRowHeight="14.4" x14ac:dyDescent="0.3"/>
  <cols>
    <col min="3" max="3" width="40.33203125" bestFit="1" customWidth="1"/>
    <col min="4" max="4" width="28.88671875" bestFit="1" customWidth="1"/>
    <col min="5" max="5" width="24.109375" bestFit="1" customWidth="1"/>
    <col min="6" max="6" width="30.44140625" bestFit="1" customWidth="1"/>
    <col min="7" max="7" width="12.109375" bestFit="1" customWidth="1"/>
    <col min="12" max="12" width="36.88671875" customWidth="1"/>
    <col min="13" max="13" width="12" bestFit="1" customWidth="1"/>
    <col min="14" max="14" width="12.5546875" bestFit="1" customWidth="1"/>
    <col min="15" max="15" width="26.44140625" bestFit="1" customWidth="1"/>
    <col min="16" max="16" width="12" bestFit="1" customWidth="1"/>
  </cols>
  <sheetData>
    <row r="1" spans="3:21" ht="18" x14ac:dyDescent="0.35">
      <c r="C1" s="65" t="s">
        <v>154</v>
      </c>
      <c r="L1" s="65" t="s">
        <v>155</v>
      </c>
    </row>
    <row r="2" spans="3:21" x14ac:dyDescent="0.3">
      <c r="L2" t="s">
        <v>162</v>
      </c>
      <c r="P2" t="s">
        <v>156</v>
      </c>
    </row>
    <row r="3" spans="3:21" x14ac:dyDescent="0.3">
      <c r="C3" s="27" t="s">
        <v>98</v>
      </c>
      <c r="D3" s="48">
        <v>0.42534908720000009</v>
      </c>
      <c r="E3" s="66">
        <f>D3</f>
        <v>0.42534908720000009</v>
      </c>
      <c r="F3" t="s">
        <v>169</v>
      </c>
      <c r="P3">
        <v>33.33</v>
      </c>
      <c r="Q3" t="s">
        <v>157</v>
      </c>
    </row>
    <row r="4" spans="3:21" x14ac:dyDescent="0.3">
      <c r="C4" s="27" t="s">
        <v>99</v>
      </c>
      <c r="D4" s="48">
        <v>0.24457572514000003</v>
      </c>
      <c r="E4" s="66">
        <f>D4</f>
        <v>0.24457572514000003</v>
      </c>
      <c r="F4" t="s">
        <v>169</v>
      </c>
      <c r="P4">
        <v>33.33</v>
      </c>
      <c r="Q4" t="s">
        <v>158</v>
      </c>
    </row>
    <row r="5" spans="3:21" x14ac:dyDescent="0.3">
      <c r="P5">
        <v>33.33</v>
      </c>
      <c r="Q5" t="s">
        <v>159</v>
      </c>
      <c r="R5">
        <f>P5/1000</f>
        <v>3.3329999999999999E-2</v>
      </c>
      <c r="S5" t="s">
        <v>172</v>
      </c>
    </row>
    <row r="6" spans="3:21" x14ac:dyDescent="0.3">
      <c r="P6">
        <v>3.3329999999999999E-2</v>
      </c>
      <c r="Q6" t="s">
        <v>160</v>
      </c>
    </row>
    <row r="7" spans="3:21" x14ac:dyDescent="0.3">
      <c r="C7" s="47" t="s">
        <v>25</v>
      </c>
      <c r="D7" s="52">
        <v>50</v>
      </c>
      <c r="L7" s="47" t="s">
        <v>25</v>
      </c>
      <c r="M7" s="52">
        <v>20</v>
      </c>
    </row>
    <row r="8" spans="3:21" x14ac:dyDescent="0.3">
      <c r="C8" s="47" t="s">
        <v>29</v>
      </c>
      <c r="D8" s="52">
        <v>1</v>
      </c>
    </row>
    <row r="9" spans="3:21" x14ac:dyDescent="0.3">
      <c r="T9">
        <f>P11*P4</f>
        <v>1.1998799999999999E-4</v>
      </c>
    </row>
    <row r="10" spans="3:21" x14ac:dyDescent="0.3">
      <c r="D10">
        <v>2030</v>
      </c>
      <c r="E10">
        <v>2050</v>
      </c>
      <c r="P10" t="s">
        <v>161</v>
      </c>
    </row>
    <row r="11" spans="3:21" x14ac:dyDescent="0.3">
      <c r="C11" s="27" t="s">
        <v>102</v>
      </c>
      <c r="D11" s="54">
        <v>0.26584317950000003</v>
      </c>
      <c r="E11" s="48">
        <v>0.19938238462500002</v>
      </c>
      <c r="P11">
        <v>3.5999999999999998E-6</v>
      </c>
      <c r="T11" t="s">
        <v>251</v>
      </c>
    </row>
    <row r="12" spans="3:21" x14ac:dyDescent="0.3">
      <c r="C12" t="s">
        <v>171</v>
      </c>
      <c r="D12" s="63">
        <f>D11*1000/1000000</f>
        <v>2.6584317950000002E-4</v>
      </c>
      <c r="E12" s="63">
        <f>E11*1000/1000000</f>
        <v>1.9938238462500002E-4</v>
      </c>
      <c r="M12">
        <v>2030</v>
      </c>
      <c r="N12">
        <v>2050</v>
      </c>
      <c r="T12">
        <v>10000</v>
      </c>
      <c r="U12" t="s">
        <v>252</v>
      </c>
    </row>
    <row r="13" spans="3:21" x14ac:dyDescent="0.3">
      <c r="L13" s="27" t="s">
        <v>123</v>
      </c>
      <c r="M13" s="52">
        <v>2025</v>
      </c>
      <c r="N13" s="52">
        <v>1575</v>
      </c>
    </row>
    <row r="14" spans="3:21" x14ac:dyDescent="0.3">
      <c r="L14" t="s">
        <v>253</v>
      </c>
      <c r="M14">
        <f>M13/1000000</f>
        <v>2.0249999999999999E-3</v>
      </c>
      <c r="N14">
        <f>N13/1000000</f>
        <v>1.575E-3</v>
      </c>
      <c r="T14">
        <f>P4*P11*T12</f>
        <v>1.1998799999999998</v>
      </c>
      <c r="U14" t="s">
        <v>184</v>
      </c>
    </row>
    <row r="16" spans="3:21" x14ac:dyDescent="0.3">
      <c r="D16">
        <v>2030</v>
      </c>
      <c r="E16">
        <v>2050</v>
      </c>
      <c r="L16" s="62" t="s">
        <v>127</v>
      </c>
      <c r="M16" s="52">
        <v>14887.218052000002</v>
      </c>
      <c r="N16" s="52">
        <v>10633.727180000002</v>
      </c>
      <c r="O16" s="62"/>
    </row>
    <row r="17" spans="3:16" x14ac:dyDescent="0.3">
      <c r="C17" s="47" t="s">
        <v>92</v>
      </c>
      <c r="D17" s="48">
        <v>2.5</v>
      </c>
      <c r="E17" s="48">
        <v>2.2000000000000002</v>
      </c>
      <c r="L17" s="62" t="s">
        <v>132</v>
      </c>
      <c r="M17" s="52">
        <v>74.436090260000014</v>
      </c>
      <c r="N17" s="52">
        <v>53.168635900000005</v>
      </c>
      <c r="O17" s="62"/>
    </row>
    <row r="18" spans="3:16" x14ac:dyDescent="0.3">
      <c r="C18" s="47" t="s">
        <v>93</v>
      </c>
      <c r="D18" s="48">
        <v>1.9</v>
      </c>
      <c r="E18" s="48">
        <v>1.7</v>
      </c>
      <c r="L18" s="62" t="s">
        <v>135</v>
      </c>
      <c r="M18" s="52">
        <v>6.3802363080000006</v>
      </c>
      <c r="N18" s="52">
        <v>4.2534908720000004</v>
      </c>
      <c r="O18" s="62"/>
    </row>
    <row r="19" spans="3:16" x14ac:dyDescent="0.3">
      <c r="C19" s="47" t="s">
        <v>95</v>
      </c>
      <c r="D19" s="51">
        <v>1.6800000000000002</v>
      </c>
      <c r="E19" s="51">
        <v>1.47</v>
      </c>
    </row>
    <row r="20" spans="3:16" x14ac:dyDescent="0.3">
      <c r="L20" s="62" t="s">
        <v>257</v>
      </c>
      <c r="M20" s="63">
        <f>M16/(33.33*1000000*$P$11)</f>
        <v>124.07255768910225</v>
      </c>
      <c r="N20" s="63">
        <f>N16/(33.33*1000000*$P$11)</f>
        <v>88.623255492215904</v>
      </c>
    </row>
    <row r="21" spans="3:16" x14ac:dyDescent="0.3">
      <c r="C21" t="s">
        <v>153</v>
      </c>
      <c r="D21" t="s">
        <v>173</v>
      </c>
      <c r="E21" t="s">
        <v>174</v>
      </c>
      <c r="F21" t="s">
        <v>175</v>
      </c>
      <c r="G21" t="s">
        <v>176</v>
      </c>
      <c r="L21" s="62" t="s">
        <v>258</v>
      </c>
      <c r="M21" s="63">
        <f t="shared" ref="M21:N21" si="0">M17/(33.33*1000000*$P$11)</f>
        <v>0.62036278844551129</v>
      </c>
      <c r="N21" s="63">
        <f t="shared" si="0"/>
        <v>0.44311627746107951</v>
      </c>
    </row>
    <row r="22" spans="3:16" x14ac:dyDescent="0.3">
      <c r="C22">
        <v>10</v>
      </c>
      <c r="D22">
        <f>$E$3*C22</f>
        <v>4.2534908720000004</v>
      </c>
      <c r="E22">
        <f>$E$4*C22</f>
        <v>2.4457572514000003</v>
      </c>
      <c r="F22">
        <f>$D$12*C22</f>
        <v>2.658431795E-3</v>
      </c>
      <c r="G22">
        <f t="shared" ref="G22:G53" si="1">$E$12*C22</f>
        <v>1.9938238462500002E-3</v>
      </c>
      <c r="L22" s="62" t="s">
        <v>259</v>
      </c>
      <c r="M22" s="63">
        <f t="shared" ref="M22:N22" si="2">M18/(33.33*1000000*$P$11)</f>
        <v>5.3173953295329542E-2</v>
      </c>
      <c r="N22" s="63">
        <f t="shared" si="2"/>
        <v>3.5449302196886356E-2</v>
      </c>
    </row>
    <row r="23" spans="3:16" x14ac:dyDescent="0.3">
      <c r="C23">
        <v>20</v>
      </c>
      <c r="D23">
        <f t="shared" ref="D23:D86" si="3">$E$3*C23</f>
        <v>8.5069817440000008</v>
      </c>
      <c r="E23">
        <f t="shared" ref="E23:E86" si="4">$E$4*C23</f>
        <v>4.8915145028000007</v>
      </c>
      <c r="F23">
        <f t="shared" ref="F23:F86" si="5">$D$12*C23</f>
        <v>5.31686359E-3</v>
      </c>
      <c r="G23">
        <f t="shared" si="1"/>
        <v>3.9876476925000005E-3</v>
      </c>
    </row>
    <row r="24" spans="3:16" x14ac:dyDescent="0.3">
      <c r="C24">
        <v>30</v>
      </c>
      <c r="D24">
        <f t="shared" si="3"/>
        <v>12.760472616000003</v>
      </c>
      <c r="E24">
        <f t="shared" si="4"/>
        <v>7.3372717542000014</v>
      </c>
      <c r="F24">
        <f t="shared" si="5"/>
        <v>7.9752953850000009E-3</v>
      </c>
      <c r="G24">
        <f t="shared" si="1"/>
        <v>5.9814715387500007E-3</v>
      </c>
    </row>
    <row r="25" spans="3:16" x14ac:dyDescent="0.3">
      <c r="C25">
        <v>40</v>
      </c>
      <c r="D25">
        <f t="shared" si="3"/>
        <v>17.013963488000002</v>
      </c>
      <c r="E25">
        <f t="shared" si="4"/>
        <v>9.7830290056000013</v>
      </c>
      <c r="F25">
        <f t="shared" si="5"/>
        <v>1.063372718E-2</v>
      </c>
      <c r="G25">
        <f t="shared" si="1"/>
        <v>7.9752953850000009E-3</v>
      </c>
      <c r="L25" t="s">
        <v>153</v>
      </c>
      <c r="O25" t="s">
        <v>254</v>
      </c>
      <c r="P25" t="s">
        <v>255</v>
      </c>
    </row>
    <row r="26" spans="3:16" x14ac:dyDescent="0.3">
      <c r="C26">
        <v>50</v>
      </c>
      <c r="D26">
        <f t="shared" si="3"/>
        <v>21.267454360000006</v>
      </c>
      <c r="E26">
        <f t="shared" si="4"/>
        <v>12.228786257000001</v>
      </c>
      <c r="F26">
        <f t="shared" si="5"/>
        <v>1.3292158975000001E-2</v>
      </c>
      <c r="G26">
        <f t="shared" si="1"/>
        <v>9.9691192312500003E-3</v>
      </c>
      <c r="L26">
        <v>10</v>
      </c>
      <c r="M26">
        <f>$M$14*L26</f>
        <v>2.0249999999999997E-2</v>
      </c>
      <c r="N26">
        <f>$N$14*L26</f>
        <v>1.575E-2</v>
      </c>
      <c r="O26">
        <f>1-M26/$T$14</f>
        <v>0.98312331233123307</v>
      </c>
      <c r="P26">
        <f>1-N26/$T$14</f>
        <v>0.98687368736873682</v>
      </c>
    </row>
    <row r="27" spans="3:16" x14ac:dyDescent="0.3">
      <c r="C27">
        <v>60</v>
      </c>
      <c r="D27">
        <f t="shared" si="3"/>
        <v>25.520945232000006</v>
      </c>
      <c r="E27">
        <f t="shared" si="4"/>
        <v>14.674543508400003</v>
      </c>
      <c r="F27">
        <f t="shared" si="5"/>
        <v>1.5950590770000002E-2</v>
      </c>
      <c r="G27">
        <f t="shared" si="1"/>
        <v>1.1962943077500001E-2</v>
      </c>
      <c r="L27">
        <v>20</v>
      </c>
      <c r="M27">
        <f t="shared" ref="M27:M90" si="6">$M$14*L27</f>
        <v>4.0499999999999994E-2</v>
      </c>
      <c r="N27">
        <f t="shared" ref="N27:N90" si="7">$N$14*L27</f>
        <v>3.15E-2</v>
      </c>
      <c r="O27">
        <f t="shared" ref="O27:O81" si="8">1-M27/$T$14</f>
        <v>0.96624662466246625</v>
      </c>
      <c r="P27">
        <f t="shared" ref="P27:P81" si="9">1-N27/$T$14</f>
        <v>0.97374737473747375</v>
      </c>
    </row>
    <row r="28" spans="3:16" x14ac:dyDescent="0.3">
      <c r="C28">
        <v>70</v>
      </c>
      <c r="D28">
        <f t="shared" si="3"/>
        <v>29.774436104000007</v>
      </c>
      <c r="E28">
        <f t="shared" si="4"/>
        <v>17.120300759800003</v>
      </c>
      <c r="F28">
        <f t="shared" si="5"/>
        <v>1.8609022565000001E-2</v>
      </c>
      <c r="G28">
        <f t="shared" si="1"/>
        <v>1.3956766923750001E-2</v>
      </c>
      <c r="L28">
        <v>30</v>
      </c>
      <c r="M28">
        <f t="shared" si="6"/>
        <v>6.0749999999999998E-2</v>
      </c>
      <c r="N28">
        <f t="shared" si="7"/>
        <v>4.725E-2</v>
      </c>
      <c r="O28">
        <f t="shared" si="8"/>
        <v>0.94936993699369931</v>
      </c>
      <c r="P28">
        <f t="shared" si="9"/>
        <v>0.96062106210621057</v>
      </c>
    </row>
    <row r="29" spans="3:16" x14ac:dyDescent="0.3">
      <c r="C29">
        <v>80</v>
      </c>
      <c r="D29">
        <f t="shared" si="3"/>
        <v>34.027926976000003</v>
      </c>
      <c r="E29">
        <f t="shared" si="4"/>
        <v>19.566058011200003</v>
      </c>
      <c r="F29">
        <f t="shared" si="5"/>
        <v>2.126745436E-2</v>
      </c>
      <c r="G29">
        <f t="shared" si="1"/>
        <v>1.5950590770000002E-2</v>
      </c>
      <c r="L29">
        <v>40</v>
      </c>
      <c r="M29">
        <f t="shared" si="6"/>
        <v>8.0999999999999989E-2</v>
      </c>
      <c r="N29">
        <f t="shared" si="7"/>
        <v>6.3E-2</v>
      </c>
      <c r="O29">
        <f t="shared" si="8"/>
        <v>0.93249324932493249</v>
      </c>
      <c r="P29">
        <f t="shared" si="9"/>
        <v>0.9474947494749475</v>
      </c>
    </row>
    <row r="30" spans="3:16" x14ac:dyDescent="0.3">
      <c r="C30">
        <v>90</v>
      </c>
      <c r="D30">
        <f t="shared" si="3"/>
        <v>38.281417848000011</v>
      </c>
      <c r="E30">
        <f t="shared" si="4"/>
        <v>22.011815262600003</v>
      </c>
      <c r="F30">
        <f t="shared" si="5"/>
        <v>2.3925886155000003E-2</v>
      </c>
      <c r="G30">
        <f t="shared" si="1"/>
        <v>1.7944414616250001E-2</v>
      </c>
      <c r="L30">
        <v>50</v>
      </c>
      <c r="M30">
        <f t="shared" si="6"/>
        <v>0.10124999999999999</v>
      </c>
      <c r="N30">
        <f t="shared" si="7"/>
        <v>7.8750000000000001E-2</v>
      </c>
      <c r="O30">
        <f t="shared" si="8"/>
        <v>0.91561656165616556</v>
      </c>
      <c r="P30">
        <f t="shared" si="9"/>
        <v>0.93436843684368431</v>
      </c>
    </row>
    <row r="31" spans="3:16" x14ac:dyDescent="0.3">
      <c r="C31">
        <v>100</v>
      </c>
      <c r="D31">
        <f t="shared" si="3"/>
        <v>42.534908720000011</v>
      </c>
      <c r="E31">
        <f t="shared" si="4"/>
        <v>24.457572514000002</v>
      </c>
      <c r="F31">
        <f t="shared" si="5"/>
        <v>2.6584317950000002E-2</v>
      </c>
      <c r="G31">
        <f t="shared" si="1"/>
        <v>1.9938238462500001E-2</v>
      </c>
      <c r="L31">
        <v>60</v>
      </c>
      <c r="M31">
        <f t="shared" si="6"/>
        <v>0.1215</v>
      </c>
      <c r="N31">
        <f t="shared" si="7"/>
        <v>9.4500000000000001E-2</v>
      </c>
      <c r="O31">
        <f t="shared" si="8"/>
        <v>0.89873987398739874</v>
      </c>
      <c r="P31">
        <f t="shared" si="9"/>
        <v>0.92124212421242124</v>
      </c>
    </row>
    <row r="32" spans="3:16" x14ac:dyDescent="0.3">
      <c r="C32">
        <v>110</v>
      </c>
      <c r="D32">
        <f t="shared" si="3"/>
        <v>46.788399592000012</v>
      </c>
      <c r="E32">
        <f t="shared" si="4"/>
        <v>26.903329765400002</v>
      </c>
      <c r="F32">
        <f t="shared" si="5"/>
        <v>2.9242749745000001E-2</v>
      </c>
      <c r="G32">
        <f t="shared" si="1"/>
        <v>2.1932062308750003E-2</v>
      </c>
      <c r="L32">
        <v>70</v>
      </c>
      <c r="M32">
        <f t="shared" si="6"/>
        <v>0.14174999999999999</v>
      </c>
      <c r="N32">
        <f t="shared" si="7"/>
        <v>0.11025</v>
      </c>
      <c r="O32">
        <f t="shared" si="8"/>
        <v>0.88186318631863192</v>
      </c>
      <c r="P32">
        <f t="shared" si="9"/>
        <v>0.90811581158115806</v>
      </c>
    </row>
    <row r="33" spans="3:16" x14ac:dyDescent="0.3">
      <c r="C33">
        <v>120</v>
      </c>
      <c r="D33">
        <f t="shared" si="3"/>
        <v>51.041890464000012</v>
      </c>
      <c r="E33">
        <f t="shared" si="4"/>
        <v>29.349087016800006</v>
      </c>
      <c r="F33">
        <f t="shared" si="5"/>
        <v>3.1901181540000004E-2</v>
      </c>
      <c r="G33">
        <f t="shared" si="1"/>
        <v>2.3925886155000003E-2</v>
      </c>
      <c r="L33">
        <v>80</v>
      </c>
      <c r="M33">
        <f t="shared" si="6"/>
        <v>0.16199999999999998</v>
      </c>
      <c r="N33">
        <f t="shared" si="7"/>
        <v>0.126</v>
      </c>
      <c r="O33">
        <f t="shared" si="8"/>
        <v>0.86498649864986499</v>
      </c>
      <c r="P33">
        <f t="shared" si="9"/>
        <v>0.89498949894989499</v>
      </c>
    </row>
    <row r="34" spans="3:16" x14ac:dyDescent="0.3">
      <c r="C34">
        <v>130</v>
      </c>
      <c r="D34">
        <f t="shared" si="3"/>
        <v>55.295381336000013</v>
      </c>
      <c r="E34">
        <f t="shared" si="4"/>
        <v>31.794844268200006</v>
      </c>
      <c r="F34">
        <f t="shared" si="5"/>
        <v>3.4559613335000003E-2</v>
      </c>
      <c r="G34">
        <f t="shared" si="1"/>
        <v>2.5919710001250002E-2</v>
      </c>
      <c r="L34">
        <v>90</v>
      </c>
      <c r="M34">
        <f t="shared" si="6"/>
        <v>0.18225</v>
      </c>
      <c r="N34">
        <f t="shared" si="7"/>
        <v>0.14174999999999999</v>
      </c>
      <c r="O34">
        <f t="shared" si="8"/>
        <v>0.84810981098109806</v>
      </c>
      <c r="P34">
        <f t="shared" si="9"/>
        <v>0.88186318631863192</v>
      </c>
    </row>
    <row r="35" spans="3:16" x14ac:dyDescent="0.3">
      <c r="C35">
        <v>140</v>
      </c>
      <c r="D35">
        <f t="shared" si="3"/>
        <v>59.548872208000013</v>
      </c>
      <c r="E35">
        <f t="shared" si="4"/>
        <v>34.240601519600006</v>
      </c>
      <c r="F35">
        <f t="shared" si="5"/>
        <v>3.7218045130000002E-2</v>
      </c>
      <c r="G35">
        <f t="shared" si="1"/>
        <v>2.7913533847500002E-2</v>
      </c>
      <c r="L35">
        <v>100</v>
      </c>
      <c r="M35">
        <f t="shared" si="6"/>
        <v>0.20249999999999999</v>
      </c>
      <c r="N35">
        <f t="shared" si="7"/>
        <v>0.1575</v>
      </c>
      <c r="O35">
        <f t="shared" si="8"/>
        <v>0.83123312331233123</v>
      </c>
      <c r="P35">
        <f t="shared" si="9"/>
        <v>0.86873687368736874</v>
      </c>
    </row>
    <row r="36" spans="3:16" x14ac:dyDescent="0.3">
      <c r="C36">
        <v>150</v>
      </c>
      <c r="D36">
        <f t="shared" si="3"/>
        <v>63.802363080000013</v>
      </c>
      <c r="E36">
        <f t="shared" si="4"/>
        <v>36.686358771000002</v>
      </c>
      <c r="F36">
        <f t="shared" si="5"/>
        <v>3.9876476925000001E-2</v>
      </c>
      <c r="G36">
        <f t="shared" si="1"/>
        <v>2.9907357693750004E-2</v>
      </c>
      <c r="L36">
        <v>110</v>
      </c>
      <c r="M36">
        <f t="shared" si="6"/>
        <v>0.22274999999999998</v>
      </c>
      <c r="N36">
        <f t="shared" si="7"/>
        <v>0.17325000000000002</v>
      </c>
      <c r="O36">
        <f t="shared" si="8"/>
        <v>0.81435643564356441</v>
      </c>
      <c r="P36">
        <f t="shared" si="9"/>
        <v>0.85561056105610556</v>
      </c>
    </row>
    <row r="37" spans="3:16" x14ac:dyDescent="0.3">
      <c r="C37">
        <v>160</v>
      </c>
      <c r="D37">
        <f t="shared" si="3"/>
        <v>68.055853952000007</v>
      </c>
      <c r="E37">
        <f t="shared" si="4"/>
        <v>39.132116022400005</v>
      </c>
      <c r="F37">
        <f t="shared" si="5"/>
        <v>4.253490872E-2</v>
      </c>
      <c r="G37">
        <f t="shared" si="1"/>
        <v>3.1901181540000004E-2</v>
      </c>
      <c r="L37">
        <v>120</v>
      </c>
      <c r="M37">
        <f t="shared" si="6"/>
        <v>0.24299999999999999</v>
      </c>
      <c r="N37">
        <f t="shared" si="7"/>
        <v>0.189</v>
      </c>
      <c r="O37">
        <f t="shared" si="8"/>
        <v>0.79747974797479748</v>
      </c>
      <c r="P37">
        <f t="shared" si="9"/>
        <v>0.84248424842484249</v>
      </c>
    </row>
    <row r="38" spans="3:16" x14ac:dyDescent="0.3">
      <c r="C38">
        <v>170</v>
      </c>
      <c r="D38">
        <f t="shared" si="3"/>
        <v>72.309344824000021</v>
      </c>
      <c r="E38">
        <f t="shared" si="4"/>
        <v>41.577873273800009</v>
      </c>
      <c r="F38">
        <f t="shared" si="5"/>
        <v>4.5193340515000006E-2</v>
      </c>
      <c r="G38">
        <f t="shared" si="1"/>
        <v>3.3895005386250003E-2</v>
      </c>
      <c r="L38">
        <v>130</v>
      </c>
      <c r="M38">
        <f t="shared" si="6"/>
        <v>0.26324999999999998</v>
      </c>
      <c r="N38">
        <f t="shared" si="7"/>
        <v>0.20474999999999999</v>
      </c>
      <c r="O38">
        <f t="shared" si="8"/>
        <v>0.78060306030603055</v>
      </c>
      <c r="P38">
        <f t="shared" si="9"/>
        <v>0.8293579357935793</v>
      </c>
    </row>
    <row r="39" spans="3:16" x14ac:dyDescent="0.3">
      <c r="C39">
        <v>180</v>
      </c>
      <c r="D39">
        <f t="shared" si="3"/>
        <v>76.562835696000022</v>
      </c>
      <c r="E39">
        <f t="shared" si="4"/>
        <v>44.023630525200005</v>
      </c>
      <c r="F39">
        <f t="shared" si="5"/>
        <v>4.7851772310000006E-2</v>
      </c>
      <c r="G39">
        <f t="shared" si="1"/>
        <v>3.5888829232500002E-2</v>
      </c>
      <c r="L39">
        <v>140</v>
      </c>
      <c r="M39">
        <f t="shared" si="6"/>
        <v>0.28349999999999997</v>
      </c>
      <c r="N39">
        <f t="shared" si="7"/>
        <v>0.2205</v>
      </c>
      <c r="O39">
        <f t="shared" si="8"/>
        <v>0.76372637263726373</v>
      </c>
      <c r="P39">
        <f t="shared" si="9"/>
        <v>0.81623162316231623</v>
      </c>
    </row>
    <row r="40" spans="3:16" x14ac:dyDescent="0.3">
      <c r="C40">
        <v>190</v>
      </c>
      <c r="D40">
        <f t="shared" si="3"/>
        <v>80.816326568000022</v>
      </c>
      <c r="E40">
        <f t="shared" si="4"/>
        <v>46.469387776600009</v>
      </c>
      <c r="F40">
        <f t="shared" si="5"/>
        <v>5.0510204105000005E-2</v>
      </c>
      <c r="G40">
        <f t="shared" si="1"/>
        <v>3.7882653078750002E-2</v>
      </c>
      <c r="L40">
        <v>150</v>
      </c>
      <c r="M40">
        <f t="shared" si="6"/>
        <v>0.30374999999999996</v>
      </c>
      <c r="N40">
        <f t="shared" si="7"/>
        <v>0.23625000000000002</v>
      </c>
      <c r="O40">
        <f t="shared" si="8"/>
        <v>0.74684968496849691</v>
      </c>
      <c r="P40">
        <f t="shared" si="9"/>
        <v>0.80310531053105305</v>
      </c>
    </row>
    <row r="41" spans="3:16" x14ac:dyDescent="0.3">
      <c r="C41">
        <v>200</v>
      </c>
      <c r="D41">
        <f t="shared" si="3"/>
        <v>85.069817440000023</v>
      </c>
      <c r="E41">
        <f t="shared" si="4"/>
        <v>48.915145028000005</v>
      </c>
      <c r="F41">
        <f t="shared" si="5"/>
        <v>5.3168635900000004E-2</v>
      </c>
      <c r="G41">
        <f t="shared" si="1"/>
        <v>3.9876476925000001E-2</v>
      </c>
      <c r="L41">
        <v>160</v>
      </c>
      <c r="M41">
        <f t="shared" si="6"/>
        <v>0.32399999999999995</v>
      </c>
      <c r="N41">
        <f t="shared" si="7"/>
        <v>0.252</v>
      </c>
      <c r="O41">
        <f t="shared" si="8"/>
        <v>0.72997299729972998</v>
      </c>
      <c r="P41">
        <f t="shared" si="9"/>
        <v>0.78997899789978998</v>
      </c>
    </row>
    <row r="42" spans="3:16" x14ac:dyDescent="0.3">
      <c r="C42">
        <v>210</v>
      </c>
      <c r="D42">
        <f t="shared" si="3"/>
        <v>89.323308312000023</v>
      </c>
      <c r="E42">
        <f t="shared" si="4"/>
        <v>51.360902279400008</v>
      </c>
      <c r="F42">
        <f t="shared" si="5"/>
        <v>5.5827067695000003E-2</v>
      </c>
      <c r="G42">
        <f t="shared" si="1"/>
        <v>4.1870300771250001E-2</v>
      </c>
      <c r="L42">
        <v>170</v>
      </c>
      <c r="M42">
        <f t="shared" si="6"/>
        <v>0.34425</v>
      </c>
      <c r="N42">
        <f t="shared" si="7"/>
        <v>0.26774999999999999</v>
      </c>
      <c r="O42">
        <f t="shared" si="8"/>
        <v>0.71309630963096304</v>
      </c>
      <c r="P42">
        <f t="shared" si="9"/>
        <v>0.7768526852685268</v>
      </c>
    </row>
    <row r="43" spans="3:16" x14ac:dyDescent="0.3">
      <c r="C43">
        <v>220</v>
      </c>
      <c r="D43">
        <f t="shared" si="3"/>
        <v>93.576799184000024</v>
      </c>
      <c r="E43">
        <f t="shared" si="4"/>
        <v>53.806659530800005</v>
      </c>
      <c r="F43">
        <f t="shared" si="5"/>
        <v>5.8485499490000002E-2</v>
      </c>
      <c r="G43">
        <f t="shared" si="1"/>
        <v>4.3864124617500007E-2</v>
      </c>
      <c r="L43">
        <v>180</v>
      </c>
      <c r="M43">
        <f t="shared" si="6"/>
        <v>0.36449999999999999</v>
      </c>
      <c r="N43">
        <f t="shared" si="7"/>
        <v>0.28349999999999997</v>
      </c>
      <c r="O43">
        <f t="shared" si="8"/>
        <v>0.69621962196219611</v>
      </c>
      <c r="P43">
        <f t="shared" si="9"/>
        <v>0.76372637263726373</v>
      </c>
    </row>
    <row r="44" spans="3:16" x14ac:dyDescent="0.3">
      <c r="C44">
        <v>230</v>
      </c>
      <c r="D44">
        <f t="shared" si="3"/>
        <v>97.830290056000024</v>
      </c>
      <c r="E44">
        <f t="shared" si="4"/>
        <v>56.252416782200008</v>
      </c>
      <c r="F44">
        <f t="shared" si="5"/>
        <v>6.1143931285000008E-2</v>
      </c>
      <c r="G44">
        <f t="shared" si="1"/>
        <v>4.5857948463750006E-2</v>
      </c>
      <c r="L44">
        <v>190</v>
      </c>
      <c r="M44">
        <f t="shared" si="6"/>
        <v>0.38474999999999998</v>
      </c>
      <c r="N44">
        <f t="shared" si="7"/>
        <v>0.29925000000000002</v>
      </c>
      <c r="O44">
        <f t="shared" si="8"/>
        <v>0.67934293429342929</v>
      </c>
      <c r="P44">
        <f t="shared" si="9"/>
        <v>0.75060006000600055</v>
      </c>
    </row>
    <row r="45" spans="3:16" x14ac:dyDescent="0.3">
      <c r="C45">
        <v>240</v>
      </c>
      <c r="D45">
        <f t="shared" si="3"/>
        <v>102.08378092800002</v>
      </c>
      <c r="E45">
        <f t="shared" si="4"/>
        <v>58.698174033600012</v>
      </c>
      <c r="F45">
        <f t="shared" si="5"/>
        <v>6.3802363080000007E-2</v>
      </c>
      <c r="G45">
        <f t="shared" si="1"/>
        <v>4.7851772310000006E-2</v>
      </c>
      <c r="L45">
        <v>200</v>
      </c>
      <c r="M45">
        <f t="shared" si="6"/>
        <v>0.40499999999999997</v>
      </c>
      <c r="N45">
        <f t="shared" si="7"/>
        <v>0.315</v>
      </c>
      <c r="O45">
        <f t="shared" si="8"/>
        <v>0.66246624662466247</v>
      </c>
      <c r="P45">
        <f t="shared" si="9"/>
        <v>0.73747374737473748</v>
      </c>
    </row>
    <row r="46" spans="3:16" x14ac:dyDescent="0.3">
      <c r="C46">
        <v>250</v>
      </c>
      <c r="D46">
        <f t="shared" si="3"/>
        <v>106.33727180000002</v>
      </c>
      <c r="E46">
        <f t="shared" si="4"/>
        <v>61.143931285000008</v>
      </c>
      <c r="F46">
        <f t="shared" si="5"/>
        <v>6.6460794875000007E-2</v>
      </c>
      <c r="G46">
        <f t="shared" si="1"/>
        <v>4.9845596156250005E-2</v>
      </c>
      <c r="L46">
        <v>210</v>
      </c>
      <c r="M46">
        <f t="shared" si="6"/>
        <v>0.42524999999999996</v>
      </c>
      <c r="N46">
        <f t="shared" si="7"/>
        <v>0.33074999999999999</v>
      </c>
      <c r="O46">
        <f t="shared" si="8"/>
        <v>0.64558955895589554</v>
      </c>
      <c r="P46">
        <f t="shared" si="9"/>
        <v>0.72434743474347429</v>
      </c>
    </row>
    <row r="47" spans="3:16" x14ac:dyDescent="0.3">
      <c r="C47">
        <v>260</v>
      </c>
      <c r="D47">
        <f t="shared" si="3"/>
        <v>110.59076267200003</v>
      </c>
      <c r="E47">
        <f t="shared" si="4"/>
        <v>63.589688536400011</v>
      </c>
      <c r="F47">
        <f t="shared" si="5"/>
        <v>6.9119226670000006E-2</v>
      </c>
      <c r="G47">
        <f t="shared" si="1"/>
        <v>5.1839420002500004E-2</v>
      </c>
      <c r="L47">
        <v>220</v>
      </c>
      <c r="M47">
        <f t="shared" si="6"/>
        <v>0.44549999999999995</v>
      </c>
      <c r="N47">
        <f t="shared" si="7"/>
        <v>0.34650000000000003</v>
      </c>
      <c r="O47">
        <f t="shared" si="8"/>
        <v>0.62871287128712872</v>
      </c>
      <c r="P47">
        <f t="shared" si="9"/>
        <v>0.71122112211221111</v>
      </c>
    </row>
    <row r="48" spans="3:16" x14ac:dyDescent="0.3">
      <c r="C48">
        <v>270</v>
      </c>
      <c r="D48">
        <f t="shared" si="3"/>
        <v>114.84425354400003</v>
      </c>
      <c r="E48">
        <f t="shared" si="4"/>
        <v>66.035445787800015</v>
      </c>
      <c r="F48">
        <f t="shared" si="5"/>
        <v>7.1777658465000005E-2</v>
      </c>
      <c r="G48">
        <f t="shared" si="1"/>
        <v>5.3833243848750004E-2</v>
      </c>
      <c r="L48">
        <v>230</v>
      </c>
      <c r="M48">
        <f t="shared" si="6"/>
        <v>0.46575</v>
      </c>
      <c r="N48">
        <f t="shared" si="7"/>
        <v>0.36225000000000002</v>
      </c>
      <c r="O48">
        <f t="shared" si="8"/>
        <v>0.61183618361836178</v>
      </c>
      <c r="P48">
        <f t="shared" si="9"/>
        <v>0.69809480948094804</v>
      </c>
    </row>
    <row r="49" spans="3:16" x14ac:dyDescent="0.3">
      <c r="C49">
        <v>280</v>
      </c>
      <c r="D49">
        <f t="shared" si="3"/>
        <v>119.09774441600003</v>
      </c>
      <c r="E49">
        <f t="shared" si="4"/>
        <v>68.481203039200011</v>
      </c>
      <c r="F49">
        <f t="shared" si="5"/>
        <v>7.4436090260000004E-2</v>
      </c>
      <c r="G49">
        <f t="shared" si="1"/>
        <v>5.5827067695000003E-2</v>
      </c>
      <c r="L49">
        <v>240</v>
      </c>
      <c r="M49">
        <f t="shared" si="6"/>
        <v>0.48599999999999999</v>
      </c>
      <c r="N49">
        <f t="shared" si="7"/>
        <v>0.378</v>
      </c>
      <c r="O49">
        <f t="shared" si="8"/>
        <v>0.59495949594959496</v>
      </c>
      <c r="P49">
        <f t="shared" si="9"/>
        <v>0.68496849684968497</v>
      </c>
    </row>
    <row r="50" spans="3:16" x14ac:dyDescent="0.3">
      <c r="C50">
        <v>290</v>
      </c>
      <c r="D50">
        <f t="shared" si="3"/>
        <v>123.35123528800003</v>
      </c>
      <c r="E50">
        <f t="shared" si="4"/>
        <v>70.926960290600007</v>
      </c>
      <c r="F50">
        <f t="shared" si="5"/>
        <v>7.7094522055000003E-2</v>
      </c>
      <c r="G50">
        <f t="shared" si="1"/>
        <v>5.7820891541250002E-2</v>
      </c>
      <c r="L50">
        <v>250</v>
      </c>
      <c r="M50">
        <f t="shared" si="6"/>
        <v>0.50624999999999998</v>
      </c>
      <c r="N50">
        <f t="shared" si="7"/>
        <v>0.39374999999999999</v>
      </c>
      <c r="O50">
        <f t="shared" si="8"/>
        <v>0.57808280828082803</v>
      </c>
      <c r="P50">
        <f t="shared" si="9"/>
        <v>0.67184218421842179</v>
      </c>
    </row>
    <row r="51" spans="3:16" x14ac:dyDescent="0.3">
      <c r="C51">
        <v>300</v>
      </c>
      <c r="D51">
        <f t="shared" si="3"/>
        <v>127.60472616000003</v>
      </c>
      <c r="E51">
        <f t="shared" si="4"/>
        <v>73.372717542000004</v>
      </c>
      <c r="F51">
        <f t="shared" si="5"/>
        <v>7.9752953850000002E-2</v>
      </c>
      <c r="G51">
        <f t="shared" si="1"/>
        <v>5.9814715387500009E-2</v>
      </c>
      <c r="L51">
        <v>260</v>
      </c>
      <c r="M51">
        <f t="shared" si="6"/>
        <v>0.52649999999999997</v>
      </c>
      <c r="N51">
        <f t="shared" si="7"/>
        <v>0.40949999999999998</v>
      </c>
      <c r="O51">
        <f t="shared" si="8"/>
        <v>0.5612061206120611</v>
      </c>
      <c r="P51">
        <f t="shared" si="9"/>
        <v>0.65871587158715861</v>
      </c>
    </row>
    <row r="52" spans="3:16" x14ac:dyDescent="0.3">
      <c r="C52">
        <v>310</v>
      </c>
      <c r="D52">
        <f t="shared" si="3"/>
        <v>131.85821703200003</v>
      </c>
      <c r="E52">
        <f t="shared" si="4"/>
        <v>75.818474793400014</v>
      </c>
      <c r="F52">
        <f t="shared" si="5"/>
        <v>8.2411385645000002E-2</v>
      </c>
      <c r="G52">
        <f t="shared" si="1"/>
        <v>6.1808539233750008E-2</v>
      </c>
      <c r="L52">
        <v>270</v>
      </c>
      <c r="M52">
        <f t="shared" si="6"/>
        <v>0.54674999999999996</v>
      </c>
      <c r="N52">
        <f t="shared" si="7"/>
        <v>0.42525000000000002</v>
      </c>
      <c r="O52">
        <f t="shared" si="8"/>
        <v>0.54432943294329428</v>
      </c>
      <c r="P52">
        <f t="shared" si="9"/>
        <v>0.64558955895589554</v>
      </c>
    </row>
    <row r="53" spans="3:16" x14ac:dyDescent="0.3">
      <c r="C53">
        <v>320</v>
      </c>
      <c r="D53">
        <f t="shared" si="3"/>
        <v>136.11170790400001</v>
      </c>
      <c r="E53">
        <f t="shared" si="4"/>
        <v>78.264232044800011</v>
      </c>
      <c r="F53">
        <f t="shared" si="5"/>
        <v>8.5069817440000001E-2</v>
      </c>
      <c r="G53">
        <f t="shared" si="1"/>
        <v>6.3802363080000007E-2</v>
      </c>
      <c r="L53">
        <v>280</v>
      </c>
      <c r="M53">
        <f t="shared" si="6"/>
        <v>0.56699999999999995</v>
      </c>
      <c r="N53">
        <f t="shared" si="7"/>
        <v>0.441</v>
      </c>
      <c r="O53">
        <f t="shared" si="8"/>
        <v>0.52745274527452746</v>
      </c>
      <c r="P53">
        <f t="shared" si="9"/>
        <v>0.63246324632463247</v>
      </c>
    </row>
    <row r="54" spans="3:16" x14ac:dyDescent="0.3">
      <c r="C54">
        <v>330</v>
      </c>
      <c r="D54">
        <f t="shared" si="3"/>
        <v>140.36519877600003</v>
      </c>
      <c r="E54">
        <f t="shared" si="4"/>
        <v>80.709989296200007</v>
      </c>
      <c r="F54">
        <f t="shared" si="5"/>
        <v>8.7728249235000014E-2</v>
      </c>
      <c r="G54">
        <f t="shared" ref="G54:G85" si="10">$E$12*C54</f>
        <v>6.579618692625E-2</v>
      </c>
      <c r="L54">
        <v>290</v>
      </c>
      <c r="M54">
        <f t="shared" si="6"/>
        <v>0.58724999999999994</v>
      </c>
      <c r="N54">
        <f t="shared" si="7"/>
        <v>0.45674999999999999</v>
      </c>
      <c r="O54">
        <f t="shared" si="8"/>
        <v>0.51057605760576052</v>
      </c>
      <c r="P54">
        <f t="shared" si="9"/>
        <v>0.61933693369336928</v>
      </c>
    </row>
    <row r="55" spans="3:16" x14ac:dyDescent="0.3">
      <c r="C55">
        <v>340</v>
      </c>
      <c r="D55">
        <f t="shared" si="3"/>
        <v>144.61868964800004</v>
      </c>
      <c r="E55">
        <f t="shared" si="4"/>
        <v>83.155746547600017</v>
      </c>
      <c r="F55">
        <f t="shared" si="5"/>
        <v>9.0386681030000013E-2</v>
      </c>
      <c r="G55">
        <f t="shared" si="10"/>
        <v>6.7790010772500006E-2</v>
      </c>
      <c r="L55">
        <v>300</v>
      </c>
      <c r="M55">
        <f t="shared" si="6"/>
        <v>0.60749999999999993</v>
      </c>
      <c r="N55">
        <f t="shared" si="7"/>
        <v>0.47250000000000003</v>
      </c>
      <c r="O55">
        <f t="shared" si="8"/>
        <v>0.4936993699369937</v>
      </c>
      <c r="P55">
        <f t="shared" si="9"/>
        <v>0.6062106210621061</v>
      </c>
    </row>
    <row r="56" spans="3:16" x14ac:dyDescent="0.3">
      <c r="C56">
        <v>350</v>
      </c>
      <c r="D56">
        <f t="shared" si="3"/>
        <v>148.87218052000003</v>
      </c>
      <c r="E56">
        <f t="shared" si="4"/>
        <v>85.601503799000014</v>
      </c>
      <c r="F56">
        <f t="shared" si="5"/>
        <v>9.3045112825000012E-2</v>
      </c>
      <c r="G56">
        <f t="shared" si="10"/>
        <v>6.9783834618750012E-2</v>
      </c>
      <c r="L56">
        <v>310</v>
      </c>
      <c r="M56">
        <f t="shared" si="6"/>
        <v>0.62774999999999992</v>
      </c>
      <c r="N56">
        <f t="shared" si="7"/>
        <v>0.48825000000000002</v>
      </c>
      <c r="O56">
        <f t="shared" si="8"/>
        <v>0.47682268226822677</v>
      </c>
      <c r="P56">
        <f t="shared" si="9"/>
        <v>0.59308430843084303</v>
      </c>
    </row>
    <row r="57" spans="3:16" x14ac:dyDescent="0.3">
      <c r="C57">
        <v>360</v>
      </c>
      <c r="D57">
        <f t="shared" si="3"/>
        <v>153.12567139200004</v>
      </c>
      <c r="E57">
        <f t="shared" si="4"/>
        <v>88.04726105040001</v>
      </c>
      <c r="F57">
        <f t="shared" si="5"/>
        <v>9.5703544620000011E-2</v>
      </c>
      <c r="G57">
        <f t="shared" si="10"/>
        <v>7.1777658465000005E-2</v>
      </c>
      <c r="L57">
        <v>320</v>
      </c>
      <c r="M57">
        <f t="shared" si="6"/>
        <v>0.64799999999999991</v>
      </c>
      <c r="N57">
        <f t="shared" si="7"/>
        <v>0.504</v>
      </c>
      <c r="O57">
        <f t="shared" si="8"/>
        <v>0.45994599459945995</v>
      </c>
      <c r="P57">
        <f t="shared" si="9"/>
        <v>0.57995799579957996</v>
      </c>
    </row>
    <row r="58" spans="3:16" x14ac:dyDescent="0.3">
      <c r="C58">
        <v>370</v>
      </c>
      <c r="D58">
        <f t="shared" si="3"/>
        <v>157.37916226400003</v>
      </c>
      <c r="E58">
        <f t="shared" si="4"/>
        <v>90.493018301800006</v>
      </c>
      <c r="F58">
        <f t="shared" si="5"/>
        <v>9.836197641500001E-2</v>
      </c>
      <c r="G58">
        <f t="shared" si="10"/>
        <v>7.3771482311250011E-2</v>
      </c>
      <c r="L58">
        <v>330</v>
      </c>
      <c r="M58">
        <f t="shared" si="6"/>
        <v>0.66825000000000001</v>
      </c>
      <c r="N58">
        <f t="shared" si="7"/>
        <v>0.51975000000000005</v>
      </c>
      <c r="O58">
        <f t="shared" si="8"/>
        <v>0.44306930693069302</v>
      </c>
      <c r="P58">
        <f t="shared" si="9"/>
        <v>0.56683168316831667</v>
      </c>
    </row>
    <row r="59" spans="3:16" x14ac:dyDescent="0.3">
      <c r="C59">
        <v>380</v>
      </c>
      <c r="D59">
        <f t="shared" si="3"/>
        <v>161.63265313600004</v>
      </c>
      <c r="E59">
        <f t="shared" si="4"/>
        <v>92.938775553200017</v>
      </c>
      <c r="F59">
        <f t="shared" si="5"/>
        <v>0.10102040821000001</v>
      </c>
      <c r="G59">
        <f t="shared" si="10"/>
        <v>7.5765306157500004E-2</v>
      </c>
      <c r="L59">
        <v>340</v>
      </c>
      <c r="M59">
        <f t="shared" si="6"/>
        <v>0.6885</v>
      </c>
      <c r="N59">
        <f t="shared" si="7"/>
        <v>0.53549999999999998</v>
      </c>
      <c r="O59">
        <f t="shared" si="8"/>
        <v>0.42619261926192609</v>
      </c>
      <c r="P59">
        <f t="shared" si="9"/>
        <v>0.5537053705370536</v>
      </c>
    </row>
    <row r="60" spans="3:16" x14ac:dyDescent="0.3">
      <c r="C60">
        <v>390</v>
      </c>
      <c r="D60">
        <f t="shared" si="3"/>
        <v>165.88614400800003</v>
      </c>
      <c r="E60">
        <f t="shared" si="4"/>
        <v>95.384532804600013</v>
      </c>
      <c r="F60">
        <f t="shared" si="5"/>
        <v>0.10367884000500001</v>
      </c>
      <c r="G60">
        <f t="shared" si="10"/>
        <v>7.775913000375001E-2</v>
      </c>
      <c r="L60">
        <v>350</v>
      </c>
      <c r="M60">
        <f t="shared" si="6"/>
        <v>0.70874999999999999</v>
      </c>
      <c r="N60">
        <f t="shared" si="7"/>
        <v>0.55125000000000002</v>
      </c>
      <c r="O60">
        <f t="shared" si="8"/>
        <v>0.40931593159315927</v>
      </c>
      <c r="P60">
        <f t="shared" si="9"/>
        <v>0.54057905790579053</v>
      </c>
    </row>
    <row r="61" spans="3:16" x14ac:dyDescent="0.3">
      <c r="C61">
        <v>400</v>
      </c>
      <c r="D61">
        <f t="shared" si="3"/>
        <v>170.13963488000005</v>
      </c>
      <c r="E61">
        <f t="shared" si="4"/>
        <v>97.83029005600001</v>
      </c>
      <c r="F61">
        <f t="shared" si="5"/>
        <v>0.10633727180000001</v>
      </c>
      <c r="G61">
        <f t="shared" si="10"/>
        <v>7.9752953850000002E-2</v>
      </c>
      <c r="L61">
        <v>360</v>
      </c>
      <c r="M61">
        <f t="shared" si="6"/>
        <v>0.72899999999999998</v>
      </c>
      <c r="N61">
        <f t="shared" si="7"/>
        <v>0.56699999999999995</v>
      </c>
      <c r="O61">
        <f t="shared" si="8"/>
        <v>0.39243924392439233</v>
      </c>
      <c r="P61">
        <f t="shared" si="9"/>
        <v>0.52745274527452746</v>
      </c>
    </row>
    <row r="62" spans="3:16" x14ac:dyDescent="0.3">
      <c r="C62">
        <v>410</v>
      </c>
      <c r="D62">
        <f t="shared" si="3"/>
        <v>174.39312575200003</v>
      </c>
      <c r="E62">
        <f t="shared" si="4"/>
        <v>100.27604730740002</v>
      </c>
      <c r="F62">
        <f t="shared" si="5"/>
        <v>0.10899570359500001</v>
      </c>
      <c r="G62">
        <f t="shared" si="10"/>
        <v>8.1746777696250009E-2</v>
      </c>
      <c r="L62">
        <v>370</v>
      </c>
      <c r="M62">
        <f t="shared" si="6"/>
        <v>0.74924999999999997</v>
      </c>
      <c r="N62">
        <f t="shared" si="7"/>
        <v>0.58274999999999999</v>
      </c>
      <c r="O62">
        <f t="shared" si="8"/>
        <v>0.37556255625562551</v>
      </c>
      <c r="P62">
        <f t="shared" si="9"/>
        <v>0.51432643264326428</v>
      </c>
    </row>
    <row r="63" spans="3:16" x14ac:dyDescent="0.3">
      <c r="C63">
        <v>420</v>
      </c>
      <c r="D63">
        <f t="shared" si="3"/>
        <v>178.64661662400005</v>
      </c>
      <c r="E63">
        <f t="shared" si="4"/>
        <v>102.72180455880002</v>
      </c>
      <c r="F63">
        <f t="shared" si="5"/>
        <v>0.11165413539000001</v>
      </c>
      <c r="G63">
        <f t="shared" si="10"/>
        <v>8.3740601542500001E-2</v>
      </c>
      <c r="L63">
        <v>380</v>
      </c>
      <c r="M63">
        <f t="shared" si="6"/>
        <v>0.76949999999999996</v>
      </c>
      <c r="N63">
        <f t="shared" si="7"/>
        <v>0.59850000000000003</v>
      </c>
      <c r="O63">
        <f t="shared" si="8"/>
        <v>0.35868586858685858</v>
      </c>
      <c r="P63">
        <f t="shared" si="9"/>
        <v>0.50120012001200109</v>
      </c>
    </row>
    <row r="64" spans="3:16" x14ac:dyDescent="0.3">
      <c r="C64">
        <v>430</v>
      </c>
      <c r="D64">
        <f t="shared" si="3"/>
        <v>182.90010749600003</v>
      </c>
      <c r="E64">
        <f t="shared" si="4"/>
        <v>105.16756181020001</v>
      </c>
      <c r="F64">
        <f t="shared" si="5"/>
        <v>0.11431256718500001</v>
      </c>
      <c r="G64">
        <f t="shared" si="10"/>
        <v>8.5734425388750007E-2</v>
      </c>
      <c r="L64">
        <v>390</v>
      </c>
      <c r="M64">
        <f t="shared" si="6"/>
        <v>0.78974999999999995</v>
      </c>
      <c r="N64">
        <f t="shared" si="7"/>
        <v>0.61424999999999996</v>
      </c>
      <c r="O64">
        <f t="shared" si="8"/>
        <v>0.34180918091809176</v>
      </c>
      <c r="P64">
        <f t="shared" si="9"/>
        <v>0.48807380738073802</v>
      </c>
    </row>
    <row r="65" spans="3:16" x14ac:dyDescent="0.3">
      <c r="C65">
        <v>440</v>
      </c>
      <c r="D65">
        <f t="shared" si="3"/>
        <v>187.15359836800005</v>
      </c>
      <c r="E65">
        <f t="shared" si="4"/>
        <v>107.61331906160001</v>
      </c>
      <c r="F65">
        <f t="shared" si="5"/>
        <v>0.11697099898</v>
      </c>
      <c r="G65">
        <f t="shared" si="10"/>
        <v>8.7728249235000014E-2</v>
      </c>
      <c r="L65">
        <v>400</v>
      </c>
      <c r="M65">
        <f t="shared" si="6"/>
        <v>0.80999999999999994</v>
      </c>
      <c r="N65">
        <f t="shared" si="7"/>
        <v>0.63</v>
      </c>
      <c r="O65">
        <f t="shared" si="8"/>
        <v>0.32493249324932494</v>
      </c>
      <c r="P65">
        <f t="shared" si="9"/>
        <v>0.47494749474947484</v>
      </c>
    </row>
    <row r="66" spans="3:16" x14ac:dyDescent="0.3">
      <c r="C66">
        <v>450</v>
      </c>
      <c r="D66">
        <f t="shared" si="3"/>
        <v>191.40708924000003</v>
      </c>
      <c r="E66">
        <f t="shared" si="4"/>
        <v>110.05907631300002</v>
      </c>
      <c r="F66">
        <f t="shared" si="5"/>
        <v>0.11962943077500002</v>
      </c>
      <c r="G66">
        <f t="shared" si="10"/>
        <v>8.9722073081250006E-2</v>
      </c>
      <c r="L66">
        <v>410</v>
      </c>
      <c r="M66">
        <f t="shared" si="6"/>
        <v>0.83024999999999993</v>
      </c>
      <c r="N66">
        <f t="shared" si="7"/>
        <v>0.64575000000000005</v>
      </c>
      <c r="O66">
        <f t="shared" si="8"/>
        <v>0.30805580558055801</v>
      </c>
      <c r="P66">
        <f t="shared" si="9"/>
        <v>0.46182118211821166</v>
      </c>
    </row>
    <row r="67" spans="3:16" x14ac:dyDescent="0.3">
      <c r="C67">
        <v>460</v>
      </c>
      <c r="D67">
        <f t="shared" si="3"/>
        <v>195.66058011200005</v>
      </c>
      <c r="E67">
        <f t="shared" si="4"/>
        <v>112.50483356440002</v>
      </c>
      <c r="F67">
        <f t="shared" si="5"/>
        <v>0.12228786257000002</v>
      </c>
      <c r="G67">
        <f t="shared" si="10"/>
        <v>9.1715896927500012E-2</v>
      </c>
      <c r="L67">
        <v>420</v>
      </c>
      <c r="M67">
        <f t="shared" si="6"/>
        <v>0.85049999999999992</v>
      </c>
      <c r="N67">
        <f t="shared" si="7"/>
        <v>0.66149999999999998</v>
      </c>
      <c r="O67">
        <f t="shared" si="8"/>
        <v>0.29117911791179119</v>
      </c>
      <c r="P67">
        <f t="shared" si="9"/>
        <v>0.44869486948694859</v>
      </c>
    </row>
    <row r="68" spans="3:16" x14ac:dyDescent="0.3">
      <c r="C68">
        <v>470</v>
      </c>
      <c r="D68">
        <f t="shared" si="3"/>
        <v>199.91407098400003</v>
      </c>
      <c r="E68">
        <f t="shared" si="4"/>
        <v>114.95059081580001</v>
      </c>
      <c r="F68">
        <f t="shared" si="5"/>
        <v>0.12494629436500002</v>
      </c>
      <c r="G68">
        <f t="shared" si="10"/>
        <v>9.3709720773750005E-2</v>
      </c>
      <c r="L68">
        <v>430</v>
      </c>
      <c r="M68">
        <f t="shared" si="6"/>
        <v>0.87074999999999991</v>
      </c>
      <c r="N68">
        <f t="shared" si="7"/>
        <v>0.67725000000000002</v>
      </c>
      <c r="O68">
        <f t="shared" si="8"/>
        <v>0.27430243024302425</v>
      </c>
      <c r="P68">
        <f t="shared" si="9"/>
        <v>0.43556855685568552</v>
      </c>
    </row>
    <row r="69" spans="3:16" x14ac:dyDescent="0.3">
      <c r="C69">
        <v>480</v>
      </c>
      <c r="D69">
        <f t="shared" si="3"/>
        <v>204.16756185600005</v>
      </c>
      <c r="E69">
        <f t="shared" si="4"/>
        <v>117.39634806720002</v>
      </c>
      <c r="F69">
        <f t="shared" si="5"/>
        <v>0.12760472616000001</v>
      </c>
      <c r="G69">
        <f t="shared" si="10"/>
        <v>9.5703544620000011E-2</v>
      </c>
      <c r="L69">
        <v>440</v>
      </c>
      <c r="M69">
        <f t="shared" si="6"/>
        <v>0.8909999999999999</v>
      </c>
      <c r="N69">
        <f t="shared" si="7"/>
        <v>0.69300000000000006</v>
      </c>
      <c r="O69">
        <f t="shared" si="8"/>
        <v>0.25742574257425743</v>
      </c>
      <c r="P69">
        <f t="shared" si="9"/>
        <v>0.42244224422442234</v>
      </c>
    </row>
    <row r="70" spans="3:16" x14ac:dyDescent="0.3">
      <c r="C70">
        <v>490</v>
      </c>
      <c r="D70">
        <f t="shared" si="3"/>
        <v>208.42105272800003</v>
      </c>
      <c r="E70">
        <f t="shared" si="4"/>
        <v>119.84210531860002</v>
      </c>
      <c r="F70">
        <f t="shared" si="5"/>
        <v>0.13026315795500001</v>
      </c>
      <c r="G70">
        <f t="shared" si="10"/>
        <v>9.7697368466250004E-2</v>
      </c>
      <c r="L70">
        <v>450</v>
      </c>
      <c r="M70">
        <f t="shared" si="6"/>
        <v>0.91125</v>
      </c>
      <c r="N70">
        <f t="shared" si="7"/>
        <v>0.70874999999999999</v>
      </c>
      <c r="O70">
        <f t="shared" si="8"/>
        <v>0.24054905490549039</v>
      </c>
      <c r="P70">
        <f t="shared" si="9"/>
        <v>0.40931593159315927</v>
      </c>
    </row>
    <row r="71" spans="3:16" x14ac:dyDescent="0.3">
      <c r="C71">
        <v>500</v>
      </c>
      <c r="D71">
        <f t="shared" si="3"/>
        <v>212.67454360000005</v>
      </c>
      <c r="E71">
        <f t="shared" si="4"/>
        <v>122.28786257000002</v>
      </c>
      <c r="F71">
        <f t="shared" si="5"/>
        <v>0.13292158975000001</v>
      </c>
      <c r="G71">
        <f t="shared" si="10"/>
        <v>9.969119231250001E-2</v>
      </c>
      <c r="L71">
        <v>460</v>
      </c>
      <c r="M71">
        <f t="shared" si="6"/>
        <v>0.93149999999999999</v>
      </c>
      <c r="N71">
        <f t="shared" si="7"/>
        <v>0.72450000000000003</v>
      </c>
      <c r="O71">
        <f t="shared" si="8"/>
        <v>0.22367236723672357</v>
      </c>
      <c r="P71">
        <f t="shared" si="9"/>
        <v>0.39618961896189608</v>
      </c>
    </row>
    <row r="72" spans="3:16" x14ac:dyDescent="0.3">
      <c r="C72">
        <v>510</v>
      </c>
      <c r="D72">
        <f t="shared" si="3"/>
        <v>216.92803447200004</v>
      </c>
      <c r="E72">
        <f t="shared" si="4"/>
        <v>124.73361982140001</v>
      </c>
      <c r="F72">
        <f t="shared" si="5"/>
        <v>0.13558002154500001</v>
      </c>
      <c r="G72">
        <f t="shared" si="10"/>
        <v>0.10168501615875</v>
      </c>
      <c r="L72">
        <v>470</v>
      </c>
      <c r="M72">
        <f t="shared" si="6"/>
        <v>0.95174999999999998</v>
      </c>
      <c r="N72">
        <f t="shared" si="7"/>
        <v>0.74024999999999996</v>
      </c>
      <c r="O72">
        <f t="shared" si="8"/>
        <v>0.20679567956795675</v>
      </c>
      <c r="P72">
        <f t="shared" si="9"/>
        <v>0.38306330633063301</v>
      </c>
    </row>
    <row r="73" spans="3:16" x14ac:dyDescent="0.3">
      <c r="C73">
        <v>520</v>
      </c>
      <c r="D73">
        <f t="shared" si="3"/>
        <v>221.18152534400005</v>
      </c>
      <c r="E73">
        <f t="shared" si="4"/>
        <v>127.17937707280002</v>
      </c>
      <c r="F73">
        <f t="shared" si="5"/>
        <v>0.13823845334000001</v>
      </c>
      <c r="G73">
        <f t="shared" si="10"/>
        <v>0.10367884000500001</v>
      </c>
      <c r="L73">
        <v>480</v>
      </c>
      <c r="M73">
        <f t="shared" si="6"/>
        <v>0.97199999999999998</v>
      </c>
      <c r="N73">
        <f t="shared" si="7"/>
        <v>0.75600000000000001</v>
      </c>
      <c r="O73">
        <f t="shared" si="8"/>
        <v>0.18991899189918982</v>
      </c>
      <c r="P73">
        <f t="shared" si="9"/>
        <v>0.36993699369936983</v>
      </c>
    </row>
    <row r="74" spans="3:16" x14ac:dyDescent="0.3">
      <c r="C74">
        <v>530</v>
      </c>
      <c r="D74">
        <f t="shared" si="3"/>
        <v>225.43501621600004</v>
      </c>
      <c r="E74">
        <f t="shared" si="4"/>
        <v>129.62513432420002</v>
      </c>
      <c r="F74">
        <f t="shared" si="5"/>
        <v>0.14089688513500001</v>
      </c>
      <c r="G74">
        <f t="shared" si="10"/>
        <v>0.10567266385125001</v>
      </c>
      <c r="L74">
        <v>490</v>
      </c>
      <c r="M74">
        <f t="shared" si="6"/>
        <v>0.99224999999999997</v>
      </c>
      <c r="N74">
        <f t="shared" si="7"/>
        <v>0.77175000000000005</v>
      </c>
      <c r="O74">
        <f t="shared" si="8"/>
        <v>0.17304230423042299</v>
      </c>
      <c r="P74">
        <f t="shared" si="9"/>
        <v>0.35681068106810665</v>
      </c>
    </row>
    <row r="75" spans="3:16" x14ac:dyDescent="0.3">
      <c r="C75">
        <v>540</v>
      </c>
      <c r="D75">
        <f t="shared" si="3"/>
        <v>229.68850708800005</v>
      </c>
      <c r="E75">
        <f t="shared" si="4"/>
        <v>132.07089157560003</v>
      </c>
      <c r="F75">
        <f t="shared" si="5"/>
        <v>0.14355531693000001</v>
      </c>
      <c r="G75">
        <f t="shared" si="10"/>
        <v>0.10766648769750001</v>
      </c>
      <c r="L75">
        <v>500</v>
      </c>
      <c r="M75">
        <f t="shared" si="6"/>
        <v>1.0125</v>
      </c>
      <c r="N75">
        <f t="shared" si="7"/>
        <v>0.78749999999999998</v>
      </c>
      <c r="O75">
        <f t="shared" si="8"/>
        <v>0.15616561656165606</v>
      </c>
      <c r="P75">
        <f t="shared" si="9"/>
        <v>0.34368436843684358</v>
      </c>
    </row>
    <row r="76" spans="3:16" x14ac:dyDescent="0.3">
      <c r="C76">
        <v>550</v>
      </c>
      <c r="D76">
        <f t="shared" si="3"/>
        <v>233.94199796000004</v>
      </c>
      <c r="E76">
        <f t="shared" si="4"/>
        <v>134.51664882700001</v>
      </c>
      <c r="F76">
        <f t="shared" si="5"/>
        <v>0.14621374872500001</v>
      </c>
      <c r="G76">
        <f t="shared" si="10"/>
        <v>0.10966031154375001</v>
      </c>
      <c r="L76">
        <v>510</v>
      </c>
      <c r="M76">
        <f t="shared" si="6"/>
        <v>1.0327499999999998</v>
      </c>
      <c r="N76">
        <f t="shared" si="7"/>
        <v>0.80325000000000002</v>
      </c>
      <c r="O76">
        <f t="shared" si="8"/>
        <v>0.13928892889288935</v>
      </c>
      <c r="P76">
        <f t="shared" si="9"/>
        <v>0.3305580558055804</v>
      </c>
    </row>
    <row r="77" spans="3:16" x14ac:dyDescent="0.3">
      <c r="C77">
        <v>560</v>
      </c>
      <c r="D77">
        <f t="shared" si="3"/>
        <v>238.19548883200005</v>
      </c>
      <c r="E77">
        <f t="shared" si="4"/>
        <v>136.96240607840002</v>
      </c>
      <c r="F77">
        <f t="shared" si="5"/>
        <v>0.14887218052000001</v>
      </c>
      <c r="G77">
        <f t="shared" si="10"/>
        <v>0.11165413539000001</v>
      </c>
      <c r="L77">
        <v>520</v>
      </c>
      <c r="M77">
        <f t="shared" si="6"/>
        <v>1.0529999999999999</v>
      </c>
      <c r="N77">
        <f t="shared" si="7"/>
        <v>0.81899999999999995</v>
      </c>
      <c r="O77">
        <f t="shared" si="8"/>
        <v>0.12241224122412231</v>
      </c>
      <c r="P77">
        <f t="shared" si="9"/>
        <v>0.31743174317431733</v>
      </c>
    </row>
    <row r="78" spans="3:16" x14ac:dyDescent="0.3">
      <c r="C78">
        <v>570</v>
      </c>
      <c r="D78">
        <f t="shared" si="3"/>
        <v>242.44897970400004</v>
      </c>
      <c r="E78">
        <f t="shared" si="4"/>
        <v>139.40816332980003</v>
      </c>
      <c r="F78">
        <f t="shared" si="5"/>
        <v>0.15153061231500001</v>
      </c>
      <c r="G78">
        <f t="shared" si="10"/>
        <v>0.11364795923625001</v>
      </c>
      <c r="L78">
        <v>530</v>
      </c>
      <c r="M78">
        <f t="shared" si="6"/>
        <v>1.07325</v>
      </c>
      <c r="N78">
        <f t="shared" si="7"/>
        <v>0.83474999999999999</v>
      </c>
      <c r="O78">
        <f t="shared" si="8"/>
        <v>0.10553555355535538</v>
      </c>
      <c r="P78">
        <f t="shared" si="9"/>
        <v>0.30430543054305426</v>
      </c>
    </row>
    <row r="79" spans="3:16" x14ac:dyDescent="0.3">
      <c r="C79">
        <v>580</v>
      </c>
      <c r="D79">
        <f t="shared" si="3"/>
        <v>246.70247057600005</v>
      </c>
      <c r="E79">
        <f t="shared" si="4"/>
        <v>141.85392058120001</v>
      </c>
      <c r="F79">
        <f t="shared" si="5"/>
        <v>0.15418904411000001</v>
      </c>
      <c r="G79">
        <f t="shared" si="10"/>
        <v>0.1156417830825</v>
      </c>
      <c r="L79">
        <v>540</v>
      </c>
      <c r="M79">
        <f t="shared" si="6"/>
        <v>1.0934999999999999</v>
      </c>
      <c r="N79">
        <f t="shared" si="7"/>
        <v>0.85050000000000003</v>
      </c>
      <c r="O79">
        <f t="shared" si="8"/>
        <v>8.8658865886588556E-2</v>
      </c>
      <c r="P79">
        <f t="shared" si="9"/>
        <v>0.29117911791179107</v>
      </c>
    </row>
    <row r="80" spans="3:16" x14ac:dyDescent="0.3">
      <c r="C80">
        <v>590</v>
      </c>
      <c r="D80">
        <f t="shared" si="3"/>
        <v>250.95596144800004</v>
      </c>
      <c r="E80">
        <f t="shared" si="4"/>
        <v>144.29967783260003</v>
      </c>
      <c r="F80">
        <f t="shared" si="5"/>
        <v>0.15684747590500001</v>
      </c>
      <c r="G80">
        <f t="shared" si="10"/>
        <v>0.11763560692875001</v>
      </c>
      <c r="L80">
        <v>550</v>
      </c>
      <c r="M80">
        <f t="shared" si="6"/>
        <v>1.11375</v>
      </c>
      <c r="N80">
        <f t="shared" si="7"/>
        <v>0.86624999999999996</v>
      </c>
      <c r="O80">
        <f t="shared" si="8"/>
        <v>7.1782178217821624E-2</v>
      </c>
      <c r="P80">
        <f t="shared" si="9"/>
        <v>0.278052805280528</v>
      </c>
    </row>
    <row r="81" spans="3:16" x14ac:dyDescent="0.3">
      <c r="C81">
        <v>600</v>
      </c>
      <c r="D81">
        <f t="shared" si="3"/>
        <v>255.20945232000005</v>
      </c>
      <c r="E81">
        <f t="shared" si="4"/>
        <v>146.74543508400001</v>
      </c>
      <c r="F81">
        <f t="shared" si="5"/>
        <v>0.1595059077</v>
      </c>
      <c r="G81">
        <f t="shared" si="10"/>
        <v>0.11962943077500002</v>
      </c>
      <c r="L81">
        <v>560</v>
      </c>
      <c r="M81">
        <f t="shared" si="6"/>
        <v>1.1339999999999999</v>
      </c>
      <c r="N81">
        <f t="shared" si="7"/>
        <v>0.88200000000000001</v>
      </c>
      <c r="O81">
        <f t="shared" si="8"/>
        <v>5.4905490549054914E-2</v>
      </c>
      <c r="P81">
        <f t="shared" si="9"/>
        <v>0.26492649264926482</v>
      </c>
    </row>
    <row r="82" spans="3:16" x14ac:dyDescent="0.3">
      <c r="C82">
        <v>610</v>
      </c>
      <c r="D82">
        <f t="shared" si="3"/>
        <v>259.46294319200007</v>
      </c>
      <c r="E82">
        <f t="shared" si="4"/>
        <v>149.19119233540002</v>
      </c>
      <c r="F82">
        <f t="shared" si="5"/>
        <v>0.162164339495</v>
      </c>
      <c r="G82">
        <f t="shared" si="10"/>
        <v>0.12162325462125001</v>
      </c>
      <c r="L82">
        <v>570</v>
      </c>
      <c r="M82">
        <f t="shared" si="6"/>
        <v>1.15425</v>
      </c>
      <c r="N82">
        <f t="shared" si="7"/>
        <v>0.89775000000000005</v>
      </c>
      <c r="O82">
        <f t="shared" ref="O82:O125" si="11">1-M82/$T$14</f>
        <v>3.8028802880287871E-2</v>
      </c>
      <c r="P82">
        <f t="shared" ref="P82:P125" si="12">1-N82/$T$14</f>
        <v>0.25180018001800164</v>
      </c>
    </row>
    <row r="83" spans="3:16" x14ac:dyDescent="0.3">
      <c r="C83">
        <v>620</v>
      </c>
      <c r="D83">
        <f t="shared" si="3"/>
        <v>263.71643406400005</v>
      </c>
      <c r="E83">
        <f t="shared" si="4"/>
        <v>151.63694958680003</v>
      </c>
      <c r="F83">
        <f t="shared" si="5"/>
        <v>0.16482277129</v>
      </c>
      <c r="G83">
        <f t="shared" si="10"/>
        <v>0.12361707846750002</v>
      </c>
      <c r="L83">
        <v>580</v>
      </c>
      <c r="M83">
        <f t="shared" si="6"/>
        <v>1.1744999999999999</v>
      </c>
      <c r="N83">
        <f t="shared" si="7"/>
        <v>0.91349999999999998</v>
      </c>
      <c r="O83">
        <f t="shared" si="11"/>
        <v>2.1152115211521161E-2</v>
      </c>
      <c r="P83">
        <f t="shared" si="12"/>
        <v>0.23867386738673857</v>
      </c>
    </row>
    <row r="84" spans="3:16" x14ac:dyDescent="0.3">
      <c r="C84">
        <v>630</v>
      </c>
      <c r="D84">
        <f t="shared" si="3"/>
        <v>267.96992493600004</v>
      </c>
      <c r="E84">
        <f t="shared" si="4"/>
        <v>154.08270683820001</v>
      </c>
      <c r="F84">
        <f t="shared" si="5"/>
        <v>0.167481203085</v>
      </c>
      <c r="G84">
        <f t="shared" si="10"/>
        <v>0.12561090231375002</v>
      </c>
      <c r="L84">
        <v>590</v>
      </c>
      <c r="M84">
        <f t="shared" si="6"/>
        <v>1.19475</v>
      </c>
      <c r="N84">
        <f t="shared" si="7"/>
        <v>0.92925000000000002</v>
      </c>
      <c r="O84">
        <f t="shared" si="11"/>
        <v>4.2754275427541177E-3</v>
      </c>
      <c r="P84">
        <f t="shared" si="12"/>
        <v>0.22554755475547539</v>
      </c>
    </row>
    <row r="85" spans="3:16" x14ac:dyDescent="0.3">
      <c r="C85">
        <v>640</v>
      </c>
      <c r="D85">
        <f t="shared" si="3"/>
        <v>272.22341580800003</v>
      </c>
      <c r="E85">
        <f t="shared" si="4"/>
        <v>156.52846408960002</v>
      </c>
      <c r="F85">
        <f t="shared" si="5"/>
        <v>0.17013963488</v>
      </c>
      <c r="G85">
        <f t="shared" si="10"/>
        <v>0.12760472616000001</v>
      </c>
      <c r="L85">
        <v>600</v>
      </c>
      <c r="M85">
        <f t="shared" si="6"/>
        <v>1.2149999999999999</v>
      </c>
      <c r="N85">
        <f t="shared" si="7"/>
        <v>0.94500000000000006</v>
      </c>
      <c r="O85">
        <f t="shared" si="11"/>
        <v>-1.2601260126012592E-2</v>
      </c>
      <c r="P85">
        <f t="shared" si="12"/>
        <v>0.21242124212421221</v>
      </c>
    </row>
    <row r="86" spans="3:16" x14ac:dyDescent="0.3">
      <c r="C86">
        <v>650</v>
      </c>
      <c r="D86">
        <f t="shared" si="3"/>
        <v>276.47690668000007</v>
      </c>
      <c r="E86">
        <f t="shared" si="4"/>
        <v>158.97422134100003</v>
      </c>
      <c r="F86">
        <f t="shared" si="5"/>
        <v>0.17279806667500003</v>
      </c>
      <c r="G86">
        <f t="shared" ref="G86:G121" si="13">$E$12*C86</f>
        <v>0.12959855000625001</v>
      </c>
      <c r="L86">
        <v>610</v>
      </c>
      <c r="M86">
        <f t="shared" si="6"/>
        <v>1.23525</v>
      </c>
      <c r="N86">
        <f t="shared" si="7"/>
        <v>0.96074999999999999</v>
      </c>
      <c r="O86">
        <f t="shared" si="11"/>
        <v>-2.9477947794779524E-2</v>
      </c>
      <c r="P86">
        <f t="shared" si="12"/>
        <v>0.19929492949294925</v>
      </c>
    </row>
    <row r="87" spans="3:16" x14ac:dyDescent="0.3">
      <c r="C87">
        <v>660</v>
      </c>
      <c r="D87">
        <f t="shared" ref="D87:D121" si="14">$E$3*C87</f>
        <v>280.73039755200006</v>
      </c>
      <c r="E87">
        <f t="shared" ref="E87:E121" si="15">$E$4*C87</f>
        <v>161.41997859240001</v>
      </c>
      <c r="F87">
        <f t="shared" ref="F87:F121" si="16">$D$12*C87</f>
        <v>0.17545649847000003</v>
      </c>
      <c r="G87">
        <f t="shared" si="13"/>
        <v>0.1315923738525</v>
      </c>
      <c r="L87">
        <v>620</v>
      </c>
      <c r="M87">
        <f t="shared" si="6"/>
        <v>1.2554999999999998</v>
      </c>
      <c r="N87">
        <f t="shared" si="7"/>
        <v>0.97650000000000003</v>
      </c>
      <c r="O87">
        <f t="shared" si="11"/>
        <v>-4.6354635463546456E-2</v>
      </c>
      <c r="P87">
        <f t="shared" si="12"/>
        <v>0.18616861686168606</v>
      </c>
    </row>
    <row r="88" spans="3:16" x14ac:dyDescent="0.3">
      <c r="C88">
        <v>670</v>
      </c>
      <c r="D88">
        <f t="shared" si="14"/>
        <v>284.98388842400004</v>
      </c>
      <c r="E88">
        <f t="shared" si="15"/>
        <v>163.86573584380002</v>
      </c>
      <c r="F88">
        <f t="shared" si="16"/>
        <v>0.17811493026500003</v>
      </c>
      <c r="G88">
        <f t="shared" si="13"/>
        <v>0.13358619769875002</v>
      </c>
      <c r="L88">
        <v>630</v>
      </c>
      <c r="M88">
        <f t="shared" si="6"/>
        <v>1.2757499999999999</v>
      </c>
      <c r="N88">
        <f t="shared" si="7"/>
        <v>0.99224999999999997</v>
      </c>
      <c r="O88">
        <f t="shared" si="11"/>
        <v>-6.3231323132313388E-2</v>
      </c>
      <c r="P88">
        <f t="shared" si="12"/>
        <v>0.17304230423042299</v>
      </c>
    </row>
    <row r="89" spans="3:16" x14ac:dyDescent="0.3">
      <c r="C89">
        <v>680</v>
      </c>
      <c r="D89">
        <f t="shared" si="14"/>
        <v>289.23737929600009</v>
      </c>
      <c r="E89">
        <f t="shared" si="15"/>
        <v>166.31149309520003</v>
      </c>
      <c r="F89">
        <f t="shared" si="16"/>
        <v>0.18077336206000003</v>
      </c>
      <c r="G89">
        <f t="shared" si="13"/>
        <v>0.13558002154500001</v>
      </c>
      <c r="L89">
        <v>640</v>
      </c>
      <c r="M89">
        <f t="shared" si="6"/>
        <v>1.2959999999999998</v>
      </c>
      <c r="N89">
        <f t="shared" si="7"/>
        <v>1.008</v>
      </c>
      <c r="O89">
        <f t="shared" si="11"/>
        <v>-8.0108010801080098E-2</v>
      </c>
      <c r="P89">
        <f t="shared" si="12"/>
        <v>0.15991599159915981</v>
      </c>
    </row>
    <row r="90" spans="3:16" x14ac:dyDescent="0.3">
      <c r="C90">
        <v>690</v>
      </c>
      <c r="D90">
        <f t="shared" si="14"/>
        <v>293.49087016800007</v>
      </c>
      <c r="E90">
        <f t="shared" si="15"/>
        <v>168.75725034660002</v>
      </c>
      <c r="F90">
        <f t="shared" si="16"/>
        <v>0.18343179385500002</v>
      </c>
      <c r="G90">
        <f t="shared" si="13"/>
        <v>0.13757384539125</v>
      </c>
      <c r="L90">
        <v>650</v>
      </c>
      <c r="M90">
        <f t="shared" si="6"/>
        <v>1.3162499999999999</v>
      </c>
      <c r="N90">
        <f t="shared" si="7"/>
        <v>1.0237499999999999</v>
      </c>
      <c r="O90">
        <f t="shared" si="11"/>
        <v>-9.698469846984703E-2</v>
      </c>
      <c r="P90">
        <f t="shared" si="12"/>
        <v>0.14678967896789674</v>
      </c>
    </row>
    <row r="91" spans="3:16" x14ac:dyDescent="0.3">
      <c r="C91">
        <v>700</v>
      </c>
      <c r="D91">
        <f t="shared" si="14"/>
        <v>297.74436104000006</v>
      </c>
      <c r="E91">
        <f t="shared" si="15"/>
        <v>171.20300759800003</v>
      </c>
      <c r="F91">
        <f t="shared" si="16"/>
        <v>0.18609022565000002</v>
      </c>
      <c r="G91">
        <f t="shared" si="13"/>
        <v>0.13956766923750002</v>
      </c>
      <c r="L91">
        <v>660</v>
      </c>
      <c r="M91">
        <f t="shared" ref="M91:M125" si="17">$M$14*L91</f>
        <v>1.3365</v>
      </c>
      <c r="N91">
        <f t="shared" ref="N91:N125" si="18">$N$14*L91</f>
        <v>1.0395000000000001</v>
      </c>
      <c r="O91">
        <f t="shared" si="11"/>
        <v>-0.11386138613861396</v>
      </c>
      <c r="P91">
        <f t="shared" si="12"/>
        <v>0.13366336633663345</v>
      </c>
    </row>
    <row r="92" spans="3:16" x14ac:dyDescent="0.3">
      <c r="C92">
        <v>710</v>
      </c>
      <c r="D92">
        <f t="shared" si="14"/>
        <v>301.99785191200004</v>
      </c>
      <c r="E92">
        <f t="shared" si="15"/>
        <v>173.64876484940001</v>
      </c>
      <c r="F92">
        <f t="shared" si="16"/>
        <v>0.18874865744500002</v>
      </c>
      <c r="G92">
        <f t="shared" si="13"/>
        <v>0.14156149308375002</v>
      </c>
      <c r="L92">
        <v>670</v>
      </c>
      <c r="M92">
        <f t="shared" si="17"/>
        <v>1.3567499999999999</v>
      </c>
      <c r="N92">
        <f t="shared" si="18"/>
        <v>1.05525</v>
      </c>
      <c r="O92">
        <f t="shared" si="11"/>
        <v>-0.13073807380738089</v>
      </c>
      <c r="P92">
        <f t="shared" si="12"/>
        <v>0.12053705370537038</v>
      </c>
    </row>
    <row r="93" spans="3:16" x14ac:dyDescent="0.3">
      <c r="C93">
        <v>720</v>
      </c>
      <c r="D93">
        <f t="shared" si="14"/>
        <v>306.25134278400009</v>
      </c>
      <c r="E93">
        <f t="shared" si="15"/>
        <v>176.09452210080002</v>
      </c>
      <c r="F93">
        <f t="shared" si="16"/>
        <v>0.19140708924000002</v>
      </c>
      <c r="G93">
        <f t="shared" si="13"/>
        <v>0.14355531693000001</v>
      </c>
      <c r="L93">
        <v>680</v>
      </c>
      <c r="M93">
        <f t="shared" si="17"/>
        <v>1.377</v>
      </c>
      <c r="N93">
        <f t="shared" si="18"/>
        <v>1.071</v>
      </c>
      <c r="O93">
        <f t="shared" si="11"/>
        <v>-0.14761476147614783</v>
      </c>
      <c r="P93">
        <f t="shared" si="12"/>
        <v>0.10741074107410731</v>
      </c>
    </row>
    <row r="94" spans="3:16" x14ac:dyDescent="0.3">
      <c r="C94">
        <v>730</v>
      </c>
      <c r="D94">
        <f t="shared" si="14"/>
        <v>310.50483365600007</v>
      </c>
      <c r="E94">
        <f t="shared" si="15"/>
        <v>178.54027935220003</v>
      </c>
      <c r="F94">
        <f t="shared" si="16"/>
        <v>0.19406552103500002</v>
      </c>
      <c r="G94">
        <f t="shared" si="13"/>
        <v>0.14554914077625</v>
      </c>
      <c r="L94">
        <v>690</v>
      </c>
      <c r="M94">
        <f t="shared" si="17"/>
        <v>1.3972499999999999</v>
      </c>
      <c r="N94">
        <f t="shared" si="18"/>
        <v>1.0867500000000001</v>
      </c>
      <c r="O94">
        <f t="shared" si="11"/>
        <v>-0.16449144914491454</v>
      </c>
      <c r="P94">
        <f t="shared" si="12"/>
        <v>9.4284428442844126E-2</v>
      </c>
    </row>
    <row r="95" spans="3:16" x14ac:dyDescent="0.3">
      <c r="C95">
        <v>740</v>
      </c>
      <c r="D95">
        <f t="shared" si="14"/>
        <v>314.75832452800006</v>
      </c>
      <c r="E95">
        <f t="shared" si="15"/>
        <v>180.98603660360001</v>
      </c>
      <c r="F95">
        <f t="shared" si="16"/>
        <v>0.19672395283000002</v>
      </c>
      <c r="G95">
        <f t="shared" si="13"/>
        <v>0.14754296462250002</v>
      </c>
      <c r="L95">
        <v>700</v>
      </c>
      <c r="M95">
        <f t="shared" si="17"/>
        <v>1.4175</v>
      </c>
      <c r="N95">
        <f t="shared" si="18"/>
        <v>1.1025</v>
      </c>
      <c r="O95">
        <f t="shared" si="11"/>
        <v>-0.18136813681368147</v>
      </c>
      <c r="P95">
        <f t="shared" si="12"/>
        <v>8.1158115811581055E-2</v>
      </c>
    </row>
    <row r="96" spans="3:16" x14ac:dyDescent="0.3">
      <c r="C96">
        <v>750</v>
      </c>
      <c r="D96">
        <f t="shared" si="14"/>
        <v>319.01181540000005</v>
      </c>
      <c r="E96">
        <f t="shared" si="15"/>
        <v>183.43179385500002</v>
      </c>
      <c r="F96">
        <f t="shared" si="16"/>
        <v>0.19938238462500002</v>
      </c>
      <c r="G96">
        <f t="shared" si="13"/>
        <v>0.14953678846875001</v>
      </c>
      <c r="L96">
        <v>710</v>
      </c>
      <c r="M96">
        <f t="shared" si="17"/>
        <v>1.4377499999999999</v>
      </c>
      <c r="N96">
        <f t="shared" si="18"/>
        <v>1.11825</v>
      </c>
      <c r="O96">
        <f t="shared" si="11"/>
        <v>-0.1982448244824484</v>
      </c>
      <c r="P96">
        <f t="shared" si="12"/>
        <v>6.8031803180317985E-2</v>
      </c>
    </row>
    <row r="97" spans="3:16" x14ac:dyDescent="0.3">
      <c r="C97">
        <v>760</v>
      </c>
      <c r="D97">
        <f t="shared" si="14"/>
        <v>323.26530627200009</v>
      </c>
      <c r="E97">
        <f t="shared" si="15"/>
        <v>185.87755110640003</v>
      </c>
      <c r="F97">
        <f t="shared" si="16"/>
        <v>0.20204081642000002</v>
      </c>
      <c r="G97">
        <f t="shared" si="13"/>
        <v>0.15153061231500001</v>
      </c>
      <c r="L97">
        <v>720</v>
      </c>
      <c r="M97">
        <f t="shared" si="17"/>
        <v>1.458</v>
      </c>
      <c r="N97">
        <f t="shared" si="18"/>
        <v>1.1339999999999999</v>
      </c>
      <c r="O97">
        <f t="shared" si="11"/>
        <v>-0.21512151215121533</v>
      </c>
      <c r="P97">
        <f t="shared" si="12"/>
        <v>5.4905490549054914E-2</v>
      </c>
    </row>
    <row r="98" spans="3:16" x14ac:dyDescent="0.3">
      <c r="C98">
        <v>770</v>
      </c>
      <c r="D98">
        <f t="shared" si="14"/>
        <v>327.51879714400008</v>
      </c>
      <c r="E98">
        <f t="shared" si="15"/>
        <v>188.32330835780002</v>
      </c>
      <c r="F98">
        <f t="shared" si="16"/>
        <v>0.20469924821500002</v>
      </c>
      <c r="G98">
        <f t="shared" si="13"/>
        <v>0.15352443616125003</v>
      </c>
      <c r="L98">
        <v>730</v>
      </c>
      <c r="M98">
        <f t="shared" si="17"/>
        <v>1.4782499999999998</v>
      </c>
      <c r="N98">
        <f t="shared" si="18"/>
        <v>1.14975</v>
      </c>
      <c r="O98">
        <f t="shared" si="11"/>
        <v>-0.23199819981998204</v>
      </c>
      <c r="P98">
        <f t="shared" si="12"/>
        <v>4.1779177917791621E-2</v>
      </c>
    </row>
    <row r="99" spans="3:16" x14ac:dyDescent="0.3">
      <c r="C99">
        <v>780</v>
      </c>
      <c r="D99">
        <f t="shared" si="14"/>
        <v>331.77228801600006</v>
      </c>
      <c r="E99">
        <f t="shared" si="15"/>
        <v>190.76906560920003</v>
      </c>
      <c r="F99">
        <f t="shared" si="16"/>
        <v>0.20735768001000002</v>
      </c>
      <c r="G99">
        <f t="shared" si="13"/>
        <v>0.15551826000750002</v>
      </c>
      <c r="L99">
        <v>740</v>
      </c>
      <c r="M99">
        <f t="shared" si="17"/>
        <v>1.4984999999999999</v>
      </c>
      <c r="N99">
        <f t="shared" si="18"/>
        <v>1.1655</v>
      </c>
      <c r="O99">
        <f t="shared" si="11"/>
        <v>-0.24887488748874897</v>
      </c>
      <c r="P99">
        <f t="shared" si="12"/>
        <v>2.865286528652855E-2</v>
      </c>
    </row>
    <row r="100" spans="3:16" x14ac:dyDescent="0.3">
      <c r="C100">
        <v>790</v>
      </c>
      <c r="D100">
        <f t="shared" si="14"/>
        <v>336.02577888800005</v>
      </c>
      <c r="E100">
        <f t="shared" si="15"/>
        <v>193.21482286060004</v>
      </c>
      <c r="F100">
        <f t="shared" si="16"/>
        <v>0.21001611180500002</v>
      </c>
      <c r="G100">
        <f t="shared" si="13"/>
        <v>0.15751208385375001</v>
      </c>
      <c r="L100">
        <v>750</v>
      </c>
      <c r="M100">
        <f t="shared" si="17"/>
        <v>1.5187499999999998</v>
      </c>
      <c r="N100">
        <f t="shared" si="18"/>
        <v>1.1812499999999999</v>
      </c>
      <c r="O100">
        <f t="shared" si="11"/>
        <v>-0.26575157515751568</v>
      </c>
      <c r="P100">
        <f t="shared" si="12"/>
        <v>1.552655265526548E-2</v>
      </c>
    </row>
    <row r="101" spans="3:16" x14ac:dyDescent="0.3">
      <c r="C101">
        <v>800</v>
      </c>
      <c r="D101">
        <f t="shared" si="14"/>
        <v>340.27926976000009</v>
      </c>
      <c r="E101">
        <f t="shared" si="15"/>
        <v>195.66058011200002</v>
      </c>
      <c r="F101">
        <f t="shared" si="16"/>
        <v>0.21267454360000002</v>
      </c>
      <c r="G101">
        <f t="shared" si="13"/>
        <v>0.1595059077</v>
      </c>
      <c r="L101">
        <v>760</v>
      </c>
      <c r="M101">
        <f t="shared" si="17"/>
        <v>1.5389999999999999</v>
      </c>
      <c r="N101">
        <f t="shared" si="18"/>
        <v>1.1970000000000001</v>
      </c>
      <c r="O101">
        <f t="shared" si="11"/>
        <v>-0.28262826282628284</v>
      </c>
      <c r="P101">
        <f t="shared" si="12"/>
        <v>2.4002400240021871E-3</v>
      </c>
    </row>
    <row r="102" spans="3:16" x14ac:dyDescent="0.3">
      <c r="C102">
        <v>810</v>
      </c>
      <c r="D102">
        <f t="shared" si="14"/>
        <v>344.53276063200008</v>
      </c>
      <c r="E102">
        <f t="shared" si="15"/>
        <v>198.10633736340003</v>
      </c>
      <c r="F102">
        <f t="shared" si="16"/>
        <v>0.21533297539500001</v>
      </c>
      <c r="G102">
        <f t="shared" si="13"/>
        <v>0.16149973154625002</v>
      </c>
      <c r="L102">
        <v>770</v>
      </c>
      <c r="M102">
        <f t="shared" si="17"/>
        <v>1.55925</v>
      </c>
      <c r="N102">
        <f t="shared" si="18"/>
        <v>1.21275</v>
      </c>
      <c r="O102">
        <f t="shared" si="11"/>
        <v>-0.29950495049504977</v>
      </c>
      <c r="P102">
        <f t="shared" si="12"/>
        <v>-1.0726072607260884E-2</v>
      </c>
    </row>
    <row r="103" spans="3:16" x14ac:dyDescent="0.3">
      <c r="C103">
        <v>820</v>
      </c>
      <c r="D103">
        <f t="shared" si="14"/>
        <v>348.78625150400006</v>
      </c>
      <c r="E103">
        <f t="shared" si="15"/>
        <v>200.55209461480004</v>
      </c>
      <c r="F103">
        <f t="shared" si="16"/>
        <v>0.21799140719000001</v>
      </c>
      <c r="G103">
        <f t="shared" si="13"/>
        <v>0.16349355539250002</v>
      </c>
      <c r="L103">
        <v>780</v>
      </c>
      <c r="M103">
        <f t="shared" si="17"/>
        <v>1.5794999999999999</v>
      </c>
      <c r="N103">
        <f t="shared" si="18"/>
        <v>1.2284999999999999</v>
      </c>
      <c r="O103">
        <f t="shared" si="11"/>
        <v>-0.31638163816381648</v>
      </c>
      <c r="P103">
        <f t="shared" si="12"/>
        <v>-2.3852385238523954E-2</v>
      </c>
    </row>
    <row r="104" spans="3:16" x14ac:dyDescent="0.3">
      <c r="C104">
        <v>830</v>
      </c>
      <c r="D104">
        <f t="shared" si="14"/>
        <v>353.03974237600005</v>
      </c>
      <c r="E104">
        <f t="shared" si="15"/>
        <v>202.99785186620002</v>
      </c>
      <c r="F104">
        <f t="shared" si="16"/>
        <v>0.22064983898500001</v>
      </c>
      <c r="G104">
        <f t="shared" si="13"/>
        <v>0.16548737923875001</v>
      </c>
      <c r="L104">
        <v>790</v>
      </c>
      <c r="M104">
        <f t="shared" si="17"/>
        <v>1.59975</v>
      </c>
      <c r="N104">
        <f t="shared" si="18"/>
        <v>1.2442500000000001</v>
      </c>
      <c r="O104">
        <f t="shared" si="11"/>
        <v>-0.33325832583258341</v>
      </c>
      <c r="P104">
        <f t="shared" si="12"/>
        <v>-3.6978697869787247E-2</v>
      </c>
    </row>
    <row r="105" spans="3:16" x14ac:dyDescent="0.3">
      <c r="C105">
        <v>840</v>
      </c>
      <c r="D105">
        <f t="shared" si="14"/>
        <v>357.29323324800009</v>
      </c>
      <c r="E105">
        <f t="shared" si="15"/>
        <v>205.44360911760003</v>
      </c>
      <c r="F105">
        <f t="shared" si="16"/>
        <v>0.22330827078000001</v>
      </c>
      <c r="G105">
        <f t="shared" si="13"/>
        <v>0.167481203085</v>
      </c>
      <c r="L105">
        <v>800</v>
      </c>
      <c r="M105">
        <f t="shared" si="17"/>
        <v>1.6199999999999999</v>
      </c>
      <c r="N105">
        <f t="shared" si="18"/>
        <v>1.26</v>
      </c>
      <c r="O105">
        <f t="shared" si="11"/>
        <v>-0.35013501350135012</v>
      </c>
      <c r="P105">
        <f t="shared" si="12"/>
        <v>-5.0105010501050318E-2</v>
      </c>
    </row>
    <row r="106" spans="3:16" x14ac:dyDescent="0.3">
      <c r="C106">
        <v>850</v>
      </c>
      <c r="D106">
        <f t="shared" si="14"/>
        <v>361.54672412000008</v>
      </c>
      <c r="E106">
        <f t="shared" si="15"/>
        <v>207.88936636900002</v>
      </c>
      <c r="F106">
        <f t="shared" si="16"/>
        <v>0.22596670257500001</v>
      </c>
      <c r="G106">
        <f t="shared" si="13"/>
        <v>0.16947502693125002</v>
      </c>
      <c r="L106">
        <v>810</v>
      </c>
      <c r="M106">
        <f t="shared" si="17"/>
        <v>1.64025</v>
      </c>
      <c r="N106">
        <f t="shared" si="18"/>
        <v>1.2757499999999999</v>
      </c>
      <c r="O106">
        <f t="shared" si="11"/>
        <v>-0.36701170117011728</v>
      </c>
      <c r="P106">
        <f t="shared" si="12"/>
        <v>-6.3231323132313388E-2</v>
      </c>
    </row>
    <row r="107" spans="3:16" x14ac:dyDescent="0.3">
      <c r="C107">
        <v>860</v>
      </c>
      <c r="D107">
        <f t="shared" si="14"/>
        <v>365.80021499200006</v>
      </c>
      <c r="E107">
        <f t="shared" si="15"/>
        <v>210.33512362040003</v>
      </c>
      <c r="F107">
        <f t="shared" si="16"/>
        <v>0.22862513437000001</v>
      </c>
      <c r="G107">
        <f t="shared" si="13"/>
        <v>0.17146885077750001</v>
      </c>
      <c r="L107">
        <v>820</v>
      </c>
      <c r="M107">
        <f t="shared" si="17"/>
        <v>1.6604999999999999</v>
      </c>
      <c r="N107">
        <f t="shared" si="18"/>
        <v>1.2915000000000001</v>
      </c>
      <c r="O107">
        <f t="shared" si="11"/>
        <v>-0.38388838883888399</v>
      </c>
      <c r="P107">
        <f t="shared" si="12"/>
        <v>-7.6357635763576681E-2</v>
      </c>
    </row>
    <row r="108" spans="3:16" x14ac:dyDescent="0.3">
      <c r="C108">
        <v>870</v>
      </c>
      <c r="D108">
        <f t="shared" si="14"/>
        <v>370.05370586400005</v>
      </c>
      <c r="E108">
        <f t="shared" si="15"/>
        <v>212.78088087180004</v>
      </c>
      <c r="F108">
        <f t="shared" si="16"/>
        <v>0.23128356616500001</v>
      </c>
      <c r="G108">
        <f t="shared" si="13"/>
        <v>0.17346267462375001</v>
      </c>
      <c r="L108">
        <v>830</v>
      </c>
      <c r="M108">
        <f t="shared" si="17"/>
        <v>1.68075</v>
      </c>
      <c r="N108">
        <f t="shared" si="18"/>
        <v>1.30725</v>
      </c>
      <c r="O108">
        <f t="shared" si="11"/>
        <v>-0.40076507650765092</v>
      </c>
      <c r="P108">
        <f t="shared" si="12"/>
        <v>-8.9483948394839752E-2</v>
      </c>
    </row>
    <row r="109" spans="3:16" x14ac:dyDescent="0.3">
      <c r="C109">
        <v>880</v>
      </c>
      <c r="D109">
        <f t="shared" si="14"/>
        <v>374.30719673600009</v>
      </c>
      <c r="E109">
        <f t="shared" si="15"/>
        <v>215.22663812320002</v>
      </c>
      <c r="F109">
        <f t="shared" si="16"/>
        <v>0.23394199796000001</v>
      </c>
      <c r="G109">
        <f t="shared" si="13"/>
        <v>0.17545649847000003</v>
      </c>
      <c r="L109">
        <v>840</v>
      </c>
      <c r="M109">
        <f t="shared" si="17"/>
        <v>1.7009999999999998</v>
      </c>
      <c r="N109">
        <f t="shared" si="18"/>
        <v>1.323</v>
      </c>
      <c r="O109">
        <f t="shared" si="11"/>
        <v>-0.41764176417641763</v>
      </c>
      <c r="P109">
        <f t="shared" si="12"/>
        <v>-0.10261026102610282</v>
      </c>
    </row>
    <row r="110" spans="3:16" x14ac:dyDescent="0.3">
      <c r="C110">
        <v>890</v>
      </c>
      <c r="D110">
        <f t="shared" si="14"/>
        <v>378.56068760800008</v>
      </c>
      <c r="E110">
        <f t="shared" si="15"/>
        <v>217.67239537460003</v>
      </c>
      <c r="F110">
        <f t="shared" si="16"/>
        <v>0.23660042975500001</v>
      </c>
      <c r="G110">
        <f t="shared" si="13"/>
        <v>0.17745032231625002</v>
      </c>
      <c r="L110">
        <v>850</v>
      </c>
      <c r="M110">
        <f t="shared" si="17"/>
        <v>1.7212499999999999</v>
      </c>
      <c r="N110">
        <f t="shared" si="18"/>
        <v>1.3387500000000001</v>
      </c>
      <c r="O110">
        <f t="shared" si="11"/>
        <v>-0.43451845184518456</v>
      </c>
      <c r="P110">
        <f t="shared" si="12"/>
        <v>-0.11573657365736589</v>
      </c>
    </row>
    <row r="111" spans="3:16" x14ac:dyDescent="0.3">
      <c r="C111">
        <v>900</v>
      </c>
      <c r="D111">
        <f t="shared" si="14"/>
        <v>382.81417848000007</v>
      </c>
      <c r="E111">
        <f t="shared" si="15"/>
        <v>220.11815262600004</v>
      </c>
      <c r="F111">
        <f t="shared" si="16"/>
        <v>0.23925886155000003</v>
      </c>
      <c r="G111">
        <f t="shared" si="13"/>
        <v>0.17944414616250001</v>
      </c>
      <c r="L111">
        <v>860</v>
      </c>
      <c r="M111">
        <f t="shared" si="17"/>
        <v>1.7414999999999998</v>
      </c>
      <c r="N111">
        <f t="shared" si="18"/>
        <v>1.3545</v>
      </c>
      <c r="O111">
        <f t="shared" si="11"/>
        <v>-0.45139513951395149</v>
      </c>
      <c r="P111">
        <f t="shared" si="12"/>
        <v>-0.12886288628862896</v>
      </c>
    </row>
    <row r="112" spans="3:16" x14ac:dyDescent="0.3">
      <c r="C112">
        <v>910</v>
      </c>
      <c r="D112">
        <f t="shared" si="14"/>
        <v>387.06766935200005</v>
      </c>
      <c r="E112">
        <f t="shared" si="15"/>
        <v>222.56390987740002</v>
      </c>
      <c r="F112">
        <f t="shared" si="16"/>
        <v>0.24191729334500003</v>
      </c>
      <c r="G112">
        <f t="shared" si="13"/>
        <v>0.18143797000875</v>
      </c>
      <c r="L112">
        <v>870</v>
      </c>
      <c r="M112">
        <f t="shared" si="17"/>
        <v>1.7617499999999999</v>
      </c>
      <c r="N112">
        <f t="shared" si="18"/>
        <v>1.37025</v>
      </c>
      <c r="O112">
        <f t="shared" si="11"/>
        <v>-0.46827182718271843</v>
      </c>
      <c r="P112">
        <f t="shared" si="12"/>
        <v>-0.14198919891989203</v>
      </c>
    </row>
    <row r="113" spans="3:16" x14ac:dyDescent="0.3">
      <c r="C113">
        <v>920</v>
      </c>
      <c r="D113">
        <f t="shared" si="14"/>
        <v>391.3211602240001</v>
      </c>
      <c r="E113">
        <f t="shared" si="15"/>
        <v>225.00966712880003</v>
      </c>
      <c r="F113">
        <f t="shared" si="16"/>
        <v>0.24457572514000003</v>
      </c>
      <c r="G113">
        <f t="shared" si="13"/>
        <v>0.18343179385500002</v>
      </c>
      <c r="L113">
        <v>880</v>
      </c>
      <c r="M113">
        <f t="shared" si="17"/>
        <v>1.7819999999999998</v>
      </c>
      <c r="N113">
        <f t="shared" si="18"/>
        <v>1.3860000000000001</v>
      </c>
      <c r="O113">
        <f t="shared" si="11"/>
        <v>-0.48514851485148514</v>
      </c>
      <c r="P113">
        <f t="shared" si="12"/>
        <v>-0.15511551155115533</v>
      </c>
    </row>
    <row r="114" spans="3:16" x14ac:dyDescent="0.3">
      <c r="C114">
        <v>930</v>
      </c>
      <c r="D114">
        <f t="shared" si="14"/>
        <v>395.57465109600008</v>
      </c>
      <c r="E114">
        <f t="shared" si="15"/>
        <v>227.45542438020004</v>
      </c>
      <c r="F114">
        <f t="shared" si="16"/>
        <v>0.24723415693500003</v>
      </c>
      <c r="G114">
        <f t="shared" si="13"/>
        <v>0.18542561770125002</v>
      </c>
      <c r="L114">
        <v>890</v>
      </c>
      <c r="M114">
        <f t="shared" si="17"/>
        <v>1.8022499999999999</v>
      </c>
      <c r="N114">
        <f t="shared" si="18"/>
        <v>1.4017500000000001</v>
      </c>
      <c r="O114">
        <f t="shared" si="11"/>
        <v>-0.50202520252025207</v>
      </c>
      <c r="P114">
        <f t="shared" si="12"/>
        <v>-0.1682418241824184</v>
      </c>
    </row>
    <row r="115" spans="3:16" x14ac:dyDescent="0.3">
      <c r="C115">
        <v>940</v>
      </c>
      <c r="D115">
        <f t="shared" si="14"/>
        <v>399.82814196800007</v>
      </c>
      <c r="E115">
        <f t="shared" si="15"/>
        <v>229.90118163160002</v>
      </c>
      <c r="F115">
        <f t="shared" si="16"/>
        <v>0.24989258873000003</v>
      </c>
      <c r="G115">
        <f t="shared" si="13"/>
        <v>0.18741944154750001</v>
      </c>
      <c r="L115">
        <v>900</v>
      </c>
      <c r="M115">
        <f t="shared" si="17"/>
        <v>1.8225</v>
      </c>
      <c r="N115">
        <f t="shared" si="18"/>
        <v>1.4175</v>
      </c>
      <c r="O115">
        <f t="shared" si="11"/>
        <v>-0.51890189018901922</v>
      </c>
      <c r="P115">
        <f t="shared" si="12"/>
        <v>-0.18136813681368147</v>
      </c>
    </row>
    <row r="116" spans="3:16" x14ac:dyDescent="0.3">
      <c r="C116">
        <v>950</v>
      </c>
      <c r="D116">
        <f t="shared" si="14"/>
        <v>404.08163284000005</v>
      </c>
      <c r="E116">
        <f t="shared" si="15"/>
        <v>232.34693888300004</v>
      </c>
      <c r="F116">
        <f t="shared" si="16"/>
        <v>0.252551020525</v>
      </c>
      <c r="G116">
        <f t="shared" si="13"/>
        <v>0.18941326539375003</v>
      </c>
      <c r="L116">
        <v>910</v>
      </c>
      <c r="M116">
        <f t="shared" si="17"/>
        <v>1.8427499999999999</v>
      </c>
      <c r="N116">
        <f t="shared" si="18"/>
        <v>1.4332499999999999</v>
      </c>
      <c r="O116">
        <f t="shared" si="11"/>
        <v>-0.53577857785778593</v>
      </c>
      <c r="P116">
        <f t="shared" si="12"/>
        <v>-0.19449444944494454</v>
      </c>
    </row>
    <row r="117" spans="3:16" x14ac:dyDescent="0.3">
      <c r="C117">
        <v>960</v>
      </c>
      <c r="D117">
        <f t="shared" si="14"/>
        <v>408.3351237120001</v>
      </c>
      <c r="E117">
        <f t="shared" si="15"/>
        <v>234.79269613440005</v>
      </c>
      <c r="F117">
        <f t="shared" si="16"/>
        <v>0.25520945232000003</v>
      </c>
      <c r="G117">
        <f t="shared" si="13"/>
        <v>0.19140708924000002</v>
      </c>
      <c r="L117">
        <v>920</v>
      </c>
      <c r="M117">
        <f t="shared" si="17"/>
        <v>1.863</v>
      </c>
      <c r="N117">
        <f t="shared" si="18"/>
        <v>1.4490000000000001</v>
      </c>
      <c r="O117">
        <f t="shared" si="11"/>
        <v>-0.55265526552655286</v>
      </c>
      <c r="P117">
        <f t="shared" si="12"/>
        <v>-0.20762076207620783</v>
      </c>
    </row>
    <row r="118" spans="3:16" x14ac:dyDescent="0.3">
      <c r="C118">
        <v>970</v>
      </c>
      <c r="D118">
        <f t="shared" si="14"/>
        <v>412.58861458400008</v>
      </c>
      <c r="E118">
        <f t="shared" si="15"/>
        <v>237.23845338580003</v>
      </c>
      <c r="F118">
        <f t="shared" si="16"/>
        <v>0.257867884115</v>
      </c>
      <c r="G118">
        <f t="shared" si="13"/>
        <v>0.19340091308625001</v>
      </c>
      <c r="L118">
        <v>930</v>
      </c>
      <c r="M118">
        <f t="shared" si="17"/>
        <v>1.8832499999999999</v>
      </c>
      <c r="N118">
        <f t="shared" si="18"/>
        <v>1.46475</v>
      </c>
      <c r="O118">
        <f t="shared" si="11"/>
        <v>-0.56953195319531957</v>
      </c>
      <c r="P118">
        <f t="shared" si="12"/>
        <v>-0.2207470747074709</v>
      </c>
    </row>
    <row r="119" spans="3:16" x14ac:dyDescent="0.3">
      <c r="C119">
        <v>980</v>
      </c>
      <c r="D119">
        <f t="shared" si="14"/>
        <v>416.84210545600007</v>
      </c>
      <c r="E119">
        <f t="shared" si="15"/>
        <v>239.68421063720004</v>
      </c>
      <c r="F119">
        <f t="shared" si="16"/>
        <v>0.26052631591000003</v>
      </c>
      <c r="G119">
        <f t="shared" si="13"/>
        <v>0.19539473693250001</v>
      </c>
      <c r="L119">
        <v>940</v>
      </c>
      <c r="M119">
        <f t="shared" si="17"/>
        <v>1.9035</v>
      </c>
      <c r="N119">
        <f t="shared" si="18"/>
        <v>1.4804999999999999</v>
      </c>
      <c r="O119">
        <f t="shared" si="11"/>
        <v>-0.58640864086408651</v>
      </c>
      <c r="P119">
        <f t="shared" si="12"/>
        <v>-0.23387338733873397</v>
      </c>
    </row>
    <row r="120" spans="3:16" x14ac:dyDescent="0.3">
      <c r="C120">
        <v>990</v>
      </c>
      <c r="D120">
        <f t="shared" si="14"/>
        <v>421.09559632800011</v>
      </c>
      <c r="E120">
        <f t="shared" si="15"/>
        <v>242.12996788860002</v>
      </c>
      <c r="F120">
        <f t="shared" si="16"/>
        <v>0.263184747705</v>
      </c>
      <c r="G120">
        <f t="shared" si="13"/>
        <v>0.19738856077875003</v>
      </c>
      <c r="L120">
        <v>950</v>
      </c>
      <c r="M120">
        <f t="shared" si="17"/>
        <v>1.9237499999999998</v>
      </c>
      <c r="N120">
        <f t="shared" si="18"/>
        <v>1.4962500000000001</v>
      </c>
      <c r="O120">
        <f t="shared" si="11"/>
        <v>-0.60328532853285344</v>
      </c>
      <c r="P120">
        <f t="shared" si="12"/>
        <v>-0.24699969996999727</v>
      </c>
    </row>
    <row r="121" spans="3:16" x14ac:dyDescent="0.3">
      <c r="C121">
        <v>1000</v>
      </c>
      <c r="D121">
        <f t="shared" si="14"/>
        <v>425.3490872000001</v>
      </c>
      <c r="E121">
        <f t="shared" si="15"/>
        <v>244.57572514000003</v>
      </c>
      <c r="F121">
        <f t="shared" si="16"/>
        <v>0.26584317950000003</v>
      </c>
      <c r="G121">
        <f t="shared" si="13"/>
        <v>0.19938238462500002</v>
      </c>
      <c r="L121">
        <v>960</v>
      </c>
      <c r="M121">
        <f t="shared" si="17"/>
        <v>1.944</v>
      </c>
      <c r="N121">
        <f t="shared" si="18"/>
        <v>1.512</v>
      </c>
      <c r="O121">
        <f t="shared" si="11"/>
        <v>-0.62016201620162037</v>
      </c>
      <c r="P121">
        <f t="shared" si="12"/>
        <v>-0.26012601260126034</v>
      </c>
    </row>
    <row r="122" spans="3:16" x14ac:dyDescent="0.3">
      <c r="L122">
        <v>970</v>
      </c>
      <c r="M122">
        <f t="shared" si="17"/>
        <v>1.9642499999999998</v>
      </c>
      <c r="N122">
        <f t="shared" si="18"/>
        <v>1.5277499999999999</v>
      </c>
      <c r="O122">
        <f t="shared" si="11"/>
        <v>-0.63703870387038708</v>
      </c>
      <c r="P122">
        <f t="shared" si="12"/>
        <v>-0.27325232523252341</v>
      </c>
    </row>
    <row r="123" spans="3:16" x14ac:dyDescent="0.3">
      <c r="L123">
        <v>980</v>
      </c>
      <c r="M123">
        <f t="shared" si="17"/>
        <v>1.9844999999999999</v>
      </c>
      <c r="N123">
        <f t="shared" si="18"/>
        <v>1.5435000000000001</v>
      </c>
      <c r="O123">
        <f t="shared" si="11"/>
        <v>-0.65391539153915401</v>
      </c>
      <c r="P123">
        <f t="shared" si="12"/>
        <v>-0.2863786378637867</v>
      </c>
    </row>
    <row r="124" spans="3:16" x14ac:dyDescent="0.3">
      <c r="L124">
        <v>990</v>
      </c>
      <c r="M124">
        <f t="shared" si="17"/>
        <v>2.00475</v>
      </c>
      <c r="N124">
        <f t="shared" si="18"/>
        <v>1.55925</v>
      </c>
      <c r="O124">
        <f t="shared" si="11"/>
        <v>-0.67079207920792094</v>
      </c>
      <c r="P124">
        <f t="shared" si="12"/>
        <v>-0.29950495049504977</v>
      </c>
    </row>
    <row r="125" spans="3:16" x14ac:dyDescent="0.3">
      <c r="L125">
        <v>1000</v>
      </c>
      <c r="M125">
        <f t="shared" si="17"/>
        <v>2.0249999999999999</v>
      </c>
      <c r="N125">
        <f t="shared" si="18"/>
        <v>1.575</v>
      </c>
      <c r="O125">
        <f t="shared" si="11"/>
        <v>-0.68766876687668788</v>
      </c>
      <c r="P125">
        <f t="shared" si="12"/>
        <v>-0.31263126312631284</v>
      </c>
    </row>
  </sheetData>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AA1D-3717-457D-9B77-4AA5B285502A}">
  <dimension ref="C3:AF16"/>
  <sheetViews>
    <sheetView zoomScale="62" workbookViewId="0">
      <selection activeCell="G15" sqref="G15"/>
    </sheetView>
  </sheetViews>
  <sheetFormatPr defaultRowHeight="14.4" x14ac:dyDescent="0.3"/>
  <cols>
    <col min="3" max="3" width="11.6640625" bestFit="1" customWidth="1"/>
    <col min="4" max="4" width="17" bestFit="1" customWidth="1"/>
    <col min="6" max="6" width="10.5546875" bestFit="1" customWidth="1"/>
    <col min="11" max="11" width="12" bestFit="1" customWidth="1"/>
    <col min="17" max="18" width="12"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22.2" thickBot="1" x14ac:dyDescent="0.35">
      <c r="C10" s="70" t="s">
        <v>219</v>
      </c>
      <c r="D10" s="70"/>
      <c r="E10" s="70"/>
      <c r="F10" s="70"/>
      <c r="G10" s="70"/>
      <c r="H10" s="70"/>
      <c r="I10" s="70"/>
      <c r="J10" s="70"/>
      <c r="K10" s="70" t="s">
        <v>220</v>
      </c>
      <c r="L10" s="70" t="s">
        <v>221</v>
      </c>
      <c r="M10" s="70" t="s">
        <v>221</v>
      </c>
      <c r="N10" s="70" t="s">
        <v>222</v>
      </c>
      <c r="O10" s="73" t="s">
        <v>223</v>
      </c>
      <c r="P10" s="70" t="s">
        <v>224</v>
      </c>
      <c r="Q10" s="73" t="s">
        <v>256</v>
      </c>
      <c r="R10" s="73" t="s">
        <v>256</v>
      </c>
      <c r="S10" s="70" t="s">
        <v>225</v>
      </c>
      <c r="T10" s="73" t="s">
        <v>223</v>
      </c>
    </row>
    <row r="11" spans="3:32" x14ac:dyDescent="0.3">
      <c r="C11" t="s">
        <v>299</v>
      </c>
      <c r="D11" t="s">
        <v>248</v>
      </c>
      <c r="F11" s="98" t="s">
        <v>308</v>
      </c>
      <c r="G11" t="s">
        <v>312</v>
      </c>
      <c r="I11">
        <v>2020</v>
      </c>
      <c r="J11">
        <v>2030</v>
      </c>
      <c r="K11">
        <v>0.97</v>
      </c>
      <c r="N11">
        <v>0.95</v>
      </c>
      <c r="O11" s="77">
        <v>50</v>
      </c>
      <c r="P11" s="79">
        <v>31.536000000000001</v>
      </c>
      <c r="Q11">
        <f>'H2'!E68</f>
        <v>114.95059081580001</v>
      </c>
      <c r="R11">
        <f>'H2'!$F$68</f>
        <v>0.12494629436500002</v>
      </c>
      <c r="T11" s="76">
        <v>1</v>
      </c>
      <c r="Y11" s="67" t="s">
        <v>226</v>
      </c>
      <c r="Z11" s="68"/>
      <c r="AA11" s="68"/>
      <c r="AB11" s="68"/>
      <c r="AC11" s="68"/>
      <c r="AD11" s="68"/>
      <c r="AE11" s="68"/>
      <c r="AF11" s="68"/>
    </row>
    <row r="12" spans="3:32" x14ac:dyDescent="0.3">
      <c r="I12" s="72">
        <v>2030</v>
      </c>
      <c r="J12" s="72"/>
      <c r="K12">
        <v>0.97</v>
      </c>
      <c r="N12">
        <v>0.95</v>
      </c>
      <c r="O12" s="77">
        <v>50</v>
      </c>
      <c r="P12" s="79">
        <v>31.536000000000001</v>
      </c>
      <c r="Q12">
        <f>'H2'!$E$68</f>
        <v>114.95059081580001</v>
      </c>
      <c r="R12">
        <f>'H2'!$F$68</f>
        <v>0.12494629436500002</v>
      </c>
      <c r="T12" s="76">
        <v>1</v>
      </c>
      <c r="Y12" s="69" t="s">
        <v>227</v>
      </c>
      <c r="Z12" s="69" t="s">
        <v>185</v>
      </c>
      <c r="AA12" s="69" t="s">
        <v>186</v>
      </c>
      <c r="AB12" s="69" t="s">
        <v>228</v>
      </c>
      <c r="AC12" s="69" t="s">
        <v>229</v>
      </c>
      <c r="AD12" s="69" t="s">
        <v>230</v>
      </c>
      <c r="AE12" s="69" t="s">
        <v>231</v>
      </c>
      <c r="AF12" s="69" t="s">
        <v>232</v>
      </c>
    </row>
    <row r="13" spans="3:32" ht="42.6" thickBot="1" x14ac:dyDescent="0.35">
      <c r="I13">
        <v>2050</v>
      </c>
      <c r="K13">
        <v>0.97</v>
      </c>
      <c r="N13">
        <v>0.95</v>
      </c>
      <c r="O13" s="77">
        <v>50</v>
      </c>
      <c r="P13" s="79">
        <v>31.536000000000001</v>
      </c>
      <c r="Q13">
        <f>'H2'!$E$68</f>
        <v>114.95059081580001</v>
      </c>
      <c r="R13">
        <f>'H2'!$F$68</f>
        <v>0.12494629436500002</v>
      </c>
      <c r="T13" s="76">
        <v>1</v>
      </c>
      <c r="Y13" s="70" t="s">
        <v>233</v>
      </c>
      <c r="Z13" s="70" t="s">
        <v>234</v>
      </c>
      <c r="AA13" s="70" t="s">
        <v>204</v>
      </c>
      <c r="AB13" s="70" t="s">
        <v>235</v>
      </c>
      <c r="AC13" s="70" t="s">
        <v>236</v>
      </c>
      <c r="AD13" s="70" t="s">
        <v>237</v>
      </c>
      <c r="AE13" s="70" t="s">
        <v>238</v>
      </c>
      <c r="AF13" s="70" t="s">
        <v>239</v>
      </c>
    </row>
    <row r="14" spans="3:32" ht="15" thickBot="1" x14ac:dyDescent="0.35">
      <c r="C14" t="s">
        <v>300</v>
      </c>
      <c r="D14" s="80" t="s">
        <v>249</v>
      </c>
      <c r="E14" s="80"/>
      <c r="F14" s="98" t="s">
        <v>308</v>
      </c>
      <c r="G14" t="s">
        <v>312</v>
      </c>
      <c r="H14" s="80"/>
      <c r="I14" s="80">
        <v>2020</v>
      </c>
      <c r="J14" s="80">
        <v>2030</v>
      </c>
      <c r="K14" s="80">
        <f>'H2'!O60</f>
        <v>0.40931593159315927</v>
      </c>
      <c r="L14" s="80"/>
      <c r="M14" s="80"/>
      <c r="N14" s="80">
        <v>0.95</v>
      </c>
      <c r="O14" s="81">
        <v>20</v>
      </c>
      <c r="P14" s="80">
        <v>1</v>
      </c>
      <c r="Q14" s="80">
        <f>('H2'!$M$20+'H2'!$M$22)*4/365</f>
        <v>1.3602819906016173</v>
      </c>
      <c r="R14" s="80">
        <f>'H2'!$M$21*4/365</f>
        <v>6.7984963117316303E-3</v>
      </c>
      <c r="S14" s="80"/>
      <c r="T14" s="82"/>
      <c r="Y14" s="70" t="s">
        <v>240</v>
      </c>
      <c r="Z14" s="70"/>
      <c r="AA14" s="70"/>
      <c r="AB14" s="70"/>
      <c r="AC14" s="70"/>
      <c r="AD14" s="70"/>
      <c r="AE14" s="70"/>
      <c r="AF14" s="70"/>
    </row>
    <row r="15" spans="3:32" x14ac:dyDescent="0.3">
      <c r="I15" s="72">
        <v>2030</v>
      </c>
      <c r="J15" s="72"/>
      <c r="K15">
        <f>'H2'!O60</f>
        <v>0.40931593159315927</v>
      </c>
      <c r="N15">
        <v>0.95</v>
      </c>
      <c r="O15" s="77">
        <v>20</v>
      </c>
      <c r="P15" s="79">
        <v>1</v>
      </c>
      <c r="Q15">
        <f>('H2'!$M$20+'H2'!$M$22)*4/365</f>
        <v>1.3602819906016173</v>
      </c>
      <c r="R15">
        <f>'H2'!$M$21*4/365</f>
        <v>6.7984963117316303E-3</v>
      </c>
      <c r="T15" s="76"/>
      <c r="Y15" t="s">
        <v>241</v>
      </c>
      <c r="Z15" t="s">
        <v>299</v>
      </c>
      <c r="AA15" t="s">
        <v>248</v>
      </c>
      <c r="AB15" s="78" t="s">
        <v>184</v>
      </c>
      <c r="AC15" s="78" t="s">
        <v>244</v>
      </c>
      <c r="AD15" s="72" t="s">
        <v>182</v>
      </c>
      <c r="AE15" t="s">
        <v>298</v>
      </c>
      <c r="AF15" s="78" t="s">
        <v>242</v>
      </c>
    </row>
    <row r="16" spans="3:32" x14ac:dyDescent="0.3">
      <c r="I16">
        <v>2050</v>
      </c>
      <c r="K16">
        <f>'H2'!P60</f>
        <v>0.54057905790579053</v>
      </c>
      <c r="N16">
        <v>0.95</v>
      </c>
      <c r="O16" s="77">
        <v>20</v>
      </c>
      <c r="P16" s="79">
        <v>1</v>
      </c>
      <c r="Q16">
        <f>('H2'!N20+'H2'!N22)*4/365</f>
        <v>0.97160224432233189</v>
      </c>
      <c r="R16">
        <f>'H2'!N21*4/365</f>
        <v>4.8560687940940222E-3</v>
      </c>
      <c r="T16" s="76"/>
      <c r="Y16" t="s">
        <v>241</v>
      </c>
      <c r="Z16" t="s">
        <v>300</v>
      </c>
      <c r="AA16" t="s">
        <v>249</v>
      </c>
      <c r="AB16" t="s">
        <v>184</v>
      </c>
      <c r="AC16" t="s">
        <v>250</v>
      </c>
      <c r="AD16" s="72" t="s">
        <v>182</v>
      </c>
      <c r="AE16" t="s">
        <v>298</v>
      </c>
      <c r="AF16" t="s">
        <v>242</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6526-F5AE-4371-84C7-76039AAEA89E}">
  <sheetPr>
    <tabColor theme="5" tint="0.39997558519241921"/>
  </sheetPr>
  <dimension ref="B2:W122"/>
  <sheetViews>
    <sheetView topLeftCell="A28" zoomScale="66" workbookViewId="0">
      <selection activeCell="W12" sqref="W12"/>
    </sheetView>
  </sheetViews>
  <sheetFormatPr defaultRowHeight="14.4" x14ac:dyDescent="0.3"/>
  <cols>
    <col min="2" max="2" width="42.109375" customWidth="1"/>
    <col min="3" max="3" width="20.5546875" customWidth="1"/>
    <col min="4" max="4" width="20.88671875" customWidth="1"/>
    <col min="12" max="12" width="26.33203125" customWidth="1"/>
    <col min="13" max="13" width="12" bestFit="1" customWidth="1"/>
    <col min="14" max="14" width="13.33203125" bestFit="1" customWidth="1"/>
    <col min="15" max="15" width="12" bestFit="1" customWidth="1"/>
    <col min="22" max="22" width="11.21875" bestFit="1" customWidth="1"/>
  </cols>
  <sheetData>
    <row r="2" spans="2:23" ht="18" x14ac:dyDescent="0.35">
      <c r="C2" s="65" t="s">
        <v>154</v>
      </c>
      <c r="L2" s="65" t="s">
        <v>155</v>
      </c>
      <c r="R2" t="s">
        <v>163</v>
      </c>
    </row>
    <row r="3" spans="2:23" x14ac:dyDescent="0.3">
      <c r="L3" t="s">
        <v>162</v>
      </c>
    </row>
    <row r="4" spans="2:23" x14ac:dyDescent="0.3">
      <c r="M4">
        <v>2030</v>
      </c>
      <c r="N4">
        <v>2050</v>
      </c>
      <c r="R4" t="s">
        <v>167</v>
      </c>
    </row>
    <row r="5" spans="2:23" x14ac:dyDescent="0.3">
      <c r="B5" s="47" t="s">
        <v>111</v>
      </c>
      <c r="C5" s="48" t="s">
        <v>112</v>
      </c>
      <c r="L5" s="27" t="s">
        <v>125</v>
      </c>
      <c r="M5" s="52">
        <v>2205</v>
      </c>
      <c r="N5" s="52">
        <v>1715</v>
      </c>
      <c r="R5">
        <v>5.2</v>
      </c>
      <c r="S5" t="s">
        <v>157</v>
      </c>
    </row>
    <row r="6" spans="2:23" x14ac:dyDescent="0.3">
      <c r="B6" s="47" t="s">
        <v>25</v>
      </c>
      <c r="C6" s="52">
        <v>50</v>
      </c>
      <c r="L6" t="s">
        <v>264</v>
      </c>
      <c r="M6">
        <f>M5/1000000</f>
        <v>2.2049999999999999E-3</v>
      </c>
      <c r="N6">
        <f>N5/1000000</f>
        <v>1.7149999999999999E-3</v>
      </c>
      <c r="R6">
        <v>5.2</v>
      </c>
      <c r="S6" t="s">
        <v>158</v>
      </c>
    </row>
    <row r="7" spans="2:23" x14ac:dyDescent="0.3">
      <c r="B7" s="47" t="s">
        <v>29</v>
      </c>
      <c r="C7" s="52">
        <v>1</v>
      </c>
      <c r="L7" s="62" t="s">
        <v>130</v>
      </c>
      <c r="M7" s="52">
        <v>1978.8326904267387</v>
      </c>
      <c r="N7" s="52">
        <v>1978.8326904267387</v>
      </c>
      <c r="R7">
        <v>5.2</v>
      </c>
      <c r="S7" t="s">
        <v>159</v>
      </c>
      <c r="T7">
        <f>R7/1000</f>
        <v>5.1999999999999998E-3</v>
      </c>
      <c r="U7" t="s">
        <v>172</v>
      </c>
    </row>
    <row r="8" spans="2:23" x14ac:dyDescent="0.3">
      <c r="L8" s="62" t="s">
        <v>133</v>
      </c>
      <c r="M8" s="52">
        <v>9.570354462000001</v>
      </c>
      <c r="N8" s="52">
        <v>9.570354462000001</v>
      </c>
      <c r="R8">
        <f>R6/1000</f>
        <v>5.1999999999999998E-3</v>
      </c>
      <c r="S8" t="s">
        <v>160</v>
      </c>
    </row>
    <row r="9" spans="2:23" x14ac:dyDescent="0.3">
      <c r="C9" t="s">
        <v>164</v>
      </c>
      <c r="L9" s="62" t="s">
        <v>168</v>
      </c>
      <c r="M9" s="52">
        <v>1.8077336206000001</v>
      </c>
      <c r="N9" s="52">
        <v>1.8077336206000001</v>
      </c>
    </row>
    <row r="10" spans="2:23" x14ac:dyDescent="0.3">
      <c r="B10" s="27" t="s">
        <v>119</v>
      </c>
      <c r="C10" s="48">
        <v>0.21267454360000004</v>
      </c>
      <c r="D10" s="66">
        <f>C10</f>
        <v>0.21267454360000004</v>
      </c>
      <c r="E10" t="s">
        <v>169</v>
      </c>
    </row>
    <row r="11" spans="2:23" x14ac:dyDescent="0.3">
      <c r="B11" s="27" t="s">
        <v>120</v>
      </c>
      <c r="C11" s="48">
        <v>0.21267454360000004</v>
      </c>
      <c r="D11" s="66">
        <f>C11</f>
        <v>0.21267454360000004</v>
      </c>
      <c r="E11" t="s">
        <v>169</v>
      </c>
      <c r="L11" s="62" t="s">
        <v>265</v>
      </c>
      <c r="M11" s="63">
        <f>M7/($R$6*1000000*$S$13)</f>
        <v>105.70687448860785</v>
      </c>
      <c r="N11" s="63">
        <f>N7/($R$6*1000000*$S$13)</f>
        <v>105.70687448860785</v>
      </c>
      <c r="V11">
        <f>R6*S13</f>
        <v>1.872E-5</v>
      </c>
      <c r="W11" t="s">
        <v>294</v>
      </c>
    </row>
    <row r="12" spans="2:23" x14ac:dyDescent="0.3">
      <c r="L12" s="62" t="s">
        <v>266</v>
      </c>
      <c r="M12" s="63">
        <f t="shared" ref="M12:N13" si="0">M8/($R$6*1000000*$S$13)</f>
        <v>0.51123688365384623</v>
      </c>
      <c r="N12" s="63">
        <f t="shared" si="0"/>
        <v>0.51123688365384623</v>
      </c>
      <c r="S12" t="s">
        <v>161</v>
      </c>
    </row>
    <row r="13" spans="2:23" x14ac:dyDescent="0.3">
      <c r="B13" s="27" t="s">
        <v>121</v>
      </c>
      <c r="C13" s="55">
        <v>106.33727180000001</v>
      </c>
      <c r="D13" s="63">
        <f>C13/1000000</f>
        <v>1.0633727180000001E-4</v>
      </c>
      <c r="E13" t="s">
        <v>165</v>
      </c>
      <c r="L13" s="62" t="s">
        <v>267</v>
      </c>
      <c r="M13" s="63">
        <f t="shared" si="0"/>
        <v>9.6566966912393179E-2</v>
      </c>
      <c r="N13" s="63">
        <f t="shared" si="0"/>
        <v>9.6566966912393179E-2</v>
      </c>
      <c r="S13">
        <v>3.5999999999999998E-6</v>
      </c>
    </row>
    <row r="14" spans="2:23" x14ac:dyDescent="0.3">
      <c r="V14" t="s">
        <v>251</v>
      </c>
    </row>
    <row r="15" spans="2:23" x14ac:dyDescent="0.3">
      <c r="V15">
        <v>45000</v>
      </c>
      <c r="W15" t="s">
        <v>252</v>
      </c>
    </row>
    <row r="16" spans="2:23" x14ac:dyDescent="0.3">
      <c r="B16" t="s">
        <v>153</v>
      </c>
      <c r="C16" t="s">
        <v>177</v>
      </c>
      <c r="D16" t="s">
        <v>166</v>
      </c>
      <c r="L16" s="47" t="s">
        <v>25</v>
      </c>
      <c r="M16" s="52">
        <v>20</v>
      </c>
    </row>
    <row r="17" spans="2:23" x14ac:dyDescent="0.3">
      <c r="B17">
        <v>10</v>
      </c>
      <c r="C17">
        <f>$D$10*B17</f>
        <v>2.1267454360000002</v>
      </c>
      <c r="D17">
        <f>$D$13*B17</f>
        <v>1.0633727180000001E-3</v>
      </c>
      <c r="V17">
        <f>V15*S13*R6</f>
        <v>0.84240000000000004</v>
      </c>
      <c r="W17" t="s">
        <v>263</v>
      </c>
    </row>
    <row r="18" spans="2:23" x14ac:dyDescent="0.3">
      <c r="B18">
        <v>20</v>
      </c>
      <c r="C18">
        <f t="shared" ref="C18:C81" si="1">$D$10*B18</f>
        <v>4.2534908720000004</v>
      </c>
      <c r="D18">
        <f t="shared" ref="D18:D81" si="2">$D$13*B18</f>
        <v>2.1267454360000002E-3</v>
      </c>
    </row>
    <row r="19" spans="2:23" x14ac:dyDescent="0.3">
      <c r="B19">
        <v>30</v>
      </c>
      <c r="C19">
        <f t="shared" si="1"/>
        <v>6.3802363080000015</v>
      </c>
      <c r="D19">
        <f t="shared" si="2"/>
        <v>3.1901181540000003E-3</v>
      </c>
    </row>
    <row r="20" spans="2:23" x14ac:dyDescent="0.3">
      <c r="B20">
        <v>40</v>
      </c>
      <c r="C20">
        <f t="shared" si="1"/>
        <v>8.5069817440000008</v>
      </c>
      <c r="D20">
        <f t="shared" si="2"/>
        <v>4.2534908720000004E-3</v>
      </c>
    </row>
    <row r="21" spans="2:23" x14ac:dyDescent="0.3">
      <c r="B21">
        <v>50</v>
      </c>
      <c r="C21">
        <f t="shared" si="1"/>
        <v>10.633727180000003</v>
      </c>
      <c r="D21">
        <f t="shared" si="2"/>
        <v>5.31686359E-3</v>
      </c>
    </row>
    <row r="22" spans="2:23" x14ac:dyDescent="0.3">
      <c r="B22">
        <v>60</v>
      </c>
      <c r="C22">
        <f t="shared" si="1"/>
        <v>12.760472616000003</v>
      </c>
      <c r="D22">
        <f t="shared" si="2"/>
        <v>6.3802363080000006E-3</v>
      </c>
      <c r="L22" t="s">
        <v>153</v>
      </c>
      <c r="O22" t="s">
        <v>254</v>
      </c>
      <c r="P22" t="s">
        <v>255</v>
      </c>
    </row>
    <row r="23" spans="2:23" x14ac:dyDescent="0.3">
      <c r="B23">
        <v>70</v>
      </c>
      <c r="C23">
        <f t="shared" si="1"/>
        <v>14.887218052000003</v>
      </c>
      <c r="D23">
        <f t="shared" si="2"/>
        <v>7.4436090260000011E-3</v>
      </c>
      <c r="L23">
        <v>10</v>
      </c>
      <c r="M23">
        <f>$M$6*L23</f>
        <v>2.205E-2</v>
      </c>
      <c r="N23">
        <f>$N$6*L23</f>
        <v>1.7149999999999999E-2</v>
      </c>
      <c r="O23">
        <f>1-(M23/$V$17)</f>
        <v>0.97382478632478631</v>
      </c>
      <c r="P23">
        <f>1-(N23/$V$17)</f>
        <v>0.97964150047483378</v>
      </c>
    </row>
    <row r="24" spans="2:23" x14ac:dyDescent="0.3">
      <c r="B24">
        <v>80</v>
      </c>
      <c r="C24">
        <f t="shared" si="1"/>
        <v>17.013963488000002</v>
      </c>
      <c r="D24">
        <f t="shared" si="2"/>
        <v>8.5069817440000008E-3</v>
      </c>
      <c r="L24">
        <v>20</v>
      </c>
      <c r="M24">
        <f t="shared" ref="M24:M87" si="3">$M$6*L24</f>
        <v>4.41E-2</v>
      </c>
      <c r="N24">
        <f t="shared" ref="N24:N87" si="4">$N$6*L24</f>
        <v>3.4299999999999997E-2</v>
      </c>
      <c r="O24">
        <f t="shared" ref="O24:O87" si="5">1-(M24/$V$17)</f>
        <v>0.94764957264957261</v>
      </c>
      <c r="P24">
        <f t="shared" ref="P24:P87" si="6">1-(N24/$V$17)</f>
        <v>0.95928300094966756</v>
      </c>
    </row>
    <row r="25" spans="2:23" x14ac:dyDescent="0.3">
      <c r="B25">
        <v>90</v>
      </c>
      <c r="C25">
        <f t="shared" si="1"/>
        <v>19.140708924000005</v>
      </c>
      <c r="D25">
        <f t="shared" si="2"/>
        <v>9.5703544620000004E-3</v>
      </c>
      <c r="L25">
        <v>30</v>
      </c>
      <c r="M25">
        <f t="shared" si="3"/>
        <v>6.615E-2</v>
      </c>
      <c r="N25">
        <f t="shared" si="4"/>
        <v>5.1449999999999996E-2</v>
      </c>
      <c r="O25">
        <f t="shared" si="5"/>
        <v>0.92147435897435903</v>
      </c>
      <c r="P25">
        <f t="shared" si="6"/>
        <v>0.93892450142450146</v>
      </c>
    </row>
    <row r="26" spans="2:23" x14ac:dyDescent="0.3">
      <c r="B26">
        <v>100</v>
      </c>
      <c r="C26">
        <f t="shared" si="1"/>
        <v>21.267454360000006</v>
      </c>
      <c r="D26">
        <f t="shared" si="2"/>
        <v>1.063372718E-2</v>
      </c>
      <c r="L26">
        <v>40</v>
      </c>
      <c r="M26">
        <f t="shared" si="3"/>
        <v>8.8200000000000001E-2</v>
      </c>
      <c r="N26">
        <f t="shared" si="4"/>
        <v>6.8599999999999994E-2</v>
      </c>
      <c r="O26">
        <f t="shared" si="5"/>
        <v>0.89529914529914534</v>
      </c>
      <c r="P26">
        <f t="shared" si="6"/>
        <v>0.91856600189933524</v>
      </c>
    </row>
    <row r="27" spans="2:23" x14ac:dyDescent="0.3">
      <c r="B27">
        <v>110</v>
      </c>
      <c r="C27">
        <f t="shared" si="1"/>
        <v>23.394199796000006</v>
      </c>
      <c r="D27">
        <f t="shared" si="2"/>
        <v>1.1697099898000001E-2</v>
      </c>
      <c r="L27">
        <v>50</v>
      </c>
      <c r="M27">
        <f t="shared" si="3"/>
        <v>0.11025</v>
      </c>
      <c r="N27">
        <f t="shared" si="4"/>
        <v>8.5749999999999993E-2</v>
      </c>
      <c r="O27">
        <f t="shared" si="5"/>
        <v>0.86912393162393164</v>
      </c>
      <c r="P27">
        <f t="shared" si="6"/>
        <v>0.89820750237416902</v>
      </c>
    </row>
    <row r="28" spans="2:23" x14ac:dyDescent="0.3">
      <c r="B28">
        <v>120</v>
      </c>
      <c r="C28">
        <f t="shared" si="1"/>
        <v>25.520945232000006</v>
      </c>
      <c r="D28">
        <f t="shared" si="2"/>
        <v>1.2760472616000001E-2</v>
      </c>
      <c r="L28">
        <v>60</v>
      </c>
      <c r="M28">
        <f t="shared" si="3"/>
        <v>0.1323</v>
      </c>
      <c r="N28">
        <f t="shared" si="4"/>
        <v>0.10289999999999999</v>
      </c>
      <c r="O28">
        <f t="shared" si="5"/>
        <v>0.84294871794871795</v>
      </c>
      <c r="P28">
        <f t="shared" si="6"/>
        <v>0.87784900284900291</v>
      </c>
    </row>
    <row r="29" spans="2:23" x14ac:dyDescent="0.3">
      <c r="B29">
        <v>130</v>
      </c>
      <c r="C29">
        <f t="shared" si="1"/>
        <v>27.647690668000006</v>
      </c>
      <c r="D29">
        <f t="shared" si="2"/>
        <v>1.3823845334000001E-2</v>
      </c>
      <c r="L29">
        <v>70</v>
      </c>
      <c r="M29">
        <f t="shared" si="3"/>
        <v>0.15434999999999999</v>
      </c>
      <c r="N29">
        <f t="shared" si="4"/>
        <v>0.12004999999999999</v>
      </c>
      <c r="O29">
        <f t="shared" si="5"/>
        <v>0.81677350427350426</v>
      </c>
      <c r="P29">
        <f t="shared" si="6"/>
        <v>0.85749050332383669</v>
      </c>
    </row>
    <row r="30" spans="2:23" x14ac:dyDescent="0.3">
      <c r="B30">
        <v>140</v>
      </c>
      <c r="C30">
        <f t="shared" si="1"/>
        <v>29.774436104000007</v>
      </c>
      <c r="D30">
        <f t="shared" si="2"/>
        <v>1.4887218052000002E-2</v>
      </c>
      <c r="L30">
        <v>80</v>
      </c>
      <c r="M30">
        <f t="shared" si="3"/>
        <v>0.1764</v>
      </c>
      <c r="N30">
        <f t="shared" si="4"/>
        <v>0.13719999999999999</v>
      </c>
      <c r="O30">
        <f t="shared" si="5"/>
        <v>0.79059829059829057</v>
      </c>
      <c r="P30">
        <f t="shared" si="6"/>
        <v>0.83713200379867048</v>
      </c>
    </row>
    <row r="31" spans="2:23" x14ac:dyDescent="0.3">
      <c r="B31">
        <v>150</v>
      </c>
      <c r="C31">
        <f t="shared" si="1"/>
        <v>31.901181540000007</v>
      </c>
      <c r="D31">
        <f t="shared" si="2"/>
        <v>1.5950590770000002E-2</v>
      </c>
      <c r="L31">
        <v>90</v>
      </c>
      <c r="M31">
        <f t="shared" si="3"/>
        <v>0.19844999999999999</v>
      </c>
      <c r="N31">
        <f t="shared" si="4"/>
        <v>0.15434999999999999</v>
      </c>
      <c r="O31">
        <f t="shared" si="5"/>
        <v>0.76442307692307698</v>
      </c>
      <c r="P31">
        <f t="shared" si="6"/>
        <v>0.81677350427350426</v>
      </c>
    </row>
    <row r="32" spans="2:23" x14ac:dyDescent="0.3">
      <c r="B32">
        <v>160</v>
      </c>
      <c r="C32">
        <f t="shared" si="1"/>
        <v>34.027926976000003</v>
      </c>
      <c r="D32">
        <f t="shared" si="2"/>
        <v>1.7013963488000002E-2</v>
      </c>
      <c r="L32">
        <v>100</v>
      </c>
      <c r="M32">
        <f t="shared" si="3"/>
        <v>0.2205</v>
      </c>
      <c r="N32">
        <f t="shared" si="4"/>
        <v>0.17149999999999999</v>
      </c>
      <c r="O32">
        <f t="shared" si="5"/>
        <v>0.73824786324786329</v>
      </c>
      <c r="P32">
        <f t="shared" si="6"/>
        <v>0.79641500474833804</v>
      </c>
    </row>
    <row r="33" spans="2:16" x14ac:dyDescent="0.3">
      <c r="B33">
        <v>170</v>
      </c>
      <c r="C33">
        <f t="shared" si="1"/>
        <v>36.154672412000011</v>
      </c>
      <c r="D33">
        <f t="shared" si="2"/>
        <v>1.8077336206000001E-2</v>
      </c>
      <c r="L33">
        <v>110</v>
      </c>
      <c r="M33">
        <f t="shared" si="3"/>
        <v>0.24254999999999999</v>
      </c>
      <c r="N33">
        <f t="shared" si="4"/>
        <v>0.18864999999999998</v>
      </c>
      <c r="O33">
        <f t="shared" si="5"/>
        <v>0.7120726495726496</v>
      </c>
      <c r="P33">
        <f t="shared" si="6"/>
        <v>0.77605650522317193</v>
      </c>
    </row>
    <row r="34" spans="2:16" x14ac:dyDescent="0.3">
      <c r="B34">
        <v>180</v>
      </c>
      <c r="C34">
        <f t="shared" si="1"/>
        <v>38.281417848000011</v>
      </c>
      <c r="D34">
        <f t="shared" si="2"/>
        <v>1.9140708924000001E-2</v>
      </c>
      <c r="L34">
        <v>120</v>
      </c>
      <c r="M34">
        <f t="shared" si="3"/>
        <v>0.2646</v>
      </c>
      <c r="N34">
        <f t="shared" si="4"/>
        <v>0.20579999999999998</v>
      </c>
      <c r="O34">
        <f t="shared" si="5"/>
        <v>0.6858974358974359</v>
      </c>
      <c r="P34">
        <f t="shared" si="6"/>
        <v>0.75569800569800571</v>
      </c>
    </row>
    <row r="35" spans="2:16" x14ac:dyDescent="0.3">
      <c r="B35">
        <v>190</v>
      </c>
      <c r="C35">
        <f t="shared" si="1"/>
        <v>40.408163284000011</v>
      </c>
      <c r="D35">
        <f t="shared" si="2"/>
        <v>2.0204081642000001E-2</v>
      </c>
      <c r="L35">
        <v>130</v>
      </c>
      <c r="M35">
        <f t="shared" si="3"/>
        <v>0.28665000000000002</v>
      </c>
      <c r="N35">
        <f t="shared" si="4"/>
        <v>0.22294999999999998</v>
      </c>
      <c r="O35">
        <f t="shared" si="5"/>
        <v>0.65972222222222221</v>
      </c>
      <c r="P35">
        <f t="shared" si="6"/>
        <v>0.73533950617283961</v>
      </c>
    </row>
    <row r="36" spans="2:16" x14ac:dyDescent="0.3">
      <c r="B36">
        <v>200</v>
      </c>
      <c r="C36">
        <f t="shared" si="1"/>
        <v>42.534908720000011</v>
      </c>
      <c r="D36">
        <f t="shared" si="2"/>
        <v>2.126745436E-2</v>
      </c>
      <c r="L36">
        <v>140</v>
      </c>
      <c r="M36">
        <f t="shared" si="3"/>
        <v>0.30869999999999997</v>
      </c>
      <c r="N36">
        <f t="shared" si="4"/>
        <v>0.24009999999999998</v>
      </c>
      <c r="O36">
        <f t="shared" si="5"/>
        <v>0.63354700854700852</v>
      </c>
      <c r="P36">
        <f t="shared" si="6"/>
        <v>0.71498100664767339</v>
      </c>
    </row>
    <row r="37" spans="2:16" x14ac:dyDescent="0.3">
      <c r="B37">
        <v>210</v>
      </c>
      <c r="C37">
        <f t="shared" si="1"/>
        <v>44.661654156000012</v>
      </c>
      <c r="D37">
        <f t="shared" si="2"/>
        <v>2.2330827078000003E-2</v>
      </c>
      <c r="L37">
        <v>150</v>
      </c>
      <c r="M37">
        <f t="shared" si="3"/>
        <v>0.33074999999999999</v>
      </c>
      <c r="N37">
        <f t="shared" si="4"/>
        <v>0.25724999999999998</v>
      </c>
      <c r="O37">
        <f t="shared" si="5"/>
        <v>0.60737179487179493</v>
      </c>
      <c r="P37">
        <f t="shared" si="6"/>
        <v>0.69462250712250717</v>
      </c>
    </row>
    <row r="38" spans="2:16" x14ac:dyDescent="0.3">
      <c r="B38">
        <v>220</v>
      </c>
      <c r="C38">
        <f t="shared" si="1"/>
        <v>46.788399592000012</v>
      </c>
      <c r="D38">
        <f t="shared" si="2"/>
        <v>2.3394199796000003E-2</v>
      </c>
      <c r="L38">
        <v>160</v>
      </c>
      <c r="M38">
        <f t="shared" si="3"/>
        <v>0.3528</v>
      </c>
      <c r="N38">
        <f t="shared" si="4"/>
        <v>0.27439999999999998</v>
      </c>
      <c r="O38">
        <f t="shared" si="5"/>
        <v>0.58119658119658113</v>
      </c>
      <c r="P38">
        <f t="shared" si="6"/>
        <v>0.67426400759734095</v>
      </c>
    </row>
    <row r="39" spans="2:16" x14ac:dyDescent="0.3">
      <c r="B39">
        <v>230</v>
      </c>
      <c r="C39">
        <f t="shared" si="1"/>
        <v>48.915145028000012</v>
      </c>
      <c r="D39">
        <f t="shared" si="2"/>
        <v>2.4457572514000003E-2</v>
      </c>
      <c r="L39">
        <v>170</v>
      </c>
      <c r="M39">
        <f t="shared" si="3"/>
        <v>0.37484999999999996</v>
      </c>
      <c r="N39">
        <f t="shared" si="4"/>
        <v>0.29154999999999998</v>
      </c>
      <c r="O39">
        <f t="shared" si="5"/>
        <v>0.55502136752136755</v>
      </c>
      <c r="P39">
        <f t="shared" si="6"/>
        <v>0.65390550807217473</v>
      </c>
    </row>
    <row r="40" spans="2:16" x14ac:dyDescent="0.3">
      <c r="B40">
        <v>240</v>
      </c>
      <c r="C40">
        <f t="shared" si="1"/>
        <v>51.041890464000012</v>
      </c>
      <c r="D40">
        <f t="shared" si="2"/>
        <v>2.5520945232000002E-2</v>
      </c>
      <c r="L40">
        <v>180</v>
      </c>
      <c r="M40">
        <f t="shared" si="3"/>
        <v>0.39689999999999998</v>
      </c>
      <c r="N40">
        <f t="shared" si="4"/>
        <v>0.30869999999999997</v>
      </c>
      <c r="O40">
        <f t="shared" si="5"/>
        <v>0.52884615384615397</v>
      </c>
      <c r="P40">
        <f t="shared" si="6"/>
        <v>0.63354700854700852</v>
      </c>
    </row>
    <row r="41" spans="2:16" x14ac:dyDescent="0.3">
      <c r="B41">
        <v>250</v>
      </c>
      <c r="C41">
        <f t="shared" si="1"/>
        <v>53.168635900000012</v>
      </c>
      <c r="D41">
        <f t="shared" si="2"/>
        <v>2.6584317950000002E-2</v>
      </c>
      <c r="L41">
        <v>190</v>
      </c>
      <c r="M41">
        <f t="shared" si="3"/>
        <v>0.41894999999999999</v>
      </c>
      <c r="N41">
        <f t="shared" si="4"/>
        <v>0.32584999999999997</v>
      </c>
      <c r="O41">
        <f t="shared" si="5"/>
        <v>0.50267094017094016</v>
      </c>
      <c r="P41">
        <f t="shared" si="6"/>
        <v>0.61318850902184241</v>
      </c>
    </row>
    <row r="42" spans="2:16" x14ac:dyDescent="0.3">
      <c r="B42">
        <v>260</v>
      </c>
      <c r="C42">
        <f t="shared" si="1"/>
        <v>55.295381336000013</v>
      </c>
      <c r="D42">
        <f t="shared" si="2"/>
        <v>2.7647690668000002E-2</v>
      </c>
      <c r="L42">
        <v>200</v>
      </c>
      <c r="M42">
        <f t="shared" si="3"/>
        <v>0.441</v>
      </c>
      <c r="N42">
        <f t="shared" si="4"/>
        <v>0.34299999999999997</v>
      </c>
      <c r="O42">
        <f t="shared" si="5"/>
        <v>0.47649572649572647</v>
      </c>
      <c r="P42">
        <f t="shared" si="6"/>
        <v>0.59283000949667619</v>
      </c>
    </row>
    <row r="43" spans="2:16" x14ac:dyDescent="0.3">
      <c r="B43">
        <v>270</v>
      </c>
      <c r="C43">
        <f t="shared" si="1"/>
        <v>57.422126772000013</v>
      </c>
      <c r="D43">
        <f t="shared" si="2"/>
        <v>2.8711063386000001E-2</v>
      </c>
      <c r="L43">
        <v>210</v>
      </c>
      <c r="M43">
        <f t="shared" si="3"/>
        <v>0.46304999999999996</v>
      </c>
      <c r="N43">
        <f t="shared" si="4"/>
        <v>0.36014999999999997</v>
      </c>
      <c r="O43">
        <f t="shared" si="5"/>
        <v>0.45032051282051289</v>
      </c>
      <c r="P43">
        <f t="shared" si="6"/>
        <v>0.57247150997151008</v>
      </c>
    </row>
    <row r="44" spans="2:16" x14ac:dyDescent="0.3">
      <c r="B44">
        <v>280</v>
      </c>
      <c r="C44">
        <f t="shared" si="1"/>
        <v>59.548872208000013</v>
      </c>
      <c r="D44">
        <f t="shared" si="2"/>
        <v>2.9774436104000004E-2</v>
      </c>
      <c r="L44">
        <v>220</v>
      </c>
      <c r="M44">
        <f t="shared" si="3"/>
        <v>0.48509999999999998</v>
      </c>
      <c r="N44">
        <f t="shared" si="4"/>
        <v>0.37729999999999997</v>
      </c>
      <c r="O44">
        <f t="shared" si="5"/>
        <v>0.42414529914529919</v>
      </c>
      <c r="P44">
        <f t="shared" si="6"/>
        <v>0.55211301044634387</v>
      </c>
    </row>
    <row r="45" spans="2:16" x14ac:dyDescent="0.3">
      <c r="B45">
        <v>290</v>
      </c>
      <c r="C45">
        <f t="shared" si="1"/>
        <v>61.675617644000013</v>
      </c>
      <c r="D45">
        <f t="shared" si="2"/>
        <v>3.0837808822000004E-2</v>
      </c>
      <c r="L45">
        <v>230</v>
      </c>
      <c r="M45">
        <f t="shared" si="3"/>
        <v>0.50714999999999999</v>
      </c>
      <c r="N45">
        <f t="shared" si="4"/>
        <v>0.39444999999999997</v>
      </c>
      <c r="O45">
        <f t="shared" si="5"/>
        <v>0.3979700854700855</v>
      </c>
      <c r="P45">
        <f t="shared" si="6"/>
        <v>0.53175451092117765</v>
      </c>
    </row>
    <row r="46" spans="2:16" x14ac:dyDescent="0.3">
      <c r="B46">
        <v>300</v>
      </c>
      <c r="C46">
        <f t="shared" si="1"/>
        <v>63.802363080000013</v>
      </c>
      <c r="D46">
        <f t="shared" si="2"/>
        <v>3.1901181540000004E-2</v>
      </c>
      <c r="L46">
        <v>240</v>
      </c>
      <c r="M46">
        <f t="shared" si="3"/>
        <v>0.5292</v>
      </c>
      <c r="N46">
        <f t="shared" si="4"/>
        <v>0.41159999999999997</v>
      </c>
      <c r="O46">
        <f t="shared" si="5"/>
        <v>0.37179487179487181</v>
      </c>
      <c r="P46">
        <f t="shared" si="6"/>
        <v>0.51139601139601143</v>
      </c>
    </row>
    <row r="47" spans="2:16" x14ac:dyDescent="0.3">
      <c r="B47">
        <v>310</v>
      </c>
      <c r="C47">
        <f t="shared" si="1"/>
        <v>65.929108516000014</v>
      </c>
      <c r="D47">
        <f t="shared" si="2"/>
        <v>3.2964554258000003E-2</v>
      </c>
      <c r="L47">
        <v>250</v>
      </c>
      <c r="M47">
        <f t="shared" si="3"/>
        <v>0.55125000000000002</v>
      </c>
      <c r="N47">
        <f t="shared" si="4"/>
        <v>0.42874999999999996</v>
      </c>
      <c r="O47">
        <f t="shared" si="5"/>
        <v>0.34561965811965811</v>
      </c>
      <c r="P47">
        <f t="shared" si="6"/>
        <v>0.49103751187084532</v>
      </c>
    </row>
    <row r="48" spans="2:16" x14ac:dyDescent="0.3">
      <c r="B48">
        <v>320</v>
      </c>
      <c r="C48">
        <f t="shared" si="1"/>
        <v>68.055853952000007</v>
      </c>
      <c r="D48">
        <f t="shared" si="2"/>
        <v>3.4027926976000003E-2</v>
      </c>
      <c r="L48">
        <v>260</v>
      </c>
      <c r="M48">
        <f t="shared" si="3"/>
        <v>0.57330000000000003</v>
      </c>
      <c r="N48">
        <f t="shared" si="4"/>
        <v>0.44589999999999996</v>
      </c>
      <c r="O48">
        <f t="shared" si="5"/>
        <v>0.31944444444444442</v>
      </c>
      <c r="P48">
        <f t="shared" si="6"/>
        <v>0.4706790123456791</v>
      </c>
    </row>
    <row r="49" spans="2:16" x14ac:dyDescent="0.3">
      <c r="B49">
        <v>330</v>
      </c>
      <c r="C49">
        <f t="shared" si="1"/>
        <v>70.182599388000014</v>
      </c>
      <c r="D49">
        <f t="shared" si="2"/>
        <v>3.5091299694000003E-2</v>
      </c>
      <c r="L49">
        <v>270</v>
      </c>
      <c r="M49">
        <f t="shared" si="3"/>
        <v>0.59534999999999993</v>
      </c>
      <c r="N49">
        <f t="shared" si="4"/>
        <v>0.46304999999999996</v>
      </c>
      <c r="O49">
        <f t="shared" si="5"/>
        <v>0.29326923076923084</v>
      </c>
      <c r="P49">
        <f t="shared" si="6"/>
        <v>0.45032051282051289</v>
      </c>
    </row>
    <row r="50" spans="2:16" x14ac:dyDescent="0.3">
      <c r="B50">
        <v>340</v>
      </c>
      <c r="C50">
        <f t="shared" si="1"/>
        <v>72.309344824000021</v>
      </c>
      <c r="D50">
        <f t="shared" si="2"/>
        <v>3.6154672412000002E-2</v>
      </c>
      <c r="L50">
        <v>280</v>
      </c>
      <c r="M50">
        <f t="shared" si="3"/>
        <v>0.61739999999999995</v>
      </c>
      <c r="N50">
        <f t="shared" si="4"/>
        <v>0.48019999999999996</v>
      </c>
      <c r="O50">
        <f t="shared" si="5"/>
        <v>0.26709401709401714</v>
      </c>
      <c r="P50">
        <f t="shared" si="6"/>
        <v>0.42996201329534667</v>
      </c>
    </row>
    <row r="51" spans="2:16" x14ac:dyDescent="0.3">
      <c r="B51">
        <v>350</v>
      </c>
      <c r="C51">
        <f t="shared" si="1"/>
        <v>74.436090260000014</v>
      </c>
      <c r="D51">
        <f t="shared" si="2"/>
        <v>3.7218045130000002E-2</v>
      </c>
      <c r="L51">
        <v>290</v>
      </c>
      <c r="M51">
        <f t="shared" si="3"/>
        <v>0.63944999999999996</v>
      </c>
      <c r="N51">
        <f t="shared" si="4"/>
        <v>0.49734999999999996</v>
      </c>
      <c r="O51">
        <f t="shared" si="5"/>
        <v>0.24091880341880345</v>
      </c>
      <c r="P51">
        <f t="shared" si="6"/>
        <v>0.40960351377018056</v>
      </c>
    </row>
    <row r="52" spans="2:16" x14ac:dyDescent="0.3">
      <c r="B52">
        <v>360</v>
      </c>
      <c r="C52">
        <f t="shared" si="1"/>
        <v>76.562835696000022</v>
      </c>
      <c r="D52">
        <f t="shared" si="2"/>
        <v>3.8281417848000002E-2</v>
      </c>
      <c r="L52">
        <v>300</v>
      </c>
      <c r="M52">
        <f t="shared" si="3"/>
        <v>0.66149999999999998</v>
      </c>
      <c r="N52">
        <f t="shared" si="4"/>
        <v>0.51449999999999996</v>
      </c>
      <c r="O52">
        <f t="shared" si="5"/>
        <v>0.21474358974358976</v>
      </c>
      <c r="P52">
        <f t="shared" si="6"/>
        <v>0.38924501424501434</v>
      </c>
    </row>
    <row r="53" spans="2:16" x14ac:dyDescent="0.3">
      <c r="B53">
        <v>370</v>
      </c>
      <c r="C53">
        <f t="shared" si="1"/>
        <v>78.689581132000015</v>
      </c>
      <c r="D53">
        <f t="shared" si="2"/>
        <v>3.9344790566000001E-2</v>
      </c>
      <c r="L53">
        <v>310</v>
      </c>
      <c r="M53">
        <f t="shared" si="3"/>
        <v>0.68354999999999999</v>
      </c>
      <c r="N53">
        <f t="shared" si="4"/>
        <v>0.53164999999999996</v>
      </c>
      <c r="O53">
        <f t="shared" si="5"/>
        <v>0.18856837606837606</v>
      </c>
      <c r="P53">
        <f t="shared" si="6"/>
        <v>0.36888651471984812</v>
      </c>
    </row>
    <row r="54" spans="2:16" x14ac:dyDescent="0.3">
      <c r="B54">
        <v>380</v>
      </c>
      <c r="C54">
        <f t="shared" si="1"/>
        <v>80.816326568000022</v>
      </c>
      <c r="D54">
        <f t="shared" si="2"/>
        <v>4.0408163284000001E-2</v>
      </c>
      <c r="L54">
        <v>320</v>
      </c>
      <c r="M54">
        <f t="shared" si="3"/>
        <v>0.7056</v>
      </c>
      <c r="N54">
        <f t="shared" si="4"/>
        <v>0.54879999999999995</v>
      </c>
      <c r="O54">
        <f t="shared" si="5"/>
        <v>0.16239316239316237</v>
      </c>
      <c r="P54">
        <f t="shared" si="6"/>
        <v>0.34852801519468191</v>
      </c>
    </row>
    <row r="55" spans="2:16" x14ac:dyDescent="0.3">
      <c r="B55">
        <v>390</v>
      </c>
      <c r="C55">
        <f t="shared" si="1"/>
        <v>82.943072004000015</v>
      </c>
      <c r="D55">
        <f t="shared" si="2"/>
        <v>4.1471536002000001E-2</v>
      </c>
      <c r="L55">
        <v>330</v>
      </c>
      <c r="M55">
        <f t="shared" si="3"/>
        <v>0.72765000000000002</v>
      </c>
      <c r="N55">
        <f t="shared" si="4"/>
        <v>0.56594999999999995</v>
      </c>
      <c r="O55">
        <f t="shared" si="5"/>
        <v>0.13621794871794879</v>
      </c>
      <c r="P55">
        <f t="shared" si="6"/>
        <v>0.3281695156695158</v>
      </c>
    </row>
    <row r="56" spans="2:16" x14ac:dyDescent="0.3">
      <c r="B56">
        <v>400</v>
      </c>
      <c r="C56">
        <f t="shared" si="1"/>
        <v>85.069817440000023</v>
      </c>
      <c r="D56">
        <f t="shared" si="2"/>
        <v>4.253490872E-2</v>
      </c>
      <c r="L56">
        <v>340</v>
      </c>
      <c r="M56">
        <f t="shared" si="3"/>
        <v>0.74969999999999992</v>
      </c>
      <c r="N56">
        <f t="shared" si="4"/>
        <v>0.58309999999999995</v>
      </c>
      <c r="O56">
        <f t="shared" si="5"/>
        <v>0.11004273504273521</v>
      </c>
      <c r="P56">
        <f t="shared" si="6"/>
        <v>0.30781101614434958</v>
      </c>
    </row>
    <row r="57" spans="2:16" x14ac:dyDescent="0.3">
      <c r="B57">
        <v>410</v>
      </c>
      <c r="C57">
        <f t="shared" si="1"/>
        <v>87.196562876000016</v>
      </c>
      <c r="D57">
        <f t="shared" si="2"/>
        <v>4.3598281438000007E-2</v>
      </c>
      <c r="L57">
        <v>350</v>
      </c>
      <c r="M57">
        <f t="shared" si="3"/>
        <v>0.77174999999999994</v>
      </c>
      <c r="N57">
        <f t="shared" si="4"/>
        <v>0.60024999999999995</v>
      </c>
      <c r="O57">
        <f t="shared" si="5"/>
        <v>8.3867521367521514E-2</v>
      </c>
      <c r="P57">
        <f t="shared" si="6"/>
        <v>0.28745251661918336</v>
      </c>
    </row>
    <row r="58" spans="2:16" x14ac:dyDescent="0.3">
      <c r="B58">
        <v>420</v>
      </c>
      <c r="C58">
        <f t="shared" si="1"/>
        <v>89.323308312000023</v>
      </c>
      <c r="D58">
        <f t="shared" si="2"/>
        <v>4.4661654156000007E-2</v>
      </c>
      <c r="L58">
        <v>360</v>
      </c>
      <c r="M58">
        <f t="shared" si="3"/>
        <v>0.79379999999999995</v>
      </c>
      <c r="N58">
        <f t="shared" si="4"/>
        <v>0.61739999999999995</v>
      </c>
      <c r="O58">
        <f t="shared" si="5"/>
        <v>5.769230769230782E-2</v>
      </c>
      <c r="P58">
        <f t="shared" si="6"/>
        <v>0.26709401709401714</v>
      </c>
    </row>
    <row r="59" spans="2:16" x14ac:dyDescent="0.3">
      <c r="B59">
        <v>430</v>
      </c>
      <c r="C59">
        <f t="shared" si="1"/>
        <v>91.450053748000016</v>
      </c>
      <c r="D59">
        <f t="shared" si="2"/>
        <v>4.5725026874000006E-2</v>
      </c>
      <c r="L59">
        <v>370</v>
      </c>
      <c r="M59">
        <f t="shared" si="3"/>
        <v>0.81584999999999996</v>
      </c>
      <c r="N59">
        <f t="shared" si="4"/>
        <v>0.63454999999999995</v>
      </c>
      <c r="O59">
        <f t="shared" si="5"/>
        <v>3.1517094017094127E-2</v>
      </c>
      <c r="P59">
        <f t="shared" si="6"/>
        <v>0.24673551756885104</v>
      </c>
    </row>
    <row r="60" spans="2:16" x14ac:dyDescent="0.3">
      <c r="B60">
        <v>440</v>
      </c>
      <c r="C60">
        <f t="shared" si="1"/>
        <v>93.576799184000024</v>
      </c>
      <c r="D60">
        <f t="shared" si="2"/>
        <v>4.6788399592000006E-2</v>
      </c>
      <c r="L60">
        <v>380</v>
      </c>
      <c r="M60">
        <f t="shared" si="3"/>
        <v>0.83789999999999998</v>
      </c>
      <c r="N60">
        <f t="shared" si="4"/>
        <v>0.65169999999999995</v>
      </c>
      <c r="O60">
        <f t="shared" si="5"/>
        <v>5.3418803418804339E-3</v>
      </c>
      <c r="P60">
        <f t="shared" si="6"/>
        <v>0.22637701804368482</v>
      </c>
    </row>
    <row r="61" spans="2:16" x14ac:dyDescent="0.3">
      <c r="B61">
        <v>450</v>
      </c>
      <c r="C61">
        <f t="shared" si="1"/>
        <v>95.703544620000017</v>
      </c>
      <c r="D61">
        <f t="shared" si="2"/>
        <v>4.7851772310000006E-2</v>
      </c>
      <c r="L61">
        <v>390</v>
      </c>
      <c r="M61">
        <f t="shared" si="3"/>
        <v>0.85994999999999999</v>
      </c>
      <c r="N61">
        <f t="shared" si="4"/>
        <v>0.66884999999999994</v>
      </c>
      <c r="O61">
        <f t="shared" si="5"/>
        <v>-2.0833333333333259E-2</v>
      </c>
      <c r="P61">
        <f t="shared" si="6"/>
        <v>0.2060185185185186</v>
      </c>
    </row>
    <row r="62" spans="2:16" x14ac:dyDescent="0.3">
      <c r="B62">
        <v>460</v>
      </c>
      <c r="C62">
        <f t="shared" si="1"/>
        <v>97.830290056000024</v>
      </c>
      <c r="D62">
        <f t="shared" si="2"/>
        <v>4.8915145028000005E-2</v>
      </c>
      <c r="L62">
        <v>400</v>
      </c>
      <c r="M62">
        <f t="shared" si="3"/>
        <v>0.88200000000000001</v>
      </c>
      <c r="N62">
        <f t="shared" si="4"/>
        <v>0.68599999999999994</v>
      </c>
      <c r="O62">
        <f t="shared" si="5"/>
        <v>-4.7008547008547064E-2</v>
      </c>
      <c r="P62">
        <f t="shared" si="6"/>
        <v>0.18566001899335238</v>
      </c>
    </row>
    <row r="63" spans="2:16" x14ac:dyDescent="0.3">
      <c r="B63">
        <v>470</v>
      </c>
      <c r="C63">
        <f t="shared" si="1"/>
        <v>99.957035492000017</v>
      </c>
      <c r="D63">
        <f t="shared" si="2"/>
        <v>4.9978517746000005E-2</v>
      </c>
      <c r="L63">
        <v>410</v>
      </c>
      <c r="M63">
        <f t="shared" si="3"/>
        <v>0.90405000000000002</v>
      </c>
      <c r="N63">
        <f t="shared" si="4"/>
        <v>0.70314999999999994</v>
      </c>
      <c r="O63">
        <f t="shared" si="5"/>
        <v>-7.3183760683760646E-2</v>
      </c>
      <c r="P63">
        <f t="shared" si="6"/>
        <v>0.16530151946818628</v>
      </c>
    </row>
    <row r="64" spans="2:16" x14ac:dyDescent="0.3">
      <c r="B64">
        <v>480</v>
      </c>
      <c r="C64">
        <f t="shared" si="1"/>
        <v>102.08378092800002</v>
      </c>
      <c r="D64">
        <f t="shared" si="2"/>
        <v>5.1041890464000005E-2</v>
      </c>
      <c r="L64">
        <v>420</v>
      </c>
      <c r="M64">
        <f t="shared" si="3"/>
        <v>0.92609999999999992</v>
      </c>
      <c r="N64">
        <f t="shared" si="4"/>
        <v>0.72029999999999994</v>
      </c>
      <c r="O64">
        <f t="shared" si="5"/>
        <v>-9.9358974358974228E-2</v>
      </c>
      <c r="P64">
        <f t="shared" si="6"/>
        <v>0.14494301994302006</v>
      </c>
    </row>
    <row r="65" spans="2:16" x14ac:dyDescent="0.3">
      <c r="B65">
        <v>490</v>
      </c>
      <c r="C65">
        <f t="shared" si="1"/>
        <v>104.21052636400002</v>
      </c>
      <c r="D65">
        <f t="shared" si="2"/>
        <v>5.2105263182000004E-2</v>
      </c>
      <c r="L65">
        <v>430</v>
      </c>
      <c r="M65">
        <f t="shared" si="3"/>
        <v>0.94814999999999994</v>
      </c>
      <c r="N65">
        <f t="shared" si="4"/>
        <v>0.73744999999999994</v>
      </c>
      <c r="O65">
        <f t="shared" si="5"/>
        <v>-0.12553418803418781</v>
      </c>
      <c r="P65">
        <f t="shared" si="6"/>
        <v>0.12458452041785384</v>
      </c>
    </row>
    <row r="66" spans="2:16" x14ac:dyDescent="0.3">
      <c r="B66">
        <v>500</v>
      </c>
      <c r="C66">
        <f t="shared" si="1"/>
        <v>106.33727180000002</v>
      </c>
      <c r="D66">
        <f t="shared" si="2"/>
        <v>5.3168635900000004E-2</v>
      </c>
      <c r="L66">
        <v>440</v>
      </c>
      <c r="M66">
        <f t="shared" si="3"/>
        <v>0.97019999999999995</v>
      </c>
      <c r="N66">
        <f t="shared" si="4"/>
        <v>0.75459999999999994</v>
      </c>
      <c r="O66">
        <f t="shared" si="5"/>
        <v>-0.15170940170940161</v>
      </c>
      <c r="P66">
        <f t="shared" si="6"/>
        <v>0.10422602089268762</v>
      </c>
    </row>
    <row r="67" spans="2:16" x14ac:dyDescent="0.3">
      <c r="B67">
        <v>510</v>
      </c>
      <c r="C67">
        <f t="shared" si="1"/>
        <v>108.46401723600002</v>
      </c>
      <c r="D67">
        <f t="shared" si="2"/>
        <v>5.4232008618000004E-2</v>
      </c>
      <c r="L67">
        <v>450</v>
      </c>
      <c r="M67">
        <f t="shared" si="3"/>
        <v>0.99224999999999997</v>
      </c>
      <c r="N67">
        <f t="shared" si="4"/>
        <v>0.77174999999999994</v>
      </c>
      <c r="O67">
        <f t="shared" si="5"/>
        <v>-0.1778846153846152</v>
      </c>
      <c r="P67">
        <f t="shared" si="6"/>
        <v>8.3867521367521514E-2</v>
      </c>
    </row>
    <row r="68" spans="2:16" x14ac:dyDescent="0.3">
      <c r="B68">
        <v>520</v>
      </c>
      <c r="C68">
        <f t="shared" si="1"/>
        <v>110.59076267200003</v>
      </c>
      <c r="D68">
        <f t="shared" si="2"/>
        <v>5.5295381336000003E-2</v>
      </c>
      <c r="L68">
        <v>460</v>
      </c>
      <c r="M68">
        <f t="shared" si="3"/>
        <v>1.0143</v>
      </c>
      <c r="N68">
        <f t="shared" si="4"/>
        <v>0.78889999999999993</v>
      </c>
      <c r="O68">
        <f t="shared" si="5"/>
        <v>-0.204059829059829</v>
      </c>
      <c r="P68">
        <f t="shared" si="6"/>
        <v>6.3509021842355295E-2</v>
      </c>
    </row>
    <row r="69" spans="2:16" x14ac:dyDescent="0.3">
      <c r="B69">
        <v>530</v>
      </c>
      <c r="C69">
        <f t="shared" si="1"/>
        <v>112.71750810800002</v>
      </c>
      <c r="D69">
        <f t="shared" si="2"/>
        <v>5.6358754054000003E-2</v>
      </c>
      <c r="L69">
        <v>470</v>
      </c>
      <c r="M69">
        <f t="shared" si="3"/>
        <v>1.0363499999999999</v>
      </c>
      <c r="N69">
        <f t="shared" si="4"/>
        <v>0.80604999999999993</v>
      </c>
      <c r="O69">
        <f t="shared" si="5"/>
        <v>-0.23023504273504258</v>
      </c>
      <c r="P69">
        <f t="shared" si="6"/>
        <v>4.3150522317189077E-2</v>
      </c>
    </row>
    <row r="70" spans="2:16" x14ac:dyDescent="0.3">
      <c r="B70">
        <v>540</v>
      </c>
      <c r="C70">
        <f t="shared" si="1"/>
        <v>114.84425354400003</v>
      </c>
      <c r="D70">
        <f t="shared" si="2"/>
        <v>5.7422126772000003E-2</v>
      </c>
      <c r="L70">
        <v>480</v>
      </c>
      <c r="M70">
        <f t="shared" si="3"/>
        <v>1.0584</v>
      </c>
      <c r="N70">
        <f t="shared" si="4"/>
        <v>0.82319999999999993</v>
      </c>
      <c r="O70">
        <f t="shared" si="5"/>
        <v>-0.25641025641025639</v>
      </c>
      <c r="P70">
        <f t="shared" si="6"/>
        <v>2.279202279202297E-2</v>
      </c>
    </row>
    <row r="71" spans="2:16" x14ac:dyDescent="0.3">
      <c r="B71">
        <v>550</v>
      </c>
      <c r="C71">
        <f t="shared" si="1"/>
        <v>116.97099898000002</v>
      </c>
      <c r="D71">
        <f t="shared" si="2"/>
        <v>5.8485499490000002E-2</v>
      </c>
      <c r="L71">
        <v>490</v>
      </c>
      <c r="M71">
        <f t="shared" si="3"/>
        <v>1.0804499999999999</v>
      </c>
      <c r="N71">
        <f t="shared" si="4"/>
        <v>0.84034999999999993</v>
      </c>
      <c r="O71">
        <f t="shared" si="5"/>
        <v>-0.28258547008546997</v>
      </c>
      <c r="P71">
        <f t="shared" si="6"/>
        <v>2.4335232668567519E-3</v>
      </c>
    </row>
    <row r="72" spans="2:16" x14ac:dyDescent="0.3">
      <c r="B72">
        <v>560</v>
      </c>
      <c r="C72">
        <f t="shared" si="1"/>
        <v>119.09774441600003</v>
      </c>
      <c r="D72">
        <f t="shared" si="2"/>
        <v>5.9548872208000009E-2</v>
      </c>
      <c r="L72">
        <v>500</v>
      </c>
      <c r="M72">
        <f t="shared" si="3"/>
        <v>1.1025</v>
      </c>
      <c r="N72">
        <f t="shared" si="4"/>
        <v>0.85749999999999993</v>
      </c>
      <c r="O72">
        <f t="shared" si="5"/>
        <v>-0.30876068376068377</v>
      </c>
      <c r="P72">
        <f t="shared" si="6"/>
        <v>-1.7924976258309355E-2</v>
      </c>
    </row>
    <row r="73" spans="2:16" x14ac:dyDescent="0.3">
      <c r="B73">
        <v>570</v>
      </c>
      <c r="C73">
        <f t="shared" si="1"/>
        <v>121.22448985200002</v>
      </c>
      <c r="D73">
        <f t="shared" si="2"/>
        <v>6.0612244926000008E-2</v>
      </c>
      <c r="L73">
        <v>510</v>
      </c>
      <c r="M73">
        <f t="shared" si="3"/>
        <v>1.1245499999999999</v>
      </c>
      <c r="N73">
        <f t="shared" si="4"/>
        <v>0.87464999999999993</v>
      </c>
      <c r="O73">
        <f t="shared" si="5"/>
        <v>-0.33493589743589736</v>
      </c>
      <c r="P73">
        <f t="shared" si="6"/>
        <v>-3.8283475783475573E-2</v>
      </c>
    </row>
    <row r="74" spans="2:16" x14ac:dyDescent="0.3">
      <c r="B74">
        <v>580</v>
      </c>
      <c r="C74">
        <f t="shared" si="1"/>
        <v>123.35123528800003</v>
      </c>
      <c r="D74">
        <f t="shared" si="2"/>
        <v>6.1675617644000008E-2</v>
      </c>
      <c r="L74">
        <v>520</v>
      </c>
      <c r="M74">
        <f t="shared" si="3"/>
        <v>1.1466000000000001</v>
      </c>
      <c r="N74">
        <f t="shared" si="4"/>
        <v>0.89179999999999993</v>
      </c>
      <c r="O74">
        <f t="shared" si="5"/>
        <v>-0.36111111111111116</v>
      </c>
      <c r="P74">
        <f t="shared" si="6"/>
        <v>-5.8641975308641792E-2</v>
      </c>
    </row>
    <row r="75" spans="2:16" x14ac:dyDescent="0.3">
      <c r="B75">
        <v>590</v>
      </c>
      <c r="C75">
        <f t="shared" si="1"/>
        <v>125.47798072400002</v>
      </c>
      <c r="D75">
        <f t="shared" si="2"/>
        <v>6.2738990362000008E-2</v>
      </c>
      <c r="L75">
        <v>530</v>
      </c>
      <c r="M75">
        <f t="shared" si="3"/>
        <v>1.16865</v>
      </c>
      <c r="N75">
        <f t="shared" si="4"/>
        <v>0.90894999999999992</v>
      </c>
      <c r="O75">
        <f t="shared" si="5"/>
        <v>-0.38728632478632474</v>
      </c>
      <c r="P75">
        <f t="shared" si="6"/>
        <v>-7.900047483380801E-2</v>
      </c>
    </row>
    <row r="76" spans="2:16" x14ac:dyDescent="0.3">
      <c r="B76">
        <v>600</v>
      </c>
      <c r="C76">
        <f t="shared" si="1"/>
        <v>127.60472616000003</v>
      </c>
      <c r="D76">
        <f t="shared" si="2"/>
        <v>6.3802363080000007E-2</v>
      </c>
      <c r="L76">
        <v>540</v>
      </c>
      <c r="M76">
        <f t="shared" si="3"/>
        <v>1.1906999999999999</v>
      </c>
      <c r="N76">
        <f t="shared" si="4"/>
        <v>0.92609999999999992</v>
      </c>
      <c r="O76">
        <f t="shared" si="5"/>
        <v>-0.41346153846153832</v>
      </c>
      <c r="P76">
        <f t="shared" si="6"/>
        <v>-9.9358974358974228E-2</v>
      </c>
    </row>
    <row r="77" spans="2:16" x14ac:dyDescent="0.3">
      <c r="B77">
        <v>610</v>
      </c>
      <c r="C77">
        <f t="shared" si="1"/>
        <v>129.73147159600003</v>
      </c>
      <c r="D77">
        <f t="shared" si="2"/>
        <v>6.4865735798000007E-2</v>
      </c>
      <c r="L77">
        <v>550</v>
      </c>
      <c r="M77">
        <f t="shared" si="3"/>
        <v>1.21275</v>
      </c>
      <c r="N77">
        <f t="shared" si="4"/>
        <v>0.94324999999999992</v>
      </c>
      <c r="O77">
        <f t="shared" si="5"/>
        <v>-0.43963675213675213</v>
      </c>
      <c r="P77">
        <f t="shared" si="6"/>
        <v>-0.11971747388414045</v>
      </c>
    </row>
    <row r="78" spans="2:16" x14ac:dyDescent="0.3">
      <c r="B78">
        <v>620</v>
      </c>
      <c r="C78">
        <f t="shared" si="1"/>
        <v>131.85821703200003</v>
      </c>
      <c r="D78">
        <f t="shared" si="2"/>
        <v>6.5929108516000007E-2</v>
      </c>
      <c r="L78">
        <v>560</v>
      </c>
      <c r="M78">
        <f t="shared" si="3"/>
        <v>1.2347999999999999</v>
      </c>
      <c r="N78">
        <f t="shared" si="4"/>
        <v>0.96039999999999992</v>
      </c>
      <c r="O78">
        <f t="shared" si="5"/>
        <v>-0.46581196581196571</v>
      </c>
      <c r="P78">
        <f t="shared" si="6"/>
        <v>-0.14007597340930666</v>
      </c>
    </row>
    <row r="79" spans="2:16" x14ac:dyDescent="0.3">
      <c r="B79">
        <v>630</v>
      </c>
      <c r="C79">
        <f t="shared" si="1"/>
        <v>133.98496246800002</v>
      </c>
      <c r="D79">
        <f t="shared" si="2"/>
        <v>6.6992481234000006E-2</v>
      </c>
      <c r="L79">
        <v>570</v>
      </c>
      <c r="M79">
        <f t="shared" si="3"/>
        <v>1.25685</v>
      </c>
      <c r="N79">
        <f t="shared" si="4"/>
        <v>0.97754999999999992</v>
      </c>
      <c r="O79">
        <f t="shared" si="5"/>
        <v>-0.49198717948717952</v>
      </c>
      <c r="P79">
        <f t="shared" si="6"/>
        <v>-0.16043447293447288</v>
      </c>
    </row>
    <row r="80" spans="2:16" x14ac:dyDescent="0.3">
      <c r="B80">
        <v>640</v>
      </c>
      <c r="C80">
        <f t="shared" si="1"/>
        <v>136.11170790400001</v>
      </c>
      <c r="D80">
        <f t="shared" si="2"/>
        <v>6.8055853952000006E-2</v>
      </c>
      <c r="L80">
        <v>580</v>
      </c>
      <c r="M80">
        <f t="shared" si="3"/>
        <v>1.2788999999999999</v>
      </c>
      <c r="N80">
        <f t="shared" si="4"/>
        <v>0.99469999999999992</v>
      </c>
      <c r="O80">
        <f t="shared" si="5"/>
        <v>-0.5181623931623931</v>
      </c>
      <c r="P80">
        <f t="shared" si="6"/>
        <v>-0.18079297245963888</v>
      </c>
    </row>
    <row r="81" spans="2:16" x14ac:dyDescent="0.3">
      <c r="B81">
        <v>650</v>
      </c>
      <c r="C81">
        <f t="shared" si="1"/>
        <v>138.23845334000004</v>
      </c>
      <c r="D81">
        <f t="shared" si="2"/>
        <v>6.9119226670000006E-2</v>
      </c>
      <c r="L81">
        <v>590</v>
      </c>
      <c r="M81">
        <f t="shared" si="3"/>
        <v>1.3009500000000001</v>
      </c>
      <c r="N81">
        <f t="shared" si="4"/>
        <v>1.0118499999999999</v>
      </c>
      <c r="O81">
        <f t="shared" si="5"/>
        <v>-0.5443376068376069</v>
      </c>
      <c r="P81">
        <f t="shared" si="6"/>
        <v>-0.2011514719848051</v>
      </c>
    </row>
    <row r="82" spans="2:16" x14ac:dyDescent="0.3">
      <c r="B82">
        <v>660</v>
      </c>
      <c r="C82">
        <f t="shared" ref="C82:C116" si="7">$D$10*B82</f>
        <v>140.36519877600003</v>
      </c>
      <c r="D82">
        <f t="shared" ref="D82:D116" si="8">$D$13*B82</f>
        <v>7.0182599388000005E-2</v>
      </c>
      <c r="L82">
        <v>600</v>
      </c>
      <c r="M82">
        <f t="shared" si="3"/>
        <v>1.323</v>
      </c>
      <c r="N82">
        <f t="shared" si="4"/>
        <v>1.0289999999999999</v>
      </c>
      <c r="O82">
        <f t="shared" si="5"/>
        <v>-0.57051282051282048</v>
      </c>
      <c r="P82">
        <f t="shared" si="6"/>
        <v>-0.22150997150997132</v>
      </c>
    </row>
    <row r="83" spans="2:16" x14ac:dyDescent="0.3">
      <c r="B83">
        <v>670</v>
      </c>
      <c r="C83">
        <f t="shared" si="7"/>
        <v>142.49194421200002</v>
      </c>
      <c r="D83">
        <f t="shared" si="8"/>
        <v>7.1245972106000005E-2</v>
      </c>
      <c r="L83">
        <v>610</v>
      </c>
      <c r="M83">
        <f t="shared" si="3"/>
        <v>1.3450499999999999</v>
      </c>
      <c r="N83">
        <f t="shared" si="4"/>
        <v>1.0461499999999999</v>
      </c>
      <c r="O83">
        <f t="shared" si="5"/>
        <v>-0.59668803418803384</v>
      </c>
      <c r="P83">
        <f t="shared" si="6"/>
        <v>-0.24186847103513753</v>
      </c>
    </row>
    <row r="84" spans="2:16" x14ac:dyDescent="0.3">
      <c r="B84">
        <v>680</v>
      </c>
      <c r="C84">
        <f t="shared" si="7"/>
        <v>144.61868964800004</v>
      </c>
      <c r="D84">
        <f t="shared" si="8"/>
        <v>7.2309344824000005E-2</v>
      </c>
      <c r="L84">
        <v>620</v>
      </c>
      <c r="M84">
        <f t="shared" si="3"/>
        <v>1.3671</v>
      </c>
      <c r="N84">
        <f t="shared" si="4"/>
        <v>1.0632999999999999</v>
      </c>
      <c r="O84">
        <f t="shared" si="5"/>
        <v>-0.62286324786324787</v>
      </c>
      <c r="P84">
        <f t="shared" si="6"/>
        <v>-0.26222697056030375</v>
      </c>
    </row>
    <row r="85" spans="2:16" x14ac:dyDescent="0.3">
      <c r="B85">
        <v>690</v>
      </c>
      <c r="C85">
        <f t="shared" si="7"/>
        <v>146.74543508400004</v>
      </c>
      <c r="D85">
        <f t="shared" si="8"/>
        <v>7.3372717542000004E-2</v>
      </c>
      <c r="L85">
        <v>630</v>
      </c>
      <c r="M85">
        <f t="shared" si="3"/>
        <v>1.3891499999999999</v>
      </c>
      <c r="N85">
        <f t="shared" si="4"/>
        <v>1.0804499999999999</v>
      </c>
      <c r="O85">
        <f t="shared" si="5"/>
        <v>-0.64903846153846123</v>
      </c>
      <c r="P85">
        <f t="shared" si="6"/>
        <v>-0.28258547008546997</v>
      </c>
    </row>
    <row r="86" spans="2:16" x14ac:dyDescent="0.3">
      <c r="B86">
        <v>700</v>
      </c>
      <c r="C86">
        <f t="shared" si="7"/>
        <v>148.87218052000003</v>
      </c>
      <c r="D86">
        <f t="shared" si="8"/>
        <v>7.4436090260000004E-2</v>
      </c>
      <c r="L86">
        <v>640</v>
      </c>
      <c r="M86">
        <f t="shared" si="3"/>
        <v>1.4112</v>
      </c>
      <c r="N86">
        <f t="shared" si="4"/>
        <v>1.0975999999999999</v>
      </c>
      <c r="O86">
        <f t="shared" si="5"/>
        <v>-0.67521367521367526</v>
      </c>
      <c r="P86">
        <f t="shared" si="6"/>
        <v>-0.30294396961063619</v>
      </c>
    </row>
    <row r="87" spans="2:16" x14ac:dyDescent="0.3">
      <c r="B87">
        <v>710</v>
      </c>
      <c r="C87">
        <f t="shared" si="7"/>
        <v>150.99892595600002</v>
      </c>
      <c r="D87">
        <f t="shared" si="8"/>
        <v>7.5499462978000004E-2</v>
      </c>
      <c r="L87">
        <v>650</v>
      </c>
      <c r="M87">
        <f t="shared" si="3"/>
        <v>1.4332499999999999</v>
      </c>
      <c r="N87">
        <f t="shared" si="4"/>
        <v>1.1147499999999999</v>
      </c>
      <c r="O87">
        <f t="shared" si="5"/>
        <v>-0.70138888888888862</v>
      </c>
      <c r="P87">
        <f t="shared" si="6"/>
        <v>-0.32330246913580241</v>
      </c>
    </row>
    <row r="88" spans="2:16" x14ac:dyDescent="0.3">
      <c r="B88">
        <v>720</v>
      </c>
      <c r="C88">
        <f t="shared" si="7"/>
        <v>153.12567139200004</v>
      </c>
      <c r="D88">
        <f t="shared" si="8"/>
        <v>7.6562835696000003E-2</v>
      </c>
      <c r="L88">
        <v>660</v>
      </c>
      <c r="M88">
        <f t="shared" ref="M88:M122" si="9">$M$6*L88</f>
        <v>1.4553</v>
      </c>
      <c r="N88">
        <f t="shared" ref="N88:N122" si="10">$N$6*L88</f>
        <v>1.1318999999999999</v>
      </c>
      <c r="O88">
        <f t="shared" ref="O88:O122" si="11">1-(M88/$V$17)</f>
        <v>-0.72756410256410242</v>
      </c>
      <c r="P88">
        <f t="shared" ref="P88:P122" si="12">1-(N88/$V$17)</f>
        <v>-0.3436609686609684</v>
      </c>
    </row>
    <row r="89" spans="2:16" x14ac:dyDescent="0.3">
      <c r="B89">
        <v>730</v>
      </c>
      <c r="C89">
        <f t="shared" si="7"/>
        <v>155.25241682800004</v>
      </c>
      <c r="D89">
        <f t="shared" si="8"/>
        <v>7.7626208414000003E-2</v>
      </c>
      <c r="L89">
        <v>670</v>
      </c>
      <c r="M89">
        <f t="shared" si="9"/>
        <v>1.4773499999999999</v>
      </c>
      <c r="N89">
        <f t="shared" si="10"/>
        <v>1.1490499999999999</v>
      </c>
      <c r="O89">
        <f t="shared" si="11"/>
        <v>-0.753739316239316</v>
      </c>
      <c r="P89">
        <f t="shared" si="12"/>
        <v>-0.36401946818613462</v>
      </c>
    </row>
    <row r="90" spans="2:16" x14ac:dyDescent="0.3">
      <c r="B90">
        <v>740</v>
      </c>
      <c r="C90">
        <f t="shared" si="7"/>
        <v>157.37916226400003</v>
      </c>
      <c r="D90">
        <f t="shared" si="8"/>
        <v>7.8689581132000003E-2</v>
      </c>
      <c r="L90">
        <v>680</v>
      </c>
      <c r="M90">
        <f t="shared" si="9"/>
        <v>1.4993999999999998</v>
      </c>
      <c r="N90">
        <f t="shared" si="10"/>
        <v>1.1661999999999999</v>
      </c>
      <c r="O90">
        <f t="shared" si="11"/>
        <v>-0.77991452991452959</v>
      </c>
      <c r="P90">
        <f t="shared" si="12"/>
        <v>-0.38437796771130084</v>
      </c>
    </row>
    <row r="91" spans="2:16" x14ac:dyDescent="0.3">
      <c r="B91">
        <v>750</v>
      </c>
      <c r="C91">
        <f t="shared" si="7"/>
        <v>159.50590770000002</v>
      </c>
      <c r="D91">
        <f t="shared" si="8"/>
        <v>7.9752953850000002E-2</v>
      </c>
      <c r="L91">
        <v>690</v>
      </c>
      <c r="M91">
        <f t="shared" si="9"/>
        <v>1.52145</v>
      </c>
      <c r="N91">
        <f t="shared" si="10"/>
        <v>1.1833499999999999</v>
      </c>
      <c r="O91">
        <f t="shared" si="11"/>
        <v>-0.80608974358974339</v>
      </c>
      <c r="P91">
        <f t="shared" si="12"/>
        <v>-0.40473646723646706</v>
      </c>
    </row>
    <row r="92" spans="2:16" x14ac:dyDescent="0.3">
      <c r="B92">
        <v>760</v>
      </c>
      <c r="C92">
        <f t="shared" si="7"/>
        <v>161.63265313600004</v>
      </c>
      <c r="D92">
        <f t="shared" si="8"/>
        <v>8.0816326568000002E-2</v>
      </c>
      <c r="L92">
        <v>700</v>
      </c>
      <c r="M92">
        <f t="shared" si="9"/>
        <v>1.5434999999999999</v>
      </c>
      <c r="N92">
        <f t="shared" si="10"/>
        <v>1.2004999999999999</v>
      </c>
      <c r="O92">
        <f t="shared" si="11"/>
        <v>-0.83226495726495697</v>
      </c>
      <c r="P92">
        <f t="shared" si="12"/>
        <v>-0.42509496676163327</v>
      </c>
    </row>
    <row r="93" spans="2:16" x14ac:dyDescent="0.3">
      <c r="B93">
        <v>770</v>
      </c>
      <c r="C93">
        <f t="shared" si="7"/>
        <v>163.75939857200004</v>
      </c>
      <c r="D93">
        <f t="shared" si="8"/>
        <v>8.1879699286000002E-2</v>
      </c>
      <c r="L93">
        <v>710</v>
      </c>
      <c r="M93">
        <f t="shared" si="9"/>
        <v>1.56555</v>
      </c>
      <c r="N93">
        <f t="shared" si="10"/>
        <v>1.2176499999999999</v>
      </c>
      <c r="O93">
        <f t="shared" si="11"/>
        <v>-0.85844017094017078</v>
      </c>
      <c r="P93">
        <f t="shared" si="12"/>
        <v>-0.44545346628679949</v>
      </c>
    </row>
    <row r="94" spans="2:16" x14ac:dyDescent="0.3">
      <c r="B94">
        <v>780</v>
      </c>
      <c r="C94">
        <f t="shared" si="7"/>
        <v>165.88614400800003</v>
      </c>
      <c r="D94">
        <f t="shared" si="8"/>
        <v>8.2943072004000001E-2</v>
      </c>
      <c r="L94">
        <v>720</v>
      </c>
      <c r="M94">
        <f t="shared" si="9"/>
        <v>1.5875999999999999</v>
      </c>
      <c r="N94">
        <f t="shared" si="10"/>
        <v>1.2347999999999999</v>
      </c>
      <c r="O94">
        <f t="shared" si="11"/>
        <v>-0.88461538461538436</v>
      </c>
      <c r="P94">
        <f t="shared" si="12"/>
        <v>-0.46581196581196571</v>
      </c>
    </row>
    <row r="95" spans="2:16" x14ac:dyDescent="0.3">
      <c r="B95">
        <v>790</v>
      </c>
      <c r="C95">
        <f t="shared" si="7"/>
        <v>168.01288944400002</v>
      </c>
      <c r="D95">
        <f t="shared" si="8"/>
        <v>8.4006444722000001E-2</v>
      </c>
      <c r="L95">
        <v>730</v>
      </c>
      <c r="M95">
        <f t="shared" si="9"/>
        <v>1.60965</v>
      </c>
      <c r="N95">
        <f t="shared" si="10"/>
        <v>1.2519499999999999</v>
      </c>
      <c r="O95">
        <f t="shared" si="11"/>
        <v>-0.91079059829059816</v>
      </c>
      <c r="P95">
        <f t="shared" si="12"/>
        <v>-0.48617046533713171</v>
      </c>
    </row>
    <row r="96" spans="2:16" x14ac:dyDescent="0.3">
      <c r="B96">
        <v>800</v>
      </c>
      <c r="C96">
        <f t="shared" si="7"/>
        <v>170.13963488000005</v>
      </c>
      <c r="D96">
        <f t="shared" si="8"/>
        <v>8.5069817440000001E-2</v>
      </c>
      <c r="L96">
        <v>740</v>
      </c>
      <c r="M96">
        <f t="shared" si="9"/>
        <v>1.6316999999999999</v>
      </c>
      <c r="N96">
        <f t="shared" si="10"/>
        <v>1.2690999999999999</v>
      </c>
      <c r="O96">
        <f t="shared" si="11"/>
        <v>-0.93696581196581175</v>
      </c>
      <c r="P96">
        <f t="shared" si="12"/>
        <v>-0.50652896486229793</v>
      </c>
    </row>
    <row r="97" spans="2:16" x14ac:dyDescent="0.3">
      <c r="B97">
        <v>810</v>
      </c>
      <c r="C97">
        <f t="shared" si="7"/>
        <v>172.26638031600004</v>
      </c>
      <c r="D97">
        <f t="shared" si="8"/>
        <v>8.6133190158000014E-2</v>
      </c>
      <c r="L97">
        <v>750</v>
      </c>
      <c r="M97">
        <f t="shared" si="9"/>
        <v>1.6537500000000001</v>
      </c>
      <c r="N97">
        <f t="shared" si="10"/>
        <v>1.2862499999999999</v>
      </c>
      <c r="O97">
        <f t="shared" si="11"/>
        <v>-0.96314102564102555</v>
      </c>
      <c r="P97">
        <f t="shared" si="12"/>
        <v>-0.52688746438746414</v>
      </c>
    </row>
    <row r="98" spans="2:16" x14ac:dyDescent="0.3">
      <c r="B98">
        <v>820</v>
      </c>
      <c r="C98">
        <f t="shared" si="7"/>
        <v>174.39312575200003</v>
      </c>
      <c r="D98">
        <f t="shared" si="8"/>
        <v>8.7196562876000014E-2</v>
      </c>
      <c r="L98">
        <v>760</v>
      </c>
      <c r="M98">
        <f t="shared" si="9"/>
        <v>1.6758</v>
      </c>
      <c r="N98">
        <f t="shared" si="10"/>
        <v>1.3033999999999999</v>
      </c>
      <c r="O98">
        <f t="shared" si="11"/>
        <v>-0.98931623931623913</v>
      </c>
      <c r="P98">
        <f t="shared" si="12"/>
        <v>-0.54724596391263036</v>
      </c>
    </row>
    <row r="99" spans="2:16" x14ac:dyDescent="0.3">
      <c r="B99">
        <v>830</v>
      </c>
      <c r="C99">
        <f t="shared" si="7"/>
        <v>176.51987118800002</v>
      </c>
      <c r="D99">
        <f t="shared" si="8"/>
        <v>8.8259935594000014E-2</v>
      </c>
      <c r="L99">
        <v>770</v>
      </c>
      <c r="M99">
        <f t="shared" si="9"/>
        <v>1.6978499999999999</v>
      </c>
      <c r="N99">
        <f t="shared" si="10"/>
        <v>1.3205499999999999</v>
      </c>
      <c r="O99">
        <f t="shared" si="11"/>
        <v>-1.0154914529914527</v>
      </c>
      <c r="P99">
        <f t="shared" si="12"/>
        <v>-0.56760446343779658</v>
      </c>
    </row>
    <row r="100" spans="2:16" x14ac:dyDescent="0.3">
      <c r="B100">
        <v>840</v>
      </c>
      <c r="C100">
        <f t="shared" si="7"/>
        <v>178.64661662400005</v>
      </c>
      <c r="D100">
        <f t="shared" si="8"/>
        <v>8.9323308312000013E-2</v>
      </c>
      <c r="L100">
        <v>780</v>
      </c>
      <c r="M100">
        <f t="shared" si="9"/>
        <v>1.7199</v>
      </c>
      <c r="N100">
        <f t="shared" si="10"/>
        <v>1.3376999999999999</v>
      </c>
      <c r="O100">
        <f t="shared" si="11"/>
        <v>-1.0416666666666665</v>
      </c>
      <c r="P100">
        <f t="shared" si="12"/>
        <v>-0.5879629629629628</v>
      </c>
    </row>
    <row r="101" spans="2:16" x14ac:dyDescent="0.3">
      <c r="B101">
        <v>850</v>
      </c>
      <c r="C101">
        <f t="shared" si="7"/>
        <v>180.77336206000004</v>
      </c>
      <c r="D101">
        <f t="shared" si="8"/>
        <v>9.0386681030000013E-2</v>
      </c>
      <c r="L101">
        <v>790</v>
      </c>
      <c r="M101">
        <f t="shared" si="9"/>
        <v>1.7419499999999999</v>
      </c>
      <c r="N101">
        <f t="shared" si="10"/>
        <v>1.3548499999999999</v>
      </c>
      <c r="O101">
        <f t="shared" si="11"/>
        <v>-1.0678418803418803</v>
      </c>
      <c r="P101">
        <f t="shared" si="12"/>
        <v>-0.60832146248812902</v>
      </c>
    </row>
    <row r="102" spans="2:16" x14ac:dyDescent="0.3">
      <c r="B102">
        <v>860</v>
      </c>
      <c r="C102">
        <f t="shared" si="7"/>
        <v>182.90010749600003</v>
      </c>
      <c r="D102">
        <f t="shared" si="8"/>
        <v>9.1450053748000013E-2</v>
      </c>
      <c r="L102">
        <v>800</v>
      </c>
      <c r="M102">
        <f t="shared" si="9"/>
        <v>1.764</v>
      </c>
      <c r="N102">
        <f t="shared" si="10"/>
        <v>1.3719999999999999</v>
      </c>
      <c r="O102">
        <f t="shared" si="11"/>
        <v>-1.0940170940170941</v>
      </c>
      <c r="P102">
        <f t="shared" si="12"/>
        <v>-0.62867996201329523</v>
      </c>
    </row>
    <row r="103" spans="2:16" x14ac:dyDescent="0.3">
      <c r="B103">
        <v>870</v>
      </c>
      <c r="C103">
        <f t="shared" si="7"/>
        <v>185.02685293200003</v>
      </c>
      <c r="D103">
        <f t="shared" si="8"/>
        <v>9.2513426466000012E-2</v>
      </c>
      <c r="L103">
        <v>810</v>
      </c>
      <c r="M103">
        <f t="shared" si="9"/>
        <v>1.7860499999999999</v>
      </c>
      <c r="N103">
        <f t="shared" si="10"/>
        <v>1.3891499999999999</v>
      </c>
      <c r="O103">
        <f t="shared" si="11"/>
        <v>-1.1201923076923075</v>
      </c>
      <c r="P103">
        <f t="shared" si="12"/>
        <v>-0.64903846153846123</v>
      </c>
    </row>
    <row r="104" spans="2:16" x14ac:dyDescent="0.3">
      <c r="B104">
        <v>880</v>
      </c>
      <c r="C104">
        <f t="shared" si="7"/>
        <v>187.15359836800005</v>
      </c>
      <c r="D104">
        <f t="shared" si="8"/>
        <v>9.3576799184000012E-2</v>
      </c>
      <c r="L104">
        <v>820</v>
      </c>
      <c r="M104">
        <f t="shared" si="9"/>
        <v>1.8081</v>
      </c>
      <c r="N104">
        <f t="shared" si="10"/>
        <v>1.4062999999999999</v>
      </c>
      <c r="O104">
        <f t="shared" si="11"/>
        <v>-1.1463675213675213</v>
      </c>
      <c r="P104">
        <f t="shared" si="12"/>
        <v>-0.66939696106362745</v>
      </c>
    </row>
    <row r="105" spans="2:16" x14ac:dyDescent="0.3">
      <c r="B105">
        <v>890</v>
      </c>
      <c r="C105">
        <f t="shared" si="7"/>
        <v>189.28034380400004</v>
      </c>
      <c r="D105">
        <f t="shared" si="8"/>
        <v>9.4640171902000012E-2</v>
      </c>
      <c r="L105">
        <v>830</v>
      </c>
      <c r="M105">
        <f t="shared" si="9"/>
        <v>1.8301499999999999</v>
      </c>
      <c r="N105">
        <f t="shared" si="10"/>
        <v>1.4234499999999999</v>
      </c>
      <c r="O105">
        <f t="shared" si="11"/>
        <v>-1.1725427350427351</v>
      </c>
      <c r="P105">
        <f t="shared" si="12"/>
        <v>-0.68975546058879367</v>
      </c>
    </row>
    <row r="106" spans="2:16" x14ac:dyDescent="0.3">
      <c r="B106">
        <v>900</v>
      </c>
      <c r="C106">
        <f t="shared" si="7"/>
        <v>191.40708924000003</v>
      </c>
      <c r="D106">
        <f t="shared" si="8"/>
        <v>9.5703544620000011E-2</v>
      </c>
      <c r="L106">
        <v>840</v>
      </c>
      <c r="M106">
        <f t="shared" si="9"/>
        <v>1.8521999999999998</v>
      </c>
      <c r="N106">
        <f t="shared" si="10"/>
        <v>1.4405999999999999</v>
      </c>
      <c r="O106">
        <f t="shared" si="11"/>
        <v>-1.1987179487179485</v>
      </c>
      <c r="P106">
        <f t="shared" si="12"/>
        <v>-0.71011396011395989</v>
      </c>
    </row>
    <row r="107" spans="2:16" x14ac:dyDescent="0.3">
      <c r="B107">
        <v>910</v>
      </c>
      <c r="C107">
        <f t="shared" si="7"/>
        <v>193.53383467600003</v>
      </c>
      <c r="D107">
        <f t="shared" si="8"/>
        <v>9.6766917338000011E-2</v>
      </c>
      <c r="L107">
        <v>850</v>
      </c>
      <c r="M107">
        <f t="shared" si="9"/>
        <v>1.87425</v>
      </c>
      <c r="N107">
        <f t="shared" si="10"/>
        <v>1.4577499999999999</v>
      </c>
      <c r="O107">
        <f t="shared" si="11"/>
        <v>-1.2248931623931623</v>
      </c>
      <c r="P107">
        <f t="shared" si="12"/>
        <v>-0.7304724596391261</v>
      </c>
    </row>
    <row r="108" spans="2:16" x14ac:dyDescent="0.3">
      <c r="B108">
        <v>920</v>
      </c>
      <c r="C108">
        <f t="shared" si="7"/>
        <v>195.66058011200005</v>
      </c>
      <c r="D108">
        <f t="shared" si="8"/>
        <v>9.783029005600001E-2</v>
      </c>
      <c r="L108">
        <v>860</v>
      </c>
      <c r="M108">
        <f t="shared" si="9"/>
        <v>1.8962999999999999</v>
      </c>
      <c r="N108">
        <f t="shared" si="10"/>
        <v>1.4748999999999999</v>
      </c>
      <c r="O108">
        <f t="shared" si="11"/>
        <v>-1.2510683760683756</v>
      </c>
      <c r="P108">
        <f t="shared" si="12"/>
        <v>-0.75083095916429232</v>
      </c>
    </row>
    <row r="109" spans="2:16" x14ac:dyDescent="0.3">
      <c r="B109">
        <v>930</v>
      </c>
      <c r="C109">
        <f t="shared" si="7"/>
        <v>197.78732554800004</v>
      </c>
      <c r="D109">
        <f t="shared" si="8"/>
        <v>9.889366277400001E-2</v>
      </c>
      <c r="L109">
        <v>870</v>
      </c>
      <c r="M109">
        <f t="shared" si="9"/>
        <v>1.91835</v>
      </c>
      <c r="N109">
        <f t="shared" si="10"/>
        <v>1.4920499999999999</v>
      </c>
      <c r="O109">
        <f t="shared" si="11"/>
        <v>-1.2772435897435894</v>
      </c>
      <c r="P109">
        <f t="shared" si="12"/>
        <v>-0.77118945868945854</v>
      </c>
    </row>
    <row r="110" spans="2:16" x14ac:dyDescent="0.3">
      <c r="B110">
        <v>940</v>
      </c>
      <c r="C110">
        <f t="shared" si="7"/>
        <v>199.91407098400003</v>
      </c>
      <c r="D110">
        <f t="shared" si="8"/>
        <v>9.995703549200001E-2</v>
      </c>
      <c r="L110">
        <v>880</v>
      </c>
      <c r="M110">
        <f t="shared" si="9"/>
        <v>1.9403999999999999</v>
      </c>
      <c r="N110">
        <f t="shared" si="10"/>
        <v>1.5091999999999999</v>
      </c>
      <c r="O110">
        <f t="shared" si="11"/>
        <v>-1.3034188034188032</v>
      </c>
      <c r="P110">
        <f t="shared" si="12"/>
        <v>-0.79154795821462476</v>
      </c>
    </row>
    <row r="111" spans="2:16" x14ac:dyDescent="0.3">
      <c r="B111">
        <v>950</v>
      </c>
      <c r="C111">
        <f t="shared" si="7"/>
        <v>202.04081642000003</v>
      </c>
      <c r="D111">
        <f t="shared" si="8"/>
        <v>0.10102040821000001</v>
      </c>
      <c r="L111">
        <v>890</v>
      </c>
      <c r="M111">
        <f t="shared" si="9"/>
        <v>1.96245</v>
      </c>
      <c r="N111">
        <f t="shared" si="10"/>
        <v>1.5263499999999999</v>
      </c>
      <c r="O111">
        <f t="shared" si="11"/>
        <v>-1.329594017094017</v>
      </c>
      <c r="P111">
        <f t="shared" si="12"/>
        <v>-0.81190645773979075</v>
      </c>
    </row>
    <row r="112" spans="2:16" x14ac:dyDescent="0.3">
      <c r="B112">
        <v>960</v>
      </c>
      <c r="C112">
        <f t="shared" si="7"/>
        <v>204.16756185600005</v>
      </c>
      <c r="D112">
        <f t="shared" si="8"/>
        <v>0.10208378092800001</v>
      </c>
      <c r="L112">
        <v>900</v>
      </c>
      <c r="M112">
        <f t="shared" si="9"/>
        <v>1.9844999999999999</v>
      </c>
      <c r="N112">
        <f t="shared" si="10"/>
        <v>1.5434999999999999</v>
      </c>
      <c r="O112">
        <f t="shared" si="11"/>
        <v>-1.3557692307692304</v>
      </c>
      <c r="P112">
        <f t="shared" si="12"/>
        <v>-0.83226495726495697</v>
      </c>
    </row>
    <row r="113" spans="2:16" x14ac:dyDescent="0.3">
      <c r="B113">
        <v>970</v>
      </c>
      <c r="C113">
        <f t="shared" si="7"/>
        <v>206.29430729200004</v>
      </c>
      <c r="D113">
        <f t="shared" si="8"/>
        <v>0.10314715364600001</v>
      </c>
      <c r="L113">
        <v>910</v>
      </c>
      <c r="M113">
        <f t="shared" si="9"/>
        <v>2.0065499999999998</v>
      </c>
      <c r="N113">
        <f t="shared" si="10"/>
        <v>1.5606499999999999</v>
      </c>
      <c r="O113">
        <f t="shared" si="11"/>
        <v>-1.3819444444444442</v>
      </c>
      <c r="P113">
        <f t="shared" si="12"/>
        <v>-0.85262345679012319</v>
      </c>
    </row>
    <row r="114" spans="2:16" x14ac:dyDescent="0.3">
      <c r="B114">
        <v>980</v>
      </c>
      <c r="C114">
        <f t="shared" si="7"/>
        <v>208.42105272800003</v>
      </c>
      <c r="D114">
        <f t="shared" si="8"/>
        <v>0.10421052636400001</v>
      </c>
      <c r="L114">
        <v>920</v>
      </c>
      <c r="M114">
        <f t="shared" si="9"/>
        <v>2.0286</v>
      </c>
      <c r="N114">
        <f t="shared" si="10"/>
        <v>1.5777999999999999</v>
      </c>
      <c r="O114">
        <f t="shared" si="11"/>
        <v>-1.408119658119658</v>
      </c>
      <c r="P114">
        <f t="shared" si="12"/>
        <v>-0.87298195631528941</v>
      </c>
    </row>
    <row r="115" spans="2:16" x14ac:dyDescent="0.3">
      <c r="B115">
        <v>990</v>
      </c>
      <c r="C115">
        <f t="shared" si="7"/>
        <v>210.54779816400006</v>
      </c>
      <c r="D115">
        <f t="shared" si="8"/>
        <v>0.10527389908200001</v>
      </c>
      <c r="L115">
        <v>930</v>
      </c>
      <c r="M115">
        <f t="shared" si="9"/>
        <v>2.0506500000000001</v>
      </c>
      <c r="N115">
        <f t="shared" si="10"/>
        <v>1.5949499999999999</v>
      </c>
      <c r="O115">
        <f t="shared" si="11"/>
        <v>-1.4342948717948718</v>
      </c>
      <c r="P115">
        <f t="shared" si="12"/>
        <v>-0.89334045584045563</v>
      </c>
    </row>
    <row r="116" spans="2:16" x14ac:dyDescent="0.3">
      <c r="B116">
        <v>1000</v>
      </c>
      <c r="C116">
        <f t="shared" si="7"/>
        <v>212.67454360000005</v>
      </c>
      <c r="D116">
        <f t="shared" si="8"/>
        <v>0.10633727180000001</v>
      </c>
      <c r="L116">
        <v>940</v>
      </c>
      <c r="M116">
        <f t="shared" si="9"/>
        <v>2.0726999999999998</v>
      </c>
      <c r="N116">
        <f t="shared" si="10"/>
        <v>1.6120999999999999</v>
      </c>
      <c r="O116">
        <f t="shared" si="11"/>
        <v>-1.4604700854700852</v>
      </c>
      <c r="P116">
        <f t="shared" si="12"/>
        <v>-0.91369895536562185</v>
      </c>
    </row>
    <row r="117" spans="2:16" x14ac:dyDescent="0.3">
      <c r="L117">
        <v>950</v>
      </c>
      <c r="M117">
        <f t="shared" si="9"/>
        <v>2.0947499999999999</v>
      </c>
      <c r="N117">
        <f t="shared" si="10"/>
        <v>1.6292499999999999</v>
      </c>
      <c r="O117">
        <f t="shared" si="11"/>
        <v>-1.486645299145299</v>
      </c>
      <c r="P117">
        <f t="shared" si="12"/>
        <v>-0.93405745489078806</v>
      </c>
    </row>
    <row r="118" spans="2:16" x14ac:dyDescent="0.3">
      <c r="L118">
        <v>960</v>
      </c>
      <c r="M118">
        <f t="shared" si="9"/>
        <v>2.1168</v>
      </c>
      <c r="N118">
        <f t="shared" si="10"/>
        <v>1.6463999999999999</v>
      </c>
      <c r="O118">
        <f t="shared" si="11"/>
        <v>-1.5128205128205128</v>
      </c>
      <c r="P118">
        <f t="shared" si="12"/>
        <v>-0.95441595441595406</v>
      </c>
    </row>
    <row r="119" spans="2:16" x14ac:dyDescent="0.3">
      <c r="L119">
        <v>970</v>
      </c>
      <c r="M119">
        <f t="shared" si="9"/>
        <v>2.1388500000000001</v>
      </c>
      <c r="N119">
        <f t="shared" si="10"/>
        <v>1.6635499999999999</v>
      </c>
      <c r="O119">
        <f t="shared" si="11"/>
        <v>-1.5389957264957266</v>
      </c>
      <c r="P119">
        <f t="shared" si="12"/>
        <v>-0.97477445394112028</v>
      </c>
    </row>
    <row r="120" spans="2:16" x14ac:dyDescent="0.3">
      <c r="L120">
        <v>980</v>
      </c>
      <c r="M120">
        <f t="shared" si="9"/>
        <v>2.1608999999999998</v>
      </c>
      <c r="N120">
        <f t="shared" si="10"/>
        <v>1.6806999999999999</v>
      </c>
      <c r="O120">
        <f t="shared" si="11"/>
        <v>-1.5651709401709399</v>
      </c>
      <c r="P120">
        <f t="shared" si="12"/>
        <v>-0.9951329534662865</v>
      </c>
    </row>
    <row r="121" spans="2:16" x14ac:dyDescent="0.3">
      <c r="L121">
        <v>990</v>
      </c>
      <c r="M121">
        <f t="shared" si="9"/>
        <v>2.1829499999999999</v>
      </c>
      <c r="N121">
        <f t="shared" si="10"/>
        <v>1.6978499999999999</v>
      </c>
      <c r="O121">
        <f t="shared" si="11"/>
        <v>-1.5913461538461537</v>
      </c>
      <c r="P121">
        <f t="shared" si="12"/>
        <v>-1.0154914529914527</v>
      </c>
    </row>
    <row r="122" spans="2:16" x14ac:dyDescent="0.3">
      <c r="L122">
        <v>1000</v>
      </c>
      <c r="M122">
        <f t="shared" si="9"/>
        <v>2.2050000000000001</v>
      </c>
      <c r="N122">
        <f t="shared" si="10"/>
        <v>1.7149999999999999</v>
      </c>
      <c r="O122">
        <f t="shared" si="11"/>
        <v>-1.6175213675213675</v>
      </c>
      <c r="P122">
        <f t="shared" si="12"/>
        <v>-1.0358499525166187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904E-BBCD-45B2-9EDC-CF511B90CE44}">
  <dimension ref="C3:AF16"/>
  <sheetViews>
    <sheetView topLeftCell="B9" zoomScale="70" workbookViewId="0">
      <selection activeCell="G15" sqref="G15"/>
    </sheetView>
  </sheetViews>
  <sheetFormatPr defaultRowHeight="14.4" x14ac:dyDescent="0.3"/>
  <cols>
    <col min="3" max="3" width="12.21875" bestFit="1" customWidth="1"/>
    <col min="4" max="4" width="8.88671875" customWidth="1"/>
    <col min="9" max="10" width="9.33203125" bestFit="1" customWidth="1"/>
    <col min="11" max="11" width="11" bestFit="1" customWidth="1"/>
    <col min="14" max="16" width="9.33203125" bestFit="1" customWidth="1"/>
    <col min="17" max="18" width="12.109375" bestFit="1" customWidth="1"/>
    <col min="20" max="20" width="9.33203125" bestFit="1" customWidth="1"/>
    <col min="27" max="27" width="17.7773437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22.2" thickBot="1" x14ac:dyDescent="0.35">
      <c r="C10" s="70" t="s">
        <v>219</v>
      </c>
      <c r="D10" s="70"/>
      <c r="E10" s="70"/>
      <c r="F10" s="70"/>
      <c r="G10" s="70"/>
      <c r="H10" s="70"/>
      <c r="I10" s="70"/>
      <c r="J10" s="70"/>
      <c r="K10" s="70" t="s">
        <v>220</v>
      </c>
      <c r="L10" s="70" t="s">
        <v>221</v>
      </c>
      <c r="M10" s="70" t="s">
        <v>221</v>
      </c>
      <c r="N10" s="70" t="s">
        <v>222</v>
      </c>
      <c r="O10" s="73" t="s">
        <v>223</v>
      </c>
      <c r="P10" s="70" t="s">
        <v>224</v>
      </c>
      <c r="Q10" s="73" t="s">
        <v>256</v>
      </c>
      <c r="R10" s="73" t="s">
        <v>256</v>
      </c>
      <c r="S10" s="70" t="s">
        <v>225</v>
      </c>
      <c r="T10" s="73" t="s">
        <v>223</v>
      </c>
    </row>
    <row r="11" spans="3:32" x14ac:dyDescent="0.3">
      <c r="C11" t="s">
        <v>302</v>
      </c>
      <c r="D11" t="s">
        <v>260</v>
      </c>
      <c r="F11" t="s">
        <v>262</v>
      </c>
      <c r="G11" t="s">
        <v>313</v>
      </c>
      <c r="I11">
        <v>2020</v>
      </c>
      <c r="J11">
        <v>2030</v>
      </c>
      <c r="K11">
        <v>0.995</v>
      </c>
      <c r="N11">
        <v>0.95</v>
      </c>
      <c r="O11" s="77">
        <v>50</v>
      </c>
      <c r="P11" s="79">
        <v>31.536000000000001</v>
      </c>
      <c r="Q11">
        <f>'NH3'!C63</f>
        <v>99.957035492000017</v>
      </c>
      <c r="R11">
        <f>'NH3'!$D$63</f>
        <v>4.9978517746000005E-2</v>
      </c>
      <c r="T11" s="76">
        <v>1</v>
      </c>
      <c r="Y11" s="67" t="s">
        <v>226</v>
      </c>
      <c r="Z11" s="68"/>
      <c r="AA11" s="68"/>
      <c r="AB11" s="68"/>
      <c r="AC11" s="68"/>
      <c r="AD11" s="68"/>
      <c r="AE11" s="68"/>
      <c r="AF11" s="68"/>
    </row>
    <row r="12" spans="3:32" x14ac:dyDescent="0.3">
      <c r="I12" s="72">
        <v>2030</v>
      </c>
      <c r="J12" s="72"/>
      <c r="K12">
        <v>0.995</v>
      </c>
      <c r="N12">
        <v>0.95</v>
      </c>
      <c r="O12" s="77">
        <v>50</v>
      </c>
      <c r="P12" s="79">
        <v>31.536000000000001</v>
      </c>
      <c r="Q12">
        <f>'NH3'!$C$63</f>
        <v>99.957035492000017</v>
      </c>
      <c r="R12">
        <f>'NH3'!$D$63</f>
        <v>4.9978517746000005E-2</v>
      </c>
      <c r="T12" s="76">
        <v>1</v>
      </c>
      <c r="Y12" s="69" t="s">
        <v>227</v>
      </c>
      <c r="Z12" s="69" t="s">
        <v>185</v>
      </c>
      <c r="AA12" s="69" t="s">
        <v>186</v>
      </c>
      <c r="AB12" s="69" t="s">
        <v>228</v>
      </c>
      <c r="AC12" s="69" t="s">
        <v>229</v>
      </c>
      <c r="AD12" s="69" t="s">
        <v>230</v>
      </c>
      <c r="AE12" s="69" t="s">
        <v>231</v>
      </c>
      <c r="AF12" s="69" t="s">
        <v>232</v>
      </c>
    </row>
    <row r="13" spans="3:32" ht="42.6" thickBot="1" x14ac:dyDescent="0.35">
      <c r="I13">
        <v>2050</v>
      </c>
      <c r="K13">
        <v>0.995</v>
      </c>
      <c r="N13">
        <v>0.95</v>
      </c>
      <c r="O13" s="77">
        <v>50</v>
      </c>
      <c r="P13" s="79">
        <v>31.536000000000001</v>
      </c>
      <c r="Q13">
        <f>'NH3'!$C$63</f>
        <v>99.957035492000017</v>
      </c>
      <c r="R13">
        <f>'NH3'!$D$63</f>
        <v>4.9978517746000005E-2</v>
      </c>
      <c r="T13" s="76">
        <v>1</v>
      </c>
      <c r="Y13" s="70" t="s">
        <v>233</v>
      </c>
      <c r="Z13" s="70" t="s">
        <v>234</v>
      </c>
      <c r="AA13" s="70" t="s">
        <v>204</v>
      </c>
      <c r="AB13" s="70" t="s">
        <v>235</v>
      </c>
      <c r="AC13" s="70" t="s">
        <v>236</v>
      </c>
      <c r="AD13" s="70" t="s">
        <v>237</v>
      </c>
      <c r="AE13" s="70" t="s">
        <v>238</v>
      </c>
      <c r="AF13" s="70" t="s">
        <v>239</v>
      </c>
    </row>
    <row r="14" spans="3:32" ht="15" thickBot="1" x14ac:dyDescent="0.35">
      <c r="C14" t="s">
        <v>303</v>
      </c>
      <c r="D14" s="80" t="s">
        <v>261</v>
      </c>
      <c r="E14" s="80"/>
      <c r="F14" s="80" t="s">
        <v>262</v>
      </c>
      <c r="G14" t="s">
        <v>313</v>
      </c>
      <c r="H14" s="80"/>
      <c r="I14" s="80">
        <v>2020</v>
      </c>
      <c r="J14" s="80">
        <v>2030</v>
      </c>
      <c r="K14" s="80">
        <v>0.5</v>
      </c>
      <c r="L14" s="80"/>
      <c r="M14" s="80"/>
      <c r="N14" s="80">
        <v>0.95</v>
      </c>
      <c r="O14" s="81">
        <v>20</v>
      </c>
      <c r="P14" s="80">
        <v>1</v>
      </c>
      <c r="Q14" s="80">
        <f>('NH3'!$M$11+'NH3'!$M$13)*4/365</f>
        <v>1.1594897693755644</v>
      </c>
      <c r="R14" s="80">
        <f>'NH3'!$M$12*4/365</f>
        <v>5.6025959852476302E-3</v>
      </c>
      <c r="S14" s="80"/>
      <c r="T14" s="82"/>
      <c r="Y14" s="70" t="s">
        <v>240</v>
      </c>
      <c r="Z14" s="70"/>
      <c r="AA14" s="70"/>
      <c r="AB14" s="70"/>
      <c r="AC14" s="70"/>
      <c r="AD14" s="70"/>
      <c r="AE14" s="70"/>
      <c r="AF14" s="70"/>
    </row>
    <row r="15" spans="3:32" x14ac:dyDescent="0.3">
      <c r="I15" s="72">
        <v>2030</v>
      </c>
      <c r="J15" s="72"/>
      <c r="K15">
        <v>0.5</v>
      </c>
      <c r="N15">
        <v>0.95</v>
      </c>
      <c r="O15" s="77">
        <v>20</v>
      </c>
      <c r="P15" s="79">
        <v>1</v>
      </c>
      <c r="Q15">
        <f>('NH3'!$M$11+'NH3'!$M$13)*4/365</f>
        <v>1.1594897693755644</v>
      </c>
      <c r="R15">
        <f>'NH3'!$M$12*4/365</f>
        <v>5.6025959852476302E-3</v>
      </c>
      <c r="T15" s="76"/>
      <c r="Y15" t="s">
        <v>241</v>
      </c>
      <c r="Z15" t="s">
        <v>302</v>
      </c>
      <c r="AA15" t="s">
        <v>260</v>
      </c>
      <c r="AB15" s="78" t="s">
        <v>184</v>
      </c>
      <c r="AC15" s="78" t="s">
        <v>244</v>
      </c>
      <c r="AD15" s="72" t="s">
        <v>182</v>
      </c>
      <c r="AE15" t="s">
        <v>301</v>
      </c>
      <c r="AF15" s="78" t="s">
        <v>242</v>
      </c>
    </row>
    <row r="16" spans="3:32" x14ac:dyDescent="0.3">
      <c r="I16">
        <v>2050</v>
      </c>
      <c r="K16">
        <v>0.6</v>
      </c>
      <c r="N16">
        <v>0.95</v>
      </c>
      <c r="O16" s="77">
        <v>20</v>
      </c>
      <c r="P16" s="79">
        <v>1</v>
      </c>
      <c r="Q16">
        <f>('NH3'!$M$11+'NH3'!$M$13)*4/365</f>
        <v>1.1594897693755644</v>
      </c>
      <c r="R16">
        <f>'NH3'!$M$12*4/365</f>
        <v>5.6025959852476302E-3</v>
      </c>
      <c r="T16" s="76"/>
      <c r="Y16" t="s">
        <v>241</v>
      </c>
      <c r="Z16" t="s">
        <v>303</v>
      </c>
      <c r="AA16" t="s">
        <v>261</v>
      </c>
      <c r="AB16" t="s">
        <v>184</v>
      </c>
      <c r="AC16" t="s">
        <v>250</v>
      </c>
      <c r="AD16" s="72" t="s">
        <v>182</v>
      </c>
      <c r="AE16" t="s">
        <v>301</v>
      </c>
      <c r="AF16" t="s">
        <v>242</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4019-9790-4A19-90E8-76945830F13B}">
  <sheetPr>
    <tabColor theme="5" tint="0.39997558519241921"/>
  </sheetPr>
  <dimension ref="B2:U125"/>
  <sheetViews>
    <sheetView zoomScale="64" workbookViewId="0">
      <selection activeCell="U12" sqref="U12"/>
    </sheetView>
  </sheetViews>
  <sheetFormatPr defaultRowHeight="14.4" x14ac:dyDescent="0.3"/>
  <cols>
    <col min="8" max="8" width="26.88671875" customWidth="1"/>
    <col min="9" max="9" width="18.33203125" customWidth="1"/>
    <col min="10" max="10" width="9" bestFit="1" customWidth="1"/>
    <col min="11" max="12" width="15.109375" bestFit="1" customWidth="1"/>
    <col min="15" max="15" width="10.5546875" bestFit="1" customWidth="1"/>
    <col min="18" max="18" width="9" bestFit="1" customWidth="1"/>
    <col min="20" max="20" width="12.6640625" bestFit="1" customWidth="1"/>
  </cols>
  <sheetData>
    <row r="2" spans="2:21" ht="18" x14ac:dyDescent="0.35">
      <c r="B2" t="s">
        <v>178</v>
      </c>
      <c r="H2" s="65" t="s">
        <v>155</v>
      </c>
    </row>
    <row r="3" spans="2:21" x14ac:dyDescent="0.3">
      <c r="H3" t="s">
        <v>181</v>
      </c>
      <c r="O3" t="s">
        <v>0</v>
      </c>
    </row>
    <row r="5" spans="2:21" x14ac:dyDescent="0.3">
      <c r="H5" s="47" t="s">
        <v>25</v>
      </c>
      <c r="I5" s="52">
        <v>20</v>
      </c>
    </row>
    <row r="6" spans="2:21" x14ac:dyDescent="0.3">
      <c r="O6" t="s">
        <v>179</v>
      </c>
    </row>
    <row r="7" spans="2:21" x14ac:dyDescent="0.3">
      <c r="O7">
        <v>5.5270000000000001</v>
      </c>
      <c r="P7" t="s">
        <v>157</v>
      </c>
    </row>
    <row r="8" spans="2:21" x14ac:dyDescent="0.3">
      <c r="O8">
        <v>5.5270000000000001</v>
      </c>
      <c r="P8" t="s">
        <v>158</v>
      </c>
    </row>
    <row r="9" spans="2:21" x14ac:dyDescent="0.3">
      <c r="I9" t="s">
        <v>164</v>
      </c>
      <c r="J9">
        <v>2050</v>
      </c>
      <c r="O9">
        <v>5.5270000000000001</v>
      </c>
      <c r="P9" t="s">
        <v>159</v>
      </c>
      <c r="Q9">
        <f>O9/1000</f>
        <v>5.5269999999999998E-3</v>
      </c>
      <c r="R9" t="s">
        <v>172</v>
      </c>
    </row>
    <row r="10" spans="2:21" x14ac:dyDescent="0.3">
      <c r="H10" s="27" t="s">
        <v>126</v>
      </c>
      <c r="I10" s="52">
        <v>2205</v>
      </c>
      <c r="J10" s="52">
        <v>1715</v>
      </c>
      <c r="O10">
        <f>O8/1000</f>
        <v>5.5269999999999998E-3</v>
      </c>
      <c r="P10" t="s">
        <v>160</v>
      </c>
    </row>
    <row r="11" spans="2:21" x14ac:dyDescent="0.3">
      <c r="H11" t="s">
        <v>264</v>
      </c>
      <c r="I11">
        <f>I10/1000000</f>
        <v>2.2049999999999999E-3</v>
      </c>
      <c r="J11">
        <f>J10/1000000</f>
        <v>1.7149999999999999E-3</v>
      </c>
      <c r="T11" s="83">
        <f>O8*O15</f>
        <v>1.98972E-5</v>
      </c>
      <c r="U11" t="s">
        <v>295</v>
      </c>
    </row>
    <row r="12" spans="2:21" x14ac:dyDescent="0.3">
      <c r="H12" s="62" t="s">
        <v>131</v>
      </c>
      <c r="I12" s="52">
        <v>780.22546079682832</v>
      </c>
    </row>
    <row r="13" spans="2:21" x14ac:dyDescent="0.3">
      <c r="H13" s="62" t="s">
        <v>134</v>
      </c>
      <c r="I13" s="52">
        <v>4.2534908720000004</v>
      </c>
    </row>
    <row r="14" spans="2:21" x14ac:dyDescent="0.3">
      <c r="H14" s="62" t="s">
        <v>137</v>
      </c>
      <c r="I14" s="52">
        <v>1.4887218052</v>
      </c>
      <c r="O14" t="s">
        <v>161</v>
      </c>
      <c r="R14" t="s">
        <v>251</v>
      </c>
    </row>
    <row r="15" spans="2:21" x14ac:dyDescent="0.3">
      <c r="O15">
        <v>3.5999999999999998E-6</v>
      </c>
      <c r="R15">
        <v>45000</v>
      </c>
      <c r="S15" t="s">
        <v>252</v>
      </c>
    </row>
    <row r="17" spans="8:19" x14ac:dyDescent="0.3">
      <c r="H17" s="27"/>
    </row>
    <row r="18" spans="8:19" x14ac:dyDescent="0.3">
      <c r="H18" s="62" t="s">
        <v>270</v>
      </c>
      <c r="I18" s="63">
        <f>I12/(O8*O15*1000000)</f>
        <v>39.212826970469628</v>
      </c>
      <c r="R18">
        <f>R15*O8*O15</f>
        <v>0.895374</v>
      </c>
      <c r="S18" t="s">
        <v>184</v>
      </c>
    </row>
    <row r="19" spans="8:19" x14ac:dyDescent="0.3">
      <c r="H19" s="62" t="s">
        <v>271</v>
      </c>
      <c r="I19" s="63">
        <f>I13/($O$8*1000000*O15)</f>
        <v>0.21377333856019948</v>
      </c>
    </row>
    <row r="20" spans="8:19" x14ac:dyDescent="0.3">
      <c r="H20" s="62" t="s">
        <v>272</v>
      </c>
      <c r="I20" s="63">
        <f>I14/($O$8*1000000*O15)</f>
        <v>7.4820668496069803E-2</v>
      </c>
    </row>
    <row r="25" spans="8:19" x14ac:dyDescent="0.3">
      <c r="H25" t="s">
        <v>153</v>
      </c>
      <c r="K25" t="s">
        <v>254</v>
      </c>
      <c r="L25" t="s">
        <v>255</v>
      </c>
    </row>
    <row r="26" spans="8:19" x14ac:dyDescent="0.3">
      <c r="H26">
        <v>10</v>
      </c>
      <c r="I26">
        <f>$I$11*H26</f>
        <v>2.205E-2</v>
      </c>
      <c r="J26">
        <f>$J$11*H26</f>
        <v>1.7149999999999999E-2</v>
      </c>
      <c r="K26" s="83">
        <f>1-(I26/$R$18)</f>
        <v>0.97537341937559052</v>
      </c>
      <c r="L26" s="83">
        <f>1-(J26/$R$18)</f>
        <v>0.98084599284768148</v>
      </c>
    </row>
    <row r="27" spans="8:19" x14ac:dyDescent="0.3">
      <c r="H27">
        <v>20</v>
      </c>
      <c r="I27">
        <f t="shared" ref="I27:I90" si="0">$I$11*H27</f>
        <v>4.41E-2</v>
      </c>
      <c r="J27">
        <f>$J$11*H27</f>
        <v>3.4299999999999997E-2</v>
      </c>
      <c r="K27" s="83">
        <f>1-(I27/$R$18)</f>
        <v>0.95074683875118104</v>
      </c>
      <c r="L27" s="83">
        <f t="shared" ref="L27:L90" si="1">1-(J27/$R$18)</f>
        <v>0.96169198569536307</v>
      </c>
    </row>
    <row r="28" spans="8:19" x14ac:dyDescent="0.3">
      <c r="H28">
        <v>30</v>
      </c>
      <c r="I28">
        <f t="shared" si="0"/>
        <v>6.615E-2</v>
      </c>
      <c r="J28">
        <f t="shared" ref="J28:J91" si="2">$J$11*H28</f>
        <v>5.1449999999999996E-2</v>
      </c>
      <c r="K28" s="83">
        <f>1-(I28/$R$18)</f>
        <v>0.92612025812677157</v>
      </c>
      <c r="L28" s="83">
        <f t="shared" si="1"/>
        <v>0.94253797854304455</v>
      </c>
    </row>
    <row r="29" spans="8:19" x14ac:dyDescent="0.3">
      <c r="H29">
        <v>40</v>
      </c>
      <c r="I29">
        <f t="shared" si="0"/>
        <v>8.8200000000000001E-2</v>
      </c>
      <c r="J29">
        <f t="shared" si="2"/>
        <v>6.8599999999999994E-2</v>
      </c>
      <c r="K29" s="83">
        <f t="shared" ref="K29:K90" si="3">1-(I29/$R$18)</f>
        <v>0.90149367750236209</v>
      </c>
      <c r="L29" s="83">
        <f t="shared" si="1"/>
        <v>0.92338397139072614</v>
      </c>
    </row>
    <row r="30" spans="8:19" x14ac:dyDescent="0.3">
      <c r="H30">
        <v>50</v>
      </c>
      <c r="I30">
        <f t="shared" si="0"/>
        <v>0.11025</v>
      </c>
      <c r="J30">
        <f t="shared" si="2"/>
        <v>8.5749999999999993E-2</v>
      </c>
      <c r="K30" s="83">
        <f t="shared" si="3"/>
        <v>0.87686709687795272</v>
      </c>
      <c r="L30" s="83">
        <f t="shared" si="1"/>
        <v>0.90422996423840762</v>
      </c>
    </row>
    <row r="31" spans="8:19" x14ac:dyDescent="0.3">
      <c r="H31">
        <v>60</v>
      </c>
      <c r="I31">
        <f>$I$11*H31</f>
        <v>0.1323</v>
      </c>
      <c r="J31">
        <f t="shared" si="2"/>
        <v>0.10289999999999999</v>
      </c>
      <c r="K31" s="83">
        <f t="shared" si="3"/>
        <v>0.85224051625354325</v>
      </c>
      <c r="L31" s="83">
        <f t="shared" si="1"/>
        <v>0.88507595708608922</v>
      </c>
    </row>
    <row r="32" spans="8:19" x14ac:dyDescent="0.3">
      <c r="H32">
        <v>70</v>
      </c>
      <c r="I32">
        <f t="shared" si="0"/>
        <v>0.15434999999999999</v>
      </c>
      <c r="J32">
        <f t="shared" si="2"/>
        <v>0.12004999999999999</v>
      </c>
      <c r="K32" s="83">
        <f t="shared" si="3"/>
        <v>0.82761393562913377</v>
      </c>
      <c r="L32" s="83">
        <f t="shared" si="1"/>
        <v>0.8659219499337707</v>
      </c>
    </row>
    <row r="33" spans="8:12" x14ac:dyDescent="0.3">
      <c r="H33">
        <v>80</v>
      </c>
      <c r="I33">
        <f t="shared" si="0"/>
        <v>0.1764</v>
      </c>
      <c r="J33">
        <f t="shared" si="2"/>
        <v>0.13719999999999999</v>
      </c>
      <c r="K33" s="83">
        <f t="shared" si="3"/>
        <v>0.80298735500472429</v>
      </c>
      <c r="L33" s="83">
        <f t="shared" si="1"/>
        <v>0.84676794278145229</v>
      </c>
    </row>
    <row r="34" spans="8:12" x14ac:dyDescent="0.3">
      <c r="H34">
        <v>90</v>
      </c>
      <c r="I34">
        <f t="shared" si="0"/>
        <v>0.19844999999999999</v>
      </c>
      <c r="J34">
        <f t="shared" si="2"/>
        <v>0.15434999999999999</v>
      </c>
      <c r="K34" s="83">
        <f t="shared" si="3"/>
        <v>0.77836077438031481</v>
      </c>
      <c r="L34" s="83">
        <f t="shared" si="1"/>
        <v>0.82761393562913377</v>
      </c>
    </row>
    <row r="35" spans="8:12" x14ac:dyDescent="0.3">
      <c r="H35">
        <v>100</v>
      </c>
      <c r="I35">
        <f t="shared" si="0"/>
        <v>0.2205</v>
      </c>
      <c r="J35">
        <f t="shared" si="2"/>
        <v>0.17149999999999999</v>
      </c>
      <c r="K35" s="83">
        <f t="shared" si="3"/>
        <v>0.75373419375590534</v>
      </c>
      <c r="L35" s="83">
        <f t="shared" si="1"/>
        <v>0.80845992847681525</v>
      </c>
    </row>
    <row r="36" spans="8:12" x14ac:dyDescent="0.3">
      <c r="H36">
        <v>110</v>
      </c>
      <c r="I36">
        <f t="shared" si="0"/>
        <v>0.24254999999999999</v>
      </c>
      <c r="J36">
        <f t="shared" si="2"/>
        <v>0.18864999999999998</v>
      </c>
      <c r="K36" s="83">
        <f t="shared" si="3"/>
        <v>0.72910761313149597</v>
      </c>
      <c r="L36" s="83">
        <f t="shared" si="1"/>
        <v>0.78930592132449684</v>
      </c>
    </row>
    <row r="37" spans="8:12" x14ac:dyDescent="0.3">
      <c r="H37">
        <v>120</v>
      </c>
      <c r="I37">
        <f t="shared" si="0"/>
        <v>0.2646</v>
      </c>
      <c r="J37">
        <f t="shared" si="2"/>
        <v>0.20579999999999998</v>
      </c>
      <c r="K37" s="83">
        <f t="shared" si="3"/>
        <v>0.70448103250708649</v>
      </c>
      <c r="L37" s="83">
        <f t="shared" si="1"/>
        <v>0.77015191417217832</v>
      </c>
    </row>
    <row r="38" spans="8:12" x14ac:dyDescent="0.3">
      <c r="H38">
        <v>130</v>
      </c>
      <c r="I38">
        <f t="shared" si="0"/>
        <v>0.28665000000000002</v>
      </c>
      <c r="J38">
        <f t="shared" si="2"/>
        <v>0.22294999999999998</v>
      </c>
      <c r="K38" s="83">
        <f t="shared" si="3"/>
        <v>0.67985445188267701</v>
      </c>
      <c r="L38" s="83">
        <f t="shared" si="1"/>
        <v>0.75099790701985991</v>
      </c>
    </row>
    <row r="39" spans="8:12" x14ac:dyDescent="0.3">
      <c r="H39">
        <v>140</v>
      </c>
      <c r="I39">
        <f t="shared" si="0"/>
        <v>0.30869999999999997</v>
      </c>
      <c r="J39">
        <f t="shared" si="2"/>
        <v>0.24009999999999998</v>
      </c>
      <c r="K39" s="83">
        <f t="shared" si="3"/>
        <v>0.65522787125826754</v>
      </c>
      <c r="L39" s="83">
        <f t="shared" si="1"/>
        <v>0.73184389986754139</v>
      </c>
    </row>
    <row r="40" spans="8:12" x14ac:dyDescent="0.3">
      <c r="H40">
        <v>150</v>
      </c>
      <c r="I40">
        <f t="shared" si="0"/>
        <v>0.33074999999999999</v>
      </c>
      <c r="J40">
        <f t="shared" si="2"/>
        <v>0.25724999999999998</v>
      </c>
      <c r="K40" s="83">
        <f t="shared" si="3"/>
        <v>0.63060129063385806</v>
      </c>
      <c r="L40" s="83">
        <f t="shared" si="1"/>
        <v>0.71268989271522298</v>
      </c>
    </row>
    <row r="41" spans="8:12" x14ac:dyDescent="0.3">
      <c r="H41">
        <v>160</v>
      </c>
      <c r="I41">
        <f t="shared" si="0"/>
        <v>0.3528</v>
      </c>
      <c r="J41">
        <f t="shared" si="2"/>
        <v>0.27439999999999998</v>
      </c>
      <c r="K41" s="83">
        <f t="shared" si="3"/>
        <v>0.60597471000944858</v>
      </c>
      <c r="L41" s="83">
        <f t="shared" si="1"/>
        <v>0.69353588556290446</v>
      </c>
    </row>
    <row r="42" spans="8:12" x14ac:dyDescent="0.3">
      <c r="H42">
        <v>170</v>
      </c>
      <c r="I42">
        <f t="shared" si="0"/>
        <v>0.37484999999999996</v>
      </c>
      <c r="J42">
        <f t="shared" si="2"/>
        <v>0.29154999999999998</v>
      </c>
      <c r="K42" s="83">
        <f t="shared" si="3"/>
        <v>0.5813481293850391</v>
      </c>
      <c r="L42" s="83">
        <f t="shared" si="1"/>
        <v>0.67438187841058594</v>
      </c>
    </row>
    <row r="43" spans="8:12" x14ac:dyDescent="0.3">
      <c r="H43">
        <v>180</v>
      </c>
      <c r="I43">
        <f t="shared" si="0"/>
        <v>0.39689999999999998</v>
      </c>
      <c r="J43">
        <f t="shared" si="2"/>
        <v>0.30869999999999997</v>
      </c>
      <c r="K43" s="83">
        <f t="shared" si="3"/>
        <v>0.55672154876062963</v>
      </c>
      <c r="L43" s="83">
        <f t="shared" si="1"/>
        <v>0.65522787125826754</v>
      </c>
    </row>
    <row r="44" spans="8:12" x14ac:dyDescent="0.3">
      <c r="H44">
        <v>190</v>
      </c>
      <c r="I44">
        <f t="shared" si="0"/>
        <v>0.41894999999999999</v>
      </c>
      <c r="J44">
        <f t="shared" si="2"/>
        <v>0.32584999999999997</v>
      </c>
      <c r="K44" s="83">
        <f t="shared" si="3"/>
        <v>0.53209496813622015</v>
      </c>
      <c r="L44" s="83">
        <f t="shared" si="1"/>
        <v>0.63607386410594913</v>
      </c>
    </row>
    <row r="45" spans="8:12" x14ac:dyDescent="0.3">
      <c r="H45">
        <v>200</v>
      </c>
      <c r="I45">
        <f t="shared" si="0"/>
        <v>0.441</v>
      </c>
      <c r="J45">
        <f t="shared" si="2"/>
        <v>0.34299999999999997</v>
      </c>
      <c r="K45" s="83">
        <f t="shared" si="3"/>
        <v>0.50746838751181067</v>
      </c>
      <c r="L45" s="83">
        <f t="shared" si="1"/>
        <v>0.61691985695363061</v>
      </c>
    </row>
    <row r="46" spans="8:12" x14ac:dyDescent="0.3">
      <c r="H46">
        <v>210</v>
      </c>
      <c r="I46">
        <f t="shared" si="0"/>
        <v>0.46304999999999996</v>
      </c>
      <c r="J46">
        <f t="shared" si="2"/>
        <v>0.36014999999999997</v>
      </c>
      <c r="K46" s="83">
        <f t="shared" si="3"/>
        <v>0.4828418068874013</v>
      </c>
      <c r="L46" s="83">
        <f t="shared" si="1"/>
        <v>0.59776584980131209</v>
      </c>
    </row>
    <row r="47" spans="8:12" x14ac:dyDescent="0.3">
      <c r="H47">
        <v>220</v>
      </c>
      <c r="I47">
        <f t="shared" si="0"/>
        <v>0.48509999999999998</v>
      </c>
      <c r="J47">
        <f t="shared" si="2"/>
        <v>0.37729999999999997</v>
      </c>
      <c r="K47" s="83">
        <f t="shared" si="3"/>
        <v>0.45821522626299183</v>
      </c>
      <c r="L47" s="83">
        <f t="shared" si="1"/>
        <v>0.57861184264899368</v>
      </c>
    </row>
    <row r="48" spans="8:12" x14ac:dyDescent="0.3">
      <c r="H48">
        <v>230</v>
      </c>
      <c r="I48">
        <f t="shared" si="0"/>
        <v>0.50714999999999999</v>
      </c>
      <c r="J48">
        <f t="shared" si="2"/>
        <v>0.39444999999999997</v>
      </c>
      <c r="K48" s="83">
        <f t="shared" si="3"/>
        <v>0.43358864563858235</v>
      </c>
      <c r="L48" s="83">
        <f t="shared" si="1"/>
        <v>0.55945783549667516</v>
      </c>
    </row>
    <row r="49" spans="8:12" x14ac:dyDescent="0.3">
      <c r="H49">
        <v>240</v>
      </c>
      <c r="I49">
        <f t="shared" si="0"/>
        <v>0.5292</v>
      </c>
      <c r="J49">
        <f t="shared" si="2"/>
        <v>0.41159999999999997</v>
      </c>
      <c r="K49" s="83">
        <f t="shared" si="3"/>
        <v>0.40896206501417287</v>
      </c>
      <c r="L49" s="83">
        <f t="shared" si="1"/>
        <v>0.54030382834435664</v>
      </c>
    </row>
    <row r="50" spans="8:12" x14ac:dyDescent="0.3">
      <c r="H50">
        <v>250</v>
      </c>
      <c r="I50">
        <f t="shared" si="0"/>
        <v>0.55125000000000002</v>
      </c>
      <c r="J50">
        <f t="shared" si="2"/>
        <v>0.42874999999999996</v>
      </c>
      <c r="K50" s="83">
        <f t="shared" si="3"/>
        <v>0.38433548438976339</v>
      </c>
      <c r="L50" s="83">
        <f t="shared" si="1"/>
        <v>0.52114982119203823</v>
      </c>
    </row>
    <row r="51" spans="8:12" x14ac:dyDescent="0.3">
      <c r="H51">
        <v>260</v>
      </c>
      <c r="I51">
        <f>$I$11*H51</f>
        <v>0.57330000000000003</v>
      </c>
      <c r="J51">
        <f t="shared" si="2"/>
        <v>0.44589999999999996</v>
      </c>
      <c r="K51" s="83">
        <f t="shared" si="3"/>
        <v>0.35970890376535392</v>
      </c>
      <c r="L51" s="83">
        <f t="shared" si="1"/>
        <v>0.50199581403971982</v>
      </c>
    </row>
    <row r="52" spans="8:12" x14ac:dyDescent="0.3">
      <c r="H52">
        <v>270</v>
      </c>
      <c r="I52">
        <f t="shared" si="0"/>
        <v>0.59534999999999993</v>
      </c>
      <c r="J52">
        <f t="shared" si="2"/>
        <v>0.46304999999999996</v>
      </c>
      <c r="K52" s="83">
        <f t="shared" si="3"/>
        <v>0.33508232314094455</v>
      </c>
      <c r="L52" s="83">
        <f t="shared" si="1"/>
        <v>0.4828418068874013</v>
      </c>
    </row>
    <row r="53" spans="8:12" x14ac:dyDescent="0.3">
      <c r="H53">
        <v>280</v>
      </c>
      <c r="I53">
        <f t="shared" si="0"/>
        <v>0.61739999999999995</v>
      </c>
      <c r="J53">
        <f t="shared" si="2"/>
        <v>0.48019999999999996</v>
      </c>
      <c r="K53" s="83">
        <f t="shared" si="3"/>
        <v>0.31045574251653507</v>
      </c>
      <c r="L53" s="83">
        <f t="shared" si="1"/>
        <v>0.46368779973508278</v>
      </c>
    </row>
    <row r="54" spans="8:12" x14ac:dyDescent="0.3">
      <c r="H54">
        <v>290</v>
      </c>
      <c r="I54">
        <f t="shared" si="0"/>
        <v>0.63944999999999996</v>
      </c>
      <c r="J54">
        <f t="shared" si="2"/>
        <v>0.49734999999999996</v>
      </c>
      <c r="K54" s="83">
        <f t="shared" si="3"/>
        <v>0.28582916189212559</v>
      </c>
      <c r="L54" s="83">
        <f t="shared" si="1"/>
        <v>0.44453379258276438</v>
      </c>
    </row>
    <row r="55" spans="8:12" x14ac:dyDescent="0.3">
      <c r="H55">
        <v>300</v>
      </c>
      <c r="I55">
        <f t="shared" si="0"/>
        <v>0.66149999999999998</v>
      </c>
      <c r="J55">
        <f t="shared" si="2"/>
        <v>0.51449999999999996</v>
      </c>
      <c r="K55" s="83">
        <f t="shared" si="3"/>
        <v>0.26120258126771612</v>
      </c>
      <c r="L55" s="83">
        <f t="shared" si="1"/>
        <v>0.42537978543044586</v>
      </c>
    </row>
    <row r="56" spans="8:12" x14ac:dyDescent="0.3">
      <c r="H56">
        <v>310</v>
      </c>
      <c r="I56">
        <f t="shared" si="0"/>
        <v>0.68354999999999999</v>
      </c>
      <c r="J56">
        <f t="shared" si="2"/>
        <v>0.53164999999999996</v>
      </c>
      <c r="K56" s="83">
        <f t="shared" si="3"/>
        <v>0.23657600064330664</v>
      </c>
      <c r="L56" s="83">
        <f t="shared" si="1"/>
        <v>0.40622577827812745</v>
      </c>
    </row>
    <row r="57" spans="8:12" x14ac:dyDescent="0.3">
      <c r="H57">
        <v>320</v>
      </c>
      <c r="I57">
        <f t="shared" si="0"/>
        <v>0.7056</v>
      </c>
      <c r="J57">
        <f t="shared" si="2"/>
        <v>0.54879999999999995</v>
      </c>
      <c r="K57" s="83">
        <f t="shared" si="3"/>
        <v>0.21194942001889716</v>
      </c>
      <c r="L57" s="83">
        <f t="shared" si="1"/>
        <v>0.38707177112580893</v>
      </c>
    </row>
    <row r="58" spans="8:12" x14ac:dyDescent="0.3">
      <c r="H58">
        <v>330</v>
      </c>
      <c r="I58">
        <f t="shared" si="0"/>
        <v>0.72765000000000002</v>
      </c>
      <c r="J58">
        <f t="shared" si="2"/>
        <v>0.56594999999999995</v>
      </c>
      <c r="K58" s="83">
        <f t="shared" si="3"/>
        <v>0.18732283939448768</v>
      </c>
      <c r="L58" s="83">
        <f t="shared" si="1"/>
        <v>0.36791776397349041</v>
      </c>
    </row>
    <row r="59" spans="8:12" x14ac:dyDescent="0.3">
      <c r="H59">
        <v>340</v>
      </c>
      <c r="I59">
        <f t="shared" si="0"/>
        <v>0.74969999999999992</v>
      </c>
      <c r="J59">
        <f t="shared" si="2"/>
        <v>0.58309999999999995</v>
      </c>
      <c r="K59" s="83">
        <f t="shared" si="3"/>
        <v>0.16269625877007832</v>
      </c>
      <c r="L59" s="83">
        <f t="shared" si="1"/>
        <v>0.348763756821172</v>
      </c>
    </row>
    <row r="60" spans="8:12" x14ac:dyDescent="0.3">
      <c r="H60">
        <v>350</v>
      </c>
      <c r="I60">
        <f t="shared" si="0"/>
        <v>0.77174999999999994</v>
      </c>
      <c r="J60">
        <f t="shared" si="2"/>
        <v>0.60024999999999995</v>
      </c>
      <c r="K60" s="83">
        <f t="shared" si="3"/>
        <v>0.13806967814566884</v>
      </c>
      <c r="L60" s="83">
        <f t="shared" si="1"/>
        <v>0.32960974966885348</v>
      </c>
    </row>
    <row r="61" spans="8:12" x14ac:dyDescent="0.3">
      <c r="H61">
        <v>360</v>
      </c>
      <c r="I61">
        <f t="shared" si="0"/>
        <v>0.79379999999999995</v>
      </c>
      <c r="J61">
        <f t="shared" si="2"/>
        <v>0.61739999999999995</v>
      </c>
      <c r="K61" s="83">
        <f t="shared" si="3"/>
        <v>0.11344309752125936</v>
      </c>
      <c r="L61" s="83">
        <f t="shared" si="1"/>
        <v>0.31045574251653507</v>
      </c>
    </row>
    <row r="62" spans="8:12" x14ac:dyDescent="0.3">
      <c r="H62">
        <v>370</v>
      </c>
      <c r="I62">
        <f t="shared" si="0"/>
        <v>0.81584999999999996</v>
      </c>
      <c r="J62">
        <f t="shared" si="2"/>
        <v>0.63454999999999995</v>
      </c>
      <c r="K62" s="83">
        <f t="shared" si="3"/>
        <v>8.8816516896849884E-2</v>
      </c>
      <c r="L62" s="83">
        <f t="shared" si="1"/>
        <v>0.29130173536421655</v>
      </c>
    </row>
    <row r="63" spans="8:12" x14ac:dyDescent="0.3">
      <c r="H63">
        <v>380</v>
      </c>
      <c r="I63">
        <f t="shared" si="0"/>
        <v>0.83789999999999998</v>
      </c>
      <c r="J63">
        <f t="shared" si="2"/>
        <v>0.65169999999999995</v>
      </c>
      <c r="K63" s="83">
        <f t="shared" si="3"/>
        <v>6.4189936272440407E-2</v>
      </c>
      <c r="L63" s="83">
        <f t="shared" si="1"/>
        <v>0.27214772821189814</v>
      </c>
    </row>
    <row r="64" spans="8:12" x14ac:dyDescent="0.3">
      <c r="H64">
        <v>390</v>
      </c>
      <c r="I64">
        <f t="shared" si="0"/>
        <v>0.85994999999999999</v>
      </c>
      <c r="J64">
        <f t="shared" si="2"/>
        <v>0.66884999999999994</v>
      </c>
      <c r="K64" s="83">
        <f t="shared" si="3"/>
        <v>3.9563355648030929E-2</v>
      </c>
      <c r="L64" s="83">
        <f t="shared" si="1"/>
        <v>0.25299372105957962</v>
      </c>
    </row>
    <row r="65" spans="8:12" x14ac:dyDescent="0.3">
      <c r="H65">
        <v>400</v>
      </c>
      <c r="I65">
        <f t="shared" si="0"/>
        <v>0.88200000000000001</v>
      </c>
      <c r="J65">
        <f t="shared" si="2"/>
        <v>0.68599999999999994</v>
      </c>
      <c r="K65" s="83">
        <f t="shared" si="3"/>
        <v>1.4936775023621451E-2</v>
      </c>
      <c r="L65" s="83">
        <f t="shared" si="1"/>
        <v>0.23383971390726122</v>
      </c>
    </row>
    <row r="66" spans="8:12" x14ac:dyDescent="0.3">
      <c r="H66">
        <v>410</v>
      </c>
      <c r="I66">
        <f t="shared" si="0"/>
        <v>0.90405000000000002</v>
      </c>
      <c r="J66">
        <f t="shared" si="2"/>
        <v>0.70314999999999994</v>
      </c>
      <c r="K66" s="83">
        <f t="shared" si="3"/>
        <v>-9.6898056007881372E-3</v>
      </c>
      <c r="L66" s="83">
        <f t="shared" si="1"/>
        <v>0.2146857067549427</v>
      </c>
    </row>
    <row r="67" spans="8:12" x14ac:dyDescent="0.3">
      <c r="H67">
        <v>420</v>
      </c>
      <c r="I67">
        <f t="shared" si="0"/>
        <v>0.92609999999999992</v>
      </c>
      <c r="J67">
        <f t="shared" si="2"/>
        <v>0.72029999999999994</v>
      </c>
      <c r="K67" s="83">
        <f t="shared" si="3"/>
        <v>-3.4316386225197393E-2</v>
      </c>
      <c r="L67" s="83">
        <f t="shared" si="1"/>
        <v>0.19553169960262418</v>
      </c>
    </row>
    <row r="68" spans="8:12" x14ac:dyDescent="0.3">
      <c r="H68">
        <v>430</v>
      </c>
      <c r="I68">
        <f t="shared" si="0"/>
        <v>0.94814999999999994</v>
      </c>
      <c r="J68">
        <f t="shared" si="2"/>
        <v>0.73744999999999994</v>
      </c>
      <c r="K68" s="83">
        <f t="shared" si="3"/>
        <v>-5.894296684960687E-2</v>
      </c>
      <c r="L68" s="83">
        <f t="shared" si="1"/>
        <v>0.17637769245030577</v>
      </c>
    </row>
    <row r="69" spans="8:12" x14ac:dyDescent="0.3">
      <c r="H69">
        <v>440</v>
      </c>
      <c r="I69">
        <f t="shared" si="0"/>
        <v>0.97019999999999995</v>
      </c>
      <c r="J69">
        <f t="shared" si="2"/>
        <v>0.75459999999999994</v>
      </c>
      <c r="K69" s="83">
        <f t="shared" si="3"/>
        <v>-8.3569547474016348E-2</v>
      </c>
      <c r="L69" s="83">
        <f t="shared" si="1"/>
        <v>0.15722368529798725</v>
      </c>
    </row>
    <row r="70" spans="8:12" x14ac:dyDescent="0.3">
      <c r="H70">
        <v>450</v>
      </c>
      <c r="I70">
        <f t="shared" si="0"/>
        <v>0.99224999999999997</v>
      </c>
      <c r="J70">
        <f t="shared" si="2"/>
        <v>0.77174999999999994</v>
      </c>
      <c r="K70" s="83">
        <f t="shared" si="3"/>
        <v>-0.10819612809842583</v>
      </c>
      <c r="L70" s="83">
        <f t="shared" si="1"/>
        <v>0.13806967814566884</v>
      </c>
    </row>
    <row r="71" spans="8:12" x14ac:dyDescent="0.3">
      <c r="H71">
        <v>460</v>
      </c>
      <c r="I71">
        <f t="shared" si="0"/>
        <v>1.0143</v>
      </c>
      <c r="J71">
        <f t="shared" si="2"/>
        <v>0.78889999999999993</v>
      </c>
      <c r="K71" s="83">
        <f t="shared" si="3"/>
        <v>-0.1328227087228353</v>
      </c>
      <c r="L71" s="83">
        <f t="shared" si="1"/>
        <v>0.11891567099335032</v>
      </c>
    </row>
    <row r="72" spans="8:12" x14ac:dyDescent="0.3">
      <c r="H72">
        <v>470</v>
      </c>
      <c r="I72">
        <f t="shared" si="0"/>
        <v>1.0363499999999999</v>
      </c>
      <c r="J72">
        <f t="shared" si="2"/>
        <v>0.80604999999999993</v>
      </c>
      <c r="K72" s="83">
        <f t="shared" si="3"/>
        <v>-0.15744928934724478</v>
      </c>
      <c r="L72" s="83">
        <f t="shared" si="1"/>
        <v>9.9761663841031911E-2</v>
      </c>
    </row>
    <row r="73" spans="8:12" x14ac:dyDescent="0.3">
      <c r="H73">
        <v>480</v>
      </c>
      <c r="I73">
        <f t="shared" si="0"/>
        <v>1.0584</v>
      </c>
      <c r="J73">
        <f t="shared" si="2"/>
        <v>0.82319999999999993</v>
      </c>
      <c r="K73" s="83">
        <f t="shared" si="3"/>
        <v>-0.18207586997165426</v>
      </c>
      <c r="L73" s="83">
        <f t="shared" si="1"/>
        <v>8.0607656688713392E-2</v>
      </c>
    </row>
    <row r="74" spans="8:12" x14ac:dyDescent="0.3">
      <c r="H74">
        <v>490</v>
      </c>
      <c r="I74">
        <f t="shared" si="0"/>
        <v>1.0804499999999999</v>
      </c>
      <c r="J74">
        <f t="shared" si="2"/>
        <v>0.84034999999999993</v>
      </c>
      <c r="K74" s="83">
        <f t="shared" si="3"/>
        <v>-0.20670245059606374</v>
      </c>
      <c r="L74" s="83">
        <f t="shared" si="1"/>
        <v>6.1453649536394983E-2</v>
      </c>
    </row>
    <row r="75" spans="8:12" x14ac:dyDescent="0.3">
      <c r="H75">
        <v>500</v>
      </c>
      <c r="I75">
        <f t="shared" si="0"/>
        <v>1.1025</v>
      </c>
      <c r="J75">
        <f t="shared" si="2"/>
        <v>0.85749999999999993</v>
      </c>
      <c r="K75" s="83">
        <f t="shared" si="3"/>
        <v>-0.23132903122047321</v>
      </c>
      <c r="L75" s="83">
        <f t="shared" si="1"/>
        <v>4.2299642384076463E-2</v>
      </c>
    </row>
    <row r="76" spans="8:12" x14ac:dyDescent="0.3">
      <c r="H76">
        <v>510</v>
      </c>
      <c r="I76">
        <f t="shared" si="0"/>
        <v>1.1245499999999999</v>
      </c>
      <c r="J76">
        <f t="shared" si="2"/>
        <v>0.87464999999999993</v>
      </c>
      <c r="K76" s="83">
        <f t="shared" si="3"/>
        <v>-0.25595561184488269</v>
      </c>
      <c r="L76" s="83">
        <f t="shared" si="1"/>
        <v>2.3145635231757944E-2</v>
      </c>
    </row>
    <row r="77" spans="8:12" x14ac:dyDescent="0.3">
      <c r="H77">
        <v>520</v>
      </c>
      <c r="I77">
        <f t="shared" si="0"/>
        <v>1.1466000000000001</v>
      </c>
      <c r="J77">
        <f t="shared" si="2"/>
        <v>0.89179999999999993</v>
      </c>
      <c r="K77" s="83">
        <f t="shared" si="3"/>
        <v>-0.28058219246929217</v>
      </c>
      <c r="L77" s="83">
        <f t="shared" si="1"/>
        <v>3.9916280794395353E-3</v>
      </c>
    </row>
    <row r="78" spans="8:12" x14ac:dyDescent="0.3">
      <c r="H78">
        <v>530</v>
      </c>
      <c r="I78">
        <f t="shared" si="0"/>
        <v>1.16865</v>
      </c>
      <c r="J78">
        <f t="shared" si="2"/>
        <v>0.90894999999999992</v>
      </c>
      <c r="K78" s="83">
        <f t="shared" si="3"/>
        <v>-0.30520877309370165</v>
      </c>
      <c r="L78" s="83">
        <f t="shared" si="1"/>
        <v>-1.5162379072878984E-2</v>
      </c>
    </row>
    <row r="79" spans="8:12" x14ac:dyDescent="0.3">
      <c r="H79">
        <v>540</v>
      </c>
      <c r="I79">
        <f t="shared" si="0"/>
        <v>1.1906999999999999</v>
      </c>
      <c r="J79">
        <f t="shared" si="2"/>
        <v>0.92609999999999992</v>
      </c>
      <c r="K79" s="83">
        <f t="shared" si="3"/>
        <v>-0.3298353537181109</v>
      </c>
      <c r="L79" s="83">
        <f t="shared" si="1"/>
        <v>-3.4316386225197393E-2</v>
      </c>
    </row>
    <row r="80" spans="8:12" x14ac:dyDescent="0.3">
      <c r="H80">
        <v>550</v>
      </c>
      <c r="I80">
        <f t="shared" si="0"/>
        <v>1.21275</v>
      </c>
      <c r="J80">
        <f t="shared" si="2"/>
        <v>0.94324999999999992</v>
      </c>
      <c r="K80" s="83">
        <f t="shared" si="3"/>
        <v>-0.3544619343425206</v>
      </c>
      <c r="L80" s="83">
        <f t="shared" si="1"/>
        <v>-5.3470393377515801E-2</v>
      </c>
    </row>
    <row r="81" spans="8:12" x14ac:dyDescent="0.3">
      <c r="H81">
        <v>560</v>
      </c>
      <c r="I81">
        <f t="shared" si="0"/>
        <v>1.2347999999999999</v>
      </c>
      <c r="J81">
        <f t="shared" si="2"/>
        <v>0.96039999999999992</v>
      </c>
      <c r="K81" s="83">
        <f t="shared" si="3"/>
        <v>-0.37908851496692986</v>
      </c>
      <c r="L81" s="83">
        <f t="shared" si="1"/>
        <v>-7.2624400529834432E-2</v>
      </c>
    </row>
    <row r="82" spans="8:12" x14ac:dyDescent="0.3">
      <c r="H82">
        <v>570</v>
      </c>
      <c r="I82">
        <f t="shared" si="0"/>
        <v>1.25685</v>
      </c>
      <c r="J82">
        <f t="shared" si="2"/>
        <v>0.97754999999999992</v>
      </c>
      <c r="K82" s="83">
        <f t="shared" si="3"/>
        <v>-0.40371509559133956</v>
      </c>
      <c r="L82" s="83">
        <f t="shared" si="1"/>
        <v>-9.1778407682152841E-2</v>
      </c>
    </row>
    <row r="83" spans="8:12" x14ac:dyDescent="0.3">
      <c r="H83">
        <v>580</v>
      </c>
      <c r="I83">
        <f t="shared" si="0"/>
        <v>1.2788999999999999</v>
      </c>
      <c r="J83">
        <f t="shared" si="2"/>
        <v>0.99469999999999992</v>
      </c>
      <c r="K83" s="83">
        <f t="shared" si="3"/>
        <v>-0.42834167621574881</v>
      </c>
      <c r="L83" s="83">
        <f t="shared" si="1"/>
        <v>-0.11093241483447125</v>
      </c>
    </row>
    <row r="84" spans="8:12" x14ac:dyDescent="0.3">
      <c r="H84">
        <v>590</v>
      </c>
      <c r="I84">
        <f t="shared" si="0"/>
        <v>1.3009500000000001</v>
      </c>
      <c r="J84">
        <f t="shared" si="2"/>
        <v>1.0118499999999999</v>
      </c>
      <c r="K84" s="83">
        <f t="shared" si="3"/>
        <v>-0.45296825684015851</v>
      </c>
      <c r="L84" s="83">
        <f t="shared" si="1"/>
        <v>-0.13008642198678988</v>
      </c>
    </row>
    <row r="85" spans="8:12" x14ac:dyDescent="0.3">
      <c r="H85">
        <v>600</v>
      </c>
      <c r="I85">
        <f t="shared" si="0"/>
        <v>1.323</v>
      </c>
      <c r="J85">
        <f t="shared" si="2"/>
        <v>1.0289999999999999</v>
      </c>
      <c r="K85" s="83">
        <f t="shared" si="3"/>
        <v>-0.47759483746456777</v>
      </c>
      <c r="L85" s="83">
        <f t="shared" si="1"/>
        <v>-0.14924042913910829</v>
      </c>
    </row>
    <row r="86" spans="8:12" x14ac:dyDescent="0.3">
      <c r="H86">
        <v>610</v>
      </c>
      <c r="I86">
        <f t="shared" si="0"/>
        <v>1.3450499999999999</v>
      </c>
      <c r="J86">
        <f t="shared" si="2"/>
        <v>1.0461499999999999</v>
      </c>
      <c r="K86" s="83">
        <f t="shared" si="3"/>
        <v>-0.50222141808897725</v>
      </c>
      <c r="L86" s="83">
        <f t="shared" si="1"/>
        <v>-0.1683944362914267</v>
      </c>
    </row>
    <row r="87" spans="8:12" x14ac:dyDescent="0.3">
      <c r="H87">
        <v>620</v>
      </c>
      <c r="I87">
        <f t="shared" si="0"/>
        <v>1.3671</v>
      </c>
      <c r="J87">
        <f t="shared" si="2"/>
        <v>1.0632999999999999</v>
      </c>
      <c r="K87" s="83">
        <f t="shared" si="3"/>
        <v>-0.52684799871338672</v>
      </c>
      <c r="L87" s="83">
        <f t="shared" si="1"/>
        <v>-0.18754844344374511</v>
      </c>
    </row>
    <row r="88" spans="8:12" x14ac:dyDescent="0.3">
      <c r="H88">
        <v>630</v>
      </c>
      <c r="I88">
        <f t="shared" si="0"/>
        <v>1.3891499999999999</v>
      </c>
      <c r="J88">
        <f t="shared" si="2"/>
        <v>1.0804499999999999</v>
      </c>
      <c r="K88" s="83">
        <f t="shared" si="3"/>
        <v>-0.5514745793377962</v>
      </c>
      <c r="L88" s="83">
        <f t="shared" si="1"/>
        <v>-0.20670245059606374</v>
      </c>
    </row>
    <row r="89" spans="8:12" x14ac:dyDescent="0.3">
      <c r="H89">
        <v>640</v>
      </c>
      <c r="I89">
        <f t="shared" si="0"/>
        <v>1.4112</v>
      </c>
      <c r="J89">
        <f t="shared" si="2"/>
        <v>1.0975999999999999</v>
      </c>
      <c r="K89" s="83">
        <f t="shared" si="3"/>
        <v>-0.57610115996220568</v>
      </c>
      <c r="L89" s="83">
        <f t="shared" si="1"/>
        <v>-0.22585645774838214</v>
      </c>
    </row>
    <row r="90" spans="8:12" x14ac:dyDescent="0.3">
      <c r="H90">
        <v>650</v>
      </c>
      <c r="I90">
        <f t="shared" si="0"/>
        <v>1.4332499999999999</v>
      </c>
      <c r="J90">
        <f t="shared" si="2"/>
        <v>1.1147499999999999</v>
      </c>
      <c r="K90" s="83">
        <f t="shared" si="3"/>
        <v>-0.60072774058661516</v>
      </c>
      <c r="L90" s="83">
        <f t="shared" si="1"/>
        <v>-0.24501046490070055</v>
      </c>
    </row>
    <row r="91" spans="8:12" x14ac:dyDescent="0.3">
      <c r="H91">
        <v>660</v>
      </c>
      <c r="I91">
        <f t="shared" ref="I91:I125" si="4">$I$11*H91</f>
        <v>1.4553</v>
      </c>
      <c r="J91">
        <f t="shared" si="2"/>
        <v>1.1318999999999999</v>
      </c>
      <c r="K91" s="83">
        <f t="shared" ref="K91:K125" si="5">1-(I91/$R$18)</f>
        <v>-0.62535432121102463</v>
      </c>
      <c r="L91" s="83">
        <f t="shared" ref="L91:L125" si="6">1-(J91/$R$18)</f>
        <v>-0.26416447205301918</v>
      </c>
    </row>
    <row r="92" spans="8:12" x14ac:dyDescent="0.3">
      <c r="H92">
        <v>670</v>
      </c>
      <c r="I92">
        <f t="shared" si="4"/>
        <v>1.4773499999999999</v>
      </c>
      <c r="J92">
        <f t="shared" ref="J92:J125" si="7">$J$11*H92</f>
        <v>1.1490499999999999</v>
      </c>
      <c r="K92" s="83">
        <f t="shared" si="5"/>
        <v>-0.64998090183543411</v>
      </c>
      <c r="L92" s="83">
        <f t="shared" si="6"/>
        <v>-0.28331847920533759</v>
      </c>
    </row>
    <row r="93" spans="8:12" x14ac:dyDescent="0.3">
      <c r="H93">
        <v>680</v>
      </c>
      <c r="I93">
        <f t="shared" si="4"/>
        <v>1.4993999999999998</v>
      </c>
      <c r="J93">
        <f t="shared" si="7"/>
        <v>1.1661999999999999</v>
      </c>
      <c r="K93" s="83">
        <f t="shared" si="5"/>
        <v>-0.67460748245984337</v>
      </c>
      <c r="L93" s="83">
        <f t="shared" si="6"/>
        <v>-0.302472486357656</v>
      </c>
    </row>
    <row r="94" spans="8:12" x14ac:dyDescent="0.3">
      <c r="H94">
        <v>690</v>
      </c>
      <c r="I94">
        <f t="shared" si="4"/>
        <v>1.52145</v>
      </c>
      <c r="J94">
        <f t="shared" si="7"/>
        <v>1.1833499999999999</v>
      </c>
      <c r="K94" s="83">
        <f t="shared" si="5"/>
        <v>-0.69923406308425307</v>
      </c>
      <c r="L94" s="83">
        <f t="shared" si="6"/>
        <v>-0.32162649350997441</v>
      </c>
    </row>
    <row r="95" spans="8:12" x14ac:dyDescent="0.3">
      <c r="H95">
        <v>700</v>
      </c>
      <c r="I95">
        <f t="shared" si="4"/>
        <v>1.5434999999999999</v>
      </c>
      <c r="J95">
        <f t="shared" si="7"/>
        <v>1.2004999999999999</v>
      </c>
      <c r="K95" s="83">
        <f t="shared" si="5"/>
        <v>-0.72386064370866232</v>
      </c>
      <c r="L95" s="83">
        <f t="shared" si="6"/>
        <v>-0.34078050066229304</v>
      </c>
    </row>
    <row r="96" spans="8:12" x14ac:dyDescent="0.3">
      <c r="H96">
        <v>710</v>
      </c>
      <c r="I96">
        <f t="shared" si="4"/>
        <v>1.56555</v>
      </c>
      <c r="J96">
        <f t="shared" si="7"/>
        <v>1.2176499999999999</v>
      </c>
      <c r="K96" s="83">
        <f t="shared" si="5"/>
        <v>-0.74848722433307202</v>
      </c>
      <c r="L96" s="83">
        <f t="shared" si="6"/>
        <v>-0.35993450781461145</v>
      </c>
    </row>
    <row r="97" spans="8:12" x14ac:dyDescent="0.3">
      <c r="H97">
        <v>720</v>
      </c>
      <c r="I97">
        <f t="shared" si="4"/>
        <v>1.5875999999999999</v>
      </c>
      <c r="J97">
        <f t="shared" si="7"/>
        <v>1.2347999999999999</v>
      </c>
      <c r="K97" s="83">
        <f t="shared" si="5"/>
        <v>-0.77311380495748128</v>
      </c>
      <c r="L97" s="83">
        <f t="shared" si="6"/>
        <v>-0.37908851496692986</v>
      </c>
    </row>
    <row r="98" spans="8:12" x14ac:dyDescent="0.3">
      <c r="H98">
        <v>730</v>
      </c>
      <c r="I98">
        <f t="shared" si="4"/>
        <v>1.60965</v>
      </c>
      <c r="J98">
        <f t="shared" si="7"/>
        <v>1.2519499999999999</v>
      </c>
      <c r="K98" s="83">
        <f t="shared" si="5"/>
        <v>-0.79774038558189098</v>
      </c>
      <c r="L98" s="83">
        <f t="shared" si="6"/>
        <v>-0.39824252211924827</v>
      </c>
    </row>
    <row r="99" spans="8:12" x14ac:dyDescent="0.3">
      <c r="H99">
        <v>740</v>
      </c>
      <c r="I99">
        <f t="shared" si="4"/>
        <v>1.6316999999999999</v>
      </c>
      <c r="J99">
        <f t="shared" si="7"/>
        <v>1.2690999999999999</v>
      </c>
      <c r="K99" s="83">
        <f t="shared" si="5"/>
        <v>-0.82236696620630023</v>
      </c>
      <c r="L99" s="83">
        <f t="shared" si="6"/>
        <v>-0.4173965292715669</v>
      </c>
    </row>
    <row r="100" spans="8:12" x14ac:dyDescent="0.3">
      <c r="H100">
        <v>750</v>
      </c>
      <c r="I100">
        <f t="shared" si="4"/>
        <v>1.6537500000000001</v>
      </c>
      <c r="J100">
        <f t="shared" si="7"/>
        <v>1.2862499999999999</v>
      </c>
      <c r="K100" s="83">
        <f t="shared" si="5"/>
        <v>-0.84699354683070993</v>
      </c>
      <c r="L100" s="83">
        <f t="shared" si="6"/>
        <v>-0.4365505364238853</v>
      </c>
    </row>
    <row r="101" spans="8:12" x14ac:dyDescent="0.3">
      <c r="H101">
        <v>760</v>
      </c>
      <c r="I101">
        <f t="shared" si="4"/>
        <v>1.6758</v>
      </c>
      <c r="J101">
        <f t="shared" si="7"/>
        <v>1.3033999999999999</v>
      </c>
      <c r="K101" s="83">
        <f t="shared" si="5"/>
        <v>-0.87162012745511919</v>
      </c>
      <c r="L101" s="83">
        <f t="shared" si="6"/>
        <v>-0.45570454357620371</v>
      </c>
    </row>
    <row r="102" spans="8:12" x14ac:dyDescent="0.3">
      <c r="H102">
        <v>770</v>
      </c>
      <c r="I102">
        <f t="shared" si="4"/>
        <v>1.6978499999999999</v>
      </c>
      <c r="J102">
        <f t="shared" si="7"/>
        <v>1.3205499999999999</v>
      </c>
      <c r="K102" s="83">
        <f t="shared" si="5"/>
        <v>-0.89624670807952866</v>
      </c>
      <c r="L102" s="83">
        <f t="shared" si="6"/>
        <v>-0.47485855072852234</v>
      </c>
    </row>
    <row r="103" spans="8:12" x14ac:dyDescent="0.3">
      <c r="H103">
        <v>780</v>
      </c>
      <c r="I103">
        <f t="shared" si="4"/>
        <v>1.7199</v>
      </c>
      <c r="J103">
        <f t="shared" si="7"/>
        <v>1.3376999999999999</v>
      </c>
      <c r="K103" s="83">
        <f t="shared" si="5"/>
        <v>-0.92087328870393814</v>
      </c>
      <c r="L103" s="83">
        <f t="shared" si="6"/>
        <v>-0.49401255788084075</v>
      </c>
    </row>
    <row r="104" spans="8:12" x14ac:dyDescent="0.3">
      <c r="H104">
        <v>790</v>
      </c>
      <c r="I104">
        <f t="shared" si="4"/>
        <v>1.7419499999999999</v>
      </c>
      <c r="J104">
        <f t="shared" si="7"/>
        <v>1.3548499999999999</v>
      </c>
      <c r="K104" s="83">
        <f t="shared" si="5"/>
        <v>-0.94549986932834762</v>
      </c>
      <c r="L104" s="83">
        <f t="shared" si="6"/>
        <v>-0.51316656503315916</v>
      </c>
    </row>
    <row r="105" spans="8:12" x14ac:dyDescent="0.3">
      <c r="H105">
        <v>800</v>
      </c>
      <c r="I105">
        <f t="shared" si="4"/>
        <v>1.764</v>
      </c>
      <c r="J105">
        <f t="shared" si="7"/>
        <v>1.3719999999999999</v>
      </c>
      <c r="K105" s="83">
        <f t="shared" si="5"/>
        <v>-0.9701264499527571</v>
      </c>
      <c r="L105" s="83">
        <f t="shared" si="6"/>
        <v>-0.53232057218547757</v>
      </c>
    </row>
    <row r="106" spans="8:12" x14ac:dyDescent="0.3">
      <c r="H106">
        <v>810</v>
      </c>
      <c r="I106">
        <f t="shared" si="4"/>
        <v>1.7860499999999999</v>
      </c>
      <c r="J106">
        <f t="shared" si="7"/>
        <v>1.3891499999999999</v>
      </c>
      <c r="K106" s="83">
        <f t="shared" si="5"/>
        <v>-0.99475303057716657</v>
      </c>
      <c r="L106" s="83">
        <f t="shared" si="6"/>
        <v>-0.5514745793377962</v>
      </c>
    </row>
    <row r="107" spans="8:12" x14ac:dyDescent="0.3">
      <c r="H107">
        <v>820</v>
      </c>
      <c r="I107">
        <f t="shared" si="4"/>
        <v>1.8081</v>
      </c>
      <c r="J107">
        <f t="shared" si="7"/>
        <v>1.4062999999999999</v>
      </c>
      <c r="K107" s="83">
        <f t="shared" si="5"/>
        <v>-1.0193796112015763</v>
      </c>
      <c r="L107" s="83">
        <f t="shared" si="6"/>
        <v>-0.57062858649011461</v>
      </c>
    </row>
    <row r="108" spans="8:12" x14ac:dyDescent="0.3">
      <c r="H108">
        <v>830</v>
      </c>
      <c r="I108">
        <f t="shared" si="4"/>
        <v>1.8301499999999999</v>
      </c>
      <c r="J108">
        <f t="shared" si="7"/>
        <v>1.4234499999999999</v>
      </c>
      <c r="K108" s="83">
        <f t="shared" si="5"/>
        <v>-1.0440061918259853</v>
      </c>
      <c r="L108" s="83">
        <f t="shared" si="6"/>
        <v>-0.58978259364243302</v>
      </c>
    </row>
    <row r="109" spans="8:12" x14ac:dyDescent="0.3">
      <c r="H109">
        <v>840</v>
      </c>
      <c r="I109">
        <f t="shared" si="4"/>
        <v>1.8521999999999998</v>
      </c>
      <c r="J109">
        <f t="shared" si="7"/>
        <v>1.4405999999999999</v>
      </c>
      <c r="K109" s="83">
        <f t="shared" si="5"/>
        <v>-1.0686327724503948</v>
      </c>
      <c r="L109" s="83">
        <f t="shared" si="6"/>
        <v>-0.60893660079475165</v>
      </c>
    </row>
    <row r="110" spans="8:12" x14ac:dyDescent="0.3">
      <c r="H110">
        <v>850</v>
      </c>
      <c r="I110">
        <f t="shared" si="4"/>
        <v>1.87425</v>
      </c>
      <c r="J110">
        <f t="shared" si="7"/>
        <v>1.4577499999999999</v>
      </c>
      <c r="K110" s="83">
        <f t="shared" si="5"/>
        <v>-1.0932593530748043</v>
      </c>
      <c r="L110" s="83">
        <f t="shared" si="6"/>
        <v>-0.62809060794707006</v>
      </c>
    </row>
    <row r="111" spans="8:12" x14ac:dyDescent="0.3">
      <c r="H111">
        <v>860</v>
      </c>
      <c r="I111">
        <f t="shared" si="4"/>
        <v>1.8962999999999999</v>
      </c>
      <c r="J111">
        <f t="shared" si="7"/>
        <v>1.4748999999999999</v>
      </c>
      <c r="K111" s="83">
        <f t="shared" si="5"/>
        <v>-1.1178859336992137</v>
      </c>
      <c r="L111" s="83">
        <f t="shared" si="6"/>
        <v>-0.64724461509938847</v>
      </c>
    </row>
    <row r="112" spans="8:12" x14ac:dyDescent="0.3">
      <c r="H112">
        <v>870</v>
      </c>
      <c r="I112">
        <f t="shared" si="4"/>
        <v>1.91835</v>
      </c>
      <c r="J112">
        <f t="shared" si="7"/>
        <v>1.4920499999999999</v>
      </c>
      <c r="K112" s="83">
        <f t="shared" si="5"/>
        <v>-1.1425125143236232</v>
      </c>
      <c r="L112" s="83">
        <f t="shared" si="6"/>
        <v>-0.66639862225170687</v>
      </c>
    </row>
    <row r="113" spans="8:12" x14ac:dyDescent="0.3">
      <c r="H113">
        <v>880</v>
      </c>
      <c r="I113">
        <f t="shared" si="4"/>
        <v>1.9403999999999999</v>
      </c>
      <c r="J113">
        <f t="shared" si="7"/>
        <v>1.5091999999999999</v>
      </c>
      <c r="K113" s="83">
        <f t="shared" si="5"/>
        <v>-1.1671390949480327</v>
      </c>
      <c r="L113" s="83">
        <f t="shared" si="6"/>
        <v>-0.6855526294040255</v>
      </c>
    </row>
    <row r="114" spans="8:12" x14ac:dyDescent="0.3">
      <c r="H114">
        <v>890</v>
      </c>
      <c r="I114">
        <f t="shared" si="4"/>
        <v>1.96245</v>
      </c>
      <c r="J114">
        <f t="shared" si="7"/>
        <v>1.5263499999999999</v>
      </c>
      <c r="K114" s="83">
        <f t="shared" si="5"/>
        <v>-1.1917656755724422</v>
      </c>
      <c r="L114" s="83">
        <f t="shared" si="6"/>
        <v>-0.70470663655634391</v>
      </c>
    </row>
    <row r="115" spans="8:12" x14ac:dyDescent="0.3">
      <c r="H115">
        <v>900</v>
      </c>
      <c r="I115">
        <f t="shared" si="4"/>
        <v>1.9844999999999999</v>
      </c>
      <c r="J115">
        <f t="shared" si="7"/>
        <v>1.5434999999999999</v>
      </c>
      <c r="K115" s="83">
        <f t="shared" si="5"/>
        <v>-1.2163922561968517</v>
      </c>
      <c r="L115" s="83">
        <f t="shared" si="6"/>
        <v>-0.72386064370866232</v>
      </c>
    </row>
    <row r="116" spans="8:12" x14ac:dyDescent="0.3">
      <c r="H116">
        <v>910</v>
      </c>
      <c r="I116">
        <f t="shared" si="4"/>
        <v>2.0065499999999998</v>
      </c>
      <c r="J116">
        <f t="shared" si="7"/>
        <v>1.5606499999999999</v>
      </c>
      <c r="K116" s="83">
        <f t="shared" si="5"/>
        <v>-1.2410188368212611</v>
      </c>
      <c r="L116" s="83">
        <f t="shared" si="6"/>
        <v>-0.74301465086098095</v>
      </c>
    </row>
    <row r="117" spans="8:12" x14ac:dyDescent="0.3">
      <c r="H117">
        <v>920</v>
      </c>
      <c r="I117">
        <f t="shared" si="4"/>
        <v>2.0286</v>
      </c>
      <c r="J117">
        <f t="shared" si="7"/>
        <v>1.5777999999999999</v>
      </c>
      <c r="K117" s="83">
        <f t="shared" si="5"/>
        <v>-1.2656454174456706</v>
      </c>
      <c r="L117" s="83">
        <f t="shared" si="6"/>
        <v>-0.76216865801329936</v>
      </c>
    </row>
    <row r="118" spans="8:12" x14ac:dyDescent="0.3">
      <c r="H118">
        <v>930</v>
      </c>
      <c r="I118">
        <f t="shared" si="4"/>
        <v>2.0506500000000001</v>
      </c>
      <c r="J118">
        <f t="shared" si="7"/>
        <v>1.5949499999999999</v>
      </c>
      <c r="K118" s="83">
        <f t="shared" si="5"/>
        <v>-1.2902719980700801</v>
      </c>
      <c r="L118" s="83">
        <f t="shared" si="6"/>
        <v>-0.78132266516561777</v>
      </c>
    </row>
    <row r="119" spans="8:12" x14ac:dyDescent="0.3">
      <c r="H119">
        <v>940</v>
      </c>
      <c r="I119">
        <f t="shared" si="4"/>
        <v>2.0726999999999998</v>
      </c>
      <c r="J119">
        <f t="shared" si="7"/>
        <v>1.6120999999999999</v>
      </c>
      <c r="K119" s="83">
        <f t="shared" si="5"/>
        <v>-1.3148985786944896</v>
      </c>
      <c r="L119" s="83">
        <f t="shared" si="6"/>
        <v>-0.80047667231793618</v>
      </c>
    </row>
    <row r="120" spans="8:12" x14ac:dyDescent="0.3">
      <c r="H120">
        <v>950</v>
      </c>
      <c r="I120">
        <f t="shared" si="4"/>
        <v>2.0947499999999999</v>
      </c>
      <c r="J120">
        <f t="shared" si="7"/>
        <v>1.6292499999999999</v>
      </c>
      <c r="K120" s="83">
        <f t="shared" si="5"/>
        <v>-1.339525159318899</v>
      </c>
      <c r="L120" s="83">
        <f t="shared" si="6"/>
        <v>-0.81963067947025481</v>
      </c>
    </row>
    <row r="121" spans="8:12" x14ac:dyDescent="0.3">
      <c r="H121">
        <v>960</v>
      </c>
      <c r="I121">
        <f t="shared" si="4"/>
        <v>2.1168</v>
      </c>
      <c r="J121">
        <f t="shared" si="7"/>
        <v>1.6463999999999999</v>
      </c>
      <c r="K121" s="83">
        <f t="shared" si="5"/>
        <v>-1.3641517399433085</v>
      </c>
      <c r="L121" s="83">
        <f t="shared" si="6"/>
        <v>-0.83878468662257322</v>
      </c>
    </row>
    <row r="122" spans="8:12" x14ac:dyDescent="0.3">
      <c r="H122">
        <v>970</v>
      </c>
      <c r="I122">
        <f t="shared" si="4"/>
        <v>2.1388500000000001</v>
      </c>
      <c r="J122">
        <f t="shared" si="7"/>
        <v>1.6635499999999999</v>
      </c>
      <c r="K122" s="83">
        <f t="shared" si="5"/>
        <v>-1.3887783205677184</v>
      </c>
      <c r="L122" s="83">
        <f t="shared" si="6"/>
        <v>-0.85793869377489163</v>
      </c>
    </row>
    <row r="123" spans="8:12" x14ac:dyDescent="0.3">
      <c r="H123">
        <v>980</v>
      </c>
      <c r="I123">
        <f t="shared" si="4"/>
        <v>2.1608999999999998</v>
      </c>
      <c r="J123">
        <f t="shared" si="7"/>
        <v>1.6806999999999999</v>
      </c>
      <c r="K123" s="83">
        <f t="shared" si="5"/>
        <v>-1.4134049011921275</v>
      </c>
      <c r="L123" s="83">
        <f t="shared" si="6"/>
        <v>-0.87709270092721003</v>
      </c>
    </row>
    <row r="124" spans="8:12" x14ac:dyDescent="0.3">
      <c r="H124">
        <v>990</v>
      </c>
      <c r="I124">
        <f t="shared" si="4"/>
        <v>2.1829499999999999</v>
      </c>
      <c r="J124">
        <f t="shared" si="7"/>
        <v>1.6978499999999999</v>
      </c>
      <c r="K124" s="83">
        <f t="shared" si="5"/>
        <v>-1.4380314818165369</v>
      </c>
      <c r="L124" s="83">
        <f t="shared" si="6"/>
        <v>-0.89624670807952866</v>
      </c>
    </row>
    <row r="125" spans="8:12" x14ac:dyDescent="0.3">
      <c r="H125">
        <v>1000</v>
      </c>
      <c r="I125">
        <f t="shared" si="4"/>
        <v>2.2050000000000001</v>
      </c>
      <c r="J125">
        <f t="shared" si="7"/>
        <v>1.7149999999999999</v>
      </c>
      <c r="K125" s="83">
        <f t="shared" si="5"/>
        <v>-1.4626580624409464</v>
      </c>
      <c r="L125" s="83">
        <f t="shared" si="6"/>
        <v>-0.91540071523184707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D734-7961-4ED2-821B-49A1BA0CA502}">
  <dimension ref="C3:AF18"/>
  <sheetViews>
    <sheetView zoomScale="63" zoomScaleNormal="100" workbookViewId="0">
      <selection activeCell="G12" sqref="G12"/>
    </sheetView>
  </sheetViews>
  <sheetFormatPr defaultRowHeight="14.4" x14ac:dyDescent="0.3"/>
  <cols>
    <col min="3" max="3" width="15.33203125" bestFit="1" customWidth="1"/>
    <col min="4" max="4" width="12.33203125" bestFit="1" customWidth="1"/>
    <col min="5" max="5" width="13.88671875" bestFit="1" customWidth="1"/>
    <col min="6" max="6" width="11.44140625" bestFit="1" customWidth="1"/>
    <col min="7" max="7" width="14.2187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c r="Y7" s="68"/>
      <c r="AC7" s="68"/>
      <c r="AD7" s="68"/>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22.2" thickBot="1" x14ac:dyDescent="0.35">
      <c r="C10" s="70" t="s">
        <v>219</v>
      </c>
      <c r="D10" s="70"/>
      <c r="E10" s="70"/>
      <c r="F10" s="70"/>
      <c r="G10" s="70"/>
      <c r="H10" s="70"/>
      <c r="I10" s="70"/>
      <c r="J10" s="70"/>
      <c r="K10" s="70" t="s">
        <v>220</v>
      </c>
      <c r="L10" s="70" t="s">
        <v>221</v>
      </c>
      <c r="M10" s="70" t="s">
        <v>221</v>
      </c>
      <c r="N10" s="70" t="s">
        <v>222</v>
      </c>
      <c r="O10" s="73" t="s">
        <v>223</v>
      </c>
      <c r="P10" s="70" t="s">
        <v>224</v>
      </c>
      <c r="Q10" s="73" t="s">
        <v>256</v>
      </c>
      <c r="R10" s="73" t="s">
        <v>256</v>
      </c>
      <c r="S10" s="70" t="s">
        <v>225</v>
      </c>
      <c r="T10" s="73" t="s">
        <v>223</v>
      </c>
    </row>
    <row r="11" spans="3:32" x14ac:dyDescent="0.3">
      <c r="C11" t="s">
        <v>305</v>
      </c>
      <c r="D11" t="s">
        <v>269</v>
      </c>
      <c r="F11" s="80" t="s">
        <v>276</v>
      </c>
      <c r="G11" t="s">
        <v>314</v>
      </c>
      <c r="I11" s="80">
        <v>2020</v>
      </c>
      <c r="J11" s="80">
        <v>2030</v>
      </c>
      <c r="K11" s="80">
        <f>METHANOL!K45</f>
        <v>0.50746838751181067</v>
      </c>
      <c r="L11" s="80"/>
      <c r="N11" s="80">
        <v>0.95</v>
      </c>
      <c r="O11" s="81">
        <v>20</v>
      </c>
      <c r="P11" s="80">
        <v>1</v>
      </c>
      <c r="Q11" s="80">
        <f>(METHANOL!I18+METHANOL!I20)*4/365</f>
        <v>0.43054956316674736</v>
      </c>
      <c r="R11" s="80">
        <f>METHANOL!I19*4/365</f>
        <v>2.3427215184679395E-3</v>
      </c>
      <c r="S11" s="82"/>
      <c r="T11" s="82"/>
      <c r="Y11" s="67" t="s">
        <v>226</v>
      </c>
      <c r="Z11" s="68"/>
      <c r="AA11" s="68"/>
      <c r="AB11" s="68"/>
      <c r="AC11" s="68"/>
      <c r="AD11" s="68"/>
      <c r="AE11" s="68"/>
      <c r="AF11" s="68"/>
    </row>
    <row r="12" spans="3:32" x14ac:dyDescent="0.3">
      <c r="I12" s="72">
        <v>2030</v>
      </c>
      <c r="J12" s="72"/>
      <c r="K12" s="80">
        <f>METHANOL!K45</f>
        <v>0.50746838751181067</v>
      </c>
      <c r="N12">
        <v>0.95</v>
      </c>
      <c r="O12" s="77">
        <v>20</v>
      </c>
      <c r="P12" s="79">
        <v>1</v>
      </c>
      <c r="Q12" s="80">
        <f>(METHANOL!I18+METHANOL!I20)*4/365</f>
        <v>0.43054956316674736</v>
      </c>
      <c r="R12" s="80">
        <f>METHANOL!I19*4/365</f>
        <v>2.3427215184679395E-3</v>
      </c>
      <c r="S12" s="76"/>
      <c r="T12" s="76"/>
      <c r="Y12" s="69" t="s">
        <v>227</v>
      </c>
      <c r="Z12" s="69" t="s">
        <v>185</v>
      </c>
      <c r="AA12" s="69" t="s">
        <v>186</v>
      </c>
      <c r="AB12" s="69" t="s">
        <v>228</v>
      </c>
      <c r="AC12" s="69" t="s">
        <v>229</v>
      </c>
      <c r="AD12" s="69" t="s">
        <v>230</v>
      </c>
      <c r="AE12" s="69" t="s">
        <v>231</v>
      </c>
      <c r="AF12" s="69" t="s">
        <v>232</v>
      </c>
    </row>
    <row r="13" spans="3:32" ht="42.6" thickBot="1" x14ac:dyDescent="0.35">
      <c r="I13">
        <v>2050</v>
      </c>
      <c r="K13">
        <f>METHANOL!L45</f>
        <v>0.61691985695363061</v>
      </c>
      <c r="N13">
        <v>0.95</v>
      </c>
      <c r="O13" s="77">
        <v>20</v>
      </c>
      <c r="P13" s="79">
        <v>1</v>
      </c>
      <c r="Q13" s="80">
        <f>(METHANOL!I18+METHANOL!I20)*4/365</f>
        <v>0.43054956316674736</v>
      </c>
      <c r="R13" s="80">
        <f>METHANOL!I19*4/365</f>
        <v>2.3427215184679395E-3</v>
      </c>
      <c r="S13" s="76"/>
      <c r="T13" s="76"/>
      <c r="Y13" s="70" t="s">
        <v>233</v>
      </c>
      <c r="Z13" s="70" t="s">
        <v>234</v>
      </c>
      <c r="AA13" s="70" t="s">
        <v>204</v>
      </c>
      <c r="AB13" s="70" t="s">
        <v>235</v>
      </c>
      <c r="AC13" s="70" t="s">
        <v>236</v>
      </c>
      <c r="AD13" s="70" t="s">
        <v>237</v>
      </c>
      <c r="AE13" s="70" t="s">
        <v>238</v>
      </c>
      <c r="AF13" s="70" t="s">
        <v>239</v>
      </c>
    </row>
    <row r="14" spans="3:32" ht="15" thickBot="1" x14ac:dyDescent="0.35">
      <c r="Y14" s="70" t="s">
        <v>240</v>
      </c>
      <c r="Z14" s="70"/>
      <c r="AA14" s="70"/>
      <c r="AB14" s="70"/>
      <c r="AC14" s="70"/>
      <c r="AD14" s="70"/>
      <c r="AE14" s="70"/>
      <c r="AF14" s="70"/>
    </row>
    <row r="15" spans="3:32" x14ac:dyDescent="0.3">
      <c r="Y15" t="s">
        <v>241</v>
      </c>
      <c r="Z15" t="s">
        <v>305</v>
      </c>
      <c r="AA15" t="s">
        <v>269</v>
      </c>
      <c r="AB15" t="s">
        <v>184</v>
      </c>
      <c r="AC15" t="s">
        <v>250</v>
      </c>
      <c r="AD15" s="72" t="s">
        <v>182</v>
      </c>
      <c r="AE15" t="s">
        <v>304</v>
      </c>
      <c r="AF15" t="s">
        <v>242</v>
      </c>
    </row>
    <row r="18" spans="15:16" x14ac:dyDescent="0.3">
      <c r="O18" s="77"/>
      <c r="P18" s="79"/>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9C3E-61AC-4E99-8FCA-96B7A3B7DAC1}">
  <sheetPr>
    <tabColor theme="5" tint="0.39997558519241921"/>
  </sheetPr>
  <dimension ref="B2:T124"/>
  <sheetViews>
    <sheetView topLeftCell="A37" zoomScale="64" workbookViewId="0">
      <selection activeCell="K25" sqref="K25"/>
    </sheetView>
  </sheetViews>
  <sheetFormatPr defaultRowHeight="14.4" x14ac:dyDescent="0.3"/>
  <cols>
    <col min="9" max="9" width="30.33203125" customWidth="1"/>
    <col min="10" max="10" width="13.5546875" customWidth="1"/>
    <col min="11" max="11" width="9" bestFit="1" customWidth="1"/>
    <col min="16" max="16" width="10.5546875" bestFit="1" customWidth="1"/>
    <col min="19" max="19" width="9" bestFit="1" customWidth="1"/>
  </cols>
  <sheetData>
    <row r="2" spans="2:19" ht="18" x14ac:dyDescent="0.35">
      <c r="B2" t="s">
        <v>178</v>
      </c>
      <c r="I2" s="65" t="s">
        <v>155</v>
      </c>
    </row>
    <row r="3" spans="2:19" x14ac:dyDescent="0.3">
      <c r="I3" t="s">
        <v>181</v>
      </c>
      <c r="P3" t="s">
        <v>1</v>
      </c>
    </row>
    <row r="5" spans="2:19" x14ac:dyDescent="0.3">
      <c r="I5" s="47" t="s">
        <v>25</v>
      </c>
      <c r="J5" s="52">
        <v>20</v>
      </c>
    </row>
    <row r="7" spans="2:19" x14ac:dyDescent="0.3">
      <c r="P7" t="s">
        <v>180</v>
      </c>
    </row>
    <row r="8" spans="2:19" x14ac:dyDescent="0.3">
      <c r="P8">
        <v>11.95</v>
      </c>
      <c r="Q8" t="s">
        <v>157</v>
      </c>
    </row>
    <row r="9" spans="2:19" x14ac:dyDescent="0.3">
      <c r="J9" t="s">
        <v>164</v>
      </c>
      <c r="K9">
        <v>2050</v>
      </c>
      <c r="P9">
        <v>11.95</v>
      </c>
      <c r="Q9" t="s">
        <v>158</v>
      </c>
    </row>
    <row r="10" spans="2:19" x14ac:dyDescent="0.3">
      <c r="I10" s="27" t="s">
        <v>126</v>
      </c>
      <c r="J10" s="52">
        <v>2205</v>
      </c>
      <c r="K10" s="52">
        <v>1715</v>
      </c>
      <c r="P10">
        <v>11.95</v>
      </c>
      <c r="Q10" t="s">
        <v>159</v>
      </c>
      <c r="R10">
        <f>P10/1000</f>
        <v>1.1949999999999999E-2</v>
      </c>
      <c r="S10" t="s">
        <v>172</v>
      </c>
    </row>
    <row r="11" spans="2:19" x14ac:dyDescent="0.3">
      <c r="I11" s="62" t="s">
        <v>131</v>
      </c>
      <c r="J11" s="52">
        <v>780.22546079682832</v>
      </c>
      <c r="P11">
        <f>P9/1000</f>
        <v>1.1949999999999999E-2</v>
      </c>
      <c r="Q11" t="s">
        <v>160</v>
      </c>
    </row>
    <row r="12" spans="2:19" x14ac:dyDescent="0.3">
      <c r="I12" s="62" t="s">
        <v>134</v>
      </c>
      <c r="J12" s="52">
        <v>4.2534908720000004</v>
      </c>
    </row>
    <row r="13" spans="2:19" x14ac:dyDescent="0.3">
      <c r="I13" s="62" t="s">
        <v>137</v>
      </c>
      <c r="J13" s="52">
        <v>1.4887218052</v>
      </c>
    </row>
    <row r="17" spans="9:20" x14ac:dyDescent="0.3">
      <c r="I17" s="27" t="s">
        <v>273</v>
      </c>
      <c r="J17">
        <f>J10/1000000</f>
        <v>2.2049999999999999E-3</v>
      </c>
      <c r="K17">
        <f>K10/1000000</f>
        <v>1.7149999999999999E-3</v>
      </c>
    </row>
    <row r="18" spans="9:20" x14ac:dyDescent="0.3">
      <c r="I18" s="62" t="s">
        <v>270</v>
      </c>
      <c r="J18" s="63">
        <f>J11/(1000000*$P$19*$P$9)</f>
        <v>18.136342649856541</v>
      </c>
      <c r="P18" t="s">
        <v>161</v>
      </c>
      <c r="S18" t="s">
        <v>251</v>
      </c>
    </row>
    <row r="19" spans="9:20" x14ac:dyDescent="0.3">
      <c r="I19" s="62" t="s">
        <v>271</v>
      </c>
      <c r="J19" s="63">
        <f>J12/(1000000*$P$19*$P$9)</f>
        <v>9.8872405206880537E-2</v>
      </c>
      <c r="P19">
        <v>3.5999999999999998E-6</v>
      </c>
      <c r="S19">
        <v>45000</v>
      </c>
      <c r="T19" t="s">
        <v>252</v>
      </c>
    </row>
    <row r="20" spans="9:20" x14ac:dyDescent="0.3">
      <c r="I20" s="62" t="s">
        <v>272</v>
      </c>
      <c r="J20" s="63">
        <f>J13/(1000000*$P$19*$P$9)</f>
        <v>3.4605341822408188E-2</v>
      </c>
    </row>
    <row r="22" spans="9:20" x14ac:dyDescent="0.3">
      <c r="S22">
        <f>P9*P19*S19</f>
        <v>1.9359</v>
      </c>
    </row>
    <row r="24" spans="9:20" x14ac:dyDescent="0.3">
      <c r="I24" t="s">
        <v>153</v>
      </c>
      <c r="L24" t="s">
        <v>254</v>
      </c>
      <c r="M24" t="s">
        <v>255</v>
      </c>
    </row>
    <row r="25" spans="9:20" x14ac:dyDescent="0.3">
      <c r="I25">
        <v>10</v>
      </c>
      <c r="J25">
        <f>I25*$J$17</f>
        <v>2.205E-2</v>
      </c>
      <c r="K25">
        <f t="shared" ref="K25:K66" si="0">$K$17*I25</f>
        <v>1.7149999999999999E-2</v>
      </c>
    </row>
    <row r="26" spans="9:20" x14ac:dyDescent="0.3">
      <c r="I26">
        <v>20</v>
      </c>
      <c r="J26">
        <f>I26*$J$17</f>
        <v>4.41E-2</v>
      </c>
      <c r="K26">
        <f t="shared" si="0"/>
        <v>3.4299999999999997E-2</v>
      </c>
    </row>
    <row r="27" spans="9:20" x14ac:dyDescent="0.3">
      <c r="I27">
        <v>30</v>
      </c>
      <c r="J27">
        <f t="shared" ref="J27:J89" si="1">I27*$J$17</f>
        <v>6.615E-2</v>
      </c>
      <c r="K27">
        <f t="shared" si="0"/>
        <v>5.1449999999999996E-2</v>
      </c>
    </row>
    <row r="28" spans="9:20" x14ac:dyDescent="0.3">
      <c r="I28">
        <v>40</v>
      </c>
      <c r="J28">
        <f>I28*$J$17</f>
        <v>8.8200000000000001E-2</v>
      </c>
      <c r="K28">
        <f t="shared" si="0"/>
        <v>6.8599999999999994E-2</v>
      </c>
    </row>
    <row r="29" spans="9:20" x14ac:dyDescent="0.3">
      <c r="I29">
        <v>50</v>
      </c>
      <c r="J29">
        <f>I29*$J$17</f>
        <v>0.11025</v>
      </c>
      <c r="K29">
        <f t="shared" si="0"/>
        <v>8.5749999999999993E-2</v>
      </c>
    </row>
    <row r="30" spans="9:20" x14ac:dyDescent="0.3">
      <c r="I30">
        <v>60</v>
      </c>
      <c r="J30">
        <f t="shared" si="1"/>
        <v>0.1323</v>
      </c>
      <c r="K30">
        <f t="shared" si="0"/>
        <v>0.10289999999999999</v>
      </c>
    </row>
    <row r="31" spans="9:20" x14ac:dyDescent="0.3">
      <c r="I31">
        <v>70</v>
      </c>
      <c r="J31">
        <f t="shared" si="1"/>
        <v>0.15434999999999999</v>
      </c>
      <c r="K31">
        <f t="shared" si="0"/>
        <v>0.12004999999999999</v>
      </c>
    </row>
    <row r="32" spans="9:20" x14ac:dyDescent="0.3">
      <c r="I32">
        <v>80</v>
      </c>
      <c r="J32">
        <f>I32*$J$17</f>
        <v>0.1764</v>
      </c>
      <c r="K32">
        <f t="shared" si="0"/>
        <v>0.13719999999999999</v>
      </c>
    </row>
    <row r="33" spans="9:11" x14ac:dyDescent="0.3">
      <c r="I33">
        <v>90</v>
      </c>
      <c r="J33">
        <f t="shared" si="1"/>
        <v>0.19844999999999999</v>
      </c>
      <c r="K33">
        <f t="shared" si="0"/>
        <v>0.15434999999999999</v>
      </c>
    </row>
    <row r="34" spans="9:11" x14ac:dyDescent="0.3">
      <c r="I34">
        <v>100</v>
      </c>
      <c r="J34">
        <f t="shared" si="1"/>
        <v>0.2205</v>
      </c>
      <c r="K34">
        <f t="shared" si="0"/>
        <v>0.17149999999999999</v>
      </c>
    </row>
    <row r="35" spans="9:11" x14ac:dyDescent="0.3">
      <c r="I35">
        <v>110</v>
      </c>
      <c r="J35">
        <f t="shared" si="1"/>
        <v>0.24254999999999999</v>
      </c>
      <c r="K35">
        <f t="shared" si="0"/>
        <v>0.18864999999999998</v>
      </c>
    </row>
    <row r="36" spans="9:11" x14ac:dyDescent="0.3">
      <c r="I36">
        <v>120</v>
      </c>
      <c r="J36">
        <f t="shared" si="1"/>
        <v>0.2646</v>
      </c>
      <c r="K36">
        <f t="shared" si="0"/>
        <v>0.20579999999999998</v>
      </c>
    </row>
    <row r="37" spans="9:11" x14ac:dyDescent="0.3">
      <c r="I37">
        <v>130</v>
      </c>
      <c r="J37">
        <f t="shared" si="1"/>
        <v>0.28665000000000002</v>
      </c>
      <c r="K37">
        <f t="shared" si="0"/>
        <v>0.22294999999999998</v>
      </c>
    </row>
    <row r="38" spans="9:11" x14ac:dyDescent="0.3">
      <c r="I38">
        <v>140</v>
      </c>
      <c r="J38">
        <f t="shared" si="1"/>
        <v>0.30869999999999997</v>
      </c>
      <c r="K38">
        <f t="shared" si="0"/>
        <v>0.24009999999999998</v>
      </c>
    </row>
    <row r="39" spans="9:11" x14ac:dyDescent="0.3">
      <c r="I39">
        <v>150</v>
      </c>
      <c r="J39">
        <f t="shared" si="1"/>
        <v>0.33074999999999999</v>
      </c>
      <c r="K39">
        <f t="shared" si="0"/>
        <v>0.25724999999999998</v>
      </c>
    </row>
    <row r="40" spans="9:11" x14ac:dyDescent="0.3">
      <c r="I40">
        <v>160</v>
      </c>
      <c r="J40">
        <f t="shared" si="1"/>
        <v>0.3528</v>
      </c>
      <c r="K40">
        <f t="shared" si="0"/>
        <v>0.27439999999999998</v>
      </c>
    </row>
    <row r="41" spans="9:11" x14ac:dyDescent="0.3">
      <c r="I41">
        <v>170</v>
      </c>
      <c r="J41">
        <f t="shared" si="1"/>
        <v>0.37484999999999996</v>
      </c>
      <c r="K41">
        <f t="shared" si="0"/>
        <v>0.29154999999999998</v>
      </c>
    </row>
    <row r="42" spans="9:11" x14ac:dyDescent="0.3">
      <c r="I42">
        <v>180</v>
      </c>
      <c r="J42">
        <f t="shared" si="1"/>
        <v>0.39689999999999998</v>
      </c>
      <c r="K42">
        <f t="shared" si="0"/>
        <v>0.30869999999999997</v>
      </c>
    </row>
    <row r="43" spans="9:11" x14ac:dyDescent="0.3">
      <c r="I43">
        <v>190</v>
      </c>
      <c r="J43">
        <f t="shared" si="1"/>
        <v>0.41894999999999999</v>
      </c>
      <c r="K43">
        <f t="shared" si="0"/>
        <v>0.32584999999999997</v>
      </c>
    </row>
    <row r="44" spans="9:11" x14ac:dyDescent="0.3">
      <c r="I44">
        <v>200</v>
      </c>
      <c r="J44">
        <f t="shared" si="1"/>
        <v>0.441</v>
      </c>
      <c r="K44">
        <f t="shared" si="0"/>
        <v>0.34299999999999997</v>
      </c>
    </row>
    <row r="45" spans="9:11" x14ac:dyDescent="0.3">
      <c r="I45">
        <v>210</v>
      </c>
      <c r="J45">
        <f t="shared" si="1"/>
        <v>0.46304999999999996</v>
      </c>
      <c r="K45">
        <f t="shared" si="0"/>
        <v>0.36014999999999997</v>
      </c>
    </row>
    <row r="46" spans="9:11" x14ac:dyDescent="0.3">
      <c r="I46">
        <v>220</v>
      </c>
      <c r="J46">
        <f t="shared" si="1"/>
        <v>0.48509999999999998</v>
      </c>
      <c r="K46">
        <f t="shared" si="0"/>
        <v>0.37729999999999997</v>
      </c>
    </row>
    <row r="47" spans="9:11" x14ac:dyDescent="0.3">
      <c r="I47">
        <v>230</v>
      </c>
      <c r="J47">
        <f t="shared" si="1"/>
        <v>0.50714999999999999</v>
      </c>
      <c r="K47">
        <f t="shared" si="0"/>
        <v>0.39444999999999997</v>
      </c>
    </row>
    <row r="48" spans="9:11" x14ac:dyDescent="0.3">
      <c r="I48">
        <v>240</v>
      </c>
      <c r="J48">
        <f t="shared" si="1"/>
        <v>0.5292</v>
      </c>
      <c r="K48">
        <f t="shared" si="0"/>
        <v>0.41159999999999997</v>
      </c>
    </row>
    <row r="49" spans="9:11" x14ac:dyDescent="0.3">
      <c r="I49">
        <v>250</v>
      </c>
      <c r="J49">
        <f t="shared" si="1"/>
        <v>0.55125000000000002</v>
      </c>
      <c r="K49">
        <f t="shared" si="0"/>
        <v>0.42874999999999996</v>
      </c>
    </row>
    <row r="50" spans="9:11" x14ac:dyDescent="0.3">
      <c r="I50">
        <v>260</v>
      </c>
      <c r="J50">
        <f t="shared" si="1"/>
        <v>0.57330000000000003</v>
      </c>
      <c r="K50">
        <f t="shared" si="0"/>
        <v>0.44589999999999996</v>
      </c>
    </row>
    <row r="51" spans="9:11" x14ac:dyDescent="0.3">
      <c r="I51">
        <v>270</v>
      </c>
      <c r="J51">
        <f t="shared" si="1"/>
        <v>0.59534999999999993</v>
      </c>
      <c r="K51">
        <f t="shared" si="0"/>
        <v>0.46304999999999996</v>
      </c>
    </row>
    <row r="52" spans="9:11" x14ac:dyDescent="0.3">
      <c r="I52">
        <v>280</v>
      </c>
      <c r="J52">
        <f t="shared" si="1"/>
        <v>0.61739999999999995</v>
      </c>
      <c r="K52">
        <f t="shared" si="0"/>
        <v>0.48019999999999996</v>
      </c>
    </row>
    <row r="53" spans="9:11" x14ac:dyDescent="0.3">
      <c r="I53">
        <v>290</v>
      </c>
      <c r="J53">
        <f t="shared" si="1"/>
        <v>0.63944999999999996</v>
      </c>
      <c r="K53">
        <f t="shared" si="0"/>
        <v>0.49734999999999996</v>
      </c>
    </row>
    <row r="54" spans="9:11" x14ac:dyDescent="0.3">
      <c r="I54">
        <v>300</v>
      </c>
      <c r="J54">
        <f t="shared" si="1"/>
        <v>0.66149999999999998</v>
      </c>
      <c r="K54">
        <f t="shared" si="0"/>
        <v>0.51449999999999996</v>
      </c>
    </row>
    <row r="55" spans="9:11" x14ac:dyDescent="0.3">
      <c r="I55">
        <v>310</v>
      </c>
      <c r="J55">
        <f t="shared" si="1"/>
        <v>0.68354999999999999</v>
      </c>
      <c r="K55">
        <f t="shared" si="0"/>
        <v>0.53164999999999996</v>
      </c>
    </row>
    <row r="56" spans="9:11" x14ac:dyDescent="0.3">
      <c r="I56">
        <v>320</v>
      </c>
      <c r="J56">
        <f t="shared" si="1"/>
        <v>0.7056</v>
      </c>
      <c r="K56">
        <f t="shared" si="0"/>
        <v>0.54879999999999995</v>
      </c>
    </row>
    <row r="57" spans="9:11" x14ac:dyDescent="0.3">
      <c r="I57">
        <v>330</v>
      </c>
      <c r="J57">
        <f t="shared" si="1"/>
        <v>0.72765000000000002</v>
      </c>
      <c r="K57">
        <f t="shared" si="0"/>
        <v>0.56594999999999995</v>
      </c>
    </row>
    <row r="58" spans="9:11" x14ac:dyDescent="0.3">
      <c r="I58">
        <v>340</v>
      </c>
      <c r="J58">
        <f t="shared" si="1"/>
        <v>0.74969999999999992</v>
      </c>
      <c r="K58">
        <f t="shared" si="0"/>
        <v>0.58309999999999995</v>
      </c>
    </row>
    <row r="59" spans="9:11" x14ac:dyDescent="0.3">
      <c r="I59">
        <v>350</v>
      </c>
      <c r="J59">
        <f t="shared" si="1"/>
        <v>0.77174999999999994</v>
      </c>
      <c r="K59">
        <f t="shared" si="0"/>
        <v>0.60024999999999995</v>
      </c>
    </row>
    <row r="60" spans="9:11" x14ac:dyDescent="0.3">
      <c r="I60">
        <v>360</v>
      </c>
      <c r="J60">
        <f t="shared" si="1"/>
        <v>0.79379999999999995</v>
      </c>
      <c r="K60">
        <f t="shared" si="0"/>
        <v>0.61739999999999995</v>
      </c>
    </row>
    <row r="61" spans="9:11" x14ac:dyDescent="0.3">
      <c r="I61">
        <v>370</v>
      </c>
      <c r="J61">
        <f t="shared" si="1"/>
        <v>0.81584999999999996</v>
      </c>
      <c r="K61">
        <f t="shared" si="0"/>
        <v>0.63454999999999995</v>
      </c>
    </row>
    <row r="62" spans="9:11" x14ac:dyDescent="0.3">
      <c r="I62">
        <v>380</v>
      </c>
      <c r="J62">
        <f t="shared" si="1"/>
        <v>0.83789999999999998</v>
      </c>
      <c r="K62">
        <f t="shared" si="0"/>
        <v>0.65169999999999995</v>
      </c>
    </row>
    <row r="63" spans="9:11" x14ac:dyDescent="0.3">
      <c r="I63">
        <v>390</v>
      </c>
      <c r="J63">
        <f t="shared" si="1"/>
        <v>0.85994999999999999</v>
      </c>
      <c r="K63">
        <f t="shared" si="0"/>
        <v>0.66884999999999994</v>
      </c>
    </row>
    <row r="64" spans="9:11" x14ac:dyDescent="0.3">
      <c r="I64">
        <v>400</v>
      </c>
      <c r="J64">
        <f t="shared" si="1"/>
        <v>0.88200000000000001</v>
      </c>
      <c r="K64">
        <f t="shared" si="0"/>
        <v>0.68599999999999994</v>
      </c>
    </row>
    <row r="65" spans="9:11" x14ac:dyDescent="0.3">
      <c r="I65">
        <v>410</v>
      </c>
      <c r="J65">
        <f t="shared" si="1"/>
        <v>0.90405000000000002</v>
      </c>
      <c r="K65">
        <f t="shared" si="0"/>
        <v>0.70314999999999994</v>
      </c>
    </row>
    <row r="66" spans="9:11" x14ac:dyDescent="0.3">
      <c r="I66">
        <v>420</v>
      </c>
      <c r="J66">
        <f t="shared" si="1"/>
        <v>0.92609999999999992</v>
      </c>
      <c r="K66">
        <f t="shared" si="0"/>
        <v>0.72029999999999994</v>
      </c>
    </row>
    <row r="67" spans="9:11" x14ac:dyDescent="0.3">
      <c r="I67">
        <v>430</v>
      </c>
      <c r="J67">
        <f t="shared" si="1"/>
        <v>0.94814999999999994</v>
      </c>
      <c r="K67">
        <f t="shared" ref="K67:K89" si="2">$K$17*I67</f>
        <v>0.73744999999999994</v>
      </c>
    </row>
    <row r="68" spans="9:11" x14ac:dyDescent="0.3">
      <c r="I68">
        <v>440</v>
      </c>
      <c r="J68">
        <f t="shared" si="1"/>
        <v>0.97019999999999995</v>
      </c>
      <c r="K68">
        <f t="shared" si="2"/>
        <v>0.75459999999999994</v>
      </c>
    </row>
    <row r="69" spans="9:11" x14ac:dyDescent="0.3">
      <c r="I69">
        <v>450</v>
      </c>
      <c r="J69">
        <f t="shared" si="1"/>
        <v>0.99224999999999997</v>
      </c>
      <c r="K69">
        <f t="shared" si="2"/>
        <v>0.77174999999999994</v>
      </c>
    </row>
    <row r="70" spans="9:11" x14ac:dyDescent="0.3">
      <c r="I70">
        <v>460</v>
      </c>
      <c r="J70">
        <f t="shared" si="1"/>
        <v>1.0143</v>
      </c>
      <c r="K70">
        <f t="shared" si="2"/>
        <v>0.78889999999999993</v>
      </c>
    </row>
    <row r="71" spans="9:11" x14ac:dyDescent="0.3">
      <c r="I71">
        <v>470</v>
      </c>
      <c r="J71">
        <f t="shared" si="1"/>
        <v>1.0363499999999999</v>
      </c>
      <c r="K71">
        <f t="shared" si="2"/>
        <v>0.80604999999999993</v>
      </c>
    </row>
    <row r="72" spans="9:11" x14ac:dyDescent="0.3">
      <c r="I72">
        <v>480</v>
      </c>
      <c r="J72">
        <f t="shared" si="1"/>
        <v>1.0584</v>
      </c>
      <c r="K72">
        <f t="shared" si="2"/>
        <v>0.82319999999999993</v>
      </c>
    </row>
    <row r="73" spans="9:11" x14ac:dyDescent="0.3">
      <c r="I73">
        <v>490</v>
      </c>
      <c r="J73">
        <f t="shared" si="1"/>
        <v>1.0804499999999999</v>
      </c>
      <c r="K73">
        <f t="shared" si="2"/>
        <v>0.84034999999999993</v>
      </c>
    </row>
    <row r="74" spans="9:11" x14ac:dyDescent="0.3">
      <c r="I74">
        <v>500</v>
      </c>
      <c r="J74">
        <f t="shared" si="1"/>
        <v>1.1025</v>
      </c>
      <c r="K74">
        <f t="shared" si="2"/>
        <v>0.85749999999999993</v>
      </c>
    </row>
    <row r="75" spans="9:11" x14ac:dyDescent="0.3">
      <c r="I75">
        <v>510</v>
      </c>
      <c r="J75">
        <f t="shared" si="1"/>
        <v>1.1245499999999999</v>
      </c>
      <c r="K75">
        <f t="shared" si="2"/>
        <v>0.87464999999999993</v>
      </c>
    </row>
    <row r="76" spans="9:11" x14ac:dyDescent="0.3">
      <c r="I76">
        <v>520</v>
      </c>
      <c r="J76">
        <f t="shared" si="1"/>
        <v>1.1466000000000001</v>
      </c>
      <c r="K76">
        <f t="shared" si="2"/>
        <v>0.89179999999999993</v>
      </c>
    </row>
    <row r="77" spans="9:11" x14ac:dyDescent="0.3">
      <c r="I77">
        <v>530</v>
      </c>
      <c r="J77">
        <f t="shared" si="1"/>
        <v>1.16865</v>
      </c>
      <c r="K77">
        <f t="shared" si="2"/>
        <v>0.90894999999999992</v>
      </c>
    </row>
    <row r="78" spans="9:11" x14ac:dyDescent="0.3">
      <c r="I78">
        <v>540</v>
      </c>
      <c r="J78">
        <f t="shared" si="1"/>
        <v>1.1906999999999999</v>
      </c>
      <c r="K78">
        <f t="shared" si="2"/>
        <v>0.92609999999999992</v>
      </c>
    </row>
    <row r="79" spans="9:11" x14ac:dyDescent="0.3">
      <c r="I79">
        <v>550</v>
      </c>
      <c r="J79">
        <f t="shared" si="1"/>
        <v>1.21275</v>
      </c>
      <c r="K79">
        <f t="shared" si="2"/>
        <v>0.94324999999999992</v>
      </c>
    </row>
    <row r="80" spans="9:11" x14ac:dyDescent="0.3">
      <c r="I80">
        <v>560</v>
      </c>
      <c r="J80">
        <f t="shared" si="1"/>
        <v>1.2347999999999999</v>
      </c>
      <c r="K80">
        <f t="shared" si="2"/>
        <v>0.96039999999999992</v>
      </c>
    </row>
    <row r="81" spans="9:11" x14ac:dyDescent="0.3">
      <c r="I81">
        <v>570</v>
      </c>
      <c r="J81">
        <f t="shared" si="1"/>
        <v>1.25685</v>
      </c>
      <c r="K81">
        <f t="shared" si="2"/>
        <v>0.97754999999999992</v>
      </c>
    </row>
    <row r="82" spans="9:11" x14ac:dyDescent="0.3">
      <c r="I82">
        <v>580</v>
      </c>
      <c r="J82">
        <f t="shared" si="1"/>
        <v>1.2788999999999999</v>
      </c>
      <c r="K82">
        <f t="shared" si="2"/>
        <v>0.99469999999999992</v>
      </c>
    </row>
    <row r="83" spans="9:11" x14ac:dyDescent="0.3">
      <c r="I83">
        <v>590</v>
      </c>
      <c r="J83">
        <f t="shared" si="1"/>
        <v>1.3009500000000001</v>
      </c>
      <c r="K83">
        <f t="shared" si="2"/>
        <v>1.0118499999999999</v>
      </c>
    </row>
    <row r="84" spans="9:11" x14ac:dyDescent="0.3">
      <c r="I84">
        <v>600</v>
      </c>
      <c r="J84">
        <f t="shared" si="1"/>
        <v>1.323</v>
      </c>
      <c r="K84">
        <f t="shared" si="2"/>
        <v>1.0289999999999999</v>
      </c>
    </row>
    <row r="85" spans="9:11" x14ac:dyDescent="0.3">
      <c r="I85">
        <v>610</v>
      </c>
      <c r="J85">
        <f t="shared" si="1"/>
        <v>1.3450499999999999</v>
      </c>
      <c r="K85">
        <f t="shared" si="2"/>
        <v>1.0461499999999999</v>
      </c>
    </row>
    <row r="86" spans="9:11" x14ac:dyDescent="0.3">
      <c r="I86">
        <v>620</v>
      </c>
      <c r="J86">
        <f t="shared" si="1"/>
        <v>1.3671</v>
      </c>
      <c r="K86">
        <f t="shared" si="2"/>
        <v>1.0632999999999999</v>
      </c>
    </row>
    <row r="87" spans="9:11" x14ac:dyDescent="0.3">
      <c r="I87">
        <v>630</v>
      </c>
      <c r="J87">
        <f t="shared" si="1"/>
        <v>1.3891499999999999</v>
      </c>
      <c r="K87">
        <f t="shared" si="2"/>
        <v>1.0804499999999999</v>
      </c>
    </row>
    <row r="88" spans="9:11" x14ac:dyDescent="0.3">
      <c r="I88">
        <v>640</v>
      </c>
      <c r="J88">
        <f t="shared" si="1"/>
        <v>1.4112</v>
      </c>
      <c r="K88">
        <f t="shared" si="2"/>
        <v>1.0975999999999999</v>
      </c>
    </row>
    <row r="89" spans="9:11" x14ac:dyDescent="0.3">
      <c r="I89">
        <v>650</v>
      </c>
      <c r="J89">
        <f t="shared" si="1"/>
        <v>1.4332499999999999</v>
      </c>
      <c r="K89">
        <f t="shared" si="2"/>
        <v>1.1147499999999999</v>
      </c>
    </row>
    <row r="90" spans="9:11" x14ac:dyDescent="0.3">
      <c r="I90">
        <v>660</v>
      </c>
      <c r="J90">
        <f t="shared" ref="J90:J124" si="3">I90*$J$17</f>
        <v>1.4553</v>
      </c>
      <c r="K90">
        <f t="shared" ref="K90:K124" si="4">$K$17*I90</f>
        <v>1.1318999999999999</v>
      </c>
    </row>
    <row r="91" spans="9:11" x14ac:dyDescent="0.3">
      <c r="I91">
        <v>670</v>
      </c>
      <c r="J91">
        <f t="shared" si="3"/>
        <v>1.4773499999999999</v>
      </c>
      <c r="K91">
        <f t="shared" si="4"/>
        <v>1.1490499999999999</v>
      </c>
    </row>
    <row r="92" spans="9:11" x14ac:dyDescent="0.3">
      <c r="I92">
        <v>680</v>
      </c>
      <c r="J92">
        <f t="shared" si="3"/>
        <v>1.4993999999999998</v>
      </c>
      <c r="K92">
        <f t="shared" si="4"/>
        <v>1.1661999999999999</v>
      </c>
    </row>
    <row r="93" spans="9:11" x14ac:dyDescent="0.3">
      <c r="I93">
        <v>690</v>
      </c>
      <c r="J93">
        <f t="shared" si="3"/>
        <v>1.52145</v>
      </c>
      <c r="K93">
        <f t="shared" si="4"/>
        <v>1.1833499999999999</v>
      </c>
    </row>
    <row r="94" spans="9:11" x14ac:dyDescent="0.3">
      <c r="I94">
        <v>700</v>
      </c>
      <c r="J94">
        <f t="shared" si="3"/>
        <v>1.5434999999999999</v>
      </c>
      <c r="K94">
        <f t="shared" si="4"/>
        <v>1.2004999999999999</v>
      </c>
    </row>
    <row r="95" spans="9:11" x14ac:dyDescent="0.3">
      <c r="I95">
        <v>710</v>
      </c>
      <c r="J95">
        <f t="shared" si="3"/>
        <v>1.56555</v>
      </c>
      <c r="K95">
        <f t="shared" si="4"/>
        <v>1.2176499999999999</v>
      </c>
    </row>
    <row r="96" spans="9:11" x14ac:dyDescent="0.3">
      <c r="I96">
        <v>720</v>
      </c>
      <c r="J96">
        <f t="shared" si="3"/>
        <v>1.5875999999999999</v>
      </c>
      <c r="K96">
        <f t="shared" si="4"/>
        <v>1.2347999999999999</v>
      </c>
    </row>
    <row r="97" spans="9:11" x14ac:dyDescent="0.3">
      <c r="I97">
        <v>730</v>
      </c>
      <c r="J97">
        <f t="shared" si="3"/>
        <v>1.60965</v>
      </c>
      <c r="K97">
        <f t="shared" si="4"/>
        <v>1.2519499999999999</v>
      </c>
    </row>
    <row r="98" spans="9:11" x14ac:dyDescent="0.3">
      <c r="I98">
        <v>740</v>
      </c>
      <c r="J98">
        <f t="shared" si="3"/>
        <v>1.6316999999999999</v>
      </c>
      <c r="K98">
        <f t="shared" si="4"/>
        <v>1.2690999999999999</v>
      </c>
    </row>
    <row r="99" spans="9:11" x14ac:dyDescent="0.3">
      <c r="I99">
        <v>750</v>
      </c>
      <c r="J99">
        <f t="shared" si="3"/>
        <v>1.6537500000000001</v>
      </c>
      <c r="K99">
        <f t="shared" si="4"/>
        <v>1.2862499999999999</v>
      </c>
    </row>
    <row r="100" spans="9:11" x14ac:dyDescent="0.3">
      <c r="I100">
        <v>760</v>
      </c>
      <c r="J100">
        <f t="shared" si="3"/>
        <v>1.6758</v>
      </c>
      <c r="K100">
        <f t="shared" si="4"/>
        <v>1.3033999999999999</v>
      </c>
    </row>
    <row r="101" spans="9:11" x14ac:dyDescent="0.3">
      <c r="I101">
        <v>770</v>
      </c>
      <c r="J101">
        <f t="shared" si="3"/>
        <v>1.6978499999999999</v>
      </c>
      <c r="K101">
        <f t="shared" si="4"/>
        <v>1.3205499999999999</v>
      </c>
    </row>
    <row r="102" spans="9:11" x14ac:dyDescent="0.3">
      <c r="I102">
        <v>780</v>
      </c>
      <c r="J102">
        <f t="shared" si="3"/>
        <v>1.7199</v>
      </c>
      <c r="K102">
        <f t="shared" si="4"/>
        <v>1.3376999999999999</v>
      </c>
    </row>
    <row r="103" spans="9:11" x14ac:dyDescent="0.3">
      <c r="I103">
        <v>790</v>
      </c>
      <c r="J103">
        <f t="shared" si="3"/>
        <v>1.7419499999999999</v>
      </c>
      <c r="K103">
        <f t="shared" si="4"/>
        <v>1.3548499999999999</v>
      </c>
    </row>
    <row r="104" spans="9:11" x14ac:dyDescent="0.3">
      <c r="I104">
        <v>800</v>
      </c>
      <c r="J104">
        <f t="shared" si="3"/>
        <v>1.764</v>
      </c>
      <c r="K104">
        <f t="shared" si="4"/>
        <v>1.3719999999999999</v>
      </c>
    </row>
    <row r="105" spans="9:11" x14ac:dyDescent="0.3">
      <c r="I105">
        <v>810</v>
      </c>
      <c r="J105">
        <f t="shared" si="3"/>
        <v>1.7860499999999999</v>
      </c>
      <c r="K105">
        <f t="shared" si="4"/>
        <v>1.3891499999999999</v>
      </c>
    </row>
    <row r="106" spans="9:11" x14ac:dyDescent="0.3">
      <c r="I106">
        <v>820</v>
      </c>
      <c r="J106">
        <f t="shared" si="3"/>
        <v>1.8081</v>
      </c>
      <c r="K106">
        <f t="shared" si="4"/>
        <v>1.4062999999999999</v>
      </c>
    </row>
    <row r="107" spans="9:11" x14ac:dyDescent="0.3">
      <c r="I107">
        <v>830</v>
      </c>
      <c r="J107">
        <f t="shared" si="3"/>
        <v>1.8301499999999999</v>
      </c>
      <c r="K107">
        <f t="shared" si="4"/>
        <v>1.4234499999999999</v>
      </c>
    </row>
    <row r="108" spans="9:11" x14ac:dyDescent="0.3">
      <c r="I108">
        <v>840</v>
      </c>
      <c r="J108">
        <f t="shared" si="3"/>
        <v>1.8521999999999998</v>
      </c>
      <c r="K108">
        <f t="shared" si="4"/>
        <v>1.4405999999999999</v>
      </c>
    </row>
    <row r="109" spans="9:11" x14ac:dyDescent="0.3">
      <c r="I109">
        <v>850</v>
      </c>
      <c r="J109">
        <f t="shared" si="3"/>
        <v>1.87425</v>
      </c>
      <c r="K109">
        <f t="shared" si="4"/>
        <v>1.4577499999999999</v>
      </c>
    </row>
    <row r="110" spans="9:11" x14ac:dyDescent="0.3">
      <c r="I110">
        <v>860</v>
      </c>
      <c r="J110">
        <f t="shared" si="3"/>
        <v>1.8962999999999999</v>
      </c>
      <c r="K110">
        <f t="shared" si="4"/>
        <v>1.4748999999999999</v>
      </c>
    </row>
    <row r="111" spans="9:11" x14ac:dyDescent="0.3">
      <c r="I111">
        <v>870</v>
      </c>
      <c r="J111">
        <f t="shared" si="3"/>
        <v>1.91835</v>
      </c>
      <c r="K111">
        <f t="shared" si="4"/>
        <v>1.4920499999999999</v>
      </c>
    </row>
    <row r="112" spans="9:11" x14ac:dyDescent="0.3">
      <c r="I112">
        <v>880</v>
      </c>
      <c r="J112">
        <f t="shared" si="3"/>
        <v>1.9403999999999999</v>
      </c>
      <c r="K112">
        <f t="shared" si="4"/>
        <v>1.5091999999999999</v>
      </c>
    </row>
    <row r="113" spans="9:11" x14ac:dyDescent="0.3">
      <c r="I113">
        <v>890</v>
      </c>
      <c r="J113">
        <f t="shared" si="3"/>
        <v>1.96245</v>
      </c>
      <c r="K113">
        <f t="shared" si="4"/>
        <v>1.5263499999999999</v>
      </c>
    </row>
    <row r="114" spans="9:11" x14ac:dyDescent="0.3">
      <c r="I114">
        <v>900</v>
      </c>
      <c r="J114">
        <f t="shared" si="3"/>
        <v>1.9844999999999999</v>
      </c>
      <c r="K114">
        <f t="shared" si="4"/>
        <v>1.5434999999999999</v>
      </c>
    </row>
    <row r="115" spans="9:11" x14ac:dyDescent="0.3">
      <c r="I115">
        <v>910</v>
      </c>
      <c r="J115">
        <f t="shared" si="3"/>
        <v>2.0065499999999998</v>
      </c>
      <c r="K115">
        <f t="shared" si="4"/>
        <v>1.5606499999999999</v>
      </c>
    </row>
    <row r="116" spans="9:11" x14ac:dyDescent="0.3">
      <c r="I116">
        <v>920</v>
      </c>
      <c r="J116">
        <f t="shared" si="3"/>
        <v>2.0286</v>
      </c>
      <c r="K116">
        <f t="shared" si="4"/>
        <v>1.5777999999999999</v>
      </c>
    </row>
    <row r="117" spans="9:11" x14ac:dyDescent="0.3">
      <c r="I117">
        <v>930</v>
      </c>
      <c r="J117">
        <f t="shared" si="3"/>
        <v>2.0506500000000001</v>
      </c>
      <c r="K117">
        <f t="shared" si="4"/>
        <v>1.5949499999999999</v>
      </c>
    </row>
    <row r="118" spans="9:11" x14ac:dyDescent="0.3">
      <c r="I118">
        <v>940</v>
      </c>
      <c r="J118">
        <f t="shared" si="3"/>
        <v>2.0726999999999998</v>
      </c>
      <c r="K118">
        <f t="shared" si="4"/>
        <v>1.6120999999999999</v>
      </c>
    </row>
    <row r="119" spans="9:11" x14ac:dyDescent="0.3">
      <c r="I119">
        <v>950</v>
      </c>
      <c r="J119">
        <f t="shared" si="3"/>
        <v>2.0947499999999999</v>
      </c>
      <c r="K119">
        <f t="shared" si="4"/>
        <v>1.6292499999999999</v>
      </c>
    </row>
    <row r="120" spans="9:11" x14ac:dyDescent="0.3">
      <c r="I120">
        <v>960</v>
      </c>
      <c r="J120">
        <f t="shared" si="3"/>
        <v>2.1168</v>
      </c>
      <c r="K120">
        <f t="shared" si="4"/>
        <v>1.6463999999999999</v>
      </c>
    </row>
    <row r="121" spans="9:11" x14ac:dyDescent="0.3">
      <c r="I121">
        <v>970</v>
      </c>
      <c r="J121">
        <f t="shared" si="3"/>
        <v>2.1388500000000001</v>
      </c>
      <c r="K121">
        <f t="shared" si="4"/>
        <v>1.6635499999999999</v>
      </c>
    </row>
    <row r="122" spans="9:11" x14ac:dyDescent="0.3">
      <c r="I122">
        <v>980</v>
      </c>
      <c r="J122">
        <f t="shared" si="3"/>
        <v>2.1608999999999998</v>
      </c>
      <c r="K122">
        <f t="shared" si="4"/>
        <v>1.6806999999999999</v>
      </c>
    </row>
    <row r="123" spans="9:11" x14ac:dyDescent="0.3">
      <c r="I123">
        <v>990</v>
      </c>
      <c r="J123">
        <f t="shared" si="3"/>
        <v>2.1829499999999999</v>
      </c>
      <c r="K123">
        <f t="shared" si="4"/>
        <v>1.6978499999999999</v>
      </c>
    </row>
    <row r="124" spans="9:11" x14ac:dyDescent="0.3">
      <c r="I124">
        <v>1000</v>
      </c>
      <c r="J124">
        <f t="shared" si="3"/>
        <v>2.2050000000000001</v>
      </c>
      <c r="K124">
        <f t="shared" si="4"/>
        <v>1.7149999999999999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Transmission lines</vt:lpstr>
      <vt:lpstr>ELC_TRANSPORT</vt:lpstr>
      <vt:lpstr>H2</vt:lpstr>
      <vt:lpstr>H2_TRANSPORT</vt:lpstr>
      <vt:lpstr>NH3</vt:lpstr>
      <vt:lpstr>NH3_TRANSPORT</vt:lpstr>
      <vt:lpstr>METHANOL</vt:lpstr>
      <vt:lpstr>METHANOL_TRANSPORT</vt:lpstr>
      <vt:lpstr>JET FUEL</vt:lpstr>
      <vt:lpstr>Jetfuel_TRANSPORT</vt:lpstr>
      <vt:lpstr>111 1 el Main distri50-60kVcabl</vt:lpstr>
      <vt:lpstr>H2 140</vt:lpstr>
      <vt:lpstr>NH3_DATA_PIPE</vt:lpstr>
      <vt:lpstr>Ship Transport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pancho gonzalez</cp:lastModifiedBy>
  <dcterms:created xsi:type="dcterms:W3CDTF">2024-01-13T14:01:38Z</dcterms:created>
  <dcterms:modified xsi:type="dcterms:W3CDTF">2024-03-06T16:58:31Z</dcterms:modified>
</cp:coreProperties>
</file>