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showObjects="placeholders" codeName="ThisWorkbook"/>
  <mc:AlternateContent xmlns:mc="http://schemas.openxmlformats.org/markup-compatibility/2006">
    <mc:Choice Requires="x15">
      <x15ac:absPath xmlns:x15ac="http://schemas.microsoft.com/office/spreadsheetml/2010/11/ac" url="C:\Veda\Veda_models\Master thesis model 2\"/>
    </mc:Choice>
  </mc:AlternateContent>
  <xr:revisionPtr revIDLastSave="0" documentId="13_ncr:1_{E9C530E6-82B7-4348-B3F8-5EEF8ACDCD4F}" xr6:coauthVersionLast="47" xr6:coauthVersionMax="47" xr10:uidLastSave="{00000000-0000-0000-0000-000000000000}"/>
  <bookViews>
    <workbookView xWindow="-108" yWindow="-108" windowWidth="23256" windowHeight="12456" tabRatio="901" firstSheet="4" activeTab="13" xr2:uid="{00000000-000D-0000-FFFF-FFFF00000000}"/>
  </bookViews>
  <sheets>
    <sheet name="Pri_RNW" sheetId="142" r:id="rId1"/>
    <sheet name="FuelTechs" sheetId="140" r:id="rId2"/>
    <sheet name="ELC" sheetId="143" r:id="rId3"/>
    <sheet name="21 Offshore turbines" sheetId="159" r:id="rId4"/>
    <sheet name="21 Near shore turbines" sheetId="160" r:id="rId5"/>
    <sheet name="SUP_H2" sheetId="148" r:id="rId6"/>
    <sheet name="SUP_H2_Delivery" sheetId="149" r:id="rId7"/>
    <sheet name="SUP_Ammonia" sheetId="152" r:id="rId8"/>
    <sheet name="SUP_CO2" sheetId="165" r:id="rId9"/>
    <sheet name="SUP_Methanol" sheetId="163" r:id="rId10"/>
    <sheet name="SUP_Jetfuel" sheetId="164" r:id="rId11"/>
    <sheet name="BOILER" sheetId="167" r:id="rId12"/>
    <sheet name="EXP" sheetId="154" r:id="rId13"/>
    <sheet name="DUMMYCOSTS" sheetId="155" r:id="rId14"/>
    <sheet name="86 AEC 100MW" sheetId="147" r:id="rId15"/>
    <sheet name="86 PEMEC 100MW" sheetId="157" r:id="rId16"/>
    <sheet name="86 SOEC 1MW" sheetId="156" r:id="rId17"/>
    <sheet name="103 Hydrogen to Ammonia" sheetId="150" r:id="rId18"/>
    <sheet name="98 Methanol from Hydrogen" sheetId="158" r:id="rId19"/>
    <sheet name="102 Hydrogen to Jet" sheetId="162" r:id="rId20"/>
    <sheet name="403.b Solid Direct air capture" sheetId="166" r:id="rId21"/>
    <sheet name="310.1b Electric boiler steam" sheetId="168" r:id="rId22"/>
  </sheets>
  <externalReferences>
    <externalReference r:id="rId23"/>
  </externalReferences>
  <definedNames>
    <definedName name="FID_1">[1]AGR_Fuels!$A$2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35" i="160" l="1"/>
  <c r="O34" i="160"/>
  <c r="Q33" i="154" l="1"/>
  <c r="Q35" i="154" s="1"/>
  <c r="K27" i="154" l="1"/>
  <c r="K26" i="154"/>
  <c r="K25" i="154"/>
  <c r="S21" i="154"/>
  <c r="S23" i="154" s="1"/>
  <c r="I19" i="154"/>
  <c r="L11" i="163" l="1"/>
  <c r="N13" i="164"/>
  <c r="O13" i="165" l="1"/>
  <c r="R13" i="165"/>
  <c r="N17" i="164" l="1"/>
  <c r="T15" i="167"/>
  <c r="T14" i="167"/>
  <c r="T13" i="167"/>
  <c r="T12" i="167"/>
  <c r="S15" i="167"/>
  <c r="S14" i="167"/>
  <c r="S13" i="167"/>
  <c r="S12" i="167"/>
  <c r="R15" i="167"/>
  <c r="R14" i="167"/>
  <c r="R13" i="167"/>
  <c r="R12" i="167"/>
  <c r="T13" i="164"/>
  <c r="O14" i="148"/>
  <c r="E29" i="168"/>
  <c r="D29" i="168"/>
  <c r="C29" i="168"/>
  <c r="B29" i="168"/>
  <c r="E28" i="168"/>
  <c r="D28" i="168"/>
  <c r="C28" i="168"/>
  <c r="B28" i="168"/>
  <c r="S19" i="165"/>
  <c r="S17" i="165"/>
  <c r="S15" i="165"/>
  <c r="S13" i="165"/>
  <c r="R19" i="165"/>
  <c r="R17" i="165"/>
  <c r="R15" i="165"/>
  <c r="N20" i="165"/>
  <c r="N18" i="165"/>
  <c r="N16" i="165"/>
  <c r="N14" i="165"/>
  <c r="M20" i="165"/>
  <c r="M18" i="165"/>
  <c r="M16" i="165"/>
  <c r="M14" i="165"/>
  <c r="M19" i="165"/>
  <c r="M17" i="165"/>
  <c r="M15" i="165"/>
  <c r="M13" i="165"/>
  <c r="O19" i="165" l="1"/>
  <c r="O17" i="165"/>
  <c r="O15" i="165"/>
  <c r="U25" i="164"/>
  <c r="U21" i="164"/>
  <c r="U17" i="164"/>
  <c r="U13" i="164"/>
  <c r="T25" i="164"/>
  <c r="T21" i="164"/>
  <c r="T17" i="164"/>
  <c r="R20" i="152"/>
  <c r="R18" i="152"/>
  <c r="R16" i="152"/>
  <c r="R14" i="152"/>
  <c r="Q20" i="152"/>
  <c r="Q18" i="152"/>
  <c r="Q16" i="152"/>
  <c r="Q14" i="152"/>
  <c r="P20" i="152"/>
  <c r="P18" i="152"/>
  <c r="P16" i="152"/>
  <c r="P14" i="152"/>
  <c r="V25" i="164"/>
  <c r="V21" i="164"/>
  <c r="V17" i="164"/>
  <c r="V13" i="164"/>
  <c r="P28" i="164"/>
  <c r="P24" i="164"/>
  <c r="P20" i="164"/>
  <c r="P16" i="164"/>
  <c r="Q25" i="164"/>
  <c r="Q21" i="164"/>
  <c r="Q17" i="164"/>
  <c r="Q13" i="164"/>
  <c r="O27" i="164"/>
  <c r="O23" i="164"/>
  <c r="O19" i="164"/>
  <c r="O15" i="164"/>
  <c r="P13" i="162"/>
  <c r="O26" i="164" l="1"/>
  <c r="O22" i="164"/>
  <c r="O18" i="164"/>
  <c r="O14" i="164"/>
  <c r="N25" i="164"/>
  <c r="N21" i="164"/>
  <c r="J14" i="152"/>
  <c r="Q23" i="163"/>
  <c r="Q19" i="163"/>
  <c r="Q15" i="163"/>
  <c r="Q11" i="163"/>
  <c r="N23" i="163"/>
  <c r="N19" i="163"/>
  <c r="N15" i="163"/>
  <c r="N11" i="163"/>
  <c r="M26" i="163"/>
  <c r="M22" i="163"/>
  <c r="M18" i="163"/>
  <c r="M14" i="163"/>
  <c r="L15" i="152"/>
  <c r="L25" i="163"/>
  <c r="L21" i="163"/>
  <c r="L17" i="163"/>
  <c r="L13" i="163"/>
  <c r="L12" i="163"/>
  <c r="L24" i="163"/>
  <c r="L20" i="163"/>
  <c r="L16" i="163"/>
  <c r="L15" i="163"/>
  <c r="L23" i="163"/>
  <c r="L19" i="163"/>
  <c r="Q8" i="158"/>
  <c r="O15" i="163" l="1"/>
  <c r="O19" i="163" s="1"/>
  <c r="O23" i="163" s="1"/>
  <c r="M20" i="152" l="1"/>
  <c r="M18" i="152"/>
  <c r="M16" i="152"/>
  <c r="M14" i="152"/>
  <c r="L17" i="152"/>
  <c r="L19" i="152" s="1"/>
  <c r="L21" i="152" s="1"/>
  <c r="K15" i="152"/>
  <c r="K17" i="152" s="1"/>
  <c r="K19" i="152" s="1"/>
  <c r="K21" i="152" s="1"/>
  <c r="J16" i="152"/>
  <c r="J18" i="152" s="1"/>
  <c r="J20" i="152" s="1"/>
  <c r="N16" i="152"/>
  <c r="N18" i="152" s="1"/>
  <c r="N20" i="152" s="1"/>
  <c r="F18" i="152"/>
  <c r="F20" i="152" s="1"/>
  <c r="E18" i="152"/>
  <c r="E20" i="152" s="1"/>
  <c r="O36" i="148"/>
  <c r="P36" i="148" s="1"/>
  <c r="O34" i="148"/>
  <c r="P34" i="148" s="1"/>
  <c r="O32" i="148"/>
  <c r="P32" i="148" s="1"/>
  <c r="O30" i="148"/>
  <c r="P30" i="148" s="1"/>
  <c r="J16" i="150"/>
  <c r="I16" i="150"/>
  <c r="J15" i="150"/>
  <c r="I15" i="150"/>
  <c r="J12" i="150"/>
  <c r="I12" i="150"/>
  <c r="J11" i="150"/>
  <c r="I11" i="150"/>
  <c r="J10" i="150"/>
  <c r="I10" i="150"/>
  <c r="D7" i="150"/>
  <c r="F7" i="150" s="1"/>
  <c r="E7" i="150" l="1"/>
  <c r="I28" i="148" l="1"/>
  <c r="O28" i="148" s="1"/>
  <c r="P28" i="148" s="1"/>
  <c r="I26" i="148"/>
  <c r="O26" i="148" s="1"/>
  <c r="P26" i="148" s="1"/>
  <c r="I24" i="148"/>
  <c r="O24" i="148" s="1"/>
  <c r="P24" i="148" s="1"/>
  <c r="I22" i="148"/>
  <c r="O22" i="148" s="1"/>
  <c r="P22" i="148" s="1"/>
  <c r="I20" i="148"/>
  <c r="O20" i="148" s="1"/>
  <c r="P20" i="148" s="1"/>
  <c r="I18" i="148"/>
  <c r="O18" i="148" s="1"/>
  <c r="P18" i="148" s="1"/>
  <c r="I16" i="148"/>
  <c r="O16" i="148" s="1"/>
  <c r="P16" i="148" s="1"/>
  <c r="I14" i="148"/>
  <c r="P14" i="148" s="1"/>
  <c r="J15" i="143"/>
  <c r="J16" i="143"/>
  <c r="J17" i="143"/>
  <c r="J14" i="143"/>
  <c r="I17" i="143"/>
  <c r="I15" i="143"/>
  <c r="I16" i="143"/>
  <c r="I14" i="143"/>
  <c r="J13" i="143"/>
  <c r="J12" i="143"/>
  <c r="J11" i="143"/>
  <c r="J10" i="143"/>
  <c r="I13" i="143"/>
  <c r="I12" i="143"/>
  <c r="I11" i="143"/>
  <c r="I10" i="143"/>
  <c r="H17" i="143"/>
  <c r="H16" i="143"/>
  <c r="H15" i="143"/>
  <c r="H14" i="143"/>
  <c r="H13" i="143"/>
  <c r="H12" i="143"/>
  <c r="H11" i="143"/>
  <c r="H10" i="143"/>
  <c r="J30" i="157" l="1"/>
  <c r="I30" i="157"/>
  <c r="L21" i="157"/>
  <c r="L30" i="157" s="1"/>
  <c r="K21" i="157"/>
  <c r="K30" i="157" s="1"/>
  <c r="J21" i="157"/>
  <c r="I21" i="157"/>
  <c r="H21" i="157"/>
  <c r="H12" i="157" s="1"/>
  <c r="G21" i="157"/>
  <c r="G12" i="157" s="1"/>
  <c r="F21" i="157"/>
  <c r="F12" i="157" s="1"/>
  <c r="E21" i="157"/>
  <c r="E30" i="157" s="1"/>
  <c r="L16" i="157"/>
  <c r="L17" i="157" s="1"/>
  <c r="L19" i="157" s="1"/>
  <c r="J16" i="157"/>
  <c r="J17" i="157" s="1"/>
  <c r="J19" i="157" s="1"/>
  <c r="I16" i="157"/>
  <c r="I17" i="157" s="1"/>
  <c r="I19" i="157" s="1"/>
  <c r="H15" i="157"/>
  <c r="G15" i="157"/>
  <c r="F15" i="157"/>
  <c r="E15" i="157"/>
  <c r="L12" i="157"/>
  <c r="J12" i="157"/>
  <c r="I12" i="157"/>
  <c r="E12" i="157"/>
  <c r="L7" i="157"/>
  <c r="K7" i="157"/>
  <c r="J7" i="157"/>
  <c r="I7" i="157"/>
  <c r="H7" i="157"/>
  <c r="G7" i="157"/>
  <c r="F7" i="157"/>
  <c r="E7" i="157"/>
  <c r="J28" i="156"/>
  <c r="H28" i="156"/>
  <c r="D28" i="156"/>
  <c r="K27" i="156"/>
  <c r="J27" i="156"/>
  <c r="I27" i="156"/>
  <c r="H27" i="156"/>
  <c r="G27" i="156"/>
  <c r="F27" i="156"/>
  <c r="E27" i="156"/>
  <c r="D27" i="156"/>
  <c r="K19" i="156"/>
  <c r="K12" i="156" s="1"/>
  <c r="J19" i="156"/>
  <c r="J12" i="156" s="1"/>
  <c r="I19" i="156"/>
  <c r="I12" i="156" s="1"/>
  <c r="H19" i="156"/>
  <c r="H12" i="156" s="1"/>
  <c r="D19" i="156"/>
  <c r="K17" i="156"/>
  <c r="I17" i="156"/>
  <c r="K16" i="156"/>
  <c r="J16" i="156"/>
  <c r="J17" i="156" s="1"/>
  <c r="I16" i="156"/>
  <c r="H16" i="156"/>
  <c r="H17" i="156" s="1"/>
  <c r="D16" i="156"/>
  <c r="G15" i="156"/>
  <c r="G19" i="156" s="1"/>
  <c r="E15" i="156"/>
  <c r="D15" i="156"/>
  <c r="D17" i="156" s="1"/>
  <c r="D12" i="156"/>
  <c r="K10" i="156"/>
  <c r="J10" i="156"/>
  <c r="I10" i="156"/>
  <c r="H10" i="156"/>
  <c r="G10" i="156"/>
  <c r="F10" i="156"/>
  <c r="E10" i="156"/>
  <c r="D10" i="156"/>
  <c r="K6" i="156"/>
  <c r="J6" i="156"/>
  <c r="I6" i="156"/>
  <c r="H6" i="156"/>
  <c r="E6" i="156"/>
  <c r="D6" i="156"/>
  <c r="K12" i="157" l="1"/>
  <c r="E16" i="157"/>
  <c r="E17" i="157" s="1"/>
  <c r="E19" i="157" s="1"/>
  <c r="F16" i="157"/>
  <c r="F17" i="157" s="1"/>
  <c r="F19" i="157" s="1"/>
  <c r="F30" i="157"/>
  <c r="G16" i="157"/>
  <c r="G17" i="157" s="1"/>
  <c r="G19" i="157" s="1"/>
  <c r="G30" i="157"/>
  <c r="H16" i="157"/>
  <c r="H17" i="157" s="1"/>
  <c r="H19" i="157" s="1"/>
  <c r="H30" i="157"/>
  <c r="K16" i="157"/>
  <c r="K17" i="157" s="1"/>
  <c r="K19" i="157" s="1"/>
  <c r="E17" i="156"/>
  <c r="G12" i="156"/>
  <c r="G28" i="156"/>
  <c r="F15" i="156"/>
  <c r="E16" i="156"/>
  <c r="E19" i="156"/>
  <c r="G16" i="156"/>
  <c r="I28" i="156"/>
  <c r="G6" i="156"/>
  <c r="K28" i="156"/>
  <c r="G17" i="156"/>
  <c r="E12" i="156" l="1"/>
  <c r="E28" i="156"/>
  <c r="F19" i="156"/>
  <c r="F6" i="156"/>
  <c r="F16" i="156"/>
  <c r="F17" i="156" s="1"/>
  <c r="F12" i="156" l="1"/>
  <c r="F28" i="156"/>
  <c r="M10" i="140" l="1"/>
  <c r="N10" i="140"/>
  <c r="O10" i="140" s="1"/>
  <c r="K10" i="142"/>
  <c r="I10" i="142"/>
  <c r="J10" i="142" s="1"/>
  <c r="L14" i="149" l="1"/>
  <c r="K14" i="149"/>
  <c r="J14" i="149"/>
  <c r="N11" i="150" l="1"/>
  <c r="N13" i="150" s="1"/>
  <c r="M11" i="150"/>
  <c r="M13" i="150" s="1"/>
  <c r="B10" i="143"/>
  <c r="J21" i="147" l="1"/>
  <c r="J16" i="147" s="1"/>
  <c r="J17" i="147" s="1"/>
  <c r="J19" i="147" s="1"/>
  <c r="I21" i="147"/>
  <c r="I16" i="147" s="1"/>
  <c r="I17" i="147" s="1"/>
  <c r="I19" i="147" s="1"/>
  <c r="H21" i="147"/>
  <c r="H16" i="147" s="1"/>
  <c r="H17" i="147" s="1"/>
  <c r="H19" i="147" s="1"/>
  <c r="G21" i="147"/>
  <c r="G16" i="147" s="1"/>
  <c r="G17" i="147" s="1"/>
  <c r="G19" i="147" s="1"/>
  <c r="F21" i="147"/>
  <c r="F12" i="147" s="1"/>
  <c r="D21" i="147"/>
  <c r="D12" i="147" s="1"/>
  <c r="C21" i="147"/>
  <c r="C12" i="147" s="1"/>
  <c r="F15" i="147"/>
  <c r="D15" i="147"/>
  <c r="E15" i="147" s="1"/>
  <c r="C15" i="147"/>
  <c r="J12" i="147"/>
  <c r="I12" i="147"/>
  <c r="H12" i="147"/>
  <c r="G12" i="147"/>
  <c r="J7" i="147"/>
  <c r="J30" i="147" s="1"/>
  <c r="I7" i="147"/>
  <c r="I30" i="147" s="1"/>
  <c r="H7" i="147"/>
  <c r="H30" i="147" s="1"/>
  <c r="G7" i="147"/>
  <c r="G30" i="147" s="1"/>
  <c r="F7" i="147"/>
  <c r="F30" i="147" s="1"/>
  <c r="D7" i="147"/>
  <c r="D30" i="147" s="1"/>
  <c r="C7" i="147"/>
  <c r="C30" i="147" s="1"/>
  <c r="E7" i="147" l="1"/>
  <c r="E30" i="147" s="1"/>
  <c r="E21" i="147"/>
  <c r="C16" i="147"/>
  <c r="C17" i="147" s="1"/>
  <c r="C19" i="147" s="1"/>
  <c r="D16" i="147"/>
  <c r="D17" i="147" s="1"/>
  <c r="D19" i="147" s="1"/>
  <c r="F16" i="147"/>
  <c r="F17" i="147" s="1"/>
  <c r="F19" i="147" s="1"/>
  <c r="D10" i="142"/>
  <c r="B10" i="142" l="1"/>
  <c r="E12" i="147"/>
  <c r="E16" i="147"/>
  <c r="E17" i="147" s="1"/>
  <c r="E19" i="147" s="1"/>
  <c r="D10" i="140" l="1"/>
  <c r="C10" i="140" s="1"/>
  <c r="L10" i="140"/>
  <c r="B10" i="140"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G2" authorId="0" shapeId="0" xr:uid="{00000000-0006-0000-0500-000001000000}">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L2" authorId="1" shapeId="0" xr:uid="{00000000-0006-0000-0500-000002000000}">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M2" authorId="2" shapeId="0" xr:uid="{00000000-0006-0000-0500-000003000000}">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N2" authorId="2" shapeId="0" xr:uid="{00000000-0006-0000-0500-000004000000}">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O2" authorId="2" shapeId="0" xr:uid="{00000000-0006-0000-0500-000005000000}">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M7" authorId="2" shapeId="0" xr:uid="{00000000-0006-0000-0500-000007000000}">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N7" authorId="1" shapeId="0" xr:uid="{00000000-0006-0000-0500-000008000000}">
      <text>
        <r>
          <rPr>
            <b/>
            <sz val="8"/>
            <color indexed="81"/>
            <rFont val="Tahoma"/>
            <family val="2"/>
          </rPr>
          <t>Amit Kanudia:</t>
        </r>
        <r>
          <rPr>
            <sz val="8"/>
            <color indexed="81"/>
            <rFont val="Tahoma"/>
            <family val="2"/>
          </rPr>
          <t xml:space="preserve">
Needed only when one wants to override the VEDA default assignment
</t>
        </r>
      </text>
    </comment>
    <comment ref="O7" authorId="2" shapeId="0" xr:uid="{00000000-0006-0000-0500-000009000000}">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G8" authorId="2" shapeId="0" xr:uid="{00000000-0006-0000-0500-00000A000000}">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Maurizio Gargiulo</author>
    <author>Gary Goldstein</author>
    <author>Amit Kanudia</author>
  </authors>
  <commentList>
    <comment ref="F9" authorId="0" shapeId="0" xr:uid="{01630452-82AE-4D2D-8A26-6D1B997FD288}">
      <text>
        <r>
          <rPr>
            <sz val="8"/>
            <color indexed="81"/>
            <rFont val="Tahoma"/>
            <family val="2"/>
          </rPr>
          <t>Comm-IN-A 
indicates an auxillary input, thus not consider with respect the efficiency</t>
        </r>
      </text>
    </comment>
    <comment ref="I9" authorId="0" shapeId="0" xr:uid="{A95C5A77-0EFD-49B2-936B-7F934AFCE3EA}">
      <text>
        <r>
          <rPr>
            <sz val="8"/>
            <color indexed="81"/>
            <rFont val="Tahoma"/>
            <family val="2"/>
          </rPr>
          <t>Comm-OUT-A 
indicates an auxillary output, thus not consider with respect the efficiency</t>
        </r>
      </text>
    </comment>
    <comment ref="AD9" authorId="1" shapeId="0" xr:uid="{42EC53A8-662C-42FF-A81F-72C6E79D24EB}">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AH9" authorId="2" shapeId="0" xr:uid="{E87182DF-1B61-4BB5-9482-819F696229DB}">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AI9" authorId="0" shapeId="0" xr:uid="{4A819D21-686F-4A2E-A8D9-332968AA2397}">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AJ9" authorId="0" shapeId="0" xr:uid="{80F7C597-E2E0-40AB-844A-BF09F95C40D6}">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AK9" authorId="0" shapeId="0" xr:uid="{8D09586F-80C4-4ABF-912E-1D1BF4B3B3A6}">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AI17" authorId="0" shapeId="0" xr:uid="{CE559E24-2A7D-4BC1-944E-FF2BAA88ABCE}">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AJ17" authorId="2" shapeId="0" xr:uid="{65A9AE2D-66AE-4FB2-BBB6-3FE125848CBC}">
      <text>
        <r>
          <rPr>
            <b/>
            <sz val="8"/>
            <color indexed="81"/>
            <rFont val="Tahoma"/>
            <family val="2"/>
          </rPr>
          <t>Amit Kanudia:</t>
        </r>
        <r>
          <rPr>
            <sz val="8"/>
            <color indexed="81"/>
            <rFont val="Tahoma"/>
            <family val="2"/>
          </rPr>
          <t xml:space="preserve">
Needed only when one wants to override the VEDA default assignment
</t>
        </r>
      </text>
    </comment>
    <comment ref="AK17" authorId="0" shapeId="0" xr:uid="{311B9DAA-EBEA-41FD-AC31-2B09C323BEAE}">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AD18" authorId="0" shapeId="0" xr:uid="{29666EEF-D623-44FF-9AF7-0C2EA4656A65}">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Maurizio Gargiulo</author>
    <author>Amit Kanudia</author>
    <author>Gary Goldstein</author>
  </authors>
  <commentList>
    <comment ref="I2" authorId="0" shapeId="0" xr:uid="{403B0544-F2C2-4D39-8AE1-D12D985CB108}">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J2" authorId="1" shapeId="0" xr:uid="{0586D031-A54F-4C26-8794-ECB0956257BC}">
      <text>
        <r>
          <rPr>
            <b/>
            <sz val="8"/>
            <color indexed="81"/>
            <rFont val="Tahoma"/>
            <family val="2"/>
          </rPr>
          <t>Amit Kanudia:</t>
        </r>
        <r>
          <rPr>
            <sz val="8"/>
            <color indexed="81"/>
            <rFont val="Tahoma"/>
            <family val="2"/>
          </rPr>
          <t xml:space="preserve">
Needed only when one wants to override the VEDA default assignment
</t>
        </r>
      </text>
    </comment>
    <comment ref="K2" authorId="0" shapeId="0" xr:uid="{4558FA4F-3FD6-4600-9581-C148946C48BE}">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E3" authorId="0" shapeId="0" xr:uid="{1F902BB4-5A77-4245-9988-EEAC9C8147CA}">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 ref="R8" authorId="2" shapeId="0" xr:uid="{299CFAD9-D3CA-4282-893D-380FECC5E743}">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V8" authorId="1" shapeId="0" xr:uid="{C54BBA5F-F7CA-40AE-A8C1-1CC6537AB116}">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W8" authorId="0" shapeId="0" xr:uid="{E2C934B2-ED16-41CC-B0C7-A817B5FF6F39}">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X8" authorId="0" shapeId="0" xr:uid="{56D16B28-7854-46F8-B28D-BCAB211F0679}">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Y8" authorId="0" shapeId="0" xr:uid="{8A7324AD-F80C-4C08-90ED-18B68572AB6B}">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K2" authorId="0" shapeId="0" xr:uid="{7290A73E-30EF-4B8C-AE0A-5B8511D48CC1}">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P2" authorId="1" shapeId="0" xr:uid="{A1A32A08-6B06-4E47-8173-7FC3C1A81FF4}">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Q2" authorId="2" shapeId="0" xr:uid="{FAAD97A5-88B7-400E-A79C-07964BE9E889}">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R2" authorId="2" shapeId="0" xr:uid="{625161A6-36F3-48BA-91BB-3D6A25F1173B}">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S2" authorId="2" shapeId="0" xr:uid="{C7517FAB-7027-4488-9A58-126AE06A4F4A}">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P8" authorId="2" shapeId="0" xr:uid="{F062075F-3876-4844-BBBB-DF3D149C7938}">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Q8" authorId="1" shapeId="0" xr:uid="{2E653E07-1EC4-45D3-8FA4-9E59CF6E7E06}">
      <text>
        <r>
          <rPr>
            <b/>
            <sz val="8"/>
            <color indexed="81"/>
            <rFont val="Tahoma"/>
            <family val="2"/>
          </rPr>
          <t>Amit Kanudia:</t>
        </r>
        <r>
          <rPr>
            <sz val="8"/>
            <color indexed="81"/>
            <rFont val="Tahoma"/>
            <family val="2"/>
          </rPr>
          <t xml:space="preserve">
Needed only when one wants to override the VEDA default assignment
</t>
        </r>
      </text>
    </comment>
    <comment ref="R8" authorId="2" shapeId="0" xr:uid="{BB35E0FB-F241-4098-9B70-D4D8DCE56C11}">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K9" authorId="2" shapeId="0" xr:uid="{3D0E9552-C702-4810-A972-5A69527E6F1A}">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J2" authorId="0" shapeId="0" xr:uid="{00000000-0006-0000-0700-000001000000}">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O2" authorId="1" shapeId="0" xr:uid="{00000000-0006-0000-0700-000002000000}">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P2" authorId="2" shapeId="0" xr:uid="{00000000-0006-0000-0700-000003000000}">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Q2" authorId="2" shapeId="0" xr:uid="{00000000-0006-0000-0700-000004000000}">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R2" authorId="2" shapeId="0" xr:uid="{00000000-0006-0000-0700-000005000000}">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P7" authorId="2" shapeId="0" xr:uid="{00000000-0006-0000-0700-000006000000}">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Q7" authorId="1" shapeId="0" xr:uid="{00000000-0006-0000-0700-000007000000}">
      <text>
        <r>
          <rPr>
            <b/>
            <sz val="8"/>
            <color indexed="81"/>
            <rFont val="Tahoma"/>
            <family val="2"/>
          </rPr>
          <t>Amit Kanudia:</t>
        </r>
        <r>
          <rPr>
            <sz val="8"/>
            <color indexed="81"/>
            <rFont val="Tahoma"/>
            <family val="2"/>
          </rPr>
          <t xml:space="preserve">
Needed only when one wants to override the VEDA default assignment
</t>
        </r>
      </text>
    </comment>
    <comment ref="R7" authorId="2" shapeId="0" xr:uid="{00000000-0006-0000-0700-000008000000}">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J8" authorId="2" shapeId="0" xr:uid="{00000000-0006-0000-0700-000009000000}">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O2" authorId="0" shapeId="0" xr:uid="{00000000-0006-0000-0800-000001000000}">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T2" authorId="1" shapeId="0" xr:uid="{00000000-0006-0000-0800-000002000000}">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U2" authorId="2" shapeId="0" xr:uid="{00000000-0006-0000-0800-000003000000}">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V2" authorId="2" shapeId="0" xr:uid="{00000000-0006-0000-0800-000004000000}">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W2" authorId="2" shapeId="0" xr:uid="{00000000-0006-0000-0800-000005000000}">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U7" authorId="2" shapeId="0" xr:uid="{00000000-0006-0000-0800-000006000000}">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V7" authorId="1" shapeId="0" xr:uid="{00000000-0006-0000-0800-000007000000}">
      <text>
        <r>
          <rPr>
            <b/>
            <sz val="8"/>
            <color indexed="81"/>
            <rFont val="Tahoma"/>
            <family val="2"/>
          </rPr>
          <t>Amit Kanudia:</t>
        </r>
        <r>
          <rPr>
            <sz val="8"/>
            <color indexed="81"/>
            <rFont val="Tahoma"/>
            <family val="2"/>
          </rPr>
          <t xml:space="preserve">
Needed only when one wants to override the VEDA default assignment
</t>
        </r>
      </text>
    </comment>
    <comment ref="W7" authorId="2" shapeId="0" xr:uid="{00000000-0006-0000-0800-000008000000}">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O8" authorId="2" shapeId="0" xr:uid="{00000000-0006-0000-0800-000009000000}">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T2" authorId="0" shapeId="0" xr:uid="{7EFC1127-BBE2-4EEA-951B-3F589D93266C}">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X2" authorId="1" shapeId="0" xr:uid="{FB78B29E-8295-4D4E-BF4B-9C7BB1918001}">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Y2" authorId="2" shapeId="0" xr:uid="{53B2FEEB-CD94-4E5E-99DE-C595E9895EE2}">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Z2" authorId="2" shapeId="0" xr:uid="{BC6CECE9-496F-4597-A02A-05C1D180C75E}">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AA2" authorId="2" shapeId="0" xr:uid="{BC7CA02D-5D0D-409E-A520-C7D4E9CEC349}">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F11" authorId="2" shapeId="0" xr:uid="{8D9F180D-D3D0-4469-A271-745ADD03F1E0}">
      <text>
        <r>
          <rPr>
            <sz val="8"/>
            <color indexed="81"/>
            <rFont val="Tahoma"/>
            <family val="2"/>
          </rPr>
          <t>Comm-OUT-A 
indicates an auxillary output, thus not consider with respect the efficiency</t>
        </r>
      </text>
    </comment>
    <comment ref="Y11" authorId="2" shapeId="0" xr:uid="{68D70B00-D1BA-4944-B798-0F18B7B8787D}">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Z11" authorId="1" shapeId="0" xr:uid="{9C639AFE-D29A-4E36-9ECD-BB30A58B4F5A}">
      <text>
        <r>
          <rPr>
            <b/>
            <sz val="8"/>
            <color indexed="81"/>
            <rFont val="Tahoma"/>
            <family val="2"/>
          </rPr>
          <t>Amit Kanudia:</t>
        </r>
        <r>
          <rPr>
            <sz val="8"/>
            <color indexed="81"/>
            <rFont val="Tahoma"/>
            <family val="2"/>
          </rPr>
          <t xml:space="preserve">
Needed only when one wants to override the VEDA default assignment
</t>
        </r>
      </text>
    </comment>
    <comment ref="AA11" authorId="2" shapeId="0" xr:uid="{E9BC5B97-DF81-4E57-B9B0-9807B93B2794}">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T12" authorId="2" shapeId="0" xr:uid="{2ACC1722-ED54-48EB-A971-DC0C2C3ED4ED}">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N2" authorId="0" shapeId="0" xr:uid="{ADF2CCBB-16E6-45CD-A713-FBBD1889A986}">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R2" authorId="1" shapeId="0" xr:uid="{AF95B491-7977-4497-AB9C-089152BEF40F}">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S2" authorId="2" shapeId="0" xr:uid="{6074B6B0-AFFC-43FC-B130-004830CF8542}">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T2" authorId="2" shapeId="0" xr:uid="{B37E7FBD-DDAA-41B3-A58C-8942BD8FEB77}">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U2" authorId="2" shapeId="0" xr:uid="{601A09BF-F897-4386-8362-681937C76B0D}">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S11" authorId="2" shapeId="0" xr:uid="{0CE5580E-D102-422A-A610-DC9B97E5D490}">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T11" authorId="1" shapeId="0" xr:uid="{E82C717C-E505-4F1D-B655-F86A6B1C1C30}">
      <text>
        <r>
          <rPr>
            <b/>
            <sz val="8"/>
            <color indexed="81"/>
            <rFont val="Tahoma"/>
            <family val="2"/>
          </rPr>
          <t>Amit Kanudia:</t>
        </r>
        <r>
          <rPr>
            <sz val="8"/>
            <color indexed="81"/>
            <rFont val="Tahoma"/>
            <family val="2"/>
          </rPr>
          <t xml:space="preserve">
Needed only when one wants to override the VEDA default assignment
</t>
        </r>
      </text>
    </comment>
    <comment ref="U11" authorId="2" shapeId="0" xr:uid="{083F07B5-F5B1-4600-9D2B-04FB174FD1E5}">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N12" authorId="2" shapeId="0" xr:uid="{143068F9-0113-4181-A217-838EA065DEFF}">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U2" authorId="0" shapeId="0" xr:uid="{A6402CFD-ABF4-40ED-A3D3-A9A8F3B7D366}">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Y2" authorId="1" shapeId="0" xr:uid="{7FA7E34F-7062-453E-91D7-3B339C084118}">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Z2" authorId="2" shapeId="0" xr:uid="{30B27C57-D38B-4D13-8D69-6ABF3618F57F}">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AA2" authorId="2" shapeId="0" xr:uid="{2A694D00-668C-4063-B172-E0F74DBB289B}">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AB2" authorId="2" shapeId="0" xr:uid="{5CCBBF79-3EF5-4C06-AC02-FDB579916106}">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D11" authorId="2" shapeId="0" xr:uid="{636809CA-3F14-4FB1-94D6-A6782303D9FD}">
      <text>
        <r>
          <rPr>
            <sz val="8"/>
            <color indexed="81"/>
            <rFont val="Tahoma"/>
            <family val="2"/>
          </rPr>
          <t>Comm-IN-A 
indicates an auxillary input, thus not consider with respect the efficiency</t>
        </r>
      </text>
    </comment>
    <comment ref="G11" authorId="2" shapeId="0" xr:uid="{46D8C1A9-40C8-4DCA-956E-2F87A36AE8E6}">
      <text>
        <r>
          <rPr>
            <sz val="8"/>
            <color indexed="81"/>
            <rFont val="Tahoma"/>
            <family val="2"/>
          </rPr>
          <t>Comm-OUT-A 
indicates an auxillary output, thus not consider with respect the efficiency</t>
        </r>
      </text>
    </comment>
    <comment ref="Z11" authorId="2" shapeId="0" xr:uid="{558131A1-1258-461F-96BC-EF2B8A93DBC1}">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AA11" authorId="1" shapeId="0" xr:uid="{A8757F78-7F62-4092-ABDC-1118DD8C99F2}">
      <text>
        <r>
          <rPr>
            <b/>
            <sz val="8"/>
            <color indexed="81"/>
            <rFont val="Tahoma"/>
            <family val="2"/>
          </rPr>
          <t>Amit Kanudia:</t>
        </r>
        <r>
          <rPr>
            <sz val="8"/>
            <color indexed="81"/>
            <rFont val="Tahoma"/>
            <family val="2"/>
          </rPr>
          <t xml:space="preserve">
Needed only when one wants to override the VEDA default assignment
</t>
        </r>
      </text>
    </comment>
    <comment ref="AB11" authorId="2" shapeId="0" xr:uid="{FAE08752-21CC-4DB8-8EB3-EDF6760EF183}">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U12" authorId="2" shapeId="0" xr:uid="{D40D6502-4D50-4582-A809-D855A89399F9}">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Z6" authorId="0" shapeId="0" xr:uid="{9064B1EF-4181-49FE-97FD-40FDD4F8A73E}">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AD6" authorId="1" shapeId="0" xr:uid="{6C0409B5-427E-45F0-95DD-7A9B2E09FC3E}">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AE6" authorId="2" shapeId="0" xr:uid="{040A1B0C-7CA7-4A7F-B9A0-06D3D9D8B21E}">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AF6" authorId="2" shapeId="0" xr:uid="{E52D6606-E3EF-4BFA-9029-0D4ADA83755A}">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AG6" authorId="2" shapeId="0" xr:uid="{1ABCBB29-C8DF-4D89-85E6-73289556AAC3}">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F10" authorId="2" shapeId="0" xr:uid="{87C7E097-3802-4A32-8158-5387EBA81529}">
      <text>
        <r>
          <rPr>
            <sz val="8"/>
            <color indexed="81"/>
            <rFont val="Tahoma"/>
            <family val="2"/>
          </rPr>
          <t>Comm-IN-A 
indicates an auxillary input, thus not consider with respect the efficiency</t>
        </r>
      </text>
    </comment>
    <comment ref="I10" authorId="2" shapeId="0" xr:uid="{2E7A114D-FC95-4F73-A2E0-C7CA803028C0}">
      <text>
        <r>
          <rPr>
            <sz val="8"/>
            <color indexed="81"/>
            <rFont val="Tahoma"/>
            <family val="2"/>
          </rPr>
          <t>Comm-OUT-A 
indicates an auxillary output, thus not consider with respect the efficiency</t>
        </r>
      </text>
    </comment>
    <comment ref="AE14" authorId="2" shapeId="0" xr:uid="{526A278D-8C5C-45E3-8CA4-CDEA9C6D2232}">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AF14" authorId="1" shapeId="0" xr:uid="{BC49FD68-7126-4D77-8431-8526388D3553}">
      <text>
        <r>
          <rPr>
            <b/>
            <sz val="8"/>
            <color indexed="81"/>
            <rFont val="Tahoma"/>
            <family val="2"/>
          </rPr>
          <t>Amit Kanudia:</t>
        </r>
        <r>
          <rPr>
            <sz val="8"/>
            <color indexed="81"/>
            <rFont val="Tahoma"/>
            <family val="2"/>
          </rPr>
          <t xml:space="preserve">
Needed only when one wants to override the VEDA default assignment
</t>
        </r>
      </text>
    </comment>
    <comment ref="AG14" authorId="2" shapeId="0" xr:uid="{7F564920-51CA-418D-A986-2B61823EBE56}">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Z15" authorId="2" shapeId="0" xr:uid="{D25D000B-D9AD-4F14-ACB4-4C3BB844D07B}">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Y4" authorId="0" shapeId="0" xr:uid="{5D01F045-EEEF-4AE8-8874-3B7829275A19}">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AC4" authorId="1" shapeId="0" xr:uid="{ED4439B1-469B-47C9-AB09-AF6BA2C79E31}">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AD4" authorId="2" shapeId="0" xr:uid="{489194F3-2B27-4B9A-9DA4-7B7A0D48D3CB}">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AE4" authorId="2" shapeId="0" xr:uid="{CAFC806F-F1F4-430A-A1B7-143085EEFA53}">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AF4" authorId="2" shapeId="0" xr:uid="{603222CC-5B8B-4270-94BE-0D9651C46A78}">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E8" authorId="2" shapeId="0" xr:uid="{CE471573-F9F0-4CE3-9F14-BE8E551956B3}">
      <text>
        <r>
          <rPr>
            <sz val="8"/>
            <color indexed="81"/>
            <rFont val="Tahoma"/>
            <family val="2"/>
          </rPr>
          <t>Comm-IN-A 
indicates an auxillary input, thus not consider with respect the efficiency</t>
        </r>
      </text>
    </comment>
    <comment ref="H8" authorId="2" shapeId="0" xr:uid="{3BDB7A24-2CBE-4811-B6CF-C92422085EFF}">
      <text>
        <r>
          <rPr>
            <sz val="8"/>
            <color indexed="81"/>
            <rFont val="Tahoma"/>
            <family val="2"/>
          </rPr>
          <t>Comm-OUT-A 
indicates an auxillary output, thus not consider with respect the efficiency</t>
        </r>
      </text>
    </comment>
    <comment ref="AD12" authorId="2" shapeId="0" xr:uid="{7DFA85FC-55C1-44FF-A2CF-B5845F87CFC2}">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AE12" authorId="1" shapeId="0" xr:uid="{C0879A57-9143-4977-BDEC-F1FAE919D8D5}">
      <text>
        <r>
          <rPr>
            <b/>
            <sz val="8"/>
            <color indexed="81"/>
            <rFont val="Tahoma"/>
            <family val="2"/>
          </rPr>
          <t>Amit Kanudia:</t>
        </r>
        <r>
          <rPr>
            <sz val="8"/>
            <color indexed="81"/>
            <rFont val="Tahoma"/>
            <family val="2"/>
          </rPr>
          <t xml:space="preserve">
Needed only when one wants to override the VEDA default assignment
</t>
        </r>
      </text>
    </comment>
    <comment ref="AF12" authorId="2" shapeId="0" xr:uid="{11569F15-93CD-4AB8-9BAC-485800FF5414}">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Y13" authorId="2" shapeId="0" xr:uid="{0317FC37-88CA-4632-9A53-081F338CE702}">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AB6" authorId="0" shapeId="0" xr:uid="{EDCA2BB4-69D8-4450-BB81-D096AA2EF6BA}">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AF6" authorId="1" shapeId="0" xr:uid="{F0D135C0-4B93-431F-84D0-B0261A1A0C96}">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AG6" authorId="2" shapeId="0" xr:uid="{27B2C293-BAAA-49AC-B62B-531753BF162A}">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AH6" authorId="2" shapeId="0" xr:uid="{35FA938F-C322-494B-BDF4-50391A9DC4F8}">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AI6" authorId="2" shapeId="0" xr:uid="{19D8061A-B828-4785-ADFD-7FEA62095FD4}">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H10" authorId="2" shapeId="0" xr:uid="{D475D9A1-62C2-44BA-A4D0-F33D162C2853}">
      <text>
        <r>
          <rPr>
            <sz val="8"/>
            <color indexed="81"/>
            <rFont val="Tahoma"/>
            <family val="2"/>
          </rPr>
          <t>Comm-IN-A 
indicates an auxillary input, thus not consider with respect the efficiency</t>
        </r>
      </text>
    </comment>
    <comment ref="K10" authorId="2" shapeId="0" xr:uid="{7C05F489-C8F6-4BB1-89FF-3C741E8B7157}">
      <text>
        <r>
          <rPr>
            <sz val="8"/>
            <color indexed="81"/>
            <rFont val="Tahoma"/>
            <family val="2"/>
          </rPr>
          <t>Comm-OUT-A 
indicates an auxillary output, thus not consider with respect the efficiency</t>
        </r>
      </text>
    </comment>
    <comment ref="AG14" authorId="2" shapeId="0" xr:uid="{B04CBFE5-DB74-48BF-9EFC-B2806DF312FE}">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AH14" authorId="1" shapeId="0" xr:uid="{C2DD4B2D-C81D-44F6-9864-2CBB33680D74}">
      <text>
        <r>
          <rPr>
            <b/>
            <sz val="8"/>
            <color indexed="81"/>
            <rFont val="Tahoma"/>
            <family val="2"/>
          </rPr>
          <t>Amit Kanudia:</t>
        </r>
        <r>
          <rPr>
            <sz val="8"/>
            <color indexed="81"/>
            <rFont val="Tahoma"/>
            <family val="2"/>
          </rPr>
          <t xml:space="preserve">
Needed only when one wants to override the VEDA default assignment
</t>
        </r>
      </text>
    </comment>
    <comment ref="AI14" authorId="2" shapeId="0" xr:uid="{C5AEBD6E-E29F-4EAF-9DB6-314358FB3F31}">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AB15" authorId="2" shapeId="0" xr:uid="{482CE9B3-6712-4F3A-BB18-6983C9CD3A20}">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sharedStrings.xml><?xml version="1.0" encoding="utf-8"?>
<sst xmlns="http://schemas.openxmlformats.org/spreadsheetml/2006/main" count="2192" uniqueCount="631">
  <si>
    <t>CommName</t>
  </si>
  <si>
    <t>TechName</t>
  </si>
  <si>
    <t>TechDesc</t>
  </si>
  <si>
    <t>CommDesc</t>
  </si>
  <si>
    <t>Unit</t>
  </si>
  <si>
    <t>Comm-IN</t>
  </si>
  <si>
    <t>Comm-OUT</t>
  </si>
  <si>
    <t>Csets</t>
  </si>
  <si>
    <t>LimType</t>
  </si>
  <si>
    <t>CTSLvl</t>
  </si>
  <si>
    <t>PeakTS</t>
  </si>
  <si>
    <t>Sets</t>
  </si>
  <si>
    <t>Ctype</t>
  </si>
  <si>
    <t>~FI_T</t>
  </si>
  <si>
    <t>~FI_Comm</t>
  </si>
  <si>
    <t>~FI_Process</t>
  </si>
  <si>
    <t>Tact</t>
  </si>
  <si>
    <t>Tcap</t>
  </si>
  <si>
    <t>Tslvl</t>
  </si>
  <si>
    <t>PrimaryCG</t>
  </si>
  <si>
    <t>Vintage</t>
  </si>
  <si>
    <t>Technology Name</t>
  </si>
  <si>
    <t>Technology Description</t>
  </si>
  <si>
    <t>Activity Unit</t>
  </si>
  <si>
    <t>Capacity Unit</t>
  </si>
  <si>
    <t>Vintage Tracking</t>
  </si>
  <si>
    <t>Commodity Name</t>
  </si>
  <si>
    <t>Commodity Description</t>
  </si>
  <si>
    <t>Peak Monitoring</t>
  </si>
  <si>
    <t>Electricity Indicator</t>
  </si>
  <si>
    <t>Region</t>
  </si>
  <si>
    <t>Region Name</t>
  </si>
  <si>
    <t>Input Commodity</t>
  </si>
  <si>
    <t>Output Commodity</t>
  </si>
  <si>
    <t>*Commodity Set Membership</t>
  </si>
  <si>
    <t>*Process Set Membership</t>
  </si>
  <si>
    <t>*Technology Name</t>
  </si>
  <si>
    <t>Sense of the Balance EQN.</t>
  </si>
  <si>
    <t>Timeslice Level</t>
  </si>
  <si>
    <t>Primary Commodity Group</t>
  </si>
  <si>
    <t>TimeSlice level of Process Activity</t>
  </si>
  <si>
    <t>ELC</t>
  </si>
  <si>
    <t>MIN</t>
  </si>
  <si>
    <t>EXP</t>
  </si>
  <si>
    <t>NRG</t>
  </si>
  <si>
    <t>PJ</t>
  </si>
  <si>
    <t>LIFE</t>
  </si>
  <si>
    <t>*</t>
  </si>
  <si>
    <t>INVCOST</t>
  </si>
  <si>
    <t>FIXOM</t>
  </si>
  <si>
    <t>EFF</t>
  </si>
  <si>
    <t>Electricity</t>
  </si>
  <si>
    <t>Efficiency</t>
  </si>
  <si>
    <t>*Units</t>
  </si>
  <si>
    <t>Years</t>
  </si>
  <si>
    <t>Fixed O&amp;M Cost</t>
  </si>
  <si>
    <t>Invesctment Cost</t>
  </si>
  <si>
    <t>AFA</t>
  </si>
  <si>
    <t>E</t>
  </si>
  <si>
    <t>N</t>
  </si>
  <si>
    <t>PRE</t>
  </si>
  <si>
    <t>Year</t>
  </si>
  <si>
    <t>GW</t>
  </si>
  <si>
    <t>ELE</t>
  </si>
  <si>
    <t>VAROM</t>
  </si>
  <si>
    <t>Variable O&amp;M Cost</t>
  </si>
  <si>
    <t>Capacity to Activity Factor</t>
  </si>
  <si>
    <t>C</t>
  </si>
  <si>
    <t>START</t>
  </si>
  <si>
    <t>Lifetime</t>
  </si>
  <si>
    <t>CAP2ACT</t>
  </si>
  <si>
    <t>Technology</t>
  </si>
  <si>
    <t>Hydrogen production via alkaline electrolysis (AEC) for 100MW plant</t>
  </si>
  <si>
    <t>Uncertainty (2020)</t>
  </si>
  <si>
    <t>Uncertainty (2050)</t>
  </si>
  <si>
    <t>Note</t>
  </si>
  <si>
    <t>Ref</t>
  </si>
  <si>
    <t>Energy/technical data</t>
  </si>
  <si>
    <t>Lower</t>
  </si>
  <si>
    <t>Upper</t>
  </si>
  <si>
    <t>Typical total plant size (MW input_e)</t>
  </si>
  <si>
    <t>Typical total plant size (kgH2 / day of max output)</t>
  </si>
  <si>
    <t>L, E</t>
  </si>
  <si>
    <t>- Inputs</t>
  </si>
  <si>
    <t>Electricity (% total input (MWh / MWh))</t>
  </si>
  <si>
    <t>Water for electrolysis (kg / MWh input_e)</t>
  </si>
  <si>
    <t>- Outputs</t>
  </si>
  <si>
    <t>Hydrogen (% total input_e (MWh / MWh))</t>
  </si>
  <si>
    <t>B</t>
  </si>
  <si>
    <t>[24]</t>
  </si>
  <si>
    <t>ΔE from HHV to LHV (% total input_e (MWh / MWh))</t>
  </si>
  <si>
    <t>Heat loss (% total input_e (MWh / MWh))</t>
  </si>
  <si>
    <t xml:space="preserve"> - hereof unrecoverable heat loss (%-points of heat loss)</t>
  </si>
  <si>
    <t>A</t>
  </si>
  <si>
    <t xml:space="preserve"> - hereof recoverable for district heating (%-points of heat loss)</t>
  </si>
  <si>
    <t>K</t>
  </si>
  <si>
    <t>Hydrogen (kg / MWh input_e)</t>
  </si>
  <si>
    <t>Forced outage (%)</t>
  </si>
  <si>
    <t>Planned outage (days per year)</t>
  </si>
  <si>
    <t>Technical lifetime (years)</t>
  </si>
  <si>
    <t>C, J</t>
  </si>
  <si>
    <t>[27]</t>
  </si>
  <si>
    <t>Construction time (years)</t>
  </si>
  <si>
    <t>C, O</t>
  </si>
  <si>
    <t xml:space="preserve">Financial data (2020 price level)                                </t>
  </si>
  <si>
    <t>Specific investment (€ / kW of total input_e)</t>
  </si>
  <si>
    <t>D, I</t>
  </si>
  <si>
    <t>Specific investment (€ / kgH2 / day of max output)</t>
  </si>
  <si>
    <t>E, I, L</t>
  </si>
  <si>
    <t xml:space="preserve"> - hereof equipment (%)</t>
  </si>
  <si>
    <t>F</t>
  </si>
  <si>
    <t xml:space="preserve"> - hereof installation (%)</t>
  </si>
  <si>
    <t xml:space="preserve">Fixed O&amp;M (% of specific investment / year) </t>
  </si>
  <si>
    <t>G, I, J</t>
  </si>
  <si>
    <t>[26]</t>
  </si>
  <si>
    <t>Variable O&amp;M (€ / kWh of total input)</t>
  </si>
  <si>
    <t>-</t>
  </si>
  <si>
    <t>M</t>
  </si>
  <si>
    <t>Startup cost (€ / kW of total input per startup)</t>
  </si>
  <si>
    <t xml:space="preserve">Technology specific data                                 </t>
  </si>
  <si>
    <r>
      <t>Current Density (A / cm</t>
    </r>
    <r>
      <rPr>
        <vertAlign val="superscript"/>
        <sz val="8"/>
        <rFont val="Arial"/>
        <family val="2"/>
      </rPr>
      <t>2</t>
    </r>
    <r>
      <rPr>
        <sz val="8"/>
        <rFont val="Arial"/>
        <family val="2"/>
      </rPr>
      <t>)</t>
    </r>
  </si>
  <si>
    <t>H</t>
  </si>
  <si>
    <t>[21]</t>
  </si>
  <si>
    <r>
      <t>Footprint (m</t>
    </r>
    <r>
      <rPr>
        <vertAlign val="superscript"/>
        <sz val="8"/>
        <rFont val="Arial"/>
        <family val="2"/>
      </rPr>
      <t>2</t>
    </r>
    <r>
      <rPr>
        <vertAlign val="superscript"/>
        <sz val="10"/>
        <rFont val="Arial"/>
        <family val="2"/>
      </rPr>
      <t xml:space="preserve"> </t>
    </r>
    <r>
      <rPr>
        <sz val="10"/>
        <rFont val="Arial"/>
        <family val="2"/>
      </rPr>
      <t>/ MW input_e</t>
    </r>
    <r>
      <rPr>
        <sz val="8"/>
        <rFont val="Arial"/>
        <family val="2"/>
      </rPr>
      <t>)</t>
    </r>
  </si>
  <si>
    <t>Notes:</t>
  </si>
  <si>
    <t>3% of the energy is estimated to be unrecoverable for large plants.</t>
  </si>
  <si>
    <t>Values are from Table 5 in IEA [24], Today is understood as 2020, Long-term is understood as 2050 and the value selected is the mid of the range given.</t>
  </si>
  <si>
    <t>According to the Green Hydrogen Systems.</t>
  </si>
  <si>
    <t>D</t>
  </si>
  <si>
    <t>CAPEX values from interviews with GHS, Everfuel and NEL and reports from IEA [24], HyEurope [21] and IRENA [24]. The values in the datasheet correspond to a fitted curve see figure 6 in the catalogue. For IEA today is taken to be 2020, Long term is taken to be 2050 and values is the middle of the range given.</t>
  </si>
  <si>
    <t>For the unit regarding "day" a 100% load factor is assummed here (Where the system is operated at nominal capacity all 24 hours of the day). In operation the daily fullload hours may vary and should therefor be adjusted for.</t>
  </si>
  <si>
    <t>These are rough estimates based on operational AEC systems as provided by the Green Hydrogen Systems.</t>
  </si>
  <si>
    <t>G</t>
  </si>
  <si>
    <t>O&amp;M is estimated as 2% of CAPEX for large systems. According to the 2-5% given for large to small scale systems from [26].</t>
  </si>
  <si>
    <t>The values are predicted until 2050 with a high margin of uncertainty.</t>
  </si>
  <si>
    <t>I</t>
  </si>
  <si>
    <t>The CAPEX includes all components required for converting 400VAC electricity and purified water into H2 gas at 35 bar and a waste heat stream at 50 °C. CAPEX does not include transformer, water purifier, heat pumps for increasing the temperature of waste heat stream or compressors for increasing the pressure of H2 further than 35 bar. The tariffs, capacity payments and network connection fees to DSO / TSO are not contained in CAPEX nor in O&amp;M</t>
  </si>
  <si>
    <t>J</t>
  </si>
  <si>
    <t>The lifetime of current AEC stacks is more than 100 000 hours according to Green Hydrogen Systems. Assuming that the facility is run for 4000h pr year, the stacks do not need replacement in the technical lifetime. If the full load hours exceed the 100 000h lifetime, then the stack replacement cost will be 30% of the CAPEX cost of a new system in the year of replacement. Everfuel gives a stack replacement of 30% of CAPEX and GHS informs that 30% of current CAPEX is stack cost. The cost of replacing the stack is not included in fixed O&amp;M.</t>
  </si>
  <si>
    <t>50 °C (expected to increase to 70°C, by 2024)</t>
  </si>
  <si>
    <t>L</t>
  </si>
  <si>
    <t>Maximum hydrogen output per day, assuming 24 hours of full load operation in a day.</t>
  </si>
  <si>
    <t>The price of the input streams (water and electric energy), has not been estimated.</t>
  </si>
  <si>
    <t>The HHV electorlyser efficiency can be calculated as the sum of the rows: "ΔE from HHV to LHV" and "Hydrogen".</t>
  </si>
  <si>
    <t>O</t>
  </si>
  <si>
    <t>From the time of purchase to finished construction</t>
  </si>
  <si>
    <t>References:</t>
  </si>
  <si>
    <t>H. Europe, “Strategic research and innovation agenda for lightweight,” no. July, p. 157, 2020.</t>
  </si>
  <si>
    <t>“The Future of Hydrogen,” Futur. Hydrog., no. June, 2019, doi: 10.1787/1e0514c4-en.</t>
  </si>
  <si>
    <t>“Development of Water Electrolysis in the European Union | www.fch.europa.eu.” https://www.fch.europa.eu/node/783 (accessed Dec. 17, 2020).</t>
  </si>
  <si>
    <t>J. Ivy, “Summary of electrolytic hydrogen production,” Small, no. September, p. 27, 2004, [Online]. Available: http://www.nrel.gov/docs/fy04osti/35948.pdf.</t>
  </si>
  <si>
    <t>M€/GW</t>
  </si>
  <si>
    <t>(Act Unit/Cap Unit)</t>
  </si>
  <si>
    <t>ELCWIN</t>
  </si>
  <si>
    <t>ELCRNWIN01</t>
  </si>
  <si>
    <t>WIN</t>
  </si>
  <si>
    <t>H2GC</t>
  </si>
  <si>
    <t>Hydrogen from Central production</t>
  </si>
  <si>
    <t>SUPH2ALKC2N</t>
  </si>
  <si>
    <t>Alkaline Electrolyzer Cell Centralized</t>
  </si>
  <si>
    <t>EXHHETC</t>
  </si>
  <si>
    <t/>
  </si>
  <si>
    <t>Comm-OUT-A</t>
  </si>
  <si>
    <t>Input</t>
  </si>
  <si>
    <t>Output</t>
  </si>
  <si>
    <t>AFA~LO</t>
  </si>
  <si>
    <t>Life</t>
  </si>
  <si>
    <t>\I:Technology Name</t>
  </si>
  <si>
    <t>Auxiliary Output Commodity</t>
  </si>
  <si>
    <t>Fuel input level</t>
  </si>
  <si>
    <t>Fuel Output level</t>
  </si>
  <si>
    <t>Annual Availability Factor</t>
  </si>
  <si>
    <t>Lifetime of Process</t>
  </si>
  <si>
    <t>Investment Cost</t>
  </si>
  <si>
    <t>\I: Units</t>
  </si>
  <si>
    <t xml:space="preserve">PJ out H2/PJ in </t>
  </si>
  <si>
    <t>PJ/PJ H2</t>
  </si>
  <si>
    <t>years</t>
  </si>
  <si>
    <t>DELH2GC</t>
  </si>
  <si>
    <t>Delivery of H2 to refuelling stations (including gas compression) from centralized prod</t>
  </si>
  <si>
    <t>H2</t>
  </si>
  <si>
    <t xml:space="preserve">Hydrogen </t>
  </si>
  <si>
    <t>From H2GC production to H2 e.g. Deliver</t>
  </si>
  <si>
    <r>
      <t>Typical total plant size</t>
    </r>
    <r>
      <rPr>
        <sz val="8"/>
        <rFont val="Calibri"/>
        <family val="2"/>
        <scheme val="minor"/>
      </rPr>
      <t>, TPD</t>
    </r>
  </si>
  <si>
    <t>Distribution losses reported</t>
  </si>
  <si>
    <t>High estimate</t>
  </si>
  <si>
    <t>TJ</t>
  </si>
  <si>
    <t>[1]</t>
  </si>
  <si>
    <t>MJ/kg</t>
  </si>
  <si>
    <t>loss from natural gas</t>
  </si>
  <si>
    <t>t CH4 loss</t>
  </si>
  <si>
    <t>t CO2e</t>
  </si>
  <si>
    <t>[3]</t>
  </si>
  <si>
    <t>Operation capacity</t>
  </si>
  <si>
    <t>20-100%</t>
  </si>
  <si>
    <t>[2]</t>
  </si>
  <si>
    <t>F, I, J</t>
  </si>
  <si>
    <t>N.A.</t>
  </si>
  <si>
    <t>Specific investment mark-up factor optional ASU</t>
  </si>
  <si>
    <t>F, I</t>
  </si>
  <si>
    <t>A: Typical NH₃ plant size based on H2 supply from 100 MWe electrolyzer for 2020.</t>
  </si>
  <si>
    <t>B: Assume 98% efficiency with respect to mass of the ammonia synthesis</t>
  </si>
  <si>
    <t>C: Assumption of higher pressure electrolysis available in the future, requiring lower compression power. A green ammonia plant that contains a dedicated ASU for nitrogen production will have additional power requirements, cf. chapter 3.3</t>
  </si>
  <si>
    <t>D: Steam at up to 350°C may be produced by NH₃ synthesis</t>
  </si>
  <si>
    <t>F: Specific investment of green NH₃ plant (excl. electrolysis, excl. ASU, NH₃ storage and utilities) is estimated as 54% of conventional NH₃ plant based on NG. Cost is decreasing with time mainly because of scale effect (increasing plant size). To add the cost of an ASU a multiplication factor of 1.06-1.09 should be applied to the total Specific Investment (both entries in Financial Data and Technology-specific data) as a rule of thumb.</t>
  </si>
  <si>
    <t>G: Fixed O&amp;M is taken as 3% of CAPEX</t>
  </si>
  <si>
    <t>H: Variable O&amp;M estimated as cost for catalyst replacement and misc. consumables</t>
  </si>
  <si>
    <t>I: Financial data is given in 2015-€ as in the other datasheets (and in contrast to Figure 9-2, which is showing the corresponding cost in 2019-€)</t>
  </si>
  <si>
    <t>J: Cost projection is considering economy of scale only and does not consider further technical development, due to the maturity of ammonia synthesis. In case capacities are expected for other years than shown in the datasheet, one should use the corresponding cost data of the respective capacity instead of the cost data for a given year. See also Figure 16 in the chapter.</t>
  </si>
  <si>
    <t>[1]    Based on calculated mass and energy balance</t>
  </si>
  <si>
    <t>[2]    Based on normal operation ranges for instrumentations and rotating equipment. Lower capacity range is possible but it is normally expensive as spare insturmentation and rotating equipment is required</t>
  </si>
  <si>
    <t>[3]    Based on collected data, i.e. based on several sources, as specified in the qualitative section</t>
  </si>
  <si>
    <t>AMM</t>
  </si>
  <si>
    <t>Ammonia</t>
  </si>
  <si>
    <t>SUPELCAMM01</t>
  </si>
  <si>
    <t>Ammonia (liquid) by electrolysis technology - Central</t>
  </si>
  <si>
    <t>Comm-IN-A</t>
  </si>
  <si>
    <t>Auxiliary Input Commodity</t>
  </si>
  <si>
    <t>Technical Efficiency</t>
  </si>
  <si>
    <t xml:space="preserve">PJ out/PJ in </t>
  </si>
  <si>
    <t>PJ/PJ out</t>
  </si>
  <si>
    <t>Factor</t>
  </si>
  <si>
    <t xml:space="preserve"> MEUR /PJ H2/year</t>
  </si>
  <si>
    <t xml:space="preserve"> MEUR /PJ H2</t>
  </si>
  <si>
    <t>DAYNITE</t>
  </si>
  <si>
    <t>EXPELC</t>
  </si>
  <si>
    <t>Export of Electricity</t>
  </si>
  <si>
    <t>EXPH2</t>
  </si>
  <si>
    <t>EXPAMM</t>
  </si>
  <si>
    <t>Export of Hydrogen</t>
  </si>
  <si>
    <t>Export of Ammonia</t>
  </si>
  <si>
    <t>PJ/GW</t>
  </si>
  <si>
    <t xml:space="preserve"> Meur/GW H2</t>
  </si>
  <si>
    <t xml:space="preserve"> Meur /PJ H2</t>
  </si>
  <si>
    <t xml:space="preserve"> Meur/GW H2/year</t>
  </si>
  <si>
    <t>M€ /GW</t>
  </si>
  <si>
    <t>M€ /PJ</t>
  </si>
  <si>
    <t>Pja</t>
  </si>
  <si>
    <t>Wind</t>
  </si>
  <si>
    <t>PRC_CAPACT</t>
  </si>
  <si>
    <t>Wind (ELC)</t>
  </si>
  <si>
    <t>AF</t>
  </si>
  <si>
    <t>Availability factor</t>
  </si>
  <si>
    <t>%</t>
  </si>
  <si>
    <t>YES</t>
  </si>
  <si>
    <t>TimeSlice level</t>
  </si>
  <si>
    <t>FX</t>
  </si>
  <si>
    <t xml:space="preserve">Lifetime </t>
  </si>
  <si>
    <t>ANNUAL</t>
  </si>
  <si>
    <t>IMP</t>
  </si>
  <si>
    <t>IMPCCC</t>
  </si>
  <si>
    <t>CCC</t>
  </si>
  <si>
    <t>Dummy Costs to allow for Profit analysis</t>
  </si>
  <si>
    <t>Import of CCC</t>
  </si>
  <si>
    <t>DEM</t>
  </si>
  <si>
    <t>DMD</t>
  </si>
  <si>
    <t>DEMCCC</t>
  </si>
  <si>
    <t>DMDCCC</t>
  </si>
  <si>
    <t>Demand of CCC</t>
  </si>
  <si>
    <t>Demand CCC</t>
  </si>
  <si>
    <t>NCAP_AFA</t>
  </si>
  <si>
    <t>CAPACT</t>
  </si>
  <si>
    <t>COM_PROJ~2020</t>
  </si>
  <si>
    <t>COM_PROJ~0</t>
  </si>
  <si>
    <t>PJa</t>
  </si>
  <si>
    <t>Attribute</t>
  </si>
  <si>
    <t>REG1</t>
  </si>
  <si>
    <t>COST</t>
  </si>
  <si>
    <t>M€/PJ</t>
  </si>
  <si>
    <t>M€/GW/a</t>
  </si>
  <si>
    <t>Hydrogen production via solid oxide electrolysis (SOEC) for 1MW plant</t>
  </si>
  <si>
    <t>Typical total plant size (MW input)</t>
  </si>
  <si>
    <t>Heat (% total input (MWh / MWh))</t>
  </si>
  <si>
    <t>Water for electrolysis (kg / MWh input)</t>
  </si>
  <si>
    <t>B, D</t>
  </si>
  <si>
    <t>ΔE from HHV to LHV (% total input (MWh / MWh))</t>
  </si>
  <si>
    <t>Heat loss (% total input (MWh / MWh))</t>
  </si>
  <si>
    <t>Hydrogen (kg / MWh input)</t>
  </si>
  <si>
    <t>Construction time (months)</t>
  </si>
  <si>
    <t xml:space="preserve">Financial data (2020 price level)                                 </t>
  </si>
  <si>
    <t>D, G</t>
  </si>
  <si>
    <t>D, G, E</t>
  </si>
  <si>
    <t>E, G, I</t>
  </si>
  <si>
    <t>Technology specific data</t>
  </si>
  <si>
    <t>Input from Haldor Topsoe</t>
  </si>
  <si>
    <t>The efficiencies are assumed to be system efficiencies. IEA gives the values as electric efficiencies, however the references of IEA gives both system efficiencies and electric efficiencies. See for instance Buttler and Spliethoff (2018), "Current status of water electrolysis for energy storage, grid balancing and
sector coupling via power-to-gas and power-to-liquids: A review". This assumption adds significant uncertainty to these values. However no good alternative was found.</t>
  </si>
  <si>
    <t>Values are from Table 5 in IEA [24], Today is understood as 2020, Long-term is understood as 2050 and the value selected is the mid of the range given. For conversion a conversion of 0.85€/$ was used.</t>
  </si>
  <si>
    <t>O&amp;M is estimated as 12% of CAPEX. 5%-point is for small systems, according to the 2-5% given for large to small scale systems from [26]. 7%-points is the estimated stack replacement cost. Ceres Power gives a stack replacement cost of 20% of CAPEX. At about 6000 full load hours per year, stacks are likely to be replaced every three and a third years.</t>
  </si>
  <si>
    <t>The price of the input streams (steam and electric energy), has not been estimated.</t>
  </si>
  <si>
    <t>The CAPEX includes all components required for converting 400VAC electricity and purified water into H2 gas at 35 bar. CAPEX does not include transformer, water purifier or compressors for increasing the pressure of H2 further than 35 bar. The tariffs, capacity payments and network connection fees to DSO / TSO are not contained in CAPEX nor in O&amp;M</t>
  </si>
  <si>
    <t>The lifetime of current SOEC stacks is about 20000 hours and is expected to increase in the future [24], and is expected to increase in the future</t>
  </si>
  <si>
    <t>Hydrogen production via PEM electrolysis for 100MW plant</t>
  </si>
  <si>
    <t>According to the Green Hydrogen Systems (GHS).</t>
  </si>
  <si>
    <t>CAPEX values from interviews with GHS and Siemens and reports from IEA [24], HyEurope [21] and IRENA [24]. The values in the datasheet correspond to a fitted curve see figure 6 in the catalogue. For IEA today is taken to be 2020, Long term is taken to be 2050 and values is the middle of the range given.</t>
  </si>
  <si>
    <t>These are rough estimates based on existing systems according to GHS.</t>
  </si>
  <si>
    <t>O&amp;M is estimated as 4% of CAPEX. 2%-point is for small systems, according to the 2-5% given for large to small scale systems from [26]. 2%-points is the estimated stack replacement cost. Everfuel and GHS reports that the 30% of CAPEX is stack cost. At about 4000 full load hours per year, stacks are likely to be replaced twice during the technical lifetime.</t>
  </si>
  <si>
    <t>This value is fixed due to no increase in research in increasing the pressure of PEMEC systems.</t>
  </si>
  <si>
    <t>The lifetime of current PEMEC stacks is more than 25000 hours and in the future it could be more than 50000 hours according to Green Hydrogen Systems.</t>
  </si>
  <si>
    <t>75</t>
  </si>
  <si>
    <t>Offshore wind turbines - renewable power - wind - large</t>
  </si>
  <si>
    <t>year</t>
  </si>
  <si>
    <t>est</t>
  </si>
  <si>
    <t>ctrl</t>
  </si>
  <si>
    <t>lower</t>
  </si>
  <si>
    <t>upper</t>
  </si>
  <si>
    <t>cat</t>
  </si>
  <si>
    <t>par</t>
  </si>
  <si>
    <t>Generating capacity for one unit [MW_e]</t>
  </si>
  <si>
    <t>1, 2</t>
  </si>
  <si>
    <t>Forced outage []</t>
  </si>
  <si>
    <t>Planned outage [weeks per year]</t>
  </si>
  <si>
    <t>Technical lifetime [years]</t>
  </si>
  <si>
    <t>Construction time [years]</t>
  </si>
  <si>
    <t>Space requirement [1000 m2/MW_e]</t>
  </si>
  <si>
    <t>3</t>
  </si>
  <si>
    <t>Regulation ability</t>
  </si>
  <si>
    <t>Primary regulation (of full load, per 30 seconds) []</t>
  </si>
  <si>
    <t>Secondary regulation (of full load, per minute) []</t>
  </si>
  <si>
    <t>Minimum load (of full load) []</t>
  </si>
  <si>
    <t>Warm start-up time [hours]</t>
  </si>
  <si>
    <t>Cold start-up time [hours]</t>
  </si>
  <si>
    <t>Financial data</t>
  </si>
  <si>
    <t>Nominal investment (*total) [MEUR/MW_e]</t>
  </si>
  <si>
    <t>Nominal investment (installation) [MEUR/MW_e]</t>
  </si>
  <si>
    <t>Nominal investment (project development etc.) [MEUR/MW_e]</t>
  </si>
  <si>
    <t>3, 6</t>
  </si>
  <si>
    <t>Nominal investment (array cables) [MEUR/MW_e]</t>
  </si>
  <si>
    <t>Nominal investment (foundation) [MEUR/MW_e]</t>
  </si>
  <si>
    <t>3, 4</t>
  </si>
  <si>
    <t>Nominal investment (grid connection) [MEUR/MW_e]</t>
  </si>
  <si>
    <t>3, 5</t>
  </si>
  <si>
    <t>Nominal investment (turbines) [MEUR/MW_e]</t>
  </si>
  <si>
    <t>Variable O&amp;M (*total) [EUR/MWh_e]</t>
  </si>
  <si>
    <t>Fixed O&amp;M (*total) [EUR/MW_e/y]</t>
  </si>
  <si>
    <t>Technology-specific data</t>
  </si>
  <si>
    <t>Hub height [m]</t>
  </si>
  <si>
    <t>1</t>
  </si>
  <si>
    <t>Rotor diameter [m]</t>
  </si>
  <si>
    <t>Specific power [W_e/m2]</t>
  </si>
  <si>
    <t>Specific area coverage [MW_e/km2]</t>
  </si>
  <si>
    <t>Average annual full-load hours [MWh_e/MW_e]</t>
  </si>
  <si>
    <t>A1. General note: The data sheet focusses on Danish conditions and experience level and cannot be assumed general for offshore wind.</t>
  </si>
  <si>
    <t>A. Starting point for 2020 is based on latest two DK projects, Horns Rev 3, 8.3MW (2018) and Kriegers Flak 8.4MW (2021). For future projects 15MW is already seen.</t>
  </si>
  <si>
    <t>B. Offshore turbines have typically higher forced outage than onshore due to access problems in harsh weather. In total a loss of ca. 5% is expected, of which 2% is assumed grid losses and thereby 3% outage is converted to 1 week outage in total</t>
  </si>
  <si>
    <t>C. The life time depends on the wind conditions; average annual speed and turbulence, relative to the design class of the turbine</t>
  </si>
  <si>
    <t>D. The construction time is the period from FID to commissioning. The construction time depends on the size of the project, vessel availability and weather conditions.</t>
  </si>
  <si>
    <t>E. Calculated based on average spacing of 8 RD between turbines and a square layout. Horns Rev 3 has 9.5, but also quite low wake losses. With 2020 WTG size 8RD corresponds to 6 MW/km^2</t>
  </si>
  <si>
    <t>F. The cost includes cost of wind turbines, foundation, installation, planning &amp; development and financing, internal and external grid (array cable, substation, and export cable).</t>
  </si>
  <si>
    <t>G. Other is planning &amp; development, environmental impact assessment, insurances and finance costs.</t>
  </si>
  <si>
    <t>H. Roughly 70 % of the total yearly O&amp;M costs are assumed to be fixed cost and 30 % are assumed to be variable cost depending on capacity factor. [A previous version listed this share wrongly as 80/20.]</t>
  </si>
  <si>
    <t>I. The Specific power is assumed to increase slightly in time because of better wind resource due to larger hub heights</t>
  </si>
  <si>
    <t>J. The full load hours are reduced with outage time mentioned under "Energy/technical data" according to the Technology Catalogue guideline. Full load hours are thus net full load hours after outages.</t>
  </si>
  <si>
    <t>*. Subscript abbreviations used in the datasheets: input = _i, electricity production = _e, heat production = _h</t>
  </si>
  <si>
    <t>**. The empty square brackets [] denote parameters expressed in terms of a proportion. The raw data is in the raw decimal form, but note that these values are formated as percentage in the wide report tables for readability.</t>
  </si>
  <si>
    <t>1. Stiesdal, Offshore wind turbine size prediction tool.xlsx, with changes by Danish Energy Agency.</t>
  </si>
  <si>
    <t>2. DTU Wind Energy: Pushing the physics of the large turbines of the future. 2021. Published in DTU International Energy Report 2021: Perspectives on Wind Energy. https://doi.org/10.11581/DTU.00000208</t>
  </si>
  <si>
    <t>3. EMD cost and AEP Excel calculation tool</t>
  </si>
  <si>
    <t>4. EA Energy Analyse/Cowi April 20 slide 25: https://www.ea-energianalyse.dk/wp-content/uploads/2020/05/1949_Offshore-wind-and-infrastructure.pdf</t>
  </si>
  <si>
    <t>5. From ENS 2021: FT - omkostninger Anholt, HR3, KF.xlsx</t>
  </si>
  <si>
    <t>6. Interview with Per Stenholt, Vattenfall, November 21</t>
  </si>
  <si>
    <t>Offshore wind turbines, nearshore - renewable power - wind - large</t>
  </si>
  <si>
    <t>E. For Nearshore the space requirements becomes "artificial", while typically 1-row projects will be expected. The space is here calculated based on square layout to give a number.</t>
  </si>
  <si>
    <t>ELCRNWIN02</t>
  </si>
  <si>
    <t>Power Plants New 1 - Wind energy-FAR</t>
  </si>
  <si>
    <t>Power Plants New 1 - Wind energy-NEAR</t>
  </si>
  <si>
    <t>SUPH2PEMC2N</t>
  </si>
  <si>
    <t>PEM Electrolyzer Cell Centralized</t>
  </si>
  <si>
    <t>SUPH2SOEC2N</t>
  </si>
  <si>
    <t>SOEC Electrolyzer Cell Centralized</t>
  </si>
  <si>
    <t>Green Ammonia plant: Hydrogen to ammonia (excl. electrolyzer and excl. ASU)</t>
  </si>
  <si>
    <t>Typical total plant size, [MW] (Ammonia output)</t>
  </si>
  <si>
    <t>N2 Consumption, [t/t] Ammonia</t>
  </si>
  <si>
    <t>Hydrogen Consumption, [t/t] Ammonia</t>
  </si>
  <si>
    <t>Hydrogen Consumption, [MWh/MWh Total Input]</t>
  </si>
  <si>
    <t>Electricity Consumption, [MWh/MWh Total Input]</t>
  </si>
  <si>
    <t>Ammonia Output, [MWh/MWh Total Input]</t>
  </si>
  <si>
    <t>High value heat Output [MWh/MWh Total Input]</t>
  </si>
  <si>
    <t>District Heating Output, [MWh/MWh Total Input]</t>
  </si>
  <si>
    <t>Forced outage [%], unplanned shutdown</t>
  </si>
  <si>
    <t>Specific investment [M€ /MW Ammonia output]</t>
  </si>
  <si>
    <t>- equipment [%]</t>
  </si>
  <si>
    <t xml:space="preserve"> -installation [%]</t>
  </si>
  <si>
    <t>Fixed O&amp;M [k€/MW Ammonia/year]</t>
  </si>
  <si>
    <t>Variable O&amp;M [€/MWh Ammonia]</t>
  </si>
  <si>
    <t>Start up [M€ /1,000 t Ammonia]</t>
  </si>
  <si>
    <t>Specific energy content [GJ/ton Ammonia]</t>
  </si>
  <si>
    <t>Specific density  [kg/l] or [ton/m3] Ammonia</t>
  </si>
  <si>
    <t>Specific investment [M€ /TPD Ammonia output]</t>
  </si>
  <si>
    <t>Fixed O&amp;M [k€ /TPD Ammonia]</t>
  </si>
  <si>
    <t>Variable O&amp;M [€ /t Ammonia]</t>
  </si>
  <si>
    <t>Start up [M€ /TPD Ammonia]</t>
  </si>
  <si>
    <r>
      <t xml:space="preserve">E: Heat available at </t>
    </r>
    <r>
      <rPr>
        <sz val="8"/>
        <rFont val="Calibri"/>
        <family val="2"/>
      </rPr>
      <t>30-60</t>
    </r>
    <r>
      <rPr>
        <sz val="8"/>
        <color theme="1"/>
        <rFont val="Calibri"/>
        <family val="2"/>
      </rPr>
      <t>°C and requires heat pump for use for district heating.</t>
    </r>
  </si>
  <si>
    <t xml:space="preserve"> Methanol from hydrogen and carbon dioxide</t>
  </si>
  <si>
    <t>Typical total plant size [1,000 t Methanol/year]</t>
  </si>
  <si>
    <t>Typical total plant size, [MW]</t>
  </si>
  <si>
    <t>CO2 [ton/ton-methanol]</t>
  </si>
  <si>
    <t>Hydrogen [ton/ton-methanol]</t>
  </si>
  <si>
    <t>Hydrogen [MWh/ton-methanol]</t>
  </si>
  <si>
    <t>Electricity [MWh/ton-methanol]</t>
  </si>
  <si>
    <t>Net steam [MWh/ton-methanol]</t>
  </si>
  <si>
    <t>Methanol [MWh/MWh total input]</t>
  </si>
  <si>
    <t>District heating [MWh/MWh total input]</t>
  </si>
  <si>
    <t>Heat loss [MWh/MWh total input]</t>
  </si>
  <si>
    <t>Water [ton/ton-methanol]</t>
  </si>
  <si>
    <t>Forced outage [%]</t>
  </si>
  <si>
    <t>Specific investment [M€ /MW Methanol]</t>
  </si>
  <si>
    <t>Fixed O&amp;M [k€ /MW Methanol/year]</t>
  </si>
  <si>
    <t>Variable O&amp;M [€ /MWh]</t>
  </si>
  <si>
    <t>Start up [M€ /1,000 t Methanol]</t>
  </si>
  <si>
    <t>Specific energy content [GJ/ton] methanol]</t>
  </si>
  <si>
    <t>Specific density  [kg/l] or [ton/m3]</t>
  </si>
  <si>
    <t>Specific investment [M€ /1,000 t Methanol]</t>
  </si>
  <si>
    <t>Fixed O&amp;M [M€ /1,000 t Methanol]</t>
  </si>
  <si>
    <t>Variable O&amp;M [M€ /1,000 t Methanol]</t>
  </si>
  <si>
    <t>A. In the period 2020-2030 the plant size is governed by the available carbon resource. Towards 2050, direct air capture is expected to play a role resulting in increased plant sizes.</t>
  </si>
  <si>
    <t>B. The value is slightly higher than stoichiometric reaction due to the formation of organic by-products</t>
  </si>
  <si>
    <r>
      <t>C. Calculated based on 2,130 Nm</t>
    </r>
    <r>
      <rPr>
        <vertAlign val="superscript"/>
        <sz val="9"/>
        <color rgb="FF000000"/>
        <rFont val="Calibri"/>
        <family val="2"/>
        <scheme val="minor"/>
      </rPr>
      <t>3</t>
    </r>
    <r>
      <rPr>
        <sz val="9"/>
        <color rgb="FF000000"/>
        <rFont val="Calibri"/>
        <family val="2"/>
        <scheme val="minor"/>
      </rPr>
      <t>-H</t>
    </r>
    <r>
      <rPr>
        <vertAlign val="subscript"/>
        <sz val="9"/>
        <color rgb="FF000000"/>
        <rFont val="Calibri"/>
        <family val="2"/>
        <scheme val="minor"/>
      </rPr>
      <t>2</t>
    </r>
    <r>
      <rPr>
        <sz val="9"/>
        <color rgb="FF000000"/>
        <rFont val="Calibri"/>
        <family val="2"/>
        <scheme val="minor"/>
      </rPr>
      <t>/ton-methanol and 0,09 kg-H</t>
    </r>
    <r>
      <rPr>
        <vertAlign val="subscript"/>
        <sz val="9"/>
        <color rgb="FF000000"/>
        <rFont val="Calibri"/>
        <family val="2"/>
        <scheme val="minor"/>
      </rPr>
      <t>2</t>
    </r>
    <r>
      <rPr>
        <sz val="9"/>
        <color rgb="FF000000"/>
        <rFont val="Calibri"/>
        <family val="2"/>
        <scheme val="minor"/>
      </rPr>
      <t>/Nm</t>
    </r>
    <r>
      <rPr>
        <vertAlign val="superscript"/>
        <sz val="9"/>
        <color rgb="FF000000"/>
        <rFont val="Calibri"/>
        <family val="2"/>
        <scheme val="minor"/>
      </rPr>
      <t>3</t>
    </r>
    <r>
      <rPr>
        <sz val="9"/>
        <color rgb="FF000000"/>
        <rFont val="Calibri"/>
        <family val="2"/>
        <scheme val="minor"/>
      </rPr>
      <t>-H</t>
    </r>
    <r>
      <rPr>
        <vertAlign val="subscript"/>
        <sz val="9"/>
        <color rgb="FF000000"/>
        <rFont val="Calibri"/>
        <family val="2"/>
        <scheme val="minor"/>
      </rPr>
      <t>2</t>
    </r>
  </si>
  <si>
    <t>D. Converted based on a lower heating value for hydrogen of 33,3 kWh/kg</t>
  </si>
  <si>
    <r>
      <t>E. Haldor Topsøe [5] states a value of 500 kWh/ton-methanol, which includes compression of H</t>
    </r>
    <r>
      <rPr>
        <vertAlign val="subscript"/>
        <sz val="9"/>
        <color rgb="FF000000"/>
        <rFont val="Calibri"/>
        <family val="2"/>
        <scheme val="minor"/>
      </rPr>
      <t>2</t>
    </r>
    <r>
      <rPr>
        <sz val="9"/>
        <color rgb="FF000000"/>
        <rFont val="Calibri"/>
        <family val="2"/>
        <scheme val="minor"/>
      </rPr>
      <t xml:space="preserve"> and CO</t>
    </r>
    <r>
      <rPr>
        <vertAlign val="subscript"/>
        <sz val="9"/>
        <color rgb="FF000000"/>
        <rFont val="Calibri"/>
        <family val="2"/>
        <scheme val="minor"/>
      </rPr>
      <t>2</t>
    </r>
    <r>
      <rPr>
        <sz val="9"/>
        <color rgb="FF000000"/>
        <rFont val="Calibri"/>
        <family val="2"/>
        <scheme val="minor"/>
      </rPr>
      <t>. The figure provided in the table covers electricity demand for auxiliary equipment excl. compressors and is assumed to be 20 % of the value provided by Haldor Top</t>
    </r>
    <r>
      <rPr>
        <sz val="8"/>
        <color theme="1"/>
        <rFont val="Calibri"/>
        <family val="2"/>
        <scheme val="minor"/>
      </rPr>
      <t> </t>
    </r>
    <r>
      <rPr>
        <sz val="9"/>
        <color rgb="FF000000"/>
        <rFont val="Calibri"/>
        <family val="2"/>
        <scheme val="minor"/>
      </rPr>
      <t xml:space="preserve">søe </t>
    </r>
  </si>
  <si>
    <t>F. Steam produced in the methanol reactor is reused for heating purposes in the distillation section. The value provided states the net import steam.</t>
  </si>
  <si>
    <t>G. Calculated based on a lower heating value for methanol of 19,9 GJ/ton</t>
  </si>
  <si>
    <t>H. Based on assumption that warm streams can be cooled to 50 °C</t>
  </si>
  <si>
    <t>I. Includes heat loss to ambient and cooling at temperatures below 50 °C</t>
  </si>
  <si>
    <t>J. Based on stoichiometry of the chemical reaction. The waste water includes traces of organic byproducts from the methanol synthesis, and can be handled in conventional central waste water facilities or treated on site</t>
  </si>
  <si>
    <t>K. Construction time from order placement to start of commercial operation. Methanol reactor is a long lead item which is a governing factor for the construction time</t>
  </si>
  <si>
    <t xml:space="preserve">L. According to battery limits as described in the text. Reduction in specific investment over time is due to economy of scale and not due to technological development. </t>
  </si>
  <si>
    <t>M. Estimated to be 3 % of CAPEX</t>
  </si>
  <si>
    <t xml:space="preserve">1. H. Nami, G. Butera, N. J. B. Campion, H. L. Frandsen and P. V. Hendriksen, "MarE-ful: Energy efficiencies in synthesising green fuels and their expected cost," 2021. </t>
  </si>
  <si>
    <t>3. Lemvig Biogas, "Erfaringer med totrins udrådning i fuldskala hos Lemvig Biogasanlæg," [Online]. Available: https://www.biogas.dk/wp-content/uploads/2021/12/Lars-A-Kristensen_Lemvig-Biogas_21-12-08.pdf.</t>
  </si>
  <si>
    <t>5. Haldor Topsøe, [Online]. Available: https://info.topsoe.com/hubfs/DOWNLOADS/DOWNLOADS%20-%20Brochures/eMethanol.pdf?hsCtaTracking=6ca24cee-0aed-45df-8aa4-846ecd19151c%7C5d9f6bef-ebfc-483e-8a06-cdfed4aee34a.</t>
  </si>
  <si>
    <t>Hydrogen to Jet Fuel</t>
  </si>
  <si>
    <t>Typical total plant size [1,000 kt FT Liquids/year]</t>
  </si>
  <si>
    <t xml:space="preserve">A, B, </t>
  </si>
  <si>
    <t>18, 20, 23</t>
  </si>
  <si>
    <t>Typical total plant size, [MW] Output</t>
  </si>
  <si>
    <t>A,B,C</t>
  </si>
  <si>
    <t>18, 20</t>
  </si>
  <si>
    <r>
      <t>CO</t>
    </r>
    <r>
      <rPr>
        <vertAlign val="subscript"/>
        <sz val="8"/>
        <color theme="1"/>
        <rFont val="Calibri"/>
        <family val="2"/>
        <scheme val="minor"/>
      </rPr>
      <t>2</t>
    </r>
    <r>
      <rPr>
        <sz val="8"/>
        <color theme="1"/>
        <rFont val="Calibri"/>
        <family val="2"/>
        <scheme val="minor"/>
      </rPr>
      <t xml:space="preserve"> Consumption, [t/t FT Liquids]</t>
    </r>
  </si>
  <si>
    <t>C, D, E</t>
  </si>
  <si>
    <t xml:space="preserve">E </t>
  </si>
  <si>
    <t>Power Consumption, [MWh/MWh Total Input]</t>
  </si>
  <si>
    <t>FT Liquids Output, [MWh/MWh Total Input]</t>
  </si>
  <si>
    <t>F, G, O</t>
  </si>
  <si>
    <t>20, 18</t>
  </si>
  <si>
    <t>District Heat  Output, [MWh/MWh Total Input]</t>
  </si>
  <si>
    <t>Specific investment [M€ /MW Liquids/year]</t>
  </si>
  <si>
    <t>G, J</t>
  </si>
  <si>
    <t>18, 20, 26, 30</t>
  </si>
  <si>
    <t xml:space="preserve"> - equipment [%]</t>
  </si>
  <si>
    <t>Fixed O&amp;M [€ /MWH Liquids]</t>
  </si>
  <si>
    <t>Variable O&amp;M [€ /MWH Liquids]</t>
  </si>
  <si>
    <t>Start up [€ /l FT Liquids]</t>
  </si>
  <si>
    <t>Specific investment [€ /l FT Liquids/year]</t>
  </si>
  <si>
    <t>Fixed O&amp;M [€ /l FT Liquids]</t>
  </si>
  <si>
    <t>Variable O&amp;M [€ /l FT Liquids]</t>
  </si>
  <si>
    <t>A.    The plant size range is based on the Schmidt and Mortensen reports and other analysis in the literature. Scale up is our assumption.</t>
  </si>
  <si>
    <t>B.    CO2 availability is likely to determine the maximum plant size.</t>
  </si>
  <si>
    <t>C.    Conversion to MW is based on 8,000 operating hours per year and the energy output in all liquid fuels. The conversion is rounded. Some reports are based on only 4,000 hours of operation. Figure 1-2 utilizes the 2050 estimates.</t>
  </si>
  <si>
    <t>D.    Carbon efficiency in the literature ranges from 75 to 95%. Assuming that the early plants have low carbon efficiency and increase over time.</t>
  </si>
  <si>
    <t>E.    Denominator of FT liquids is the total liquid fuel output.</t>
  </si>
  <si>
    <t>F.    Hydrogen and power are the only energy input. Power will be required for pumping, compression, and utilities in addition to hydrogen production. Power estimated based on typical electric demand in petroleum refineries.</t>
  </si>
  <si>
    <t>G.   FT Liquids efficiency increases as hydrogen production efficiency increases with adoption of more efficient technologies. 2020 and 2030 assume alkaline electrolysis, 2040 is based on PEM systems, and 2050 assumes SOEC. Limited improvement in FT synthesis assumed, although jet fuel selectivity may improve over time.</t>
  </si>
  <si>
    <t>H.    Own calculations.</t>
  </si>
  <si>
    <t>I.      Some heat is lost in the process to drive the RWGS reaction. Assumes that total losses and internal consumption is 10% of the input. The quality of the district heat will depend on the electrolysis technology employed. The FT portion of the process will have excess steam available. The quantity and quality of the steam will depend on the FT process employed and the plant configuration.</t>
  </si>
  <si>
    <t>J.     This will depend on the level of hydrogen storage and the frequency of low surplus electricity periods that are outside of the range used for the calculation of the required hydrogen storage.</t>
  </si>
  <si>
    <t>K.    The capital costs drop as plant size increases and through technological learning. Hydrogen storage costs are included (10% of capital costs) but not sized in the reference. No CO2 storage is assumed.</t>
  </si>
  <si>
    <t>L.    Own Assumption</t>
  </si>
  <si>
    <t>M.   Based on 5% of capital cost.</t>
  </si>
  <si>
    <t>N.    Based on 1.5% of capital cost. Excludes cost of power and carbon dioxide.</t>
  </si>
  <si>
    <t>O. A reasonable distribution of the FT fuels might be 60% jet fuel, 20% gasoline, and 20% lighter products (LPG and fuel gas), but the distribution of outputs could be very different depending on the plant design, catalyst and the operating conditions.</t>
  </si>
  <si>
    <t>ILED</t>
  </si>
  <si>
    <t>Construction time</t>
  </si>
  <si>
    <t>Conctruction time</t>
  </si>
  <si>
    <t xml:space="preserve">Solid Absorption Direct Air Capture Plant </t>
  </si>
  <si>
    <t>Est</t>
  </si>
  <si>
    <t>Typical total plant capacity [tCO2/hour] (CO2 output)</t>
  </si>
  <si>
    <t>[6, 11]</t>
  </si>
  <si>
    <t>- Inputs at max capacity</t>
  </si>
  <si>
    <t xml:space="preserve">A] Air flow rate [t/tCO2] (CO2 output) </t>
  </si>
  <si>
    <t>Makeup water for water loss [tH2O/tCO2] (CO2 output)</t>
  </si>
  <si>
    <t xml:space="preserve">C1] Heat  input [MWh/tCO2] (CO2 output) </t>
  </si>
  <si>
    <t>Temperature heat input [C]</t>
  </si>
  <si>
    <t xml:space="preserve">C2] Eletricity input [MWh/tCO2] (CO2 output) </t>
  </si>
  <si>
    <t xml:space="preserve">Y]  Auxiliary products inputs [kg/tCO2] (CO2 output) </t>
  </si>
  <si>
    <t>- Outputs at max capacity</t>
  </si>
  <si>
    <t>A2] CO2 purity prior to post cleaning [% vol]</t>
  </si>
  <si>
    <t>[2, 7]</t>
  </si>
  <si>
    <t>A3] Total pressure of CO2 gas [kPa(a)] (CO2 output)</t>
  </si>
  <si>
    <t>B1] Mass of H2O [t/tCO2] (CO2 output)</t>
  </si>
  <si>
    <t>[1, 11]</t>
  </si>
  <si>
    <t xml:space="preserve">C1] Heat out prior water knockout [MWh/tCO2] (CO2 output) </t>
  </si>
  <si>
    <t>C2] Temperature of heat out prior water knockout [C]</t>
  </si>
  <si>
    <t>- other technical data</t>
  </si>
  <si>
    <t>Planned outage [weeks/year]</t>
  </si>
  <si>
    <t>Specific investment [mill €/(tCO2/hour)] (CO2 output)</t>
  </si>
  <si>
    <t>Fixed O&amp;M [mill €/(tCO2/hour)]</t>
  </si>
  <si>
    <t>Variable O&amp;M [€/tCO2] (CO2 output)</t>
  </si>
  <si>
    <t>Startup cost [€/startup/(tCO2/hour)]</t>
  </si>
  <si>
    <t>Land use for DAC unit [km^2/(MtCO2/year] (CO2 output)</t>
  </si>
  <si>
    <t>CO₂ compression and dehydration - Electricity input [MWh/tCO2] (CO2 output)</t>
  </si>
  <si>
    <t>CO₂ compression and dehydration - Heat out [MWh/tCO2] (CO2 output)</t>
  </si>
  <si>
    <t>METH</t>
  </si>
  <si>
    <t>Methanol</t>
  </si>
  <si>
    <t>PLANTMETH01</t>
  </si>
  <si>
    <t>Methanol plant from hydrogen</t>
  </si>
  <si>
    <t>Kerosen</t>
  </si>
  <si>
    <t>SUPKRECO2C1</t>
  </si>
  <si>
    <t>Hydrogen to Jet Fuel Central</t>
  </si>
  <si>
    <t>KRE</t>
  </si>
  <si>
    <t>CO2</t>
  </si>
  <si>
    <t>Carbon Dioxide</t>
  </si>
  <si>
    <t>DAC_plant</t>
  </si>
  <si>
    <t>Direct Air Capture plant</t>
  </si>
  <si>
    <t xml:space="preserve">   </t>
  </si>
  <si>
    <t>kt</t>
  </si>
  <si>
    <t>PJ/ton meth</t>
  </si>
  <si>
    <t>MWh/t</t>
  </si>
  <si>
    <t>MWh</t>
  </si>
  <si>
    <t>pj</t>
  </si>
  <si>
    <t>PJ/ton JET</t>
  </si>
  <si>
    <t>kta</t>
  </si>
  <si>
    <t>Excess heat Medium temperature</t>
  </si>
  <si>
    <t>EXHLETC</t>
  </si>
  <si>
    <t>Excess heat Low temperature</t>
  </si>
  <si>
    <t>M€ /kta</t>
  </si>
  <si>
    <t>Electric Boiler</t>
  </si>
  <si>
    <t>ELC_BOIL</t>
  </si>
  <si>
    <t>Current 
application potential</t>
  </si>
  <si>
    <t>Type and temperature of process heating supply</t>
  </si>
  <si>
    <t>Electric boiler, 10 kV, steam, 1-12 bar</t>
  </si>
  <si>
    <t>Water/liquid</t>
  </si>
  <si>
    <t>Steam</t>
  </si>
  <si>
    <t>Direct</t>
  </si>
  <si>
    <t>End-use</t>
  </si>
  <si>
    <t>&lt;100°C</t>
  </si>
  <si>
    <t>100-150°C</t>
  </si>
  <si>
    <t>150-200°C</t>
  </si>
  <si>
    <t>&gt;200°C</t>
  </si>
  <si>
    <t>Other processes</t>
  </si>
  <si>
    <t>Heat generation capacity for one unit (MW)</t>
  </si>
  <si>
    <t>Firing /Sintering</t>
  </si>
  <si>
    <t>Total efficiency, net (%), nominel load</t>
  </si>
  <si>
    <t>1,2</t>
  </si>
  <si>
    <t>Distillation</t>
  </si>
  <si>
    <t>Total efficiency, net (%), annual average</t>
  </si>
  <si>
    <t>Dewatering</t>
  </si>
  <si>
    <t>Auxiliary electricity consumption (% of heat gen)</t>
  </si>
  <si>
    <t>Heating/Boiling</t>
  </si>
  <si>
    <t>Space heating</t>
  </si>
  <si>
    <t>Planned outage (weeks per year)</t>
  </si>
  <si>
    <t>Melting /Casting</t>
  </si>
  <si>
    <t>Drying</t>
  </si>
  <si>
    <t>Regulation Ability</t>
  </si>
  <si>
    <t>Minimum load (% of full load)</t>
  </si>
  <si>
    <t>Warm start-up time (hours)</t>
  </si>
  <si>
    <t>Cold start-up time (hours)</t>
  </si>
  <si>
    <t>Environment</t>
  </si>
  <si>
    <r>
      <t>SO</t>
    </r>
    <r>
      <rPr>
        <vertAlign val="subscript"/>
        <sz val="10"/>
        <rFont val="Arial"/>
        <family val="2"/>
      </rPr>
      <t>2</t>
    </r>
    <r>
      <rPr>
        <sz val="10"/>
        <rFont val="Arial"/>
        <family val="2"/>
      </rPr>
      <t xml:space="preserve"> (g per GJ fuel) </t>
    </r>
  </si>
  <si>
    <t>Cf. the utilized electricity</t>
  </si>
  <si>
    <t xml:space="preserve">PM2.5 (g per GJ fuel) </t>
  </si>
  <si>
    <r>
      <t>NO</t>
    </r>
    <r>
      <rPr>
        <vertAlign val="subscript"/>
        <sz val="10"/>
        <rFont val="Arial"/>
        <family val="2"/>
      </rPr>
      <t>X</t>
    </r>
    <r>
      <rPr>
        <sz val="10"/>
        <rFont val="Arial"/>
        <family val="2"/>
      </rPr>
      <t xml:space="preserve"> (g per GJ fuel) </t>
    </r>
  </si>
  <si>
    <t>CH4 (g per GJ fuel)</t>
  </si>
  <si>
    <t>N2O (g per GJ fuel)</t>
  </si>
  <si>
    <t xml:space="preserve">Financial data                                 </t>
  </si>
  <si>
    <t>Nominal investment (M€ per MW)</t>
  </si>
  <si>
    <t>B,C</t>
  </si>
  <si>
    <t>1,2,4</t>
  </si>
  <si>
    <t xml:space="preserve"> - of which equipment (%)</t>
  </si>
  <si>
    <t xml:space="preserve"> - of which installation (%)</t>
  </si>
  <si>
    <t>Fixed O&amp;M (€/MJ/s/year)</t>
  </si>
  <si>
    <t>2,3,4</t>
  </si>
  <si>
    <t>Variable O&amp;M (€/MWh)</t>
  </si>
  <si>
    <t xml:space="preserve"> - of which is electricity costs (€/MWh)</t>
  </si>
  <si>
    <t xml:space="preserve"> - of which is other O&amp;M costs (€/MWh)</t>
  </si>
  <si>
    <t>Indirect investments cost (M€ per MW)</t>
  </si>
  <si>
    <t>Additional investments cost for 12-16 bar boilers (M€ per MW)</t>
  </si>
  <si>
    <t>Non energy gains (M€ per MW)</t>
  </si>
  <si>
    <t>Startup cost (€/MW/startup)</t>
  </si>
  <si>
    <t xml:space="preserve">Carbon capture removal of CO2 emissions (% of emission) </t>
  </si>
  <si>
    <t>Temperature heat source supply (°C)</t>
  </si>
  <si>
    <t>Temperature heat source return (°C)</t>
  </si>
  <si>
    <t>Cooling generation capacity for one unit (MW)</t>
  </si>
  <si>
    <t>References</t>
  </si>
  <si>
    <t>Danish Enegy Agency, Technology Data - Energy Plants for Electricity and District heating generation, 2022</t>
  </si>
  <si>
    <t>AS:scan, Personal communication, 2022</t>
  </si>
  <si>
    <t>Tjæreborg Industri, Personal communication, 2022</t>
  </si>
  <si>
    <t>Nordheat, Personal communication, 2022</t>
  </si>
  <si>
    <t>Notes</t>
  </si>
  <si>
    <t>5-60 MW</t>
  </si>
  <si>
    <t>Electrode boilers at medium-high voltage are directly connected to the distribution grid. Costs for the distribution board are included
in the equipment costs.</t>
  </si>
  <si>
    <t>Investment cost is slightly higher than for a hot water boiler.</t>
  </si>
  <si>
    <t>The cost of auxiliary electricity consumption is calculated using the following electricity prices in €/MWh: 2020: 73, 2030: 75, 2040: 76, 2050: 76. Includes transport tarif</t>
  </si>
  <si>
    <t>Not relevant to this technology</t>
  </si>
  <si>
    <t>PJ/kt</t>
  </si>
  <si>
    <t>EXP_ELC</t>
  </si>
  <si>
    <t>EXP_H2</t>
  </si>
  <si>
    <t>EXP_AMM</t>
  </si>
  <si>
    <t>EXPMETH</t>
  </si>
  <si>
    <t>EXPKRE</t>
  </si>
  <si>
    <t>Export of Methanol</t>
  </si>
  <si>
    <t>Export of Kerosen</t>
  </si>
  <si>
    <t>IMPCO2</t>
  </si>
  <si>
    <t>IMPHFO</t>
  </si>
  <si>
    <t>Import of CO2</t>
  </si>
  <si>
    <t>Import of HFO</t>
  </si>
  <si>
    <t>CUM</t>
  </si>
  <si>
    <t>Reserves Cumulative Value</t>
  </si>
  <si>
    <t>Cost</t>
  </si>
  <si>
    <t>EXP_METH</t>
  </si>
  <si>
    <t>EXP_KRE</t>
  </si>
  <si>
    <t>IMP_CO2</t>
  </si>
  <si>
    <t>HFO</t>
  </si>
  <si>
    <t>co2 price</t>
  </si>
  <si>
    <t>hfo price</t>
  </si>
  <si>
    <t>PJ/kg</t>
  </si>
  <si>
    <t>PJ/ton</t>
  </si>
  <si>
    <t>eur/ton</t>
  </si>
  <si>
    <t>M€ /PJ or M€ /Kt</t>
  </si>
  <si>
    <t>https://www.bing.com/ck/a?!&amp;&amp;p=c028d30c855ef026JmltdHM9MTcwNjIyNzIwMCZpZ3VpZD0zODFjZjgxZC05YTMyLTY2YjYtMjU1OC1lYzFjOWI5ZTY3YzMmaW5zaWQ9NTE4Mg&amp;ptn=3&amp;ver=2&amp;hsh=3&amp;fclid=381cf81d-9a32-66b6-2558-ec1c9b9e67c3&amp;psq=kf23_forudsaetninger_-_tal_bag_figurer_inkl._opdateret_kvotepris_og_affaldsforbraending&amp;u=a1aHR0cHM6Ly9lbnMuZGsvc2l0ZXMvZW5zLmRrL2ZpbGVzL0Jhc2lzZnJlbXNrcml2bmluZy9rZjIzX2ZvcnVkc2FldG5pbmdlcl8tX3RhbF9iYWdfZmlndXJlcl9pbmtsLl9vcGRhdGVyZXRfa3ZvdGVwcmlzX29nX2FmZmFsZHNmb3JicmFlbmRpbmcueGxzeA&amp;ntb=1</t>
  </si>
  <si>
    <t>kr/gj</t>
  </si>
  <si>
    <t>kr/pj</t>
  </si>
  <si>
    <t>1 eur=0.13kr</t>
  </si>
  <si>
    <t>Meur/PJ</t>
  </si>
  <si>
    <t>Carbon price forecast EU PDF</t>
  </si>
  <si>
    <t>mwh/ton</t>
  </si>
  <si>
    <t>electricity to export</t>
  </si>
  <si>
    <t>Hydrogen to export</t>
  </si>
  <si>
    <t>Ammonia to export</t>
  </si>
  <si>
    <t>Heavy fuel oil</t>
  </si>
  <si>
    <t>Export of CO2</t>
  </si>
  <si>
    <t>Export of KRE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</si>
</sst>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3" formatCode="_-* #,##0.00_-;\-* #,##0.00_-;_-* &quot;-&quot;??_-;_-@_-"/>
    <numFmt numFmtId="164" formatCode="0.000"/>
    <numFmt numFmtId="165" formatCode="0.0"/>
    <numFmt numFmtId="166" formatCode="\Te\x\t"/>
    <numFmt numFmtId="167" formatCode="0.0%"/>
    <numFmt numFmtId="168" formatCode="_ * #,##0_ ;_ * \-#,##0_ ;_ * &quot;-&quot;??_ ;_ @_ "/>
    <numFmt numFmtId="169" formatCode="_ * #,##0.00_ ;_ * \-#,##0.00_ ;_ * &quot;-&quot;??_ ;_ @_ "/>
    <numFmt numFmtId="170" formatCode="0.0000"/>
    <numFmt numFmtId="171" formatCode="#,##0.0"/>
    <numFmt numFmtId="172" formatCode="_ * #,##0.0_ ;_ * \-#,##0.0_ ;_ * &quot;-&quot;??_ ;_ @_ "/>
    <numFmt numFmtId="173" formatCode="0.000000"/>
  </numFmts>
  <fonts count="69" x14ac:knownFonts="1">
    <font>
      <sz val="10"/>
      <name val="Arial"/>
    </font>
    <font>
      <sz val="11"/>
      <color theme="1"/>
      <name val="Calibri"/>
      <family val="2"/>
      <scheme val="minor"/>
    </font>
    <font>
      <sz val="10"/>
      <name val="Arial"/>
      <family val="2"/>
    </font>
    <font>
      <sz val="10"/>
      <name val="Courier"/>
      <family val="3"/>
    </font>
    <font>
      <b/>
      <sz val="10"/>
      <name val="Arial"/>
      <family val="2"/>
    </font>
    <font>
      <sz val="10"/>
      <name val="Arial"/>
      <family val="2"/>
    </font>
    <font>
      <b/>
      <sz val="10"/>
      <color indexed="12"/>
      <name val="Arial"/>
      <family val="2"/>
    </font>
    <font>
      <sz val="8"/>
      <color indexed="81"/>
      <name val="Tahoma"/>
      <family val="2"/>
    </font>
    <font>
      <b/>
      <sz val="8"/>
      <color indexed="81"/>
      <name val="Tahoma"/>
      <family val="2"/>
    </font>
    <font>
      <b/>
      <sz val="9"/>
      <name val="Arial"/>
      <family val="2"/>
    </font>
    <font>
      <sz val="9"/>
      <name val="Arial"/>
      <family val="2"/>
    </font>
    <font>
      <sz val="10"/>
      <name val="Arial"/>
      <family val="2"/>
    </font>
    <font>
      <sz val="11"/>
      <color theme="1"/>
      <name val="Calibri"/>
      <family val="2"/>
      <scheme val="minor"/>
    </font>
    <font>
      <sz val="11"/>
      <color rgb="FF006100"/>
      <name val="Calibri"/>
      <family val="2"/>
      <scheme val="minor"/>
    </font>
    <font>
      <sz val="11"/>
      <color rgb="FF9C6500"/>
      <name val="Calibri"/>
      <family val="2"/>
      <scheme val="minor"/>
    </font>
    <font>
      <b/>
      <sz val="12"/>
      <color rgb="FFFF0000"/>
      <name val="Calibri"/>
      <family val="2"/>
      <scheme val="minor"/>
    </font>
    <font>
      <sz val="10"/>
      <color rgb="FFFF0000"/>
      <name val="Arial"/>
      <family val="2"/>
    </font>
    <font>
      <sz val="8"/>
      <color theme="1"/>
      <name val="Arial"/>
      <family val="2"/>
    </font>
    <font>
      <sz val="10"/>
      <color theme="1"/>
      <name val="Arial"/>
      <family val="2"/>
    </font>
    <font>
      <b/>
      <sz val="8"/>
      <color theme="1"/>
      <name val="Arial"/>
      <family val="2"/>
    </font>
    <font>
      <sz val="11"/>
      <color rgb="FFFF0000"/>
      <name val="Calibri"/>
      <family val="2"/>
      <scheme val="minor"/>
    </font>
    <font>
      <b/>
      <sz val="11"/>
      <color theme="1"/>
      <name val="Calibri"/>
      <family val="2"/>
      <scheme val="minor"/>
    </font>
    <font>
      <u/>
      <sz val="10"/>
      <color indexed="12"/>
      <name val="Arial"/>
      <family val="2"/>
    </font>
    <font>
      <b/>
      <sz val="9"/>
      <color theme="1"/>
      <name val="Calibri"/>
      <family val="2"/>
    </font>
    <font>
      <b/>
      <i/>
      <sz val="10"/>
      <name val="Arial"/>
      <family val="2"/>
    </font>
    <font>
      <vertAlign val="superscript"/>
      <sz val="8"/>
      <name val="Arial"/>
      <family val="2"/>
    </font>
    <font>
      <sz val="8"/>
      <name val="Arial"/>
      <family val="2"/>
    </font>
    <font>
      <vertAlign val="superscript"/>
      <sz val="10"/>
      <name val="Arial"/>
      <family val="2"/>
    </font>
    <font>
      <sz val="9"/>
      <color theme="1"/>
      <name val="Calibri"/>
      <family val="2"/>
      <scheme val="minor"/>
    </font>
    <font>
      <sz val="9"/>
      <color theme="1"/>
      <name val="Arial"/>
      <family val="2"/>
    </font>
    <font>
      <sz val="11"/>
      <color theme="1"/>
      <name val="Arial"/>
      <family val="2"/>
    </font>
    <font>
      <sz val="10"/>
      <color theme="1"/>
      <name val="Calibri"/>
      <family val="2"/>
    </font>
    <font>
      <b/>
      <sz val="8"/>
      <color theme="1"/>
      <name val="Calibri"/>
      <family val="2"/>
      <scheme val="minor"/>
    </font>
    <font>
      <b/>
      <sz val="8"/>
      <name val="Calibri"/>
      <family val="2"/>
      <scheme val="minor"/>
    </font>
    <font>
      <sz val="8"/>
      <color theme="1"/>
      <name val="Calibri"/>
      <family val="2"/>
      <scheme val="minor"/>
    </font>
    <font>
      <sz val="8"/>
      <name val="Calibri"/>
      <family val="2"/>
      <scheme val="minor"/>
    </font>
    <font>
      <b/>
      <sz val="8"/>
      <name val="Arial"/>
      <family val="2"/>
    </font>
    <font>
      <b/>
      <sz val="8"/>
      <color rgb="FF000000"/>
      <name val="Calibri"/>
      <family val="2"/>
    </font>
    <font>
      <b/>
      <sz val="8"/>
      <color rgb="FFBEBEBE"/>
      <name val="Calibri"/>
      <family val="2"/>
    </font>
    <font>
      <sz val="8"/>
      <color rgb="FF000000"/>
      <name val="Calibri"/>
      <family val="2"/>
    </font>
    <font>
      <b/>
      <sz val="8"/>
      <color rgb="FF969696"/>
      <name val="Calibri"/>
      <family val="2"/>
      <scheme val="minor"/>
    </font>
    <font>
      <sz val="8"/>
      <color rgb="FF969696"/>
      <name val="Calibri"/>
      <family val="2"/>
      <scheme val="minor"/>
    </font>
    <font>
      <sz val="8"/>
      <name val="Calibri"/>
      <family val="2"/>
    </font>
    <font>
      <sz val="8"/>
      <color theme="1"/>
      <name val="Calibri"/>
      <family val="2"/>
    </font>
    <font>
      <b/>
      <sz val="8"/>
      <color theme="1"/>
      <name val="Calibri"/>
      <family val="2"/>
    </font>
    <font>
      <b/>
      <sz val="8"/>
      <name val="Calibri"/>
      <family val="2"/>
    </font>
    <font>
      <sz val="9"/>
      <color rgb="FF000000"/>
      <name val="Calibri"/>
      <family val="2"/>
      <scheme val="minor"/>
    </font>
    <font>
      <vertAlign val="superscript"/>
      <sz val="9"/>
      <color rgb="FF000000"/>
      <name val="Calibri"/>
      <family val="2"/>
      <scheme val="minor"/>
    </font>
    <font>
      <vertAlign val="subscript"/>
      <sz val="9"/>
      <color rgb="FF000000"/>
      <name val="Calibri"/>
      <family val="2"/>
      <scheme val="minor"/>
    </font>
    <font>
      <sz val="8"/>
      <name val="Arial"/>
    </font>
    <font>
      <vertAlign val="subscript"/>
      <sz val="8"/>
      <color theme="1"/>
      <name val="Calibri"/>
      <family val="2"/>
      <scheme val="minor"/>
    </font>
    <font>
      <sz val="11"/>
      <name val="Calibri"/>
      <family val="2"/>
      <scheme val="minor"/>
    </font>
    <font>
      <i/>
      <sz val="8"/>
      <name val="Calibri"/>
      <family val="2"/>
      <scheme val="minor"/>
    </font>
    <font>
      <sz val="11"/>
      <name val="Arial Narrow"/>
      <family val="2"/>
    </font>
    <font>
      <sz val="12"/>
      <name val="Arial Narrow"/>
      <family val="2"/>
    </font>
    <font>
      <u/>
      <sz val="10"/>
      <color theme="10"/>
      <name val="Arial"/>
    </font>
    <font>
      <b/>
      <sz val="9"/>
      <color rgb="FF4F81BD"/>
      <name val="Calibri"/>
      <family val="2"/>
    </font>
    <font>
      <sz val="9"/>
      <color theme="1"/>
      <name val="Calibri"/>
      <family val="2"/>
    </font>
    <font>
      <b/>
      <sz val="10"/>
      <color rgb="FF000000"/>
      <name val="Arial"/>
      <family val="2"/>
    </font>
    <font>
      <b/>
      <sz val="9"/>
      <color theme="1"/>
      <name val="Calibri"/>
      <family val="2"/>
      <scheme val="minor"/>
    </font>
    <font>
      <b/>
      <sz val="9"/>
      <name val="Calibri"/>
      <family val="2"/>
    </font>
    <font>
      <b/>
      <sz val="9"/>
      <color rgb="FF000000"/>
      <name val="Calibri"/>
      <family val="2"/>
    </font>
    <font>
      <sz val="9"/>
      <color rgb="FF000000"/>
      <name val="Calibri"/>
      <family val="2"/>
    </font>
    <font>
      <sz val="10"/>
      <color rgb="FF000000"/>
      <name val="Arial"/>
      <family val="2"/>
    </font>
    <font>
      <vertAlign val="subscript"/>
      <sz val="10"/>
      <name val="Arial"/>
      <family val="2"/>
    </font>
    <font>
      <sz val="10"/>
      <name val="Calibri"/>
      <family val="2"/>
      <scheme val="minor"/>
    </font>
    <font>
      <b/>
      <sz val="9"/>
      <color indexed="8"/>
      <name val="Arial"/>
      <family val="2"/>
    </font>
    <font>
      <sz val="9"/>
      <color indexed="8"/>
      <name val="Arial"/>
      <family val="2"/>
    </font>
    <font>
      <sz val="11"/>
      <color rgb="FF242424"/>
      <name val="Aptos"/>
      <family val="2"/>
    </font>
  </fonts>
  <fills count="13">
    <fill>
      <patternFill patternType="none"/>
    </fill>
    <fill>
      <patternFill patternType="gray125"/>
    </fill>
    <fill>
      <patternFill patternType="solid">
        <fgColor indexed="43"/>
        <bgColor indexed="64"/>
      </patternFill>
    </fill>
    <fill>
      <patternFill patternType="solid">
        <fgColor theme="8" tint="0.79998168889431442"/>
        <bgColor indexed="65"/>
      </patternFill>
    </fill>
    <fill>
      <patternFill patternType="solid">
        <fgColor theme="6" tint="0.59999389629810485"/>
        <bgColor indexed="65"/>
      </patternFill>
    </fill>
    <fill>
      <patternFill patternType="solid">
        <fgColor rgb="FFC6EFCE"/>
      </patternFill>
    </fill>
    <fill>
      <patternFill patternType="solid">
        <fgColor rgb="FFFFEB9C"/>
      </patternFill>
    </fill>
    <fill>
      <patternFill patternType="solid">
        <fgColor theme="6" tint="0.79998168889431442"/>
        <bgColor indexed="64"/>
      </patternFill>
    </fill>
    <fill>
      <patternFill patternType="solid">
        <fgColor theme="0"/>
        <bgColor indexed="64"/>
      </patternFill>
    </fill>
    <fill>
      <patternFill patternType="solid">
        <fgColor rgb="FFFFFFFF"/>
        <bgColor indexed="64"/>
      </patternFill>
    </fill>
    <fill>
      <patternFill patternType="solid">
        <fgColor rgb="FFF0F0F0"/>
      </patternFill>
    </fill>
    <fill>
      <patternFill patternType="solid">
        <fgColor rgb="FFF2F2F2"/>
        <bgColor indexed="64"/>
      </patternFill>
    </fill>
    <fill>
      <patternFill patternType="solid">
        <fgColor rgb="FFFFFFFF"/>
        <bgColor rgb="FF000000"/>
      </patternFill>
    </fill>
  </fills>
  <borders count="52">
    <border>
      <left/>
      <right/>
      <top/>
      <bottom/>
      <diagonal/>
    </border>
    <border>
      <left/>
      <right/>
      <top style="thin">
        <color indexed="64"/>
      </top>
      <bottom/>
      <diagonal/>
    </border>
    <border>
      <left/>
      <right/>
      <top style="thin">
        <color indexed="64"/>
      </top>
      <bottom style="medium">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style="medium">
        <color indexed="64"/>
      </top>
      <bottom/>
      <diagonal/>
    </border>
    <border>
      <left/>
      <right style="thin">
        <color indexed="64"/>
      </right>
      <top/>
      <bottom style="thin">
        <color indexed="64"/>
      </bottom>
      <diagonal/>
    </border>
    <border>
      <left/>
      <right/>
      <top/>
      <bottom style="medium">
        <color indexed="64"/>
      </bottom>
      <diagonal/>
    </border>
    <border>
      <left style="thick">
        <color indexed="64"/>
      </left>
      <right style="thick">
        <color indexed="64"/>
      </right>
      <top style="thick">
        <color indexed="64"/>
      </top>
      <bottom style="thick">
        <color indexed="64"/>
      </bottom>
      <diagonal/>
    </border>
    <border>
      <left/>
      <right/>
      <top style="thick">
        <color indexed="64"/>
      </top>
      <bottom/>
      <diagonal/>
    </border>
    <border>
      <left style="medium">
        <color indexed="64"/>
      </left>
      <right style="medium">
        <color indexed="64"/>
      </right>
      <top style="medium">
        <color indexed="64"/>
      </top>
      <bottom style="medium">
        <color indexed="64"/>
      </bottom>
      <diagonal/>
    </border>
    <border>
      <left style="thick">
        <color indexed="64"/>
      </left>
      <right style="thick">
        <color indexed="64"/>
      </right>
      <top/>
      <bottom style="thick">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medium">
        <color indexed="64"/>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top/>
      <bottom/>
      <diagonal/>
    </border>
    <border>
      <left/>
      <right style="thin">
        <color indexed="64"/>
      </right>
      <top/>
      <bottom/>
      <diagonal/>
    </border>
    <border>
      <left/>
      <right style="medium">
        <color indexed="64"/>
      </right>
      <top/>
      <bottom/>
      <diagonal/>
    </border>
    <border>
      <left/>
      <right style="medium">
        <color indexed="64"/>
      </right>
      <top style="medium">
        <color indexed="64"/>
      </top>
      <bottom/>
      <diagonal/>
    </border>
    <border>
      <left style="medium">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bottom/>
      <diagonal/>
    </border>
    <border>
      <left/>
      <right style="medium">
        <color indexed="64"/>
      </right>
      <top/>
      <bottom style="medium">
        <color indexed="64"/>
      </bottom>
      <diagonal/>
    </border>
    <border>
      <left style="thin">
        <color indexed="64"/>
      </left>
      <right style="thin">
        <color indexed="64"/>
      </right>
      <top style="medium">
        <color indexed="64"/>
      </top>
      <bottom style="medium">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bottom style="medium">
        <color indexed="64"/>
      </bottom>
      <diagonal/>
    </border>
    <border>
      <left style="thin">
        <color indexed="64"/>
      </left>
      <right style="medium">
        <color indexed="64"/>
      </right>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medium">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24">
    <xf numFmtId="0" fontId="0" fillId="0" borderId="0"/>
    <xf numFmtId="0" fontId="12" fillId="3" borderId="0" applyNumberFormat="0" applyBorder="0" applyAlignment="0" applyProtection="0"/>
    <xf numFmtId="0" fontId="12" fillId="4" borderId="0" applyNumberFormat="0" applyBorder="0" applyAlignment="0" applyProtection="0"/>
    <xf numFmtId="43" fontId="12" fillId="0" borderId="0" applyFont="0" applyFill="0" applyBorder="0" applyAlignment="0" applyProtection="0"/>
    <xf numFmtId="0" fontId="13" fillId="5" borderId="0" applyNumberFormat="0" applyBorder="0" applyAlignment="0" applyProtection="0"/>
    <xf numFmtId="0" fontId="14" fillId="6" borderId="0" applyNumberFormat="0" applyBorder="0" applyAlignment="0" applyProtection="0"/>
    <xf numFmtId="0" fontId="5" fillId="0" borderId="0"/>
    <xf numFmtId="0" fontId="5" fillId="0" borderId="0"/>
    <xf numFmtId="0" fontId="5" fillId="0" borderId="0"/>
    <xf numFmtId="0" fontId="5" fillId="0" borderId="0"/>
    <xf numFmtId="0" fontId="12" fillId="0" borderId="0"/>
    <xf numFmtId="0" fontId="5" fillId="0" borderId="0"/>
    <xf numFmtId="0" fontId="3" fillId="0" borderId="0"/>
    <xf numFmtId="9" fontId="2" fillId="0" borderId="0" applyFont="0" applyFill="0" applyBorder="0" applyAlignment="0" applyProtection="0"/>
    <xf numFmtId="9" fontId="5"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0" fontId="5" fillId="0" borderId="0"/>
    <xf numFmtId="0" fontId="22" fillId="0" borderId="0" applyNumberFormat="0" applyFill="0" applyBorder="0" applyAlignment="0" applyProtection="0">
      <alignment vertical="top"/>
      <protection locked="0"/>
    </xf>
    <xf numFmtId="169" fontId="1" fillId="0" borderId="0" applyFont="0" applyFill="0" applyBorder="0" applyAlignment="0" applyProtection="0"/>
    <xf numFmtId="0" fontId="31" fillId="0" borderId="0"/>
    <xf numFmtId="0" fontId="2" fillId="0" borderId="0"/>
    <xf numFmtId="0" fontId="34" fillId="8" borderId="0" applyBorder="0">
      <alignment horizontal="center"/>
    </xf>
    <xf numFmtId="0" fontId="55" fillId="0" borderId="0" applyNumberFormat="0" applyFill="0" applyBorder="0" applyAlignment="0" applyProtection="0"/>
  </cellStyleXfs>
  <cellXfs count="370">
    <xf numFmtId="0" fontId="0" fillId="0" borderId="0" xfId="0"/>
    <xf numFmtId="0" fontId="5" fillId="0" borderId="0" xfId="0" applyFont="1"/>
    <xf numFmtId="0" fontId="6" fillId="0" borderId="0" xfId="0" applyFont="1"/>
    <xf numFmtId="0" fontId="4" fillId="2" borderId="1" xfId="0" applyFont="1" applyFill="1" applyBorder="1" applyAlignment="1">
      <alignment horizontal="left"/>
    </xf>
    <xf numFmtId="0" fontId="5" fillId="0" borderId="0" xfId="8" applyAlignment="1">
      <alignment horizontal="right"/>
    </xf>
    <xf numFmtId="0" fontId="6" fillId="0" borderId="0" xfId="8" applyFont="1" applyAlignment="1">
      <alignment horizontal="left"/>
    </xf>
    <xf numFmtId="0" fontId="5" fillId="0" borderId="0" xfId="8" applyAlignment="1">
      <alignment horizontal="left"/>
    </xf>
    <xf numFmtId="0" fontId="15" fillId="0" borderId="0" xfId="4" applyFont="1" applyFill="1"/>
    <xf numFmtId="1" fontId="5" fillId="0" borderId="0" xfId="0" applyNumberFormat="1" applyFont="1"/>
    <xf numFmtId="0" fontId="17" fillId="3" borderId="2" xfId="1" applyFont="1" applyBorder="1" applyAlignment="1">
      <alignment horizontal="center" wrapText="1"/>
    </xf>
    <xf numFmtId="0" fontId="17" fillId="3" borderId="2" xfId="1" applyFont="1" applyBorder="1" applyAlignment="1">
      <alignment horizontal="left" wrapText="1"/>
    </xf>
    <xf numFmtId="0" fontId="17" fillId="3" borderId="1" xfId="1" applyFont="1" applyBorder="1" applyAlignment="1">
      <alignment horizontal="left" wrapText="1"/>
    </xf>
    <xf numFmtId="2" fontId="0" fillId="0" borderId="0" xfId="0" applyNumberFormat="1"/>
    <xf numFmtId="0" fontId="4" fillId="2" borderId="1" xfId="8" applyFont="1" applyFill="1" applyBorder="1" applyAlignment="1">
      <alignment horizontal="left" vertical="center"/>
    </xf>
    <xf numFmtId="0" fontId="4" fillId="2" borderId="3" xfId="0" applyFont="1" applyFill="1" applyBorder="1" applyAlignment="1">
      <alignment horizontal="left"/>
    </xf>
    <xf numFmtId="0" fontId="0" fillId="0" borderId="0" xfId="0" applyAlignment="1">
      <alignment wrapText="1"/>
    </xf>
    <xf numFmtId="0" fontId="5" fillId="0" borderId="0" xfId="6"/>
    <xf numFmtId="0" fontId="5" fillId="0" borderId="0" xfId="6" applyAlignment="1">
      <alignment wrapText="1"/>
    </xf>
    <xf numFmtId="1" fontId="5" fillId="0" borderId="0" xfId="6" applyNumberFormat="1"/>
    <xf numFmtId="0" fontId="19" fillId="0" borderId="0" xfId="2" applyFont="1" applyFill="1" applyBorder="1" applyAlignment="1">
      <alignment horizontal="right" wrapText="1"/>
    </xf>
    <xf numFmtId="0" fontId="17" fillId="0" borderId="0" xfId="2" applyFont="1" applyFill="1" applyBorder="1" applyAlignment="1">
      <alignment horizontal="right" wrapText="1"/>
    </xf>
    <xf numFmtId="1" fontId="18" fillId="0" borderId="0" xfId="2" applyNumberFormat="1" applyFont="1" applyFill="1" applyBorder="1" applyAlignment="1">
      <alignment horizontal="right" wrapText="1"/>
    </xf>
    <xf numFmtId="2" fontId="5" fillId="7" borderId="0" xfId="5" applyNumberFormat="1" applyFont="1" applyFill="1"/>
    <xf numFmtId="0" fontId="5" fillId="7" borderId="0" xfId="5" applyFont="1" applyFill="1"/>
    <xf numFmtId="0" fontId="16" fillId="0" borderId="0" xfId="6" applyFont="1"/>
    <xf numFmtId="0" fontId="4" fillId="2" borderId="1" xfId="8" applyFont="1" applyFill="1" applyBorder="1" applyAlignment="1">
      <alignment horizontal="center" wrapText="1"/>
    </xf>
    <xf numFmtId="2" fontId="5" fillId="0" borderId="0" xfId="6" applyNumberFormat="1"/>
    <xf numFmtId="165" fontId="0" fillId="0" borderId="0" xfId="0" applyNumberFormat="1"/>
    <xf numFmtId="166" fontId="6" fillId="0" borderId="0" xfId="0" applyNumberFormat="1" applyFont="1"/>
    <xf numFmtId="166" fontId="5" fillId="0" borderId="0" xfId="0" applyNumberFormat="1" applyFont="1"/>
    <xf numFmtId="166" fontId="4" fillId="2" borderId="1" xfId="0" applyNumberFormat="1" applyFont="1" applyFill="1" applyBorder="1" applyAlignment="1">
      <alignment horizontal="left"/>
    </xf>
    <xf numFmtId="166" fontId="4" fillId="2" borderId="3" xfId="0" applyNumberFormat="1" applyFont="1" applyFill="1" applyBorder="1" applyAlignment="1">
      <alignment horizontal="left"/>
    </xf>
    <xf numFmtId="166" fontId="17" fillId="3" borderId="2" xfId="1" applyNumberFormat="1" applyFont="1" applyBorder="1" applyAlignment="1">
      <alignment horizontal="left" wrapText="1"/>
    </xf>
    <xf numFmtId="166" fontId="0" fillId="0" borderId="0" xfId="0" applyNumberFormat="1"/>
    <xf numFmtId="166" fontId="17" fillId="3" borderId="2" xfId="1" applyNumberFormat="1" applyFont="1" applyBorder="1" applyAlignment="1">
      <alignment horizontal="center" wrapText="1"/>
    </xf>
    <xf numFmtId="166" fontId="0" fillId="0" borderId="0" xfId="0" applyNumberFormat="1" applyAlignment="1">
      <alignment wrapText="1"/>
    </xf>
    <xf numFmtId="166" fontId="5" fillId="0" borderId="0" xfId="6" applyNumberFormat="1"/>
    <xf numFmtId="0" fontId="10" fillId="0" borderId="0" xfId="0" applyFont="1"/>
    <xf numFmtId="0" fontId="4" fillId="8" borderId="4" xfId="0" applyFont="1" applyFill="1" applyBorder="1" applyAlignment="1">
      <alignment vertical="top" wrapText="1"/>
    </xf>
    <xf numFmtId="0" fontId="2" fillId="8" borderId="4" xfId="0" applyFont="1" applyFill="1" applyBorder="1" applyAlignment="1">
      <alignment vertical="top" wrapText="1"/>
    </xf>
    <xf numFmtId="0" fontId="4" fillId="8" borderId="4" xfId="0" applyFont="1" applyFill="1" applyBorder="1" applyAlignment="1">
      <alignment horizontal="center" vertical="top" wrapText="1"/>
    </xf>
    <xf numFmtId="1" fontId="10" fillId="8" borderId="4" xfId="0" quotePrefix="1" applyNumberFormat="1" applyFont="1" applyFill="1" applyBorder="1" applyAlignment="1">
      <alignment horizontal="center" vertical="top" wrapText="1"/>
    </xf>
    <xf numFmtId="1" fontId="10" fillId="8" borderId="4" xfId="0" applyNumberFormat="1" applyFont="1" applyFill="1" applyBorder="1" applyAlignment="1">
      <alignment horizontal="center" vertical="top" wrapText="1"/>
    </xf>
    <xf numFmtId="0" fontId="10" fillId="8" borderId="4" xfId="0" applyFont="1" applyFill="1" applyBorder="1" applyAlignment="1">
      <alignment horizontal="center" vertical="top" wrapText="1"/>
    </xf>
    <xf numFmtId="0" fontId="24" fillId="8" borderId="4" xfId="0" quotePrefix="1" applyFont="1" applyFill="1" applyBorder="1" applyAlignment="1">
      <alignment vertical="top" wrapText="1"/>
    </xf>
    <xf numFmtId="0" fontId="2" fillId="0" borderId="4" xfId="0" applyFont="1" applyBorder="1" applyAlignment="1">
      <alignment vertical="top" wrapText="1"/>
    </xf>
    <xf numFmtId="10" fontId="0" fillId="0" borderId="0" xfId="13" applyNumberFormat="1" applyFont="1" applyBorder="1"/>
    <xf numFmtId="0" fontId="24" fillId="0" borderId="4" xfId="0" quotePrefix="1" applyFont="1" applyBorder="1" applyAlignment="1">
      <alignment vertical="top" wrapText="1"/>
    </xf>
    <xf numFmtId="2" fontId="10" fillId="8" borderId="4" xfId="0" applyNumberFormat="1" applyFont="1" applyFill="1" applyBorder="1" applyAlignment="1">
      <alignment horizontal="center" vertical="top" wrapText="1"/>
    </xf>
    <xf numFmtId="165" fontId="10" fillId="8" borderId="4" xfId="0" applyNumberFormat="1" applyFont="1" applyFill="1" applyBorder="1" applyAlignment="1">
      <alignment horizontal="center" vertical="top" wrapText="1"/>
    </xf>
    <xf numFmtId="167" fontId="0" fillId="0" borderId="0" xfId="13" applyNumberFormat="1" applyFont="1" applyBorder="1"/>
    <xf numFmtId="1" fontId="10" fillId="8" borderId="4" xfId="13" applyNumberFormat="1" applyFont="1" applyFill="1" applyBorder="1" applyAlignment="1">
      <alignment horizontal="center" vertical="top" wrapText="1"/>
    </xf>
    <xf numFmtId="0" fontId="4" fillId="0" borderId="4" xfId="0" applyFont="1" applyBorder="1" applyAlignment="1">
      <alignment vertical="top" wrapText="1"/>
    </xf>
    <xf numFmtId="168" fontId="0" fillId="0" borderId="0" xfId="0" applyNumberFormat="1"/>
    <xf numFmtId="0" fontId="10" fillId="0" borderId="4" xfId="0" applyFont="1" applyBorder="1" applyAlignment="1">
      <alignment vertical="top" wrapText="1"/>
    </xf>
    <xf numFmtId="169" fontId="0" fillId="0" borderId="0" xfId="19" applyFont="1" applyBorder="1"/>
    <xf numFmtId="165" fontId="10" fillId="8" borderId="4" xfId="0" applyNumberFormat="1" applyFont="1" applyFill="1" applyBorder="1" applyAlignment="1">
      <alignment horizontal="center" vertical="center" wrapText="1"/>
    </xf>
    <xf numFmtId="0" fontId="10" fillId="8" borderId="4" xfId="0" applyFont="1" applyFill="1" applyBorder="1" applyAlignment="1">
      <alignment horizontal="center" vertical="center" wrapText="1"/>
    </xf>
    <xf numFmtId="1" fontId="10" fillId="8" borderId="4" xfId="0" quotePrefix="1" applyNumberFormat="1" applyFont="1" applyFill="1" applyBorder="1" applyAlignment="1">
      <alignment horizontal="center" vertical="center" wrapText="1"/>
    </xf>
    <xf numFmtId="0" fontId="10" fillId="0" borderId="5" xfId="0" applyFont="1" applyBorder="1" applyAlignment="1">
      <alignment vertical="top" wrapText="1"/>
    </xf>
    <xf numFmtId="165" fontId="10" fillId="0" borderId="4" xfId="0" applyNumberFormat="1" applyFont="1" applyBorder="1" applyAlignment="1">
      <alignment horizontal="center" vertical="top"/>
    </xf>
    <xf numFmtId="0" fontId="10" fillId="8" borderId="4" xfId="0" applyFont="1" applyFill="1" applyBorder="1" applyAlignment="1">
      <alignment horizontal="center" vertical="top"/>
    </xf>
    <xf numFmtId="0" fontId="0" fillId="0" borderId="4" xfId="0" applyBorder="1"/>
    <xf numFmtId="0" fontId="0" fillId="0" borderId="4" xfId="0" applyBorder="1" applyAlignment="1">
      <alignment horizontal="center"/>
    </xf>
    <xf numFmtId="49" fontId="10" fillId="8" borderId="7" xfId="0" quotePrefix="1" applyNumberFormat="1" applyFont="1" applyFill="1" applyBorder="1" applyAlignment="1">
      <alignment horizontal="center" vertical="top" wrapText="1"/>
    </xf>
    <xf numFmtId="169" fontId="0" fillId="0" borderId="0" xfId="0" applyNumberFormat="1"/>
    <xf numFmtId="0" fontId="9" fillId="8" borderId="0" xfId="0" applyFont="1" applyFill="1" applyAlignment="1">
      <alignment vertical="top" wrapText="1"/>
    </xf>
    <xf numFmtId="2" fontId="10" fillId="8" borderId="0" xfId="0" applyNumberFormat="1" applyFont="1" applyFill="1" applyAlignment="1">
      <alignment horizontal="center" vertical="top"/>
    </xf>
    <xf numFmtId="0" fontId="10" fillId="8" borderId="0" xfId="0" applyFont="1" applyFill="1" applyAlignment="1">
      <alignment horizontal="center" vertical="top"/>
    </xf>
    <xf numFmtId="0" fontId="10" fillId="8" borderId="0" xfId="0" applyFont="1" applyFill="1" applyAlignment="1">
      <alignment vertical="top" wrapText="1"/>
    </xf>
    <xf numFmtId="1" fontId="10" fillId="8" borderId="0" xfId="0" applyNumberFormat="1" applyFont="1" applyFill="1" applyAlignment="1">
      <alignment vertical="top"/>
    </xf>
    <xf numFmtId="1" fontId="10" fillId="8" borderId="0" xfId="19" applyNumberFormat="1" applyFont="1" applyFill="1" applyBorder="1" applyAlignment="1">
      <alignment vertical="top"/>
    </xf>
    <xf numFmtId="0" fontId="10" fillId="8" borderId="0" xfId="0" applyFont="1" applyFill="1"/>
    <xf numFmtId="168" fontId="10" fillId="8" borderId="0" xfId="0" applyNumberFormat="1" applyFont="1" applyFill="1" applyAlignment="1">
      <alignment vertical="top" wrapText="1"/>
    </xf>
    <xf numFmtId="0" fontId="10" fillId="8" borderId="0" xfId="0" applyFont="1" applyFill="1" applyAlignment="1">
      <alignment horizontal="right" vertical="top"/>
    </xf>
    <xf numFmtId="49" fontId="10" fillId="8" borderId="0" xfId="19" applyNumberFormat="1" applyFont="1" applyFill="1" applyBorder="1" applyAlignment="1">
      <alignment vertical="top"/>
    </xf>
    <xf numFmtId="49" fontId="0" fillId="0" borderId="0" xfId="0" applyNumberFormat="1" applyAlignment="1">
      <alignment vertical="top"/>
    </xf>
    <xf numFmtId="0" fontId="0" fillId="0" borderId="0" xfId="0" applyAlignment="1">
      <alignment vertical="top"/>
    </xf>
    <xf numFmtId="169" fontId="0" fillId="0" borderId="0" xfId="19" applyFont="1" applyBorder="1" applyAlignment="1"/>
    <xf numFmtId="169" fontId="10" fillId="8" borderId="0" xfId="19" applyFont="1" applyFill="1" applyBorder="1" applyAlignment="1">
      <alignment vertical="top"/>
    </xf>
    <xf numFmtId="0" fontId="10" fillId="8" borderId="0" xfId="0" applyFont="1" applyFill="1" applyAlignment="1">
      <alignment vertical="top"/>
    </xf>
    <xf numFmtId="0" fontId="29" fillId="0" borderId="0" xfId="0" applyFont="1" applyAlignment="1">
      <alignment vertical="top"/>
    </xf>
    <xf numFmtId="0" fontId="29" fillId="0" borderId="0" xfId="0" applyFont="1" applyAlignment="1">
      <alignment horizontal="left" vertical="top"/>
    </xf>
    <xf numFmtId="0" fontId="30" fillId="0" borderId="0" xfId="0" applyFont="1" applyAlignment="1">
      <alignment horizontal="left" vertical="top"/>
    </xf>
    <xf numFmtId="1" fontId="9" fillId="8" borderId="0" xfId="0" applyNumberFormat="1" applyFont="1" applyFill="1" applyAlignment="1">
      <alignment vertical="top"/>
    </xf>
    <xf numFmtId="0" fontId="9" fillId="8" borderId="0" xfId="0" applyFont="1" applyFill="1" applyAlignment="1">
      <alignment vertical="top"/>
    </xf>
    <xf numFmtId="0" fontId="0" fillId="0" borderId="0" xfId="0" applyAlignment="1">
      <alignment horizontal="left" vertical="center"/>
    </xf>
    <xf numFmtId="0" fontId="4" fillId="2" borderId="1" xfId="8" applyFont="1" applyFill="1" applyBorder="1" applyAlignment="1">
      <alignment horizontal="right" vertical="center" wrapText="1"/>
    </xf>
    <xf numFmtId="0" fontId="4" fillId="2" borderId="1" xfId="8" applyFont="1" applyFill="1" applyBorder="1" applyAlignment="1">
      <alignment horizontal="right" vertical="center"/>
    </xf>
    <xf numFmtId="0" fontId="17" fillId="3" borderId="1" xfId="1" applyFont="1" applyBorder="1" applyAlignment="1">
      <alignment horizontal="right" wrapText="1"/>
    </xf>
    <xf numFmtId="0" fontId="17" fillId="3" borderId="2" xfId="1" applyFont="1" applyBorder="1" applyAlignment="1">
      <alignment horizontal="right" wrapText="1"/>
    </xf>
    <xf numFmtId="166" fontId="0" fillId="0" borderId="0" xfId="20" applyNumberFormat="1" applyFont="1"/>
    <xf numFmtId="166" fontId="2" fillId="0" borderId="0" xfId="21" applyNumberFormat="1"/>
    <xf numFmtId="0" fontId="2" fillId="0" borderId="0" xfId="21"/>
    <xf numFmtId="2" fontId="2" fillId="0" borderId="0" xfId="21" applyNumberFormat="1"/>
    <xf numFmtId="1" fontId="2" fillId="0" borderId="0" xfId="21" applyNumberFormat="1"/>
    <xf numFmtId="170" fontId="2" fillId="0" borderId="0" xfId="21" applyNumberFormat="1"/>
    <xf numFmtId="0" fontId="6" fillId="0" borderId="0" xfId="21" applyFont="1"/>
    <xf numFmtId="9" fontId="2" fillId="0" borderId="0" xfId="21" applyNumberFormat="1"/>
    <xf numFmtId="0" fontId="22" fillId="0" borderId="0" xfId="18" applyAlignment="1" applyProtection="1"/>
    <xf numFmtId="0" fontId="0" fillId="8" borderId="0" xfId="0" applyFill="1"/>
    <xf numFmtId="10" fontId="0" fillId="0" borderId="0" xfId="0" applyNumberFormat="1"/>
    <xf numFmtId="0" fontId="20" fillId="0" borderId="0" xfId="0" applyFont="1"/>
    <xf numFmtId="0" fontId="21" fillId="0" borderId="0" xfId="0" applyFont="1"/>
    <xf numFmtId="171" fontId="0" fillId="0" borderId="0" xfId="0" applyNumberFormat="1"/>
    <xf numFmtId="171" fontId="0" fillId="0" borderId="0" xfId="0" applyNumberFormat="1" applyAlignment="1">
      <alignment horizontal="center" vertical="center"/>
    </xf>
    <xf numFmtId="0" fontId="2" fillId="0" borderId="6" xfId="21" applyBorder="1"/>
    <xf numFmtId="170" fontId="2" fillId="0" borderId="6" xfId="21" applyNumberFormat="1" applyBorder="1"/>
    <xf numFmtId="2" fontId="2" fillId="0" borderId="6" xfId="21" applyNumberFormat="1" applyBorder="1"/>
    <xf numFmtId="1" fontId="2" fillId="0" borderId="6" xfId="21" applyNumberFormat="1" applyBorder="1"/>
    <xf numFmtId="166" fontId="2" fillId="0" borderId="0" xfId="0" applyNumberFormat="1" applyFont="1"/>
    <xf numFmtId="0" fontId="2" fillId="0" borderId="0" xfId="0" applyFont="1"/>
    <xf numFmtId="164" fontId="2" fillId="0" borderId="0" xfId="21" applyNumberFormat="1"/>
    <xf numFmtId="9" fontId="5" fillId="7" borderId="0" xfId="13" applyFont="1" applyFill="1"/>
    <xf numFmtId="0" fontId="26" fillId="0" borderId="4" xfId="0" applyFont="1" applyBorder="1" applyAlignment="1">
      <alignment horizontal="center" vertical="center" wrapText="1"/>
    </xf>
    <xf numFmtId="0" fontId="36" fillId="0" borderId="4" xfId="0" applyFont="1" applyBorder="1" applyAlignment="1">
      <alignment horizontal="center" vertical="center" wrapText="1"/>
    </xf>
    <xf numFmtId="165" fontId="26" fillId="0" borderId="4" xfId="0" applyNumberFormat="1" applyFont="1" applyBorder="1" applyAlignment="1">
      <alignment horizontal="center" vertical="center" wrapText="1"/>
    </xf>
    <xf numFmtId="165" fontId="36" fillId="0" borderId="4" xfId="0" applyNumberFormat="1" applyFont="1" applyBorder="1" applyAlignment="1">
      <alignment horizontal="center" vertical="center" wrapText="1"/>
    </xf>
    <xf numFmtId="0" fontId="37" fillId="10" borderId="0" xfId="0" applyFont="1" applyFill="1"/>
    <xf numFmtId="0" fontId="37" fillId="10" borderId="0" xfId="0" applyFont="1" applyFill="1" applyAlignment="1">
      <alignment horizontal="center"/>
    </xf>
    <xf numFmtId="0" fontId="38" fillId="10" borderId="0" xfId="0" applyFont="1" applyFill="1"/>
    <xf numFmtId="0" fontId="38" fillId="10" borderId="8" xfId="0" applyFont="1" applyFill="1" applyBorder="1"/>
    <xf numFmtId="0" fontId="37" fillId="10" borderId="8" xfId="0" applyFont="1" applyFill="1" applyBorder="1" applyAlignment="1">
      <alignment horizontal="center"/>
    </xf>
    <xf numFmtId="0" fontId="37" fillId="0" borderId="0" xfId="0" applyFont="1"/>
    <xf numFmtId="0" fontId="0" fillId="0" borderId="0" xfId="0" applyAlignment="1">
      <alignment horizontal="center"/>
    </xf>
    <xf numFmtId="9" fontId="0" fillId="0" borderId="0" xfId="0" applyNumberFormat="1"/>
    <xf numFmtId="9" fontId="0" fillId="0" borderId="0" xfId="0" applyNumberFormat="1" applyAlignment="1">
      <alignment horizontal="center"/>
    </xf>
    <xf numFmtId="0" fontId="39" fillId="0" borderId="0" xfId="0" applyFont="1"/>
    <xf numFmtId="0" fontId="5" fillId="0" borderId="10" xfId="6" applyBorder="1"/>
    <xf numFmtId="166" fontId="0" fillId="0" borderId="10" xfId="0" applyNumberFormat="1" applyBorder="1"/>
    <xf numFmtId="2" fontId="5" fillId="0" borderId="10" xfId="6" applyNumberFormat="1" applyBorder="1"/>
    <xf numFmtId="0" fontId="2" fillId="0" borderId="10" xfId="6" applyFont="1" applyBorder="1"/>
    <xf numFmtId="2" fontId="2" fillId="0" borderId="0" xfId="21" quotePrefix="1" applyNumberFormat="1"/>
    <xf numFmtId="0" fontId="40" fillId="11" borderId="1" xfId="0" applyFont="1" applyFill="1" applyBorder="1" applyAlignment="1">
      <alignment horizontal="left" vertical="top"/>
    </xf>
    <xf numFmtId="0" fontId="41" fillId="11" borderId="0" xfId="0" applyFont="1" applyFill="1" applyAlignment="1">
      <alignment horizontal="left" vertical="top"/>
    </xf>
    <xf numFmtId="0" fontId="32" fillId="11" borderId="0" xfId="0" applyFont="1" applyFill="1" applyAlignment="1">
      <alignment horizontal="right" vertical="top"/>
    </xf>
    <xf numFmtId="0" fontId="33" fillId="11" borderId="0" xfId="0" applyFont="1" applyFill="1" applyAlignment="1">
      <alignment horizontal="right" vertical="top"/>
    </xf>
    <xf numFmtId="0" fontId="32" fillId="11" borderId="0" xfId="0" applyFont="1" applyFill="1" applyAlignment="1">
      <alignment horizontal="center" vertical="top"/>
    </xf>
    <xf numFmtId="0" fontId="40" fillId="11" borderId="8" xfId="0" applyFont="1" applyFill="1" applyBorder="1" applyAlignment="1">
      <alignment horizontal="left" vertical="top"/>
    </xf>
    <xf numFmtId="0" fontId="33" fillId="11" borderId="8" xfId="0" applyFont="1" applyFill="1" applyBorder="1" applyAlignment="1">
      <alignment horizontal="right" vertical="top"/>
    </xf>
    <xf numFmtId="0" fontId="34" fillId="0" borderId="0" xfId="0" applyFont="1" applyAlignment="1">
      <alignment horizontal="right" vertical="top"/>
    </xf>
    <xf numFmtId="0" fontId="32" fillId="0" borderId="0" xfId="0" applyFont="1" applyAlignment="1">
      <alignment horizontal="left" vertical="top"/>
    </xf>
    <xf numFmtId="0" fontId="34" fillId="0" borderId="0" xfId="0" applyFont="1"/>
    <xf numFmtId="0" fontId="34" fillId="0" borderId="0" xfId="0" applyFont="1" applyAlignment="1">
      <alignment horizontal="center"/>
    </xf>
    <xf numFmtId="0" fontId="44" fillId="0" borderId="0" xfId="0" applyFont="1" applyAlignment="1">
      <alignment horizontal="left" vertical="center"/>
    </xf>
    <xf numFmtId="0" fontId="43" fillId="0" borderId="0" xfId="0" applyFont="1"/>
    <xf numFmtId="0" fontId="34" fillId="0" borderId="9" xfId="0" applyFont="1" applyBorder="1"/>
    <xf numFmtId="0" fontId="44" fillId="0" borderId="9" xfId="0" applyFont="1" applyBorder="1" applyAlignment="1">
      <alignment horizontal="left" vertical="center"/>
    </xf>
    <xf numFmtId="0" fontId="43" fillId="0" borderId="9" xfId="0" applyFont="1" applyBorder="1" applyAlignment="1">
      <alignment horizontal="left" vertical="center"/>
    </xf>
    <xf numFmtId="0" fontId="42" fillId="0" borderId="9" xfId="0" applyFont="1" applyBorder="1" applyAlignment="1">
      <alignment horizontal="left" vertical="center"/>
    </xf>
    <xf numFmtId="0" fontId="40" fillId="11" borderId="11" xfId="0" applyFont="1" applyFill="1" applyBorder="1" applyAlignment="1">
      <alignment horizontal="left" vertical="top"/>
    </xf>
    <xf numFmtId="0" fontId="44" fillId="0" borderId="12" xfId="0" applyFont="1" applyBorder="1" applyAlignment="1">
      <alignment horizontal="left" vertical="center"/>
    </xf>
    <xf numFmtId="0" fontId="34" fillId="0" borderId="12" xfId="0" applyFont="1" applyBorder="1"/>
    <xf numFmtId="0" fontId="41" fillId="11" borderId="11" xfId="0" applyFont="1" applyFill="1" applyBorder="1" applyAlignment="1">
      <alignment horizontal="left" vertical="top"/>
    </xf>
    <xf numFmtId="0" fontId="32" fillId="11" borderId="11" xfId="0" applyFont="1" applyFill="1" applyBorder="1" applyAlignment="1">
      <alignment horizontal="right" vertical="top"/>
    </xf>
    <xf numFmtId="0" fontId="33" fillId="11" borderId="11" xfId="0" applyFont="1" applyFill="1" applyBorder="1" applyAlignment="1">
      <alignment horizontal="right" vertical="top"/>
    </xf>
    <xf numFmtId="0" fontId="32" fillId="11" borderId="11" xfId="0" applyFont="1" applyFill="1" applyBorder="1" applyAlignment="1">
      <alignment horizontal="center" vertical="top"/>
    </xf>
    <xf numFmtId="0" fontId="34" fillId="11" borderId="11" xfId="0" applyFont="1" applyFill="1" applyBorder="1" applyAlignment="1">
      <alignment horizontal="center" vertical="top"/>
    </xf>
    <xf numFmtId="0" fontId="40" fillId="0" borderId="11" xfId="0" applyFont="1" applyBorder="1" applyAlignment="1">
      <alignment horizontal="left" vertical="top"/>
    </xf>
    <xf numFmtId="0" fontId="34" fillId="0" borderId="11" xfId="0" applyFont="1" applyBorder="1" applyAlignment="1">
      <alignment horizontal="right" vertical="top"/>
    </xf>
    <xf numFmtId="0" fontId="34" fillId="0" borderId="11" xfId="0" applyFont="1" applyBorder="1" applyAlignment="1">
      <alignment horizontal="center" vertical="top"/>
    </xf>
    <xf numFmtId="0" fontId="32" fillId="0" borderId="11" xfId="0" applyFont="1" applyBorder="1" applyAlignment="1">
      <alignment horizontal="left" vertical="top"/>
    </xf>
    <xf numFmtId="0" fontId="34" fillId="0" borderId="11" xfId="0" applyFont="1" applyBorder="1" applyAlignment="1">
      <alignment horizontal="left" vertical="top"/>
    </xf>
    <xf numFmtId="0" fontId="42" fillId="0" borderId="11" xfId="0" applyFont="1" applyBorder="1" applyAlignment="1">
      <alignment horizontal="right" vertical="top"/>
    </xf>
    <xf numFmtId="0" fontId="43" fillId="0" borderId="11" xfId="0" applyFont="1" applyBorder="1" applyAlignment="1">
      <alignment horizontal="right" vertical="top"/>
    </xf>
    <xf numFmtId="9" fontId="43" fillId="0" borderId="11" xfId="0" applyNumberFormat="1" applyFont="1" applyBorder="1" applyAlignment="1">
      <alignment horizontal="right" vertical="top"/>
    </xf>
    <xf numFmtId="9" fontId="43" fillId="0" borderId="11" xfId="13" applyFont="1" applyBorder="1" applyAlignment="1">
      <alignment horizontal="right" vertical="top"/>
    </xf>
    <xf numFmtId="9" fontId="34" fillId="0" borderId="11" xfId="13" applyFont="1" applyBorder="1" applyAlignment="1">
      <alignment horizontal="center" vertical="top"/>
    </xf>
    <xf numFmtId="2" fontId="43" fillId="0" borderId="11" xfId="0" applyNumberFormat="1" applyFont="1" applyBorder="1" applyAlignment="1">
      <alignment horizontal="right" vertical="top"/>
    </xf>
    <xf numFmtId="0" fontId="35" fillId="0" borderId="11" xfId="0" applyFont="1" applyBorder="1" applyAlignment="1">
      <alignment horizontal="left" vertical="top"/>
    </xf>
    <xf numFmtId="2" fontId="42" fillId="0" borderId="11" xfId="0" applyNumberFormat="1" applyFont="1" applyBorder="1" applyAlignment="1">
      <alignment horizontal="right" vertical="top"/>
    </xf>
    <xf numFmtId="2" fontId="43" fillId="8" borderId="11" xfId="0" applyNumberFormat="1" applyFont="1" applyFill="1" applyBorder="1" applyAlignment="1">
      <alignment horizontal="right" vertical="top"/>
    </xf>
    <xf numFmtId="165" fontId="43" fillId="0" borderId="11" xfId="0" applyNumberFormat="1" applyFont="1" applyBorder="1" applyAlignment="1">
      <alignment horizontal="right" vertical="top"/>
    </xf>
    <xf numFmtId="165" fontId="43" fillId="0" borderId="11" xfId="13" applyNumberFormat="1" applyFont="1" applyBorder="1" applyAlignment="1">
      <alignment horizontal="right" vertical="top"/>
    </xf>
    <xf numFmtId="1" fontId="43" fillId="0" borderId="11" xfId="0" applyNumberFormat="1" applyFont="1" applyBorder="1" applyAlignment="1">
      <alignment horizontal="right" vertical="top"/>
    </xf>
    <xf numFmtId="0" fontId="34" fillId="0" borderId="11" xfId="0" applyFont="1" applyBorder="1"/>
    <xf numFmtId="0" fontId="35" fillId="9" borderId="11" xfId="0" applyFont="1" applyFill="1" applyBorder="1" applyAlignment="1">
      <alignment horizontal="left" vertical="top"/>
    </xf>
    <xf numFmtId="9" fontId="42" fillId="0" borderId="11" xfId="13" applyFont="1" applyBorder="1" applyAlignment="1">
      <alignment horizontal="right" vertical="top"/>
    </xf>
    <xf numFmtId="0" fontId="35" fillId="0" borderId="11" xfId="0" applyFont="1" applyBorder="1" applyAlignment="1">
      <alignment horizontal="center" vertical="top"/>
    </xf>
    <xf numFmtId="0" fontId="34" fillId="0" borderId="11" xfId="0" applyFont="1" applyBorder="1" applyAlignment="1">
      <alignment horizontal="center"/>
    </xf>
    <xf numFmtId="0" fontId="5" fillId="0" borderId="6" xfId="6" applyBorder="1"/>
    <xf numFmtId="2" fontId="5" fillId="0" borderId="6" xfId="6" applyNumberFormat="1" applyBorder="1"/>
    <xf numFmtId="0" fontId="0" fillId="0" borderId="6" xfId="0" applyBorder="1"/>
    <xf numFmtId="170" fontId="2" fillId="0" borderId="0" xfId="21" applyNumberFormat="1" applyAlignment="1">
      <alignment horizontal="right"/>
    </xf>
    <xf numFmtId="166" fontId="17" fillId="3" borderId="1" xfId="1" applyNumberFormat="1" applyFont="1" applyBorder="1" applyAlignment="1">
      <alignment horizontal="left" wrapText="1"/>
    </xf>
    <xf numFmtId="0" fontId="43" fillId="9" borderId="0" xfId="0" applyFont="1" applyFill="1" applyAlignment="1">
      <alignment horizontal="right" vertical="top"/>
    </xf>
    <xf numFmtId="0" fontId="34" fillId="9" borderId="0" xfId="0" applyFont="1" applyFill="1" applyAlignment="1">
      <alignment horizontal="center" vertical="top"/>
    </xf>
    <xf numFmtId="0" fontId="34" fillId="0" borderId="0" xfId="0" applyFont="1" applyAlignment="1">
      <alignment horizontal="right"/>
    </xf>
    <xf numFmtId="0" fontId="45" fillId="8" borderId="0" xfId="0" applyFont="1" applyFill="1"/>
    <xf numFmtId="0" fontId="42" fillId="8" borderId="0" xfId="0" applyFont="1" applyFill="1" applyAlignment="1">
      <alignment horizontal="right" vertical="top"/>
    </xf>
    <xf numFmtId="0" fontId="42" fillId="0" borderId="0" xfId="0" applyFont="1" applyAlignment="1">
      <alignment horizontal="left" vertical="top"/>
    </xf>
    <xf numFmtId="0" fontId="46" fillId="0" borderId="0" xfId="0" applyFont="1" applyAlignment="1">
      <alignment vertical="center"/>
    </xf>
    <xf numFmtId="0" fontId="46" fillId="0" borderId="0" xfId="0" applyFont="1" applyAlignment="1">
      <alignment vertical="center" wrapText="1"/>
    </xf>
    <xf numFmtId="0" fontId="28" fillId="0" borderId="0" xfId="0" applyFont="1"/>
    <xf numFmtId="0" fontId="34" fillId="11" borderId="11" xfId="0" applyFont="1" applyFill="1" applyBorder="1" applyAlignment="1">
      <alignment horizontal="right" vertical="top"/>
    </xf>
    <xf numFmtId="0" fontId="45" fillId="11" borderId="11" xfId="0" applyFont="1" applyFill="1" applyBorder="1" applyAlignment="1">
      <alignment horizontal="right" vertical="top"/>
    </xf>
    <xf numFmtId="0" fontId="35" fillId="8" borderId="11" xfId="0" applyFont="1" applyFill="1" applyBorder="1" applyAlignment="1">
      <alignment horizontal="left" vertical="top"/>
    </xf>
    <xf numFmtId="172" fontId="43" fillId="9" borderId="11" xfId="3" applyNumberFormat="1" applyFont="1" applyFill="1" applyBorder="1" applyAlignment="1">
      <alignment horizontal="right" vertical="top"/>
    </xf>
    <xf numFmtId="0" fontId="43" fillId="9" borderId="11" xfId="0" applyFont="1" applyFill="1" applyBorder="1" applyAlignment="1">
      <alignment horizontal="right" vertical="top"/>
    </xf>
    <xf numFmtId="0" fontId="34" fillId="9" borderId="11" xfId="0" applyFont="1" applyFill="1" applyBorder="1" applyAlignment="1">
      <alignment horizontal="center" vertical="top"/>
    </xf>
    <xf numFmtId="2" fontId="42" fillId="9" borderId="11" xfId="0" applyNumberFormat="1" applyFont="1" applyFill="1" applyBorder="1" applyAlignment="1">
      <alignment horizontal="right" vertical="top"/>
    </xf>
    <xf numFmtId="0" fontId="32" fillId="11" borderId="8" xfId="0" applyFont="1" applyFill="1" applyBorder="1" applyAlignment="1">
      <alignment horizontal="center" vertical="top"/>
    </xf>
    <xf numFmtId="0" fontId="40" fillId="9" borderId="0" xfId="0" applyFont="1" applyFill="1" applyAlignment="1">
      <alignment horizontal="left" vertical="top"/>
    </xf>
    <xf numFmtId="0" fontId="32" fillId="9" borderId="0" xfId="0" applyFont="1" applyFill="1" applyAlignment="1">
      <alignment horizontal="right" vertical="top"/>
    </xf>
    <xf numFmtId="0" fontId="32" fillId="9" borderId="0" xfId="0" applyFont="1" applyFill="1" applyAlignment="1">
      <alignment horizontal="center" vertical="top"/>
    </xf>
    <xf numFmtId="0" fontId="32" fillId="9" borderId="0" xfId="0" applyFont="1" applyFill="1" applyAlignment="1">
      <alignment horizontal="left" vertical="top"/>
    </xf>
    <xf numFmtId="0" fontId="34" fillId="9" borderId="0" xfId="0" applyFont="1" applyFill="1" applyAlignment="1">
      <alignment horizontal="left" vertical="top"/>
    </xf>
    <xf numFmtId="9" fontId="43" fillId="9" borderId="0" xfId="0" applyNumberFormat="1" applyFont="1" applyFill="1" applyAlignment="1">
      <alignment horizontal="right" vertical="top"/>
    </xf>
    <xf numFmtId="0" fontId="44" fillId="9" borderId="0" xfId="0" applyFont="1" applyFill="1" applyAlignment="1">
      <alignment horizontal="right" vertical="top"/>
    </xf>
    <xf numFmtId="0" fontId="39" fillId="9" borderId="0" xfId="0" applyFont="1" applyFill="1" applyAlignment="1">
      <alignment horizontal="right" vertical="top"/>
    </xf>
    <xf numFmtId="0" fontId="34" fillId="9" borderId="8" xfId="0" applyFont="1" applyFill="1" applyBorder="1" applyAlignment="1">
      <alignment horizontal="left" vertical="top"/>
    </xf>
    <xf numFmtId="0" fontId="43" fillId="9" borderId="8" xfId="0" applyFont="1" applyFill="1" applyBorder="1" applyAlignment="1">
      <alignment horizontal="right" vertical="top"/>
    </xf>
    <xf numFmtId="0" fontId="34" fillId="9" borderId="8" xfId="0" applyFont="1" applyFill="1" applyBorder="1" applyAlignment="1">
      <alignment horizontal="center" vertical="top"/>
    </xf>
    <xf numFmtId="0" fontId="34" fillId="9" borderId="0" xfId="0" applyFont="1" applyFill="1" applyAlignment="1">
      <alignment vertical="center" wrapText="1"/>
    </xf>
    <xf numFmtId="0" fontId="34" fillId="9" borderId="0" xfId="0" applyFont="1" applyFill="1" applyAlignment="1">
      <alignment horizontal="center" vertical="center" wrapText="1"/>
    </xf>
    <xf numFmtId="0" fontId="44" fillId="0" borderId="0" xfId="0" applyFont="1"/>
    <xf numFmtId="0" fontId="51" fillId="8" borderId="0" xfId="0" applyFont="1" applyFill="1"/>
    <xf numFmtId="0" fontId="35" fillId="8" borderId="0" xfId="0" applyFont="1" applyFill="1" applyAlignment="1">
      <alignment vertical="center" wrapText="1"/>
    </xf>
    <xf numFmtId="0" fontId="35" fillId="8" borderId="0" xfId="0" applyFont="1" applyFill="1" applyAlignment="1">
      <alignment horizontal="center" vertical="center" wrapText="1"/>
    </xf>
    <xf numFmtId="0" fontId="35" fillId="8" borderId="0" xfId="0" applyFont="1" applyFill="1"/>
    <xf numFmtId="0" fontId="33" fillId="8" borderId="0" xfId="0" applyFont="1" applyFill="1" applyAlignment="1">
      <alignment horizontal="left"/>
    </xf>
    <xf numFmtId="0" fontId="35" fillId="8" borderId="0" xfId="0" applyFont="1" applyFill="1" applyAlignment="1">
      <alignment horizontal="right"/>
    </xf>
    <xf numFmtId="0" fontId="35" fillId="8" borderId="0" xfId="22" applyFont="1" applyAlignment="1">
      <alignment horizontal="left"/>
    </xf>
    <xf numFmtId="0" fontId="35" fillId="8" borderId="0" xfId="22" applyFont="1">
      <alignment horizontal="center"/>
    </xf>
    <xf numFmtId="0" fontId="26" fillId="8" borderId="0" xfId="0" applyFont="1" applyFill="1" applyAlignment="1">
      <alignment horizontal="right"/>
    </xf>
    <xf numFmtId="0" fontId="34" fillId="8" borderId="0" xfId="22">
      <alignment horizontal="center"/>
    </xf>
    <xf numFmtId="0" fontId="33" fillId="11" borderId="4" xfId="0" applyFont="1" applyFill="1" applyBorder="1" applyAlignment="1">
      <alignment horizontal="left" vertical="top"/>
    </xf>
    <xf numFmtId="0" fontId="33" fillId="11" borderId="4" xfId="0" applyFont="1" applyFill="1" applyBorder="1" applyAlignment="1">
      <alignment vertical="top"/>
    </xf>
    <xf numFmtId="0" fontId="41" fillId="11" borderId="4" xfId="0" applyFont="1" applyFill="1" applyBorder="1" applyAlignment="1">
      <alignment horizontal="left" vertical="top"/>
    </xf>
    <xf numFmtId="0" fontId="32" fillId="11" borderId="4" xfId="0" applyFont="1" applyFill="1" applyBorder="1" applyAlignment="1">
      <alignment horizontal="right" vertical="top"/>
    </xf>
    <xf numFmtId="0" fontId="33" fillId="11" borderId="4" xfId="0" applyFont="1" applyFill="1" applyBorder="1" applyAlignment="1">
      <alignment horizontal="right" vertical="top"/>
    </xf>
    <xf numFmtId="0" fontId="33" fillId="11" borderId="4" xfId="0" applyFont="1" applyFill="1" applyBorder="1" applyAlignment="1">
      <alignment horizontal="center" vertical="top"/>
    </xf>
    <xf numFmtId="0" fontId="40" fillId="11" borderId="4" xfId="0" applyFont="1" applyFill="1" applyBorder="1" applyAlignment="1">
      <alignment horizontal="left" vertical="top"/>
    </xf>
    <xf numFmtId="0" fontId="40" fillId="8" borderId="4" xfId="0" applyFont="1" applyFill="1" applyBorder="1" applyAlignment="1">
      <alignment horizontal="left" vertical="top"/>
    </xf>
    <xf numFmtId="0" fontId="51" fillId="0" borderId="4" xfId="0" applyFont="1" applyBorder="1"/>
    <xf numFmtId="0" fontId="33" fillId="9" borderId="4" xfId="0" applyFont="1" applyFill="1" applyBorder="1" applyAlignment="1">
      <alignment horizontal="right" vertical="top"/>
    </xf>
    <xf numFmtId="0" fontId="33" fillId="9" borderId="4" xfId="0" applyFont="1" applyFill="1" applyBorder="1" applyAlignment="1">
      <alignment horizontal="center" vertical="top"/>
    </xf>
    <xf numFmtId="0" fontId="33" fillId="8" borderId="4" xfId="0" applyFont="1" applyFill="1" applyBorder="1" applyAlignment="1">
      <alignment horizontal="left" vertical="top"/>
    </xf>
    <xf numFmtId="0" fontId="35" fillId="8" borderId="4" xfId="0" applyFont="1" applyFill="1" applyBorder="1" applyAlignment="1">
      <alignment horizontal="left" vertical="top"/>
    </xf>
    <xf numFmtId="0" fontId="33" fillId="8" borderId="4" xfId="0" applyFont="1" applyFill="1" applyBorder="1" applyAlignment="1">
      <alignment horizontal="right" vertical="top"/>
    </xf>
    <xf numFmtId="0" fontId="33" fillId="8" borderId="4" xfId="0" applyFont="1" applyFill="1" applyBorder="1" applyAlignment="1">
      <alignment horizontal="center" vertical="top"/>
    </xf>
    <xf numFmtId="0" fontId="35" fillId="8" borderId="4" xfId="0" applyFont="1" applyFill="1" applyBorder="1" applyAlignment="1">
      <alignment horizontal="right" vertical="top"/>
    </xf>
    <xf numFmtId="0" fontId="35" fillId="8" borderId="4" xfId="0" applyFont="1" applyFill="1" applyBorder="1" applyAlignment="1">
      <alignment horizontal="center" vertical="top"/>
    </xf>
    <xf numFmtId="49" fontId="52" fillId="8" borderId="4" xfId="0" applyNumberFormat="1" applyFont="1" applyFill="1" applyBorder="1" applyAlignment="1">
      <alignment horizontal="left" vertical="top"/>
    </xf>
    <xf numFmtId="165" fontId="35" fillId="8" borderId="4" xfId="0" applyNumberFormat="1" applyFont="1" applyFill="1" applyBorder="1" applyAlignment="1">
      <alignment horizontal="right" vertical="top"/>
    </xf>
    <xf numFmtId="2" fontId="35" fillId="8" borderId="4" xfId="0" applyNumberFormat="1" applyFont="1" applyFill="1" applyBorder="1" applyAlignment="1">
      <alignment horizontal="right" vertical="top"/>
    </xf>
    <xf numFmtId="0" fontId="53" fillId="0" borderId="0" xfId="0" applyFont="1"/>
    <xf numFmtId="0" fontId="54" fillId="0" borderId="0" xfId="0" applyFont="1"/>
    <xf numFmtId="173" fontId="0" fillId="0" borderId="0" xfId="0" applyNumberFormat="1"/>
    <xf numFmtId="0" fontId="58" fillId="9" borderId="11" xfId="0" applyFont="1" applyFill="1" applyBorder="1" applyAlignment="1">
      <alignment vertical="center" wrapText="1"/>
    </xf>
    <xf numFmtId="0" fontId="60" fillId="0" borderId="27" xfId="0" applyFont="1" applyBorder="1" applyAlignment="1">
      <alignment wrapText="1"/>
    </xf>
    <xf numFmtId="0" fontId="60" fillId="0" borderId="20" xfId="0" applyFont="1" applyBorder="1" applyAlignment="1">
      <alignment horizontal="center"/>
    </xf>
    <xf numFmtId="0" fontId="60" fillId="0" borderId="28" xfId="0" applyFont="1" applyBorder="1" applyAlignment="1">
      <alignment horizontal="center"/>
    </xf>
    <xf numFmtId="0" fontId="4" fillId="8" borderId="30" xfId="0" applyFont="1" applyFill="1" applyBorder="1" applyAlignment="1">
      <alignment vertical="top" wrapText="1"/>
    </xf>
    <xf numFmtId="0" fontId="61" fillId="0" borderId="19" xfId="0" applyFont="1" applyBorder="1" applyAlignment="1">
      <alignment horizontal="left" wrapText="1"/>
    </xf>
    <xf numFmtId="9" fontId="62" fillId="0" borderId="20" xfId="13" applyFont="1" applyBorder="1" applyAlignment="1">
      <alignment horizontal="center"/>
    </xf>
    <xf numFmtId="9" fontId="62" fillId="0" borderId="28" xfId="13" applyFont="1" applyBorder="1" applyAlignment="1">
      <alignment horizontal="center"/>
    </xf>
    <xf numFmtId="0" fontId="2" fillId="0" borderId="19" xfId="0" applyFont="1" applyBorder="1" applyAlignment="1">
      <alignment vertical="center" wrapText="1"/>
    </xf>
    <xf numFmtId="0" fontId="63" fillId="12" borderId="31" xfId="0" applyFont="1" applyFill="1" applyBorder="1" applyAlignment="1">
      <alignment horizontal="center" vertical="center" wrapText="1"/>
    </xf>
    <xf numFmtId="0" fontId="63" fillId="12" borderId="4" xfId="0" applyFont="1" applyFill="1" applyBorder="1" applyAlignment="1">
      <alignment horizontal="center" vertical="center" wrapText="1"/>
    </xf>
    <xf numFmtId="0" fontId="63" fillId="12" borderId="32" xfId="0" applyFont="1" applyFill="1" applyBorder="1" applyAlignment="1">
      <alignment horizontal="center" vertical="center" wrapText="1"/>
    </xf>
    <xf numFmtId="0" fontId="23" fillId="0" borderId="33" xfId="0" applyFont="1" applyBorder="1"/>
    <xf numFmtId="0" fontId="2" fillId="0" borderId="27" xfId="0" applyFont="1" applyBorder="1" applyAlignment="1">
      <alignment vertical="center" wrapText="1"/>
    </xf>
    <xf numFmtId="0" fontId="23" fillId="0" borderId="27" xfId="0" applyFont="1" applyBorder="1"/>
    <xf numFmtId="1" fontId="63" fillId="12" borderId="31" xfId="0" applyNumberFormat="1" applyFont="1" applyFill="1" applyBorder="1" applyAlignment="1">
      <alignment horizontal="center" vertical="center" wrapText="1"/>
    </xf>
    <xf numFmtId="0" fontId="63" fillId="12" borderId="34" xfId="0" applyFont="1" applyFill="1" applyBorder="1" applyAlignment="1">
      <alignment horizontal="center" vertical="center" wrapText="1"/>
    </xf>
    <xf numFmtId="0" fontId="63" fillId="12" borderId="35" xfId="0" applyFont="1" applyFill="1" applyBorder="1" applyAlignment="1">
      <alignment horizontal="center" vertical="center" wrapText="1"/>
    </xf>
    <xf numFmtId="0" fontId="23" fillId="0" borderId="36" xfId="0" applyFont="1" applyBorder="1"/>
    <xf numFmtId="9" fontId="62" fillId="0" borderId="37" xfId="13" applyFont="1" applyBorder="1" applyAlignment="1">
      <alignment horizontal="center"/>
    </xf>
    <xf numFmtId="9" fontId="62" fillId="0" borderId="38" xfId="13" applyFont="1" applyBorder="1" applyAlignment="1">
      <alignment horizontal="center"/>
    </xf>
    <xf numFmtId="0" fontId="4" fillId="0" borderId="11" xfId="0" applyFont="1" applyBorder="1" applyAlignment="1">
      <alignment vertical="center" wrapText="1"/>
    </xf>
    <xf numFmtId="0" fontId="58" fillId="12" borderId="25" xfId="0" applyFont="1" applyFill="1" applyBorder="1" applyAlignment="1">
      <alignment horizontal="center" vertical="center" wrapText="1"/>
    </xf>
    <xf numFmtId="0" fontId="58" fillId="12" borderId="30" xfId="0" applyFont="1" applyFill="1" applyBorder="1" applyAlignment="1">
      <alignment horizontal="center" vertical="center" wrapText="1"/>
    </xf>
    <xf numFmtId="0" fontId="58" fillId="12" borderId="26" xfId="0" applyFont="1" applyFill="1" applyBorder="1" applyAlignment="1">
      <alignment horizontal="center" vertical="center" wrapText="1"/>
    </xf>
    <xf numFmtId="0" fontId="58" fillId="12" borderId="24" xfId="0" applyFont="1" applyFill="1" applyBorder="1" applyAlignment="1">
      <alignment horizontal="center" vertical="center" wrapText="1"/>
    </xf>
    <xf numFmtId="0" fontId="4" fillId="12" borderId="30" xfId="0" applyFont="1" applyFill="1" applyBorder="1" applyAlignment="1">
      <alignment vertical="top" wrapText="1"/>
    </xf>
    <xf numFmtId="0" fontId="63" fillId="0" borderId="30" xfId="0" applyFont="1" applyBorder="1" applyAlignment="1">
      <alignment horizontal="center"/>
    </xf>
    <xf numFmtId="0" fontId="63" fillId="0" borderId="39" xfId="0" applyFont="1" applyBorder="1" applyAlignment="1">
      <alignment horizontal="center"/>
    </xf>
    <xf numFmtId="0" fontId="63" fillId="0" borderId="4" xfId="0" applyFont="1" applyBorder="1" applyAlignment="1">
      <alignment horizontal="center"/>
    </xf>
    <xf numFmtId="0" fontId="63" fillId="0" borderId="32" xfId="0" applyFont="1" applyBorder="1" applyAlignment="1">
      <alignment horizontal="center"/>
    </xf>
    <xf numFmtId="0" fontId="2" fillId="12" borderId="7" xfId="0" applyFont="1" applyFill="1" applyBorder="1" applyAlignment="1">
      <alignment horizontal="center" vertical="center" wrapText="1"/>
    </xf>
    <xf numFmtId="0" fontId="63" fillId="0" borderId="32" xfId="0" applyFont="1" applyBorder="1" applyAlignment="1">
      <alignment horizontal="center" vertical="center"/>
    </xf>
    <xf numFmtId="0" fontId="4" fillId="0" borderId="27" xfId="0" applyFont="1" applyBorder="1" applyAlignment="1">
      <alignment vertical="center" wrapText="1"/>
    </xf>
    <xf numFmtId="0" fontId="58" fillId="12" borderId="31" xfId="0" applyFont="1" applyFill="1" applyBorder="1" applyAlignment="1">
      <alignment vertical="center" wrapText="1"/>
    </xf>
    <xf numFmtId="0" fontId="58" fillId="12" borderId="4" xfId="0" applyFont="1" applyFill="1" applyBorder="1" applyAlignment="1">
      <alignment vertical="center" wrapText="1"/>
    </xf>
    <xf numFmtId="0" fontId="58" fillId="12" borderId="35" xfId="0" applyFont="1" applyFill="1" applyBorder="1" applyAlignment="1">
      <alignment vertical="center" wrapText="1"/>
    </xf>
    <xf numFmtId="0" fontId="18" fillId="0" borderId="4" xfId="0" applyFont="1" applyBorder="1"/>
    <xf numFmtId="0" fontId="2" fillId="0" borderId="42" xfId="0" applyFont="1" applyBorder="1" applyAlignment="1">
      <alignment vertical="center" wrapText="1"/>
    </xf>
    <xf numFmtId="0" fontId="4" fillId="0" borderId="24" xfId="0" applyFont="1" applyBorder="1" applyAlignment="1">
      <alignment vertical="center" wrapText="1"/>
    </xf>
    <xf numFmtId="0" fontId="58" fillId="12" borderId="43" xfId="0" applyFont="1" applyFill="1" applyBorder="1" applyAlignment="1">
      <alignment horizontal="center" vertical="center" wrapText="1"/>
    </xf>
    <xf numFmtId="0" fontId="58" fillId="12" borderId="39" xfId="0" applyFont="1" applyFill="1" applyBorder="1" applyAlignment="1">
      <alignment horizontal="center" vertical="center" wrapText="1"/>
    </xf>
    <xf numFmtId="0" fontId="4" fillId="12" borderId="25" xfId="0" applyFont="1" applyFill="1" applyBorder="1" applyAlignment="1">
      <alignment vertical="top" wrapText="1"/>
    </xf>
    <xf numFmtId="2" fontId="63" fillId="12" borderId="31" xfId="0" applyNumberFormat="1" applyFont="1" applyFill="1" applyBorder="1" applyAlignment="1">
      <alignment horizontal="center" vertical="center" wrapText="1"/>
    </xf>
    <xf numFmtId="2" fontId="63" fillId="12" borderId="4" xfId="0" applyNumberFormat="1" applyFont="1" applyFill="1" applyBorder="1" applyAlignment="1">
      <alignment horizontal="center" vertical="center" wrapText="1"/>
    </xf>
    <xf numFmtId="1" fontId="63" fillId="12" borderId="4" xfId="0" applyNumberFormat="1" applyFont="1" applyFill="1" applyBorder="1" applyAlignment="1">
      <alignment horizontal="center" vertical="center"/>
    </xf>
    <xf numFmtId="1" fontId="63" fillId="12" borderId="35" xfId="0" applyNumberFormat="1" applyFont="1" applyFill="1" applyBorder="1" applyAlignment="1">
      <alignment horizontal="center" vertical="center"/>
    </xf>
    <xf numFmtId="165" fontId="2" fillId="12" borderId="7" xfId="0" applyNumberFormat="1" applyFont="1" applyFill="1" applyBorder="1" applyAlignment="1">
      <alignment horizontal="center" wrapText="1"/>
    </xf>
    <xf numFmtId="2" fontId="2" fillId="12" borderId="7" xfId="0" applyNumberFormat="1" applyFont="1" applyFill="1" applyBorder="1" applyAlignment="1">
      <alignment horizontal="center" wrapText="1"/>
    </xf>
    <xf numFmtId="0" fontId="65" fillId="0" borderId="27" xfId="0" applyFont="1" applyBorder="1"/>
    <xf numFmtId="0" fontId="18" fillId="0" borderId="32" xfId="0" applyFont="1" applyBorder="1"/>
    <xf numFmtId="0" fontId="58" fillId="12" borderId="44" xfId="0" applyFont="1" applyFill="1" applyBorder="1" applyAlignment="1">
      <alignment horizontal="center" vertical="center" wrapText="1"/>
    </xf>
    <xf numFmtId="0" fontId="58" fillId="12" borderId="45" xfId="0" applyFont="1" applyFill="1" applyBorder="1" applyAlignment="1">
      <alignment horizontal="center" vertical="center" wrapText="1"/>
    </xf>
    <xf numFmtId="0" fontId="58" fillId="12" borderId="46" xfId="0" applyFont="1" applyFill="1" applyBorder="1" applyAlignment="1">
      <alignment horizontal="center" vertical="center" wrapText="1"/>
    </xf>
    <xf numFmtId="0" fontId="58" fillId="12" borderId="16" xfId="0" applyFont="1" applyFill="1" applyBorder="1" applyAlignment="1">
      <alignment horizontal="center" vertical="center" wrapText="1"/>
    </xf>
    <xf numFmtId="0" fontId="4" fillId="12" borderId="45" xfId="0" applyFont="1" applyFill="1" applyBorder="1" applyAlignment="1">
      <alignment vertical="top" wrapText="1"/>
    </xf>
    <xf numFmtId="0" fontId="63" fillId="0" borderId="45" xfId="0" applyFont="1" applyBorder="1" applyAlignment="1">
      <alignment horizontal="center"/>
    </xf>
    <xf numFmtId="0" fontId="18" fillId="0" borderId="47" xfId="0" applyFont="1" applyBorder="1"/>
    <xf numFmtId="0" fontId="2" fillId="0" borderId="48" xfId="0" applyFont="1" applyBorder="1" applyAlignment="1">
      <alignment vertical="center" wrapText="1"/>
    </xf>
    <xf numFmtId="0" fontId="58" fillId="12" borderId="14" xfId="0" applyFont="1" applyFill="1" applyBorder="1" applyAlignment="1">
      <alignment horizontal="center" vertical="center" wrapText="1"/>
    </xf>
    <xf numFmtId="0" fontId="4" fillId="12" borderId="14" xfId="0" applyFont="1" applyFill="1" applyBorder="1" applyAlignment="1">
      <alignment vertical="top" wrapText="1"/>
    </xf>
    <xf numFmtId="0" fontId="63" fillId="0" borderId="14" xfId="0" applyFont="1" applyBorder="1" applyAlignment="1">
      <alignment horizontal="center"/>
    </xf>
    <xf numFmtId="0" fontId="63" fillId="0" borderId="15" xfId="0" applyFont="1" applyBorder="1" applyAlignment="1">
      <alignment horizontal="center"/>
    </xf>
    <xf numFmtId="2" fontId="63" fillId="12" borderId="5" xfId="0" applyNumberFormat="1" applyFont="1" applyFill="1" applyBorder="1" applyAlignment="1">
      <alignment horizontal="center" vertical="center" wrapText="1"/>
    </xf>
    <xf numFmtId="0" fontId="4" fillId="12" borderId="5" xfId="0" applyFont="1" applyFill="1" applyBorder="1" applyAlignment="1">
      <alignment vertical="top" wrapText="1"/>
    </xf>
    <xf numFmtId="0" fontId="63" fillId="0" borderId="5" xfId="0" applyFont="1" applyBorder="1" applyAlignment="1">
      <alignment horizontal="center"/>
    </xf>
    <xf numFmtId="0" fontId="63" fillId="0" borderId="49" xfId="0" applyFont="1" applyBorder="1" applyAlignment="1">
      <alignment horizontal="center"/>
    </xf>
    <xf numFmtId="0" fontId="2" fillId="0" borderId="36" xfId="0" applyFont="1" applyBorder="1" applyAlignment="1">
      <alignment vertical="center" wrapText="1"/>
    </xf>
    <xf numFmtId="165" fontId="63" fillId="12" borderId="50" xfId="0" applyNumberFormat="1" applyFont="1" applyFill="1" applyBorder="1" applyAlignment="1">
      <alignment horizontal="center" vertical="center" wrapText="1"/>
    </xf>
    <xf numFmtId="0" fontId="18" fillId="0" borderId="50" xfId="0" applyFont="1" applyBorder="1"/>
    <xf numFmtId="0" fontId="63" fillId="0" borderId="50" xfId="0" applyFont="1" applyBorder="1" applyAlignment="1">
      <alignment horizontal="center"/>
    </xf>
    <xf numFmtId="0" fontId="63" fillId="0" borderId="51" xfId="0" applyFont="1" applyBorder="1" applyAlignment="1">
      <alignment horizontal="center"/>
    </xf>
    <xf numFmtId="0" fontId="66" fillId="8" borderId="0" xfId="0" applyFont="1" applyFill="1"/>
    <xf numFmtId="0" fontId="10" fillId="8" borderId="0" xfId="0" applyFont="1" applyFill="1" applyAlignment="1">
      <alignment horizontal="right" vertical="center"/>
    </xf>
    <xf numFmtId="0" fontId="67" fillId="8" borderId="0" xfId="0" applyFont="1" applyFill="1" applyAlignment="1">
      <alignment horizontal="right" vertical="center"/>
    </xf>
    <xf numFmtId="0" fontId="28" fillId="8" borderId="0" xfId="0" applyFont="1" applyFill="1"/>
    <xf numFmtId="0" fontId="10" fillId="8" borderId="0" xfId="0" applyFont="1" applyFill="1" applyAlignment="1">
      <alignment horizontal="right"/>
    </xf>
    <xf numFmtId="0" fontId="4" fillId="2" borderId="1" xfId="0" applyFont="1" applyFill="1" applyBorder="1" applyAlignment="1">
      <alignment horizontal="center" wrapText="1"/>
    </xf>
    <xf numFmtId="0" fontId="0" fillId="0" borderId="1" xfId="0" applyBorder="1"/>
    <xf numFmtId="0" fontId="17" fillId="3" borderId="1" xfId="1" applyFont="1" applyBorder="1" applyAlignment="1">
      <alignment horizontal="center" wrapText="1"/>
    </xf>
    <xf numFmtId="0" fontId="55" fillId="0" borderId="0" xfId="23" applyAlignment="1">
      <alignment vertical="center"/>
    </xf>
    <xf numFmtId="0" fontId="68" fillId="0" borderId="0" xfId="0" applyFont="1" applyAlignment="1">
      <alignment vertical="center"/>
    </xf>
    <xf numFmtId="9" fontId="0" fillId="0" borderId="0" xfId="13" applyFont="1"/>
    <xf numFmtId="0" fontId="10" fillId="8" borderId="0" xfId="0" applyFont="1" applyFill="1" applyAlignment="1">
      <alignment vertical="top" wrapText="1"/>
    </xf>
    <xf numFmtId="0" fontId="28" fillId="0" borderId="0" xfId="0" applyFont="1" applyAlignment="1">
      <alignment vertical="top" wrapText="1"/>
    </xf>
    <xf numFmtId="0" fontId="23" fillId="8" borderId="4" xfId="18" applyFont="1" applyFill="1" applyBorder="1" applyAlignment="1" applyProtection="1">
      <alignment horizontal="center" vertical="top" wrapText="1"/>
    </xf>
    <xf numFmtId="0" fontId="0" fillId="8" borderId="4" xfId="0" applyFill="1" applyBorder="1" applyAlignment="1">
      <alignment horizontal="center" vertical="top" wrapText="1"/>
    </xf>
    <xf numFmtId="0" fontId="4" fillId="8" borderId="4" xfId="0" applyFont="1" applyFill="1" applyBorder="1" applyAlignment="1">
      <alignment horizontal="center" vertical="top" wrapText="1"/>
    </xf>
    <xf numFmtId="0" fontId="9" fillId="8" borderId="0" xfId="0" applyFont="1" applyFill="1" applyAlignment="1">
      <alignment vertical="top" wrapText="1"/>
    </xf>
    <xf numFmtId="0" fontId="33" fillId="11" borderId="11" xfId="0" applyFont="1" applyFill="1" applyBorder="1" applyAlignment="1">
      <alignment horizontal="center" vertical="top" wrapText="1"/>
    </xf>
    <xf numFmtId="0" fontId="44" fillId="11" borderId="11" xfId="18" applyFont="1" applyFill="1" applyBorder="1" applyAlignment="1" applyProtection="1">
      <alignment horizontal="center" vertical="top" wrapText="1"/>
    </xf>
    <xf numFmtId="0" fontId="32" fillId="11" borderId="11" xfId="0" applyFont="1" applyFill="1" applyBorder="1" applyAlignment="1">
      <alignment horizontal="center" vertical="top" wrapText="1"/>
    </xf>
    <xf numFmtId="0" fontId="44" fillId="11" borderId="1" xfId="18" applyFont="1" applyFill="1" applyBorder="1" applyAlignment="1" applyProtection="1">
      <alignment horizontal="center" vertical="top" wrapText="1"/>
    </xf>
    <xf numFmtId="0" fontId="32" fillId="11" borderId="1" xfId="0" applyFont="1" applyFill="1" applyBorder="1" applyAlignment="1">
      <alignment horizontal="center" vertical="top" wrapText="1"/>
    </xf>
    <xf numFmtId="0" fontId="4" fillId="8" borderId="26" xfId="0" applyFont="1" applyFill="1" applyBorder="1" applyAlignment="1">
      <alignment horizontal="center" vertical="top" wrapText="1"/>
    </xf>
    <xf numFmtId="0" fontId="4" fillId="8" borderId="25" xfId="0" applyFont="1" applyFill="1" applyBorder="1" applyAlignment="1">
      <alignment horizontal="center" vertical="top" wrapText="1"/>
    </xf>
    <xf numFmtId="0" fontId="58" fillId="9" borderId="4" xfId="0" applyFont="1" applyFill="1" applyBorder="1" applyAlignment="1">
      <alignment horizontal="center" vertical="center" wrapText="1"/>
    </xf>
    <xf numFmtId="0" fontId="0" fillId="0" borderId="4" xfId="0" applyBorder="1"/>
    <xf numFmtId="0" fontId="2" fillId="12" borderId="40" xfId="0" applyFont="1" applyFill="1" applyBorder="1" applyAlignment="1">
      <alignment horizontal="center" vertical="center" wrapText="1"/>
    </xf>
    <xf numFmtId="0" fontId="2" fillId="12" borderId="1" xfId="0" applyFont="1" applyFill="1" applyBorder="1" applyAlignment="1">
      <alignment horizontal="center" vertical="center" wrapText="1"/>
    </xf>
    <xf numFmtId="0" fontId="2" fillId="12" borderId="41" xfId="0" applyFont="1" applyFill="1" applyBorder="1" applyAlignment="1">
      <alignment horizontal="center" vertical="center" wrapText="1"/>
    </xf>
    <xf numFmtId="0" fontId="2" fillId="12" borderId="20" xfId="0" applyFont="1" applyFill="1" applyBorder="1" applyAlignment="1">
      <alignment horizontal="center" vertical="center" wrapText="1"/>
    </xf>
    <xf numFmtId="0" fontId="2" fillId="12" borderId="0" xfId="0" applyFont="1" applyFill="1" applyAlignment="1">
      <alignment horizontal="center" vertical="center" wrapText="1"/>
    </xf>
    <xf numFmtId="0" fontId="2" fillId="12" borderId="21" xfId="0" applyFont="1" applyFill="1" applyBorder="1" applyAlignment="1">
      <alignment horizontal="center" vertical="center" wrapText="1"/>
    </xf>
    <xf numFmtId="0" fontId="63" fillId="12" borderId="35" xfId="0" applyFont="1" applyFill="1" applyBorder="1" applyAlignment="1">
      <alignment horizontal="center" vertical="center" wrapText="1"/>
    </xf>
    <xf numFmtId="0" fontId="63" fillId="12" borderId="3" xfId="0" applyFont="1" applyFill="1" applyBorder="1" applyAlignment="1">
      <alignment horizontal="center" vertical="center" wrapText="1"/>
    </xf>
    <xf numFmtId="0" fontId="63" fillId="12" borderId="31" xfId="0" applyFont="1" applyFill="1" applyBorder="1" applyAlignment="1">
      <alignment horizontal="center" vertical="center" wrapText="1"/>
    </xf>
    <xf numFmtId="0" fontId="4" fillId="8" borderId="24" xfId="0" applyFont="1" applyFill="1" applyBorder="1" applyAlignment="1">
      <alignment horizontal="center" vertical="top" wrapText="1"/>
    </xf>
    <xf numFmtId="0" fontId="58" fillId="9" borderId="23" xfId="0" applyFont="1" applyFill="1" applyBorder="1" applyAlignment="1">
      <alignment horizontal="center" vertical="center" wrapText="1"/>
    </xf>
    <xf numFmtId="0" fontId="58" fillId="9" borderId="29" xfId="0" applyFont="1" applyFill="1" applyBorder="1" applyAlignment="1">
      <alignment horizontal="center" vertical="center" wrapText="1"/>
    </xf>
    <xf numFmtId="0" fontId="56" fillId="0" borderId="13" xfId="0" applyFont="1" applyBorder="1" applyAlignment="1">
      <alignment horizontal="center" vertical="center" wrapText="1"/>
    </xf>
    <xf numFmtId="0" fontId="56" fillId="0" borderId="19" xfId="0" applyFont="1" applyBorder="1" applyAlignment="1">
      <alignment horizontal="center" vertical="center" wrapText="1"/>
    </xf>
    <xf numFmtId="0" fontId="57" fillId="0" borderId="14" xfId="0" applyFont="1" applyBorder="1" applyAlignment="1">
      <alignment horizontal="center"/>
    </xf>
    <xf numFmtId="0" fontId="57" fillId="0" borderId="15" xfId="0" applyFont="1" applyBorder="1" applyAlignment="1">
      <alignment horizontal="center"/>
    </xf>
    <xf numFmtId="0" fontId="59" fillId="8" borderId="16" xfId="23" applyFont="1" applyFill="1" applyBorder="1" applyAlignment="1">
      <alignment horizontal="left"/>
    </xf>
    <xf numFmtId="0" fontId="51" fillId="8" borderId="17" xfId="0" applyFont="1" applyFill="1" applyBorder="1" applyAlignment="1">
      <alignment horizontal="left"/>
    </xf>
    <xf numFmtId="0" fontId="51" fillId="8" borderId="18" xfId="0" applyFont="1" applyFill="1" applyBorder="1" applyAlignment="1">
      <alignment horizontal="left"/>
    </xf>
    <xf numFmtId="0" fontId="23" fillId="0" borderId="20" xfId="0" applyFont="1" applyBorder="1" applyAlignment="1">
      <alignment horizontal="center"/>
    </xf>
    <xf numFmtId="0" fontId="23" fillId="0" borderId="0" xfId="0" applyFont="1" applyAlignment="1">
      <alignment horizontal="center"/>
    </xf>
    <xf numFmtId="0" fontId="23" fillId="0" borderId="21" xfId="0" applyFont="1" applyBorder="1" applyAlignment="1">
      <alignment horizontal="center"/>
    </xf>
    <xf numFmtId="0" fontId="23" fillId="0" borderId="22" xfId="0" applyFont="1" applyBorder="1" applyAlignment="1">
      <alignment horizontal="center"/>
    </xf>
  </cellXfs>
  <cellStyles count="24">
    <cellStyle name="20% - Accent5" xfId="1" builtinId="46"/>
    <cellStyle name="40% - Accent3" xfId="2" builtinId="39"/>
    <cellStyle name="Comma 11 3" xfId="19" xr:uid="{DC26A082-A713-4AA0-A45F-AF03B42BD974}"/>
    <cellStyle name="Comma 2" xfId="3" xr:uid="{00000000-0005-0000-0000-000005000000}"/>
    <cellStyle name="Good" xfId="4" builtinId="26"/>
    <cellStyle name="Hyperlink" xfId="23" builtinId="8"/>
    <cellStyle name="Hyperlink 3 3" xfId="18" xr:uid="{E90A5ECE-26A9-4342-A72E-3D193EB1E875}"/>
    <cellStyle name="Neutral" xfId="5" builtinId="28"/>
    <cellStyle name="Normal" xfId="0" builtinId="0"/>
    <cellStyle name="Normal 10" xfId="6" xr:uid="{00000000-0005-0000-0000-00000A000000}"/>
    <cellStyle name="Normal 2" xfId="7" xr:uid="{00000000-0005-0000-0000-00000B000000}"/>
    <cellStyle name="Normal 3" xfId="22" xr:uid="{0CC49EFE-8EBE-42A4-BC31-5B4ADFAEC6E9}"/>
    <cellStyle name="Normal 4" xfId="8" xr:uid="{00000000-0005-0000-0000-00000C000000}"/>
    <cellStyle name="Normal 4 2" xfId="9" xr:uid="{00000000-0005-0000-0000-00000D000000}"/>
    <cellStyle name="Normal 42" xfId="21" xr:uid="{AE3E67B3-EB24-43B8-9FAF-871E16CF5992}"/>
    <cellStyle name="Normal 5" xfId="20" xr:uid="{A28D5912-5543-44BB-82AE-2EC98B7D7EB8}"/>
    <cellStyle name="Normal 8" xfId="10" xr:uid="{00000000-0005-0000-0000-00000E000000}"/>
    <cellStyle name="Normal 9 2" xfId="11" xr:uid="{00000000-0005-0000-0000-00000F000000}"/>
    <cellStyle name="Normale_B2020" xfId="12" xr:uid="{00000000-0005-0000-0000-000010000000}"/>
    <cellStyle name="Per cent" xfId="13" builtinId="5"/>
    <cellStyle name="Percent 2" xfId="14" xr:uid="{00000000-0005-0000-0000-000012000000}"/>
    <cellStyle name="Percent 3" xfId="15" xr:uid="{00000000-0005-0000-0000-000013000000}"/>
    <cellStyle name="Percent 4" xfId="16" xr:uid="{00000000-0005-0000-0000-000014000000}"/>
    <cellStyle name="Standard_Sce_D_Extraction" xfId="17" xr:uid="{00000000-0005-0000-0000-000015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16</xdr:col>
      <xdr:colOff>215348</xdr:colOff>
      <xdr:row>19</xdr:row>
      <xdr:rowOff>19437</xdr:rowOff>
    </xdr:from>
    <xdr:to>
      <xdr:col>31</xdr:col>
      <xdr:colOff>397565</xdr:colOff>
      <xdr:row>33</xdr:row>
      <xdr:rowOff>149087</xdr:rowOff>
    </xdr:to>
    <xdr:pic>
      <xdr:nvPicPr>
        <xdr:cNvPr id="2" name="Picture 1" descr="A screenshot of a computer&#10;&#10;Description automatically generated">
          <a:extLst>
            <a:ext uri="{FF2B5EF4-FFF2-40B4-BE49-F238E27FC236}">
              <a16:creationId xmlns:a16="http://schemas.microsoft.com/office/drawing/2014/main" id="{81364715-A59E-CC7B-11BA-8A0AEDBEA01C}"/>
            </a:ext>
          </a:extLst>
        </xdr:cNvPr>
        <xdr:cNvPicPr>
          <a:picLocks noChangeAspect="1"/>
        </xdr:cNvPicPr>
      </xdr:nvPicPr>
      <xdr:blipFill rotWithShape="1">
        <a:blip xmlns:r="http://schemas.openxmlformats.org/officeDocument/2006/relationships" r:embed="rId1"/>
        <a:srcRect l="12894" t="35128" r="12719" b="28307"/>
        <a:stretch/>
      </xdr:blipFill>
      <xdr:spPr>
        <a:xfrm>
          <a:off x="10303565" y="3481567"/>
          <a:ext cx="9657522" cy="2680694"/>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Wolfgang\c\temphold\TMPL_RES.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EA Data"/>
      <sheetName val="E&amp;D Drivers"/>
      <sheetName val="AGR_Fuels"/>
      <sheetName val="AGR"/>
      <sheetName val="RES_Fuels"/>
      <sheetName val="RH1"/>
      <sheetName val="RH2"/>
      <sheetName val="RH3"/>
      <sheetName val="RH4"/>
      <sheetName val="RC1"/>
      <sheetName val="RC2"/>
      <sheetName val="RC3"/>
      <sheetName val="RC4"/>
      <sheetName val="RHW"/>
      <sheetName val="RRF"/>
      <sheetName val="RCW"/>
      <sheetName val="RCD"/>
      <sheetName val="RK1"/>
      <sheetName val="RK2"/>
      <sheetName val="RK3"/>
      <sheetName val="RK4"/>
      <sheetName val="RDW"/>
      <sheetName val="RME"/>
      <sheetName val="RL1"/>
      <sheetName val="RL2"/>
      <sheetName val="RL3"/>
      <sheetName val="RL4"/>
      <sheetName val="COM_Fuels"/>
      <sheetName val="CH1"/>
      <sheetName val="CH2"/>
      <sheetName val="CH3"/>
      <sheetName val="CH4"/>
      <sheetName val="CC1"/>
      <sheetName val="CC2"/>
      <sheetName val="CC3"/>
      <sheetName val="CC4"/>
      <sheetName val="CHW"/>
      <sheetName val="CAA"/>
      <sheetName val="CLA"/>
      <sheetName val="ElastPar"/>
      <sheetName val="Conversion Factors"/>
      <sheetName val="Intro"/>
      <sheetName val="TechRep"/>
      <sheetName val="Other_HYDRO"/>
      <sheetName val="Other_NUCL"/>
      <sheetName val="Other_THERM"/>
      <sheetName val="Other_CHP"/>
      <sheetName val="Other_RENEW"/>
      <sheetName val="Other_HEAT"/>
      <sheetName val="ELC_FUELS"/>
      <sheetName val="ELC"/>
      <sheetName val="HEAT"/>
      <sheetName val="CHP"/>
      <sheetName val="ELC_EMI"/>
      <sheetName val="Constant Table"/>
      <sheetName val="ANS_ITEMS_DEL"/>
      <sheetName val="ANS_ITEMS"/>
      <sheetName val="ANS_TIDDATA"/>
      <sheetName val="ANS_TSDATA"/>
      <sheetName val="O&amp;M waste "/>
    </sheetNames>
    <sheetDataSet>
      <sheetData sheetId="0" refreshError="1"/>
      <sheetData sheetId="1" refreshError="1"/>
      <sheetData sheetId="2" refreshError="1">
        <row r="2">
          <cell r="A2" t="str">
            <v>^FI_ST: TCH, PRC</v>
          </cell>
        </row>
      </sheetData>
      <sheetData sheetId="3"/>
      <sheetData sheetId="4" refreshError="1"/>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refreshError="1"/>
      <sheetData sheetId="28"/>
      <sheetData sheetId="29"/>
      <sheetData sheetId="30"/>
      <sheetData sheetId="31"/>
      <sheetData sheetId="32"/>
      <sheetData sheetId="33"/>
      <sheetData sheetId="34"/>
      <sheetData sheetId="35"/>
      <sheetData sheetId="36"/>
      <sheetData sheetId="37"/>
      <sheetData sheetId="38"/>
      <sheetData sheetId="39" refreshError="1"/>
      <sheetData sheetId="40" refreshError="1"/>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12.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13.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hyperlink" Target="https://www.bing.com/ck/a?!&amp;&amp;p=c028d30c855ef026JmltdHM9MTcwNjIyNzIwMCZpZ3VpZD0zODFjZjgxZC05YTMyLTY2YjYtMjU1OC1lYzFjOWI5ZTY3YzMmaW5zaWQ9NTE4Mg&amp;ptn=3&amp;ver=2&amp;hsh=3&amp;fclid=381cf81d-9a32-66b6-2558-ec1c9b9e67c3&amp;psq=kf23_forudsaetninger_-_tal_bag_figurer_inkl._opdateret_kvotepris_og_affaldsforbraending&amp;u=a1aHR0cHM6Ly9lbnMuZGsvc2l0ZXMvZW5zLmRrL2ZpbGVzL0Jhc2lzZnJlbXNrcml2bmluZy9rZjIzX2ZvcnVkc2FldG5pbmdlcl8tX3RhbF9iYWdfZmlndXJlcl9pbmtsLl9vcGRhdGVyZXRfa3ZvdGVwcmlzX29nX2FmZmFsZHNmb3JicmFlbmRpbmcueGxzeA&amp;ntb=1" TargetMode="External"/></Relationships>
</file>

<file path=xl/worksheets/_rels/sheet14.xml.rels><?xml version="1.0" encoding="UTF-8" standalone="yes"?>
<Relationships xmlns="http://schemas.openxmlformats.org/package/2006/relationships"><Relationship Id="rId2" Type="http://schemas.openxmlformats.org/officeDocument/2006/relationships/comments" Target="../comments12.xml"/><Relationship Id="rId1" Type="http://schemas.openxmlformats.org/officeDocument/2006/relationships/vmlDrawing" Target="../drawings/vmlDrawing12.vml"/></Relationships>
</file>

<file path=xl/worksheets/_rels/sheet19.xml.rels><?xml version="1.0" encoding="UTF-8" standalone="yes"?>
<Relationships xmlns="http://schemas.openxmlformats.org/package/2006/relationships"><Relationship Id="rId3" Type="http://schemas.openxmlformats.org/officeDocument/2006/relationships/hyperlink" Target="https://doi.org/10.1016/j.renene.2015.07.066" TargetMode="External"/><Relationship Id="rId2" Type="http://schemas.openxmlformats.org/officeDocument/2006/relationships/hyperlink" Target="https://energy.gov/sites/prod/files/2017/06/f34/fcto_may_2017_h2_scale_wkshp_hovsapian.pdf" TargetMode="External"/><Relationship Id="rId1" Type="http://schemas.openxmlformats.org/officeDocument/2006/relationships/hyperlink" Target="http://www.methanol.org/the-methanol-industry/" TargetMode="External"/><Relationship Id="rId6" Type="http://schemas.openxmlformats.org/officeDocument/2006/relationships/drawing" Target="../drawings/drawing1.xml"/><Relationship Id="rId5" Type="http://schemas.openxmlformats.org/officeDocument/2006/relationships/hyperlink" Target="https://eu-ems.com/event_images/presentations/Benedikt%20Stefansson%20presentation.pdf" TargetMode="External"/><Relationship Id="rId4" Type="http://schemas.openxmlformats.org/officeDocument/2006/relationships/hyperlink" Target="http://serenergy.com/next-generation-of-methanol-fuel-cell-vehicles-sees-the-light-of-day/" TargetMode="Externa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8.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9.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O19"/>
  <sheetViews>
    <sheetView zoomScaleNormal="100" workbookViewId="0">
      <selection activeCell="I14" sqref="I14"/>
    </sheetView>
  </sheetViews>
  <sheetFormatPr defaultColWidth="8.88671875" defaultRowHeight="13.2" x14ac:dyDescent="0.25"/>
  <cols>
    <col min="1" max="1" width="2" style="16" bestFit="1" customWidth="1"/>
    <col min="2" max="2" width="13.88671875" customWidth="1"/>
    <col min="3" max="3" width="11.88671875" bestFit="1" customWidth="1"/>
    <col min="4" max="4" width="20.6640625" bestFit="1" customWidth="1"/>
    <col min="5" max="5" width="7.5546875" bestFit="1" customWidth="1"/>
    <col min="6" max="6" width="2.5546875" style="16" customWidth="1"/>
    <col min="7" max="7" width="11.88671875" bestFit="1" customWidth="1"/>
    <col min="8" max="8" width="7.44140625" bestFit="1" customWidth="1"/>
    <col min="9" max="9" width="12.109375" bestFit="1" customWidth="1"/>
    <col min="10" max="10" width="40.5546875" customWidth="1"/>
    <col min="11" max="11" width="6.109375" bestFit="1" customWidth="1"/>
    <col min="12" max="12" width="10.44140625" bestFit="1" customWidth="1"/>
    <col min="13" max="13" width="12.88671875" bestFit="1" customWidth="1"/>
    <col min="14" max="14" width="14.109375" bestFit="1" customWidth="1"/>
    <col min="15" max="15" width="8" bestFit="1" customWidth="1"/>
    <col min="16" max="16384" width="8.88671875" style="16"/>
  </cols>
  <sheetData>
    <row r="1" spans="2:15" x14ac:dyDescent="0.25">
      <c r="B1" s="16"/>
      <c r="C1" s="16"/>
      <c r="D1" s="16"/>
      <c r="E1" s="16"/>
      <c r="G1" s="28" t="s">
        <v>14</v>
      </c>
      <c r="H1" s="28"/>
      <c r="I1" s="29"/>
      <c r="J1" s="29"/>
      <c r="K1" s="29"/>
      <c r="L1" s="29"/>
      <c r="M1" s="29"/>
      <c r="N1" s="29"/>
      <c r="O1" s="29"/>
    </row>
    <row r="2" spans="2:15" x14ac:dyDescent="0.25">
      <c r="G2" s="30" t="s">
        <v>7</v>
      </c>
      <c r="H2" s="31" t="s">
        <v>30</v>
      </c>
      <c r="I2" s="30" t="s">
        <v>0</v>
      </c>
      <c r="J2" s="30" t="s">
        <v>3</v>
      </c>
      <c r="K2" s="30" t="s">
        <v>4</v>
      </c>
      <c r="L2" s="30" t="s">
        <v>8</v>
      </c>
      <c r="M2" s="30" t="s">
        <v>9</v>
      </c>
      <c r="N2" s="30" t="s">
        <v>10</v>
      </c>
      <c r="O2" s="30" t="s">
        <v>12</v>
      </c>
    </row>
    <row r="3" spans="2:15" ht="21.6" thickBot="1" x14ac:dyDescent="0.3">
      <c r="B3" s="1"/>
      <c r="G3" s="32" t="s">
        <v>34</v>
      </c>
      <c r="H3" s="32" t="s">
        <v>31</v>
      </c>
      <c r="I3" s="32" t="s">
        <v>26</v>
      </c>
      <c r="J3" s="32" t="s">
        <v>27</v>
      </c>
      <c r="K3" s="32" t="s">
        <v>4</v>
      </c>
      <c r="L3" s="32" t="s">
        <v>37</v>
      </c>
      <c r="M3" s="32" t="s">
        <v>38</v>
      </c>
      <c r="N3" s="32" t="s">
        <v>28</v>
      </c>
      <c r="O3" s="32" t="s">
        <v>29</v>
      </c>
    </row>
    <row r="4" spans="2:15" x14ac:dyDescent="0.25">
      <c r="G4" s="29" t="s">
        <v>44</v>
      </c>
      <c r="H4" s="33"/>
      <c r="I4" s="110" t="s">
        <v>155</v>
      </c>
      <c r="J4" s="110" t="s">
        <v>238</v>
      </c>
      <c r="K4" s="110" t="s">
        <v>45</v>
      </c>
      <c r="L4" s="29"/>
      <c r="M4" s="110"/>
      <c r="N4" s="29"/>
      <c r="O4" s="29"/>
    </row>
    <row r="6" spans="2:15" x14ac:dyDescent="0.25">
      <c r="B6" s="5" t="s">
        <v>13</v>
      </c>
      <c r="G6" s="28" t="s">
        <v>15</v>
      </c>
      <c r="H6" s="28"/>
      <c r="I6" s="33"/>
      <c r="J6" s="33"/>
      <c r="K6" s="33"/>
      <c r="L6" s="33"/>
      <c r="M6" s="33"/>
      <c r="N6" s="33"/>
      <c r="O6" s="33"/>
    </row>
    <row r="7" spans="2:15" x14ac:dyDescent="0.25">
      <c r="B7" s="3" t="s">
        <v>1</v>
      </c>
      <c r="C7" s="14" t="s">
        <v>5</v>
      </c>
      <c r="D7" s="3" t="s">
        <v>6</v>
      </c>
      <c r="E7" s="3" t="s">
        <v>61</v>
      </c>
      <c r="G7" s="30" t="s">
        <v>11</v>
      </c>
      <c r="H7" s="31" t="s">
        <v>30</v>
      </c>
      <c r="I7" s="30" t="s">
        <v>1</v>
      </c>
      <c r="J7" s="30" t="s">
        <v>2</v>
      </c>
      <c r="K7" s="30" t="s">
        <v>16</v>
      </c>
      <c r="L7" s="30" t="s">
        <v>17</v>
      </c>
      <c r="M7" s="30" t="s">
        <v>18</v>
      </c>
      <c r="N7" s="30" t="s">
        <v>19</v>
      </c>
      <c r="O7" s="30" t="s">
        <v>20</v>
      </c>
    </row>
    <row r="8" spans="2:15" ht="21.6" thickBot="1" x14ac:dyDescent="0.3">
      <c r="B8" s="10" t="s">
        <v>36</v>
      </c>
      <c r="C8" s="10" t="s">
        <v>32</v>
      </c>
      <c r="D8" s="10" t="s">
        <v>33</v>
      </c>
      <c r="E8" s="10"/>
      <c r="G8" s="32" t="s">
        <v>35</v>
      </c>
      <c r="H8" s="32" t="s">
        <v>31</v>
      </c>
      <c r="I8" s="32" t="s">
        <v>21</v>
      </c>
      <c r="J8" s="32" t="s">
        <v>22</v>
      </c>
      <c r="K8" s="32" t="s">
        <v>23</v>
      </c>
      <c r="L8" s="32" t="s">
        <v>24</v>
      </c>
      <c r="M8" s="32" t="s">
        <v>40</v>
      </c>
      <c r="N8" s="32" t="s">
        <v>39</v>
      </c>
      <c r="O8" s="32" t="s">
        <v>25</v>
      </c>
    </row>
    <row r="9" spans="2:15" ht="13.8" thickBot="1" x14ac:dyDescent="0.3">
      <c r="B9" s="10" t="s">
        <v>53</v>
      </c>
      <c r="C9" s="9"/>
      <c r="D9" s="9"/>
      <c r="E9" s="9"/>
      <c r="G9" s="32" t="s">
        <v>47</v>
      </c>
      <c r="H9" s="34"/>
      <c r="I9" s="34"/>
      <c r="J9" s="34"/>
      <c r="K9" s="34"/>
      <c r="L9" s="34"/>
      <c r="M9" s="34"/>
      <c r="N9" s="34"/>
      <c r="O9" s="34"/>
    </row>
    <row r="10" spans="2:15" x14ac:dyDescent="0.25">
      <c r="B10" s="1" t="str">
        <f>I10</f>
        <v>MINWIN1</v>
      </c>
      <c r="C10" s="1"/>
      <c r="D10" s="1" t="str">
        <f>$I$4</f>
        <v>WIN</v>
      </c>
      <c r="E10" s="1">
        <v>2020</v>
      </c>
      <c r="G10" s="110" t="s">
        <v>42</v>
      </c>
      <c r="H10" s="33"/>
      <c r="I10" s="33" t="str">
        <f>$G$10&amp;$I$4&amp;1</f>
        <v>MINWIN1</v>
      </c>
      <c r="J10" s="35" t="str">
        <f>"Domestic Supply of "&amp;$J$4&amp; " Step "&amp;RIGHT(I10,1)</f>
        <v>Domestic Supply of Wind Step 1</v>
      </c>
      <c r="K10" s="33" t="str">
        <f>$K$4</f>
        <v>PJ</v>
      </c>
      <c r="L10" s="33"/>
      <c r="M10" s="33"/>
      <c r="N10" s="33"/>
      <c r="O10" s="33"/>
    </row>
    <row r="11" spans="2:15" x14ac:dyDescent="0.25">
      <c r="B11" s="1"/>
      <c r="C11" s="1"/>
      <c r="D11" s="1"/>
      <c r="E11" s="1"/>
      <c r="J11" s="15"/>
    </row>
    <row r="12" spans="2:15" x14ac:dyDescent="0.25">
      <c r="B12" s="1"/>
      <c r="C12" s="1"/>
      <c r="D12" s="1"/>
      <c r="E12" s="1"/>
      <c r="J12" s="15"/>
    </row>
    <row r="13" spans="2:15" x14ac:dyDescent="0.25">
      <c r="B13" s="1"/>
      <c r="C13" s="1"/>
      <c r="D13" s="1"/>
      <c r="E13" s="1"/>
      <c r="J13" s="15"/>
    </row>
    <row r="14" spans="2:15" x14ac:dyDescent="0.25">
      <c r="B14" s="1"/>
      <c r="C14" s="1"/>
      <c r="D14" s="1"/>
      <c r="E14" s="1"/>
      <c r="J14" s="15"/>
    </row>
    <row r="15" spans="2:15" x14ac:dyDescent="0.25">
      <c r="B15" s="1"/>
      <c r="C15" s="1"/>
    </row>
    <row r="19" ht="19.5" customHeight="1" x14ac:dyDescent="0.25"/>
  </sheetData>
  <pageMargins left="0.75" right="0.75" top="1" bottom="1" header="0.5" footer="0.5"/>
  <pageSetup orientation="portrait" horizontalDpi="4294967292" r:id="rId1"/>
  <headerFooter alignWithMargins="0"/>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BA13D3-9445-4FC5-8860-FB1AA57E02A2}">
  <dimension ref="C3:AF26"/>
  <sheetViews>
    <sheetView zoomScale="70" zoomScaleNormal="70" workbookViewId="0">
      <selection activeCell="L11" sqref="L11"/>
    </sheetView>
  </sheetViews>
  <sheetFormatPr defaultRowHeight="13.2" x14ac:dyDescent="0.25"/>
  <cols>
    <col min="3" max="3" width="8.88671875" customWidth="1"/>
    <col min="4" max="4" width="25.44140625" bestFit="1" customWidth="1"/>
    <col min="5" max="5" width="10.88671875" bestFit="1" customWidth="1"/>
    <col min="6" max="6" width="9.5546875" bestFit="1" customWidth="1"/>
    <col min="7" max="7" width="11.6640625" bestFit="1" customWidth="1"/>
    <col min="8" max="8" width="13.109375" bestFit="1" customWidth="1"/>
    <col min="26" max="26" width="13.6640625" customWidth="1"/>
    <col min="27" max="27" width="25.88671875" bestFit="1" customWidth="1"/>
  </cols>
  <sheetData>
    <row r="3" spans="3:32" x14ac:dyDescent="0.25">
      <c r="Y3" s="28" t="s">
        <v>14</v>
      </c>
      <c r="Z3" s="29"/>
      <c r="AA3" s="29"/>
      <c r="AB3" s="29"/>
      <c r="AC3" s="29"/>
      <c r="AD3" s="29"/>
      <c r="AE3" s="29"/>
      <c r="AF3" s="29"/>
    </row>
    <row r="4" spans="3:32" x14ac:dyDescent="0.25">
      <c r="Y4" s="30" t="s">
        <v>7</v>
      </c>
      <c r="Z4" s="30" t="s">
        <v>0</v>
      </c>
      <c r="AA4" s="30" t="s">
        <v>3</v>
      </c>
      <c r="AB4" s="30" t="s">
        <v>4</v>
      </c>
      <c r="AC4" s="30" t="s">
        <v>8</v>
      </c>
      <c r="AD4" s="30" t="s">
        <v>9</v>
      </c>
      <c r="AE4" s="30" t="s">
        <v>10</v>
      </c>
      <c r="AF4" s="30" t="s">
        <v>12</v>
      </c>
    </row>
    <row r="5" spans="3:32" ht="31.8" thickBot="1" x14ac:dyDescent="0.3">
      <c r="Y5" s="32" t="s">
        <v>34</v>
      </c>
      <c r="Z5" s="32" t="s">
        <v>26</v>
      </c>
      <c r="AA5" s="32" t="s">
        <v>27</v>
      </c>
      <c r="AB5" s="32" t="s">
        <v>4</v>
      </c>
      <c r="AC5" s="32" t="s">
        <v>37</v>
      </c>
      <c r="AD5" s="32" t="s">
        <v>38</v>
      </c>
      <c r="AE5" s="32" t="s">
        <v>28</v>
      </c>
      <c r="AF5" s="32" t="s">
        <v>29</v>
      </c>
    </row>
    <row r="6" spans="3:32" x14ac:dyDescent="0.25">
      <c r="Y6" s="29" t="s">
        <v>44</v>
      </c>
      <c r="Z6" t="s">
        <v>501</v>
      </c>
      <c r="AA6" t="s">
        <v>502</v>
      </c>
      <c r="AB6" t="s">
        <v>45</v>
      </c>
      <c r="AC6" s="29"/>
      <c r="AD6" s="110" t="s">
        <v>224</v>
      </c>
    </row>
    <row r="7" spans="3:32" x14ac:dyDescent="0.25">
      <c r="C7" s="97" t="s">
        <v>13</v>
      </c>
      <c r="D7" s="93"/>
      <c r="E7" s="93"/>
      <c r="F7" s="93"/>
      <c r="G7" s="97"/>
      <c r="H7" s="97"/>
      <c r="I7" s="97"/>
      <c r="J7" s="97"/>
      <c r="K7" s="97"/>
      <c r="L7" s="97"/>
      <c r="M7" s="93"/>
      <c r="N7" s="93"/>
      <c r="O7" s="93"/>
      <c r="P7" s="93"/>
      <c r="Q7" s="93"/>
      <c r="R7" s="93"/>
      <c r="S7" s="93"/>
      <c r="T7" s="93"/>
    </row>
    <row r="8" spans="3:32" x14ac:dyDescent="0.25">
      <c r="C8" s="30" t="s">
        <v>1</v>
      </c>
      <c r="D8" s="30" t="s">
        <v>2</v>
      </c>
      <c r="E8" s="30" t="s">
        <v>216</v>
      </c>
      <c r="F8" s="30" t="s">
        <v>5</v>
      </c>
      <c r="G8" s="30" t="s">
        <v>6</v>
      </c>
      <c r="H8" s="30" t="s">
        <v>162</v>
      </c>
      <c r="I8" s="30" t="s">
        <v>61</v>
      </c>
      <c r="J8" s="30" t="s">
        <v>68</v>
      </c>
      <c r="K8" s="30" t="s">
        <v>50</v>
      </c>
      <c r="L8" s="30" t="s">
        <v>163</v>
      </c>
      <c r="M8" s="30" t="s">
        <v>164</v>
      </c>
      <c r="N8" s="30" t="s">
        <v>57</v>
      </c>
      <c r="O8" s="30" t="s">
        <v>166</v>
      </c>
      <c r="P8" s="30" t="s">
        <v>70</v>
      </c>
      <c r="Q8" s="30" t="s">
        <v>48</v>
      </c>
      <c r="R8" s="30" t="s">
        <v>49</v>
      </c>
      <c r="S8" s="30" t="s">
        <v>64</v>
      </c>
      <c r="T8" s="30" t="s">
        <v>470</v>
      </c>
    </row>
    <row r="9" spans="3:32" ht="31.8" thickBot="1" x14ac:dyDescent="0.3">
      <c r="C9" s="32" t="s">
        <v>167</v>
      </c>
      <c r="D9" s="32" t="s">
        <v>22</v>
      </c>
      <c r="E9" s="32" t="s">
        <v>217</v>
      </c>
      <c r="F9" s="32" t="s">
        <v>32</v>
      </c>
      <c r="G9" s="32" t="s">
        <v>33</v>
      </c>
      <c r="H9" s="32" t="s">
        <v>168</v>
      </c>
      <c r="I9" s="32"/>
      <c r="J9" s="32"/>
      <c r="K9" s="32" t="s">
        <v>218</v>
      </c>
      <c r="L9" s="32" t="s">
        <v>169</v>
      </c>
      <c r="M9" s="32" t="s">
        <v>170</v>
      </c>
      <c r="N9" s="32" t="s">
        <v>171</v>
      </c>
      <c r="O9" s="32" t="s">
        <v>172</v>
      </c>
      <c r="P9" s="32" t="s">
        <v>66</v>
      </c>
      <c r="Q9" s="32" t="s">
        <v>173</v>
      </c>
      <c r="R9" s="32" t="s">
        <v>55</v>
      </c>
      <c r="S9" s="32" t="s">
        <v>65</v>
      </c>
      <c r="T9" s="32" t="s">
        <v>471</v>
      </c>
    </row>
    <row r="10" spans="3:32" ht="13.8" thickBot="1" x14ac:dyDescent="0.3">
      <c r="C10" s="32" t="s">
        <v>174</v>
      </c>
      <c r="D10" s="32"/>
      <c r="E10" s="32"/>
      <c r="F10" s="32"/>
      <c r="G10" s="32"/>
      <c r="H10" s="32"/>
      <c r="I10" s="32"/>
      <c r="J10" s="32"/>
      <c r="K10" s="32" t="s">
        <v>219</v>
      </c>
      <c r="L10" s="32" t="s">
        <v>220</v>
      </c>
      <c r="M10" s="32" t="s">
        <v>220</v>
      </c>
      <c r="N10" s="32" t="s">
        <v>221</v>
      </c>
      <c r="O10" s="32" t="s">
        <v>177</v>
      </c>
      <c r="P10" s="32" t="s">
        <v>231</v>
      </c>
      <c r="Q10" s="184" t="s">
        <v>235</v>
      </c>
      <c r="R10" s="184" t="s">
        <v>235</v>
      </c>
      <c r="S10" s="32" t="s">
        <v>236</v>
      </c>
      <c r="T10" s="184" t="s">
        <v>177</v>
      </c>
    </row>
    <row r="11" spans="3:32" x14ac:dyDescent="0.25">
      <c r="C11" t="s">
        <v>503</v>
      </c>
      <c r="D11" t="s">
        <v>504</v>
      </c>
      <c r="F11" t="s">
        <v>509</v>
      </c>
      <c r="G11" t="s">
        <v>501</v>
      </c>
      <c r="I11" s="106">
        <v>2025</v>
      </c>
      <c r="J11" s="106">
        <v>2030</v>
      </c>
      <c r="L11">
        <f>'98 Methanol from Hydrogen'!D10/('98 Methanol from Hydrogen'!$Q$8*1000)</f>
        <v>63.64793598836151</v>
      </c>
      <c r="N11">
        <f>1-0.097</f>
        <v>0.90300000000000002</v>
      </c>
      <c r="O11" s="109">
        <v>30</v>
      </c>
      <c r="P11" s="16">
        <v>31.536000000000001</v>
      </c>
      <c r="Q11">
        <f>'98 Methanol from Hydrogen'!D25*1000</f>
        <v>1435.59</v>
      </c>
      <c r="R11">
        <v>41</v>
      </c>
      <c r="T11" s="26">
        <v>2</v>
      </c>
      <c r="Y11" s="28" t="s">
        <v>15</v>
      </c>
      <c r="Z11" s="29"/>
      <c r="AA11" s="29"/>
      <c r="AB11" s="29"/>
      <c r="AC11" s="29"/>
      <c r="AD11" s="29"/>
      <c r="AE11" s="29"/>
      <c r="AF11" s="29"/>
    </row>
    <row r="12" spans="3:32" x14ac:dyDescent="0.25">
      <c r="F12" t="s">
        <v>180</v>
      </c>
      <c r="I12" s="93"/>
      <c r="J12" s="93"/>
      <c r="L12">
        <f>'98 Methanol from Hydrogen'!D12/'98 Methanol from Hydrogen'!$Q$5</f>
        <v>1.0474631751227497</v>
      </c>
      <c r="O12" s="95"/>
      <c r="T12" s="26"/>
      <c r="Y12" s="30" t="s">
        <v>11</v>
      </c>
      <c r="Z12" s="30" t="s">
        <v>1</v>
      </c>
      <c r="AA12" s="30" t="s">
        <v>2</v>
      </c>
      <c r="AB12" s="30" t="s">
        <v>16</v>
      </c>
      <c r="AC12" s="30" t="s">
        <v>17</v>
      </c>
      <c r="AD12" s="30" t="s">
        <v>18</v>
      </c>
      <c r="AE12" s="30" t="s">
        <v>19</v>
      </c>
      <c r="AF12" s="30" t="s">
        <v>20</v>
      </c>
    </row>
    <row r="13" spans="3:32" ht="31.2" customHeight="1" thickBot="1" x14ac:dyDescent="0.3">
      <c r="F13" t="s">
        <v>41</v>
      </c>
      <c r="L13">
        <f>'98 Methanol from Hydrogen'!D13/'98 Methanol from Hydrogen'!$Q$5</f>
        <v>1.6366612111292964E-2</v>
      </c>
      <c r="Y13" s="32" t="s">
        <v>35</v>
      </c>
      <c r="Z13" s="32" t="s">
        <v>21</v>
      </c>
      <c r="AA13" s="32" t="s">
        <v>22</v>
      </c>
      <c r="AB13" s="32" t="s">
        <v>23</v>
      </c>
      <c r="AC13" s="32" t="s">
        <v>24</v>
      </c>
      <c r="AD13" s="32" t="s">
        <v>40</v>
      </c>
      <c r="AE13" s="32" t="s">
        <v>39</v>
      </c>
      <c r="AF13" s="32" t="s">
        <v>25</v>
      </c>
    </row>
    <row r="14" spans="3:32" ht="13.8" thickBot="1" x14ac:dyDescent="0.3">
      <c r="H14" s="93" t="s">
        <v>160</v>
      </c>
      <c r="M14">
        <f>SUM('98 Methanol from Hydrogen'!D17:D18)/'98 Methanol from Hydrogen'!D16</f>
        <v>0.28205128205128205</v>
      </c>
      <c r="O14" s="95"/>
      <c r="T14" s="26"/>
      <c r="Y14" s="32" t="s">
        <v>47</v>
      </c>
      <c r="Z14" s="32"/>
      <c r="AA14" s="32"/>
      <c r="AB14" s="32"/>
      <c r="AC14" s="32"/>
      <c r="AD14" s="32"/>
      <c r="AE14" s="32"/>
      <c r="AF14" s="32"/>
    </row>
    <row r="15" spans="3:32" x14ac:dyDescent="0.25">
      <c r="F15" t="s">
        <v>509</v>
      </c>
      <c r="G15" t="s">
        <v>501</v>
      </c>
      <c r="I15" s="93">
        <v>2030</v>
      </c>
      <c r="L15">
        <f>'98 Methanol from Hydrogen'!E10/('98 Methanol from Hydrogen'!$Q$8*1000)</f>
        <v>63.64793598836151</v>
      </c>
      <c r="N15">
        <f>1-0.097</f>
        <v>0.90300000000000002</v>
      </c>
      <c r="O15" s="95">
        <f>O11</f>
        <v>30</v>
      </c>
      <c r="P15" s="16">
        <v>31.536000000000001</v>
      </c>
      <c r="Q15">
        <f>'98 Methanol from Hydrogen'!E25*1000</f>
        <v>1159.106</v>
      </c>
      <c r="R15">
        <v>32</v>
      </c>
      <c r="T15" s="26">
        <v>2</v>
      </c>
      <c r="Y15" t="s">
        <v>60</v>
      </c>
      <c r="Z15" t="s">
        <v>503</v>
      </c>
      <c r="AA15" t="s">
        <v>504</v>
      </c>
      <c r="AB15" s="92" t="s">
        <v>45</v>
      </c>
      <c r="AC15" s="92" t="s">
        <v>62</v>
      </c>
      <c r="AD15" s="93" t="s">
        <v>224</v>
      </c>
      <c r="AE15" s="93" t="s">
        <v>501</v>
      </c>
      <c r="AF15" s="92" t="s">
        <v>244</v>
      </c>
    </row>
    <row r="16" spans="3:32" x14ac:dyDescent="0.25">
      <c r="F16" t="s">
        <v>180</v>
      </c>
      <c r="I16" s="93"/>
      <c r="L16">
        <f>'98 Methanol from Hydrogen'!E12/'98 Methanol from Hydrogen'!$Q$5</f>
        <v>1.0474631751227497</v>
      </c>
      <c r="O16" s="95"/>
      <c r="T16" s="26"/>
    </row>
    <row r="17" spans="6:20" x14ac:dyDescent="0.25">
      <c r="F17" t="s">
        <v>41</v>
      </c>
      <c r="L17">
        <f>'98 Methanol from Hydrogen'!E13/'98 Methanol from Hydrogen'!$Q$5</f>
        <v>1.6366612111292964E-2</v>
      </c>
    </row>
    <row r="18" spans="6:20" x14ac:dyDescent="0.25">
      <c r="H18" s="93" t="s">
        <v>160</v>
      </c>
      <c r="I18" s="93"/>
      <c r="M18">
        <f>SUM('98 Methanol from Hydrogen'!E17:E18)/'98 Methanol from Hydrogen'!E16</f>
        <v>0.28205128205128205</v>
      </c>
    </row>
    <row r="19" spans="6:20" x14ac:dyDescent="0.25">
      <c r="F19" t="s">
        <v>509</v>
      </c>
      <c r="G19" t="s">
        <v>501</v>
      </c>
      <c r="I19" s="93">
        <v>2040</v>
      </c>
      <c r="L19">
        <f>'98 Methanol from Hydrogen'!F10/('98 Methanol from Hydrogen'!$Q$8*1000)</f>
        <v>63.64793598836151</v>
      </c>
      <c r="N19">
        <f>1-0.097</f>
        <v>0.90300000000000002</v>
      </c>
      <c r="O19" s="95">
        <f>O15</f>
        <v>30</v>
      </c>
      <c r="P19" s="16">
        <v>31.536000000000001</v>
      </c>
      <c r="Q19">
        <f>'98 Methanol from Hydrogen'!F25*1000</f>
        <v>1020.8639999999998</v>
      </c>
      <c r="R19">
        <v>32</v>
      </c>
      <c r="T19" s="26">
        <v>2</v>
      </c>
    </row>
    <row r="20" spans="6:20" x14ac:dyDescent="0.25">
      <c r="F20" t="s">
        <v>180</v>
      </c>
      <c r="L20">
        <f>'98 Methanol from Hydrogen'!F12/'98 Methanol from Hydrogen'!$Q$5</f>
        <v>1.0474631751227497</v>
      </c>
    </row>
    <row r="21" spans="6:20" x14ac:dyDescent="0.25">
      <c r="F21" t="s">
        <v>41</v>
      </c>
      <c r="L21">
        <f>'98 Methanol from Hydrogen'!F13/'98 Methanol from Hydrogen'!$Q$5</f>
        <v>1.6366612111292964E-2</v>
      </c>
    </row>
    <row r="22" spans="6:20" x14ac:dyDescent="0.25">
      <c r="H22" s="93" t="s">
        <v>160</v>
      </c>
      <c r="M22">
        <f>SUM('98 Methanol from Hydrogen'!F17:F18)/'98 Methanol from Hydrogen'!F16</f>
        <v>0.28205128205128205</v>
      </c>
    </row>
    <row r="23" spans="6:20" x14ac:dyDescent="0.25">
      <c r="F23" t="s">
        <v>509</v>
      </c>
      <c r="G23" t="s">
        <v>501</v>
      </c>
      <c r="I23" s="93">
        <v>2050</v>
      </c>
      <c r="L23">
        <f>'98 Methanol from Hydrogen'!G10/('98 Methanol from Hydrogen'!$Q$8*1000)</f>
        <v>63.64793598836151</v>
      </c>
      <c r="N23">
        <f>1-0.087</f>
        <v>0.91300000000000003</v>
      </c>
      <c r="O23" s="95">
        <f>O19</f>
        <v>30</v>
      </c>
      <c r="P23" s="16">
        <v>31.536000000000001</v>
      </c>
      <c r="Q23">
        <f>'98 Methanol from Hydrogen'!G25*1000</f>
        <v>925.1579999999999</v>
      </c>
      <c r="R23">
        <v>28</v>
      </c>
      <c r="T23" s="26">
        <v>2</v>
      </c>
    </row>
    <row r="24" spans="6:20" x14ac:dyDescent="0.25">
      <c r="F24" t="s">
        <v>180</v>
      </c>
      <c r="L24">
        <f>'98 Methanol from Hydrogen'!G12/'98 Methanol from Hydrogen'!$Q$5</f>
        <v>1.0474631751227497</v>
      </c>
    </row>
    <row r="25" spans="6:20" x14ac:dyDescent="0.25">
      <c r="F25" t="s">
        <v>41</v>
      </c>
      <c r="L25">
        <f>'98 Methanol from Hydrogen'!G13/'98 Methanol from Hydrogen'!$Q$5</f>
        <v>1.6366612111292964E-2</v>
      </c>
    </row>
    <row r="26" spans="6:20" x14ac:dyDescent="0.25">
      <c r="H26" s="93" t="s">
        <v>160</v>
      </c>
      <c r="M26">
        <f>SUM('98 Methanol from Hydrogen'!G17:G18)/'98 Methanol from Hydrogen'!G16</f>
        <v>0.28205128205128205</v>
      </c>
    </row>
  </sheetData>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1AEC6A-5ACF-42B1-82BB-69CADDD56F64}">
  <dimension ref="F5:AI28"/>
  <sheetViews>
    <sheetView topLeftCell="E4" zoomScale="60" zoomScaleNormal="60" workbookViewId="0">
      <selection activeCell="L10" sqref="L10"/>
    </sheetView>
  </sheetViews>
  <sheetFormatPr defaultRowHeight="13.2" x14ac:dyDescent="0.25"/>
  <cols>
    <col min="6" max="6" width="15.6640625" bestFit="1" customWidth="1"/>
    <col min="7" max="7" width="30.6640625" bestFit="1" customWidth="1"/>
    <col min="8" max="8" width="13.88671875" bestFit="1" customWidth="1"/>
    <col min="9" max="9" width="11.33203125" bestFit="1" customWidth="1"/>
    <col min="10" max="10" width="13.5546875" bestFit="1" customWidth="1"/>
    <col min="11" max="11" width="16.44140625" bestFit="1" customWidth="1"/>
    <col min="14" max="14" width="11" bestFit="1" customWidth="1"/>
    <col min="29" max="29" width="30.6640625" customWidth="1"/>
    <col min="30" max="30" width="28.33203125" bestFit="1" customWidth="1"/>
  </cols>
  <sheetData>
    <row r="5" spans="6:35" x14ac:dyDescent="0.25">
      <c r="AB5" s="28" t="s">
        <v>14</v>
      </c>
      <c r="AC5" s="29"/>
      <c r="AD5" s="29"/>
      <c r="AE5" s="29"/>
      <c r="AF5" s="29"/>
      <c r="AG5" s="29"/>
      <c r="AH5" s="29"/>
      <c r="AI5" s="29"/>
    </row>
    <row r="6" spans="6:35" x14ac:dyDescent="0.25">
      <c r="AB6" s="30" t="s">
        <v>7</v>
      </c>
      <c r="AC6" s="30" t="s">
        <v>0</v>
      </c>
      <c r="AD6" s="30" t="s">
        <v>3</v>
      </c>
      <c r="AE6" s="30" t="s">
        <v>4</v>
      </c>
      <c r="AF6" s="30" t="s">
        <v>8</v>
      </c>
      <c r="AG6" s="30" t="s">
        <v>9</v>
      </c>
      <c r="AH6" s="30" t="s">
        <v>10</v>
      </c>
      <c r="AI6" s="30" t="s">
        <v>12</v>
      </c>
    </row>
    <row r="7" spans="6:35" ht="31.8" thickBot="1" x14ac:dyDescent="0.3">
      <c r="AB7" s="32" t="s">
        <v>34</v>
      </c>
      <c r="AC7" s="32" t="s">
        <v>26</v>
      </c>
      <c r="AD7" s="32" t="s">
        <v>27</v>
      </c>
      <c r="AE7" s="32" t="s">
        <v>4</v>
      </c>
      <c r="AF7" s="32" t="s">
        <v>37</v>
      </c>
      <c r="AG7" s="32" t="s">
        <v>38</v>
      </c>
      <c r="AH7" s="32" t="s">
        <v>28</v>
      </c>
      <c r="AI7" s="32" t="s">
        <v>29</v>
      </c>
    </row>
    <row r="8" spans="6:35" x14ac:dyDescent="0.25">
      <c r="AB8" s="29" t="s">
        <v>44</v>
      </c>
      <c r="AC8" t="s">
        <v>508</v>
      </c>
      <c r="AD8" t="s">
        <v>505</v>
      </c>
      <c r="AE8" t="s">
        <v>45</v>
      </c>
      <c r="AF8" s="29"/>
      <c r="AG8" s="110" t="s">
        <v>224</v>
      </c>
    </row>
    <row r="9" spans="6:35" x14ac:dyDescent="0.25">
      <c r="F9" s="97" t="s">
        <v>13</v>
      </c>
      <c r="G9" s="93"/>
      <c r="H9" s="93"/>
      <c r="I9" s="93"/>
      <c r="J9" s="97"/>
      <c r="K9" s="97"/>
      <c r="L9" s="97"/>
      <c r="M9" s="97"/>
      <c r="N9" s="97"/>
      <c r="O9" s="97"/>
      <c r="P9" s="93"/>
      <c r="Q9" s="93"/>
      <c r="R9" s="93"/>
      <c r="S9" s="93"/>
      <c r="T9" s="93"/>
      <c r="U9" s="93"/>
      <c r="V9" s="93"/>
      <c r="W9" s="93"/>
    </row>
    <row r="10" spans="6:35" x14ac:dyDescent="0.25">
      <c r="F10" s="30" t="s">
        <v>1</v>
      </c>
      <c r="G10" s="30" t="s">
        <v>2</v>
      </c>
      <c r="H10" s="30" t="s">
        <v>216</v>
      </c>
      <c r="I10" s="30" t="s">
        <v>5</v>
      </c>
      <c r="J10" s="30" t="s">
        <v>6</v>
      </c>
      <c r="K10" s="30" t="s">
        <v>162</v>
      </c>
      <c r="L10" s="30" t="s">
        <v>61</v>
      </c>
      <c r="M10" s="30" t="s">
        <v>68</v>
      </c>
      <c r="N10" s="30" t="s">
        <v>50</v>
      </c>
      <c r="O10" s="30" t="s">
        <v>163</v>
      </c>
      <c r="P10" s="30" t="s">
        <v>164</v>
      </c>
      <c r="Q10" s="30" t="s">
        <v>57</v>
      </c>
      <c r="R10" s="30" t="s">
        <v>166</v>
      </c>
      <c r="S10" s="30" t="s">
        <v>70</v>
      </c>
      <c r="T10" s="30" t="s">
        <v>48</v>
      </c>
      <c r="U10" s="30" t="s">
        <v>49</v>
      </c>
      <c r="V10" s="30" t="s">
        <v>64</v>
      </c>
      <c r="W10" s="30" t="s">
        <v>470</v>
      </c>
    </row>
    <row r="11" spans="6:35" ht="31.8" thickBot="1" x14ac:dyDescent="0.3">
      <c r="F11" s="32" t="s">
        <v>167</v>
      </c>
      <c r="G11" s="32" t="s">
        <v>22</v>
      </c>
      <c r="H11" s="32" t="s">
        <v>217</v>
      </c>
      <c r="I11" s="32" t="s">
        <v>32</v>
      </c>
      <c r="J11" s="32" t="s">
        <v>33</v>
      </c>
      <c r="K11" s="32" t="s">
        <v>168</v>
      </c>
      <c r="L11" s="32"/>
      <c r="M11" s="32"/>
      <c r="N11" s="32" t="s">
        <v>218</v>
      </c>
      <c r="O11" s="32" t="s">
        <v>169</v>
      </c>
      <c r="P11" s="32" t="s">
        <v>170</v>
      </c>
      <c r="Q11" s="32" t="s">
        <v>171</v>
      </c>
      <c r="R11" s="32" t="s">
        <v>172</v>
      </c>
      <c r="S11" s="32" t="s">
        <v>66</v>
      </c>
      <c r="T11" s="32" t="s">
        <v>173</v>
      </c>
      <c r="U11" s="32" t="s">
        <v>55</v>
      </c>
      <c r="V11" s="32" t="s">
        <v>65</v>
      </c>
      <c r="W11" s="32" t="s">
        <v>471</v>
      </c>
    </row>
    <row r="12" spans="6:35" ht="13.8" thickBot="1" x14ac:dyDescent="0.3">
      <c r="F12" s="32" t="s">
        <v>174</v>
      </c>
      <c r="G12" s="32"/>
      <c r="H12" s="32"/>
      <c r="I12" s="32"/>
      <c r="J12" s="32"/>
      <c r="K12" s="32"/>
      <c r="L12" s="32"/>
      <c r="M12" s="32"/>
      <c r="N12" s="32" t="s">
        <v>219</v>
      </c>
      <c r="O12" s="32" t="s">
        <v>220</v>
      </c>
      <c r="P12" s="32" t="s">
        <v>220</v>
      </c>
      <c r="Q12" s="32" t="s">
        <v>221</v>
      </c>
      <c r="R12" s="32" t="s">
        <v>177</v>
      </c>
      <c r="S12" s="32" t="s">
        <v>231</v>
      </c>
      <c r="T12" s="184" t="s">
        <v>235</v>
      </c>
      <c r="U12" s="184" t="s">
        <v>235</v>
      </c>
      <c r="V12" s="32" t="s">
        <v>236</v>
      </c>
      <c r="W12" s="184" t="s">
        <v>177</v>
      </c>
    </row>
    <row r="13" spans="6:35" ht="15.6" x14ac:dyDescent="0.3">
      <c r="F13" s="246" t="s">
        <v>506</v>
      </c>
      <c r="G13" s="247" t="s">
        <v>507</v>
      </c>
      <c r="I13" t="s">
        <v>180</v>
      </c>
      <c r="J13" t="s">
        <v>508</v>
      </c>
      <c r="L13" s="106">
        <v>2020</v>
      </c>
      <c r="M13" s="106">
        <v>2030</v>
      </c>
      <c r="N13">
        <f>'102 Hydrogen to Jet'!B13/'102 Hydrogen to Jet'!B10</f>
        <v>0.65326633165829151</v>
      </c>
      <c r="Q13">
        <f>49/52</f>
        <v>0.94230769230769229</v>
      </c>
      <c r="R13" s="109">
        <v>25</v>
      </c>
      <c r="S13" s="16">
        <v>31.536000000000001</v>
      </c>
      <c r="T13">
        <f>'102 Hydrogen to Jet'!B20*1000</f>
        <v>2233.14</v>
      </c>
      <c r="U13">
        <f>'102 Hydrogen to Jet'!B23/1000*8760*SUP_Jetfuel!Q13</f>
        <v>148.34749019999998</v>
      </c>
      <c r="V13">
        <f>'102 Hydrogen to Jet'!B24/('102 Hydrogen to Jet'!$S$11*1000000)</f>
        <v>1.5655611111111112</v>
      </c>
      <c r="W13" s="26">
        <v>2</v>
      </c>
      <c r="AB13" s="28" t="s">
        <v>15</v>
      </c>
      <c r="AC13" s="29"/>
      <c r="AD13" s="29"/>
      <c r="AE13" s="29"/>
      <c r="AF13" s="29"/>
      <c r="AG13" s="29"/>
      <c r="AH13" s="29"/>
      <c r="AI13" s="29"/>
    </row>
    <row r="14" spans="6:35" x14ac:dyDescent="0.25">
      <c r="H14" t="s">
        <v>41</v>
      </c>
      <c r="L14" s="93"/>
      <c r="M14" s="93"/>
      <c r="O14">
        <f>'102 Hydrogen to Jet'!B11/'102 Hydrogen to Jet'!B13</f>
        <v>7.6923076923076919E-3</v>
      </c>
      <c r="R14" s="95"/>
      <c r="W14" s="26"/>
      <c r="AB14" s="30" t="s">
        <v>11</v>
      </c>
      <c r="AC14" s="30" t="s">
        <v>1</v>
      </c>
      <c r="AD14" s="30" t="s">
        <v>2</v>
      </c>
      <c r="AE14" s="30" t="s">
        <v>16</v>
      </c>
      <c r="AF14" s="30" t="s">
        <v>17</v>
      </c>
      <c r="AG14" s="30" t="s">
        <v>18</v>
      </c>
      <c r="AH14" s="30" t="s">
        <v>19</v>
      </c>
      <c r="AI14" s="30" t="s">
        <v>20</v>
      </c>
    </row>
    <row r="15" spans="6:35" ht="42" thickBot="1" x14ac:dyDescent="0.3">
      <c r="H15" t="s">
        <v>509</v>
      </c>
      <c r="O15">
        <f>'102 Hydrogen to Jet'!B9/('102 Hydrogen to Jet'!$P$13*1000)</f>
        <v>99.953509995350998</v>
      </c>
      <c r="R15" s="95"/>
      <c r="W15" s="26"/>
      <c r="AB15" s="32" t="s">
        <v>35</v>
      </c>
      <c r="AC15" s="32" t="s">
        <v>21</v>
      </c>
      <c r="AD15" s="32" t="s">
        <v>22</v>
      </c>
      <c r="AE15" s="32" t="s">
        <v>23</v>
      </c>
      <c r="AF15" s="32" t="s">
        <v>24</v>
      </c>
      <c r="AG15" s="32" t="s">
        <v>40</v>
      </c>
      <c r="AH15" s="32" t="s">
        <v>39</v>
      </c>
      <c r="AI15" s="32" t="s">
        <v>25</v>
      </c>
    </row>
    <row r="16" spans="6:35" ht="13.8" thickBot="1" x14ac:dyDescent="0.3">
      <c r="K16" s="93" t="s">
        <v>160</v>
      </c>
      <c r="L16" s="93"/>
      <c r="P16">
        <f>'102 Hydrogen to Jet'!B14/'102 Hydrogen to Jet'!B13</f>
        <v>0.38461538461538458</v>
      </c>
      <c r="R16" s="95"/>
      <c r="W16" s="26"/>
      <c r="AB16" s="32" t="s">
        <v>47</v>
      </c>
      <c r="AC16" s="32"/>
      <c r="AD16" s="32"/>
      <c r="AE16" s="32"/>
      <c r="AF16" s="32"/>
      <c r="AG16" s="32"/>
      <c r="AH16" s="32"/>
      <c r="AI16" s="32"/>
    </row>
    <row r="17" spans="8:35" ht="15.6" x14ac:dyDescent="0.3">
      <c r="I17" t="s">
        <v>180</v>
      </c>
      <c r="J17" t="s">
        <v>508</v>
      </c>
      <c r="L17" s="93">
        <v>2030</v>
      </c>
      <c r="N17">
        <f>'102 Hydrogen to Jet'!C13/'102 Hydrogen to Jet'!C10</f>
        <v>0.70351758793969843</v>
      </c>
      <c r="Q17">
        <f>49/52</f>
        <v>0.94230769230769229</v>
      </c>
      <c r="R17" s="95">
        <v>25</v>
      </c>
      <c r="S17" s="16">
        <v>31.536000000000001</v>
      </c>
      <c r="T17">
        <f>'102 Hydrogen to Jet'!C20*1000</f>
        <v>1701.4399999999998</v>
      </c>
      <c r="U17">
        <f>'102 Hydrogen to Jet'!C23/1000*8760*SUP_Jetfuel!Q17</f>
        <v>111.48006659999997</v>
      </c>
      <c r="V17">
        <f>'102 Hydrogen to Jet'!C24/('102 Hydrogen to Jet'!$S$11*1000000)</f>
        <v>1.2406333333333333</v>
      </c>
      <c r="W17" s="26">
        <v>2</v>
      </c>
      <c r="AB17" t="s">
        <v>60</v>
      </c>
      <c r="AC17" s="246" t="s">
        <v>506</v>
      </c>
      <c r="AD17" s="247" t="s">
        <v>507</v>
      </c>
      <c r="AE17" s="92" t="s">
        <v>45</v>
      </c>
      <c r="AF17" s="92" t="s">
        <v>62</v>
      </c>
      <c r="AG17" s="93" t="s">
        <v>224</v>
      </c>
      <c r="AH17" t="s">
        <v>508</v>
      </c>
      <c r="AI17" s="92" t="s">
        <v>244</v>
      </c>
    </row>
    <row r="18" spans="8:35" x14ac:dyDescent="0.25">
      <c r="H18" t="s">
        <v>41</v>
      </c>
      <c r="L18" s="93"/>
      <c r="O18">
        <f>'102 Hydrogen to Jet'!C11/'102 Hydrogen to Jet'!C13</f>
        <v>7.1428571428571435E-3</v>
      </c>
      <c r="R18" s="95"/>
      <c r="W18" s="26"/>
    </row>
    <row r="19" spans="8:35" x14ac:dyDescent="0.25">
      <c r="H19" t="s">
        <v>509</v>
      </c>
      <c r="O19">
        <f>'102 Hydrogen to Jet'!C9/('102 Hydrogen to Jet'!P13*1000)</f>
        <v>90.655509065550916</v>
      </c>
      <c r="R19" s="95"/>
      <c r="W19" s="26"/>
    </row>
    <row r="20" spans="8:35" x14ac:dyDescent="0.25">
      <c r="K20" s="93" t="s">
        <v>160</v>
      </c>
      <c r="P20">
        <f>'102 Hydrogen to Jet'!C14/'102 Hydrogen to Jet'!C13</f>
        <v>0.28571428571428575</v>
      </c>
    </row>
    <row r="21" spans="8:35" x14ac:dyDescent="0.25">
      <c r="I21" t="s">
        <v>180</v>
      </c>
      <c r="J21" t="s">
        <v>508</v>
      </c>
      <c r="L21" s="93">
        <v>2040</v>
      </c>
      <c r="N21">
        <f>'102 Hydrogen to Jet'!D13/'102 Hydrogen to Jet'!D10</f>
        <v>0.73366834170854267</v>
      </c>
      <c r="Q21">
        <f>49/52</f>
        <v>0.94230769230769229</v>
      </c>
      <c r="R21">
        <v>25</v>
      </c>
      <c r="S21" s="16">
        <v>31.536000000000001</v>
      </c>
      <c r="T21">
        <f>'102 Hydrogen to Jet'!D20*1000</f>
        <v>1169.74</v>
      </c>
      <c r="U21">
        <f>'102 Hydrogen to Jet'!D23/1000*8760*SUP_Jetfuel!Q21</f>
        <v>74.612643000000006</v>
      </c>
      <c r="V21">
        <f>'102 Hydrogen to Jet'!D24/('102 Hydrogen to Jet'!$S$11*1000000)</f>
        <v>0.94524444444444444</v>
      </c>
      <c r="W21">
        <v>2</v>
      </c>
    </row>
    <row r="22" spans="8:35" x14ac:dyDescent="0.25">
      <c r="H22" t="s">
        <v>41</v>
      </c>
      <c r="O22">
        <f>'102 Hydrogen to Jet'!D11/'102 Hydrogen to Jet'!D13</f>
        <v>6.8493150684931512E-3</v>
      </c>
    </row>
    <row r="23" spans="8:35" x14ac:dyDescent="0.25">
      <c r="H23" t="s">
        <v>509</v>
      </c>
      <c r="O23">
        <f>'102 Hydrogen to Jet'!D9/('102 Hydrogen to Jet'!P13*1000)</f>
        <v>83.68200836820084</v>
      </c>
    </row>
    <row r="24" spans="8:35" x14ac:dyDescent="0.25">
      <c r="K24" s="93" t="s">
        <v>160</v>
      </c>
      <c r="P24">
        <f>'102 Hydrogen to Jet'!D14/'102 Hydrogen to Jet'!D13</f>
        <v>0.23287671232876714</v>
      </c>
    </row>
    <row r="25" spans="8:35" x14ac:dyDescent="0.25">
      <c r="I25" t="s">
        <v>180</v>
      </c>
      <c r="J25" t="s">
        <v>508</v>
      </c>
      <c r="L25" s="93">
        <v>2050</v>
      </c>
      <c r="N25">
        <f>'102 Hydrogen to Jet'!E13/'102 Hydrogen to Jet'!E10</f>
        <v>0.75376884422110557</v>
      </c>
      <c r="Q25">
        <f>49/52</f>
        <v>0.94230769230769229</v>
      </c>
      <c r="R25" s="95">
        <v>25</v>
      </c>
      <c r="S25" s="16">
        <v>31.536000000000001</v>
      </c>
      <c r="T25">
        <f>'102 Hydrogen to Jet'!E20*1000</f>
        <v>957.06</v>
      </c>
      <c r="U25">
        <f>'102 Hydrogen to Jet'!E23/1000*8760*SUP_Jetfuel!Q25</f>
        <v>64.956889199999992</v>
      </c>
      <c r="V25">
        <f>'102 Hydrogen to Jet'!E24/('102 Hydrogen to Jet'!$S$11*1000000)</f>
        <v>0.62031666666666663</v>
      </c>
      <c r="W25">
        <v>2</v>
      </c>
    </row>
    <row r="26" spans="8:35" x14ac:dyDescent="0.25">
      <c r="H26" t="s">
        <v>41</v>
      </c>
      <c r="O26">
        <f>'102 Hydrogen to Jet'!E11/'102 Hydrogen to Jet'!E13</f>
        <v>6.6666666666666671E-3</v>
      </c>
    </row>
    <row r="27" spans="8:35" x14ac:dyDescent="0.25">
      <c r="H27" t="s">
        <v>509</v>
      </c>
      <c r="O27">
        <f>'102 Hydrogen to Jet'!E9/('102 Hydrogen to Jet'!P13*1000)</f>
        <v>76.708507670850764</v>
      </c>
    </row>
    <row r="28" spans="8:35" x14ac:dyDescent="0.25">
      <c r="K28" s="93" t="s">
        <v>160</v>
      </c>
      <c r="P28">
        <f>'102 Hydrogen to Jet'!E14/'102 Hydrogen to Jet'!E13</f>
        <v>0.19999999999999998</v>
      </c>
    </row>
  </sheetData>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EFECA6-D9ED-478E-8A25-A85F29B7EE32}">
  <dimension ref="D8:AK20"/>
  <sheetViews>
    <sheetView topLeftCell="I2" zoomScale="78" workbookViewId="0">
      <selection activeCell="AD34" sqref="AD34"/>
    </sheetView>
  </sheetViews>
  <sheetFormatPr defaultRowHeight="13.2" x14ac:dyDescent="0.25"/>
  <cols>
    <col min="6" max="6" width="11.44140625" bestFit="1" customWidth="1"/>
    <col min="7" max="7" width="9.5546875" customWidth="1"/>
    <col min="8" max="8" width="11.5546875" bestFit="1" customWidth="1"/>
    <col min="9" max="9" width="9.109375" customWidth="1"/>
    <col min="18" max="18" width="12" bestFit="1" customWidth="1"/>
    <col min="20" max="20" width="12" bestFit="1" customWidth="1"/>
    <col min="30" max="30" width="21.5546875" customWidth="1"/>
    <col min="31" max="31" width="19" customWidth="1"/>
    <col min="32" max="32" width="17.88671875" customWidth="1"/>
  </cols>
  <sheetData>
    <row r="8" spans="4:37" x14ac:dyDescent="0.25">
      <c r="D8" s="97" t="s">
        <v>13</v>
      </c>
      <c r="E8" s="93"/>
      <c r="F8" s="93"/>
      <c r="G8" s="93"/>
      <c r="H8" s="97"/>
      <c r="I8" s="97"/>
      <c r="J8" s="97"/>
      <c r="K8" s="97"/>
      <c r="L8" s="97"/>
      <c r="M8" s="97"/>
      <c r="N8" s="93"/>
      <c r="O8" s="93"/>
      <c r="P8" s="93"/>
      <c r="Q8" s="93"/>
      <c r="R8" s="93"/>
      <c r="S8" s="93"/>
      <c r="T8" s="93"/>
      <c r="U8" s="93"/>
      <c r="AD8" s="28" t="s">
        <v>14</v>
      </c>
      <c r="AE8" s="29"/>
      <c r="AF8" s="29"/>
      <c r="AG8" s="29"/>
      <c r="AH8" s="29"/>
      <c r="AI8" s="29"/>
      <c r="AJ8" s="29"/>
      <c r="AK8" s="29"/>
    </row>
    <row r="9" spans="4:37" x14ac:dyDescent="0.25">
      <c r="D9" s="30" t="s">
        <v>1</v>
      </c>
      <c r="E9" s="30" t="s">
        <v>2</v>
      </c>
      <c r="F9" s="30" t="s">
        <v>216</v>
      </c>
      <c r="G9" s="30" t="s">
        <v>5</v>
      </c>
      <c r="H9" s="30" t="s">
        <v>6</v>
      </c>
      <c r="I9" s="30" t="s">
        <v>162</v>
      </c>
      <c r="J9" s="30" t="s">
        <v>61</v>
      </c>
      <c r="K9" s="30" t="s">
        <v>68</v>
      </c>
      <c r="L9" s="30" t="s">
        <v>50</v>
      </c>
      <c r="M9" s="30" t="s">
        <v>163</v>
      </c>
      <c r="N9" s="30" t="s">
        <v>164</v>
      </c>
      <c r="O9" s="30" t="s">
        <v>57</v>
      </c>
      <c r="P9" s="30" t="s">
        <v>166</v>
      </c>
      <c r="Q9" s="30" t="s">
        <v>70</v>
      </c>
      <c r="R9" s="30" t="s">
        <v>48</v>
      </c>
      <c r="S9" s="30" t="s">
        <v>49</v>
      </c>
      <c r="T9" s="30" t="s">
        <v>64</v>
      </c>
      <c r="U9" s="30" t="s">
        <v>470</v>
      </c>
      <c r="AD9" s="30" t="s">
        <v>7</v>
      </c>
      <c r="AE9" s="30" t="s">
        <v>0</v>
      </c>
      <c r="AF9" s="30" t="s">
        <v>3</v>
      </c>
      <c r="AG9" s="30" t="s">
        <v>4</v>
      </c>
      <c r="AH9" s="30" t="s">
        <v>8</v>
      </c>
      <c r="AI9" s="30" t="s">
        <v>9</v>
      </c>
      <c r="AJ9" s="30" t="s">
        <v>10</v>
      </c>
      <c r="AK9" s="30" t="s">
        <v>12</v>
      </c>
    </row>
    <row r="10" spans="4:37" ht="31.8" thickBot="1" x14ac:dyDescent="0.3">
      <c r="D10" s="32" t="s">
        <v>167</v>
      </c>
      <c r="E10" s="32" t="s">
        <v>22</v>
      </c>
      <c r="F10" s="32" t="s">
        <v>217</v>
      </c>
      <c r="G10" s="32" t="s">
        <v>32</v>
      </c>
      <c r="H10" s="32" t="s">
        <v>33</v>
      </c>
      <c r="I10" s="32" t="s">
        <v>168</v>
      </c>
      <c r="J10" s="32"/>
      <c r="K10" s="32"/>
      <c r="L10" s="32" t="s">
        <v>218</v>
      </c>
      <c r="M10" s="32" t="s">
        <v>169</v>
      </c>
      <c r="N10" s="32" t="s">
        <v>170</v>
      </c>
      <c r="O10" s="32" t="s">
        <v>171</v>
      </c>
      <c r="P10" s="32" t="s">
        <v>172</v>
      </c>
      <c r="Q10" s="32" t="s">
        <v>66</v>
      </c>
      <c r="R10" s="32" t="s">
        <v>173</v>
      </c>
      <c r="S10" s="32" t="s">
        <v>55</v>
      </c>
      <c r="T10" s="32" t="s">
        <v>65</v>
      </c>
      <c r="U10" s="32" t="s">
        <v>471</v>
      </c>
      <c r="AD10" s="32" t="s">
        <v>34</v>
      </c>
      <c r="AE10" s="32" t="s">
        <v>26</v>
      </c>
      <c r="AF10" s="32" t="s">
        <v>27</v>
      </c>
      <c r="AG10" s="32" t="s">
        <v>4</v>
      </c>
      <c r="AH10" s="32" t="s">
        <v>37</v>
      </c>
      <c r="AI10" s="32" t="s">
        <v>38</v>
      </c>
      <c r="AJ10" s="32" t="s">
        <v>28</v>
      </c>
      <c r="AK10" s="32" t="s">
        <v>29</v>
      </c>
    </row>
    <row r="11" spans="4:37" ht="13.8" thickBot="1" x14ac:dyDescent="0.3">
      <c r="D11" s="32" t="s">
        <v>174</v>
      </c>
      <c r="E11" s="32"/>
      <c r="F11" s="32"/>
      <c r="G11" s="32"/>
      <c r="H11" s="32"/>
      <c r="I11" s="32"/>
      <c r="J11" s="32"/>
      <c r="K11" s="32"/>
      <c r="L11" s="32" t="s">
        <v>219</v>
      </c>
      <c r="M11" s="32" t="s">
        <v>220</v>
      </c>
      <c r="N11" s="32" t="s">
        <v>220</v>
      </c>
      <c r="O11" s="32" t="s">
        <v>221</v>
      </c>
      <c r="P11" s="32" t="s">
        <v>177</v>
      </c>
      <c r="Q11" s="32" t="s">
        <v>231</v>
      </c>
      <c r="R11" s="184" t="s">
        <v>235</v>
      </c>
      <c r="S11" s="184" t="s">
        <v>235</v>
      </c>
      <c r="T11" s="32" t="s">
        <v>236</v>
      </c>
      <c r="U11" s="184" t="s">
        <v>177</v>
      </c>
      <c r="AD11" s="29"/>
      <c r="AH11" s="29"/>
      <c r="AI11" s="110"/>
    </row>
    <row r="12" spans="4:37" ht="13.8" x14ac:dyDescent="0.25">
      <c r="D12" s="246" t="s">
        <v>526</v>
      </c>
      <c r="E12" t="s">
        <v>525</v>
      </c>
      <c r="G12" t="s">
        <v>41</v>
      </c>
      <c r="H12" s="93" t="s">
        <v>160</v>
      </c>
      <c r="J12">
        <v>2020</v>
      </c>
      <c r="K12">
        <v>2030</v>
      </c>
      <c r="L12">
        <v>0.98</v>
      </c>
      <c r="O12">
        <v>0.98</v>
      </c>
      <c r="P12">
        <v>25</v>
      </c>
      <c r="Q12" s="16">
        <v>31.536000000000001</v>
      </c>
      <c r="R12">
        <f>'310.1b Electric boiler steam'!B24*1000</f>
        <v>95.555555555555557</v>
      </c>
      <c r="S12">
        <f>'310.1b Electric boiler steam'!B27/1000</f>
        <v>1.10745</v>
      </c>
      <c r="T12">
        <f>'310.1b Electric boiler steam'!B28/(0.0000036*100000)</f>
        <v>2.4513888888888893</v>
      </c>
      <c r="U12">
        <v>0.5</v>
      </c>
    </row>
    <row r="13" spans="4:37" x14ac:dyDescent="0.25">
      <c r="J13">
        <v>2030</v>
      </c>
      <c r="L13">
        <v>0.98</v>
      </c>
      <c r="O13">
        <v>0.98</v>
      </c>
      <c r="P13">
        <v>25</v>
      </c>
      <c r="Q13" s="16">
        <v>31.536000000000001</v>
      </c>
      <c r="R13">
        <f>'310.1b Electric boiler steam'!C24*1000</f>
        <v>83.611111111111128</v>
      </c>
      <c r="S13">
        <f>'310.1b Electric boiler steam'!C27/1000</f>
        <v>1.0557000000000001</v>
      </c>
      <c r="T13">
        <f>'310.1b Electric boiler steam'!C28/(0.0000036*100000)</f>
        <v>2.4119937694704054</v>
      </c>
      <c r="U13">
        <v>0.5</v>
      </c>
    </row>
    <row r="14" spans="4:37" x14ac:dyDescent="0.25">
      <c r="J14">
        <v>2040</v>
      </c>
      <c r="L14">
        <v>0.98</v>
      </c>
      <c r="O14">
        <v>0.98</v>
      </c>
      <c r="P14">
        <v>25</v>
      </c>
      <c r="Q14" s="16">
        <v>31.536000000000001</v>
      </c>
      <c r="R14">
        <f>'310.1b Electric boiler steam'!D24*1000</f>
        <v>83.611111111111128</v>
      </c>
      <c r="S14">
        <f>'310.1b Electric boiler steam'!D27/1000</f>
        <v>1.0039500000000001</v>
      </c>
      <c r="T14">
        <f>'310.1b Electric boiler steam'!D28/(0.0000036*100000)</f>
        <v>2.3587097611630323</v>
      </c>
      <c r="U14">
        <v>0.5</v>
      </c>
    </row>
    <row r="15" spans="4:37" x14ac:dyDescent="0.25">
      <c r="J15">
        <v>2050</v>
      </c>
      <c r="L15">
        <v>0.98</v>
      </c>
      <c r="O15">
        <v>0.98</v>
      </c>
      <c r="P15">
        <v>25</v>
      </c>
      <c r="Q15" s="16">
        <v>31.536000000000001</v>
      </c>
      <c r="R15">
        <f>'310.1b Electric boiler steam'!E24*1000</f>
        <v>83.611111111111128</v>
      </c>
      <c r="S15">
        <f>'310.1b Electric boiler steam'!E27/1000</f>
        <v>0.95220000000000005</v>
      </c>
      <c r="T15">
        <f>'310.1b Electric boiler steam'!E28/(0.0000036*100000)</f>
        <v>2.2915368639667708</v>
      </c>
      <c r="U15">
        <v>0.5</v>
      </c>
    </row>
    <row r="16" spans="4:37" x14ac:dyDescent="0.25">
      <c r="AD16" s="28" t="s">
        <v>15</v>
      </c>
      <c r="AE16" s="29"/>
      <c r="AF16" s="29"/>
      <c r="AG16" s="29"/>
      <c r="AH16" s="29"/>
      <c r="AI16" s="29"/>
      <c r="AJ16" s="29"/>
      <c r="AK16" s="29"/>
    </row>
    <row r="17" spans="30:37" x14ac:dyDescent="0.25">
      <c r="AD17" s="30" t="s">
        <v>11</v>
      </c>
      <c r="AE17" s="30" t="s">
        <v>1</v>
      </c>
      <c r="AF17" s="30" t="s">
        <v>2</v>
      </c>
      <c r="AG17" s="30" t="s">
        <v>16</v>
      </c>
      <c r="AH17" s="30" t="s">
        <v>17</v>
      </c>
      <c r="AI17" s="30" t="s">
        <v>18</v>
      </c>
      <c r="AJ17" s="30" t="s">
        <v>19</v>
      </c>
      <c r="AK17" s="30" t="s">
        <v>20</v>
      </c>
    </row>
    <row r="18" spans="30:37" ht="42" thickBot="1" x14ac:dyDescent="0.3">
      <c r="AD18" s="32" t="s">
        <v>35</v>
      </c>
      <c r="AE18" s="32" t="s">
        <v>21</v>
      </c>
      <c r="AF18" s="32" t="s">
        <v>22</v>
      </c>
      <c r="AG18" s="32" t="s">
        <v>23</v>
      </c>
      <c r="AH18" s="32" t="s">
        <v>24</v>
      </c>
      <c r="AI18" s="32" t="s">
        <v>40</v>
      </c>
      <c r="AJ18" s="32" t="s">
        <v>39</v>
      </c>
      <c r="AK18" s="32" t="s">
        <v>25</v>
      </c>
    </row>
    <row r="19" spans="30:37" ht="13.8" thickBot="1" x14ac:dyDescent="0.3">
      <c r="AD19" s="32" t="s">
        <v>47</v>
      </c>
      <c r="AE19" s="32"/>
      <c r="AF19" s="32"/>
      <c r="AG19" s="32"/>
      <c r="AH19" s="32"/>
      <c r="AI19" s="32"/>
      <c r="AJ19" s="32"/>
      <c r="AK19" s="32"/>
    </row>
    <row r="20" spans="30:37" ht="13.8" x14ac:dyDescent="0.25">
      <c r="AD20" t="s">
        <v>60</v>
      </c>
      <c r="AE20" s="246" t="s">
        <v>526</v>
      </c>
      <c r="AF20" t="s">
        <v>525</v>
      </c>
      <c r="AG20" s="92" t="s">
        <v>45</v>
      </c>
      <c r="AH20" s="92" t="s">
        <v>62</v>
      </c>
      <c r="AI20" s="93" t="s">
        <v>224</v>
      </c>
      <c r="AJ20" s="93" t="s">
        <v>160</v>
      </c>
      <c r="AK20" s="92" t="s">
        <v>244</v>
      </c>
    </row>
  </sheetData>
  <pageMargins left="0.7" right="0.7" top="0.75" bottom="0.75" header="0.3" footer="0.3"/>
  <legacy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B37DD7-922B-4AE9-953C-BB93BD6E9F87}">
  <dimension ref="B1:Y35"/>
  <sheetViews>
    <sheetView topLeftCell="A11" zoomScale="89" workbookViewId="0">
      <selection activeCell="F20" sqref="F20:F24"/>
    </sheetView>
  </sheetViews>
  <sheetFormatPr defaultRowHeight="13.2" x14ac:dyDescent="0.25"/>
  <cols>
    <col min="3" max="3" width="12.109375" bestFit="1" customWidth="1"/>
    <col min="5" max="5" width="10" bestFit="1" customWidth="1"/>
    <col min="6" max="6" width="13.44140625" bestFit="1" customWidth="1"/>
    <col min="7" max="7" width="17.44140625" bestFit="1" customWidth="1"/>
    <col min="10" max="10" width="10.88671875" bestFit="1" customWidth="1"/>
    <col min="19" max="19" width="11" bestFit="1" customWidth="1"/>
  </cols>
  <sheetData>
    <row r="1" spans="2:25" x14ac:dyDescent="0.25">
      <c r="B1" s="5"/>
      <c r="E1" s="28" t="s">
        <v>15</v>
      </c>
      <c r="G1" s="33"/>
      <c r="H1" s="33"/>
      <c r="I1" s="33"/>
      <c r="J1" s="33"/>
      <c r="K1" s="33"/>
    </row>
    <row r="2" spans="2:25" x14ac:dyDescent="0.25">
      <c r="B2" s="3"/>
      <c r="C2" s="14"/>
      <c r="E2" s="30" t="s">
        <v>11</v>
      </c>
      <c r="F2" s="30" t="s">
        <v>1</v>
      </c>
      <c r="G2" s="30" t="s">
        <v>2</v>
      </c>
      <c r="H2" s="30" t="s">
        <v>16</v>
      </c>
      <c r="I2" s="30" t="s">
        <v>18</v>
      </c>
      <c r="J2" s="30" t="s">
        <v>19</v>
      </c>
      <c r="K2" s="30" t="s">
        <v>20</v>
      </c>
    </row>
    <row r="3" spans="2:25" ht="42" thickBot="1" x14ac:dyDescent="0.3">
      <c r="B3" s="10"/>
      <c r="C3" s="10"/>
      <c r="E3" s="32" t="s">
        <v>35</v>
      </c>
      <c r="F3" s="32" t="s">
        <v>21</v>
      </c>
      <c r="G3" s="32" t="s">
        <v>22</v>
      </c>
      <c r="H3" s="32" t="s">
        <v>23</v>
      </c>
      <c r="I3" s="32" t="s">
        <v>40</v>
      </c>
      <c r="J3" s="32" t="s">
        <v>39</v>
      </c>
      <c r="K3" s="32" t="s">
        <v>25</v>
      </c>
    </row>
    <row r="4" spans="2:25" ht="13.8" thickBot="1" x14ac:dyDescent="0.3">
      <c r="B4" s="10"/>
      <c r="C4" s="9"/>
      <c r="E4" s="32" t="s">
        <v>47</v>
      </c>
      <c r="F4" s="34"/>
      <c r="G4" s="34"/>
      <c r="H4" s="34"/>
      <c r="I4" s="34"/>
      <c r="J4" s="34"/>
      <c r="K4" s="34"/>
    </row>
    <row r="5" spans="2:25" x14ac:dyDescent="0.25">
      <c r="E5" s="33" t="s">
        <v>43</v>
      </c>
      <c r="F5" s="33" t="s">
        <v>225</v>
      </c>
      <c r="G5" t="s">
        <v>226</v>
      </c>
      <c r="H5" s="33" t="s">
        <v>45</v>
      </c>
      <c r="I5" s="33" t="s">
        <v>224</v>
      </c>
      <c r="J5" s="33"/>
      <c r="K5" s="33"/>
    </row>
    <row r="6" spans="2:25" x14ac:dyDescent="0.25">
      <c r="B6" s="111"/>
      <c r="E6" s="33" t="s">
        <v>43</v>
      </c>
      <c r="F6" t="s">
        <v>227</v>
      </c>
      <c r="G6" t="s">
        <v>229</v>
      </c>
      <c r="H6" s="33" t="s">
        <v>45</v>
      </c>
      <c r="I6" s="33" t="s">
        <v>224</v>
      </c>
      <c r="J6" s="33"/>
      <c r="K6" s="33"/>
    </row>
    <row r="7" spans="2:25" x14ac:dyDescent="0.25">
      <c r="B7" s="111"/>
      <c r="E7" s="33" t="s">
        <v>43</v>
      </c>
      <c r="F7" t="s">
        <v>228</v>
      </c>
      <c r="G7" t="s">
        <v>230</v>
      </c>
      <c r="H7" s="33" t="s">
        <v>45</v>
      </c>
      <c r="I7" s="33" t="s">
        <v>224</v>
      </c>
      <c r="J7" s="33"/>
      <c r="K7" s="33"/>
      <c r="R7" s="28" t="s">
        <v>14</v>
      </c>
      <c r="S7" s="110"/>
      <c r="T7" s="110"/>
      <c r="U7" s="110"/>
      <c r="V7" s="110"/>
      <c r="W7" s="110"/>
      <c r="X7" s="110"/>
      <c r="Y7" s="110"/>
    </row>
    <row r="8" spans="2:25" x14ac:dyDescent="0.25">
      <c r="E8" s="33" t="s">
        <v>43</v>
      </c>
      <c r="F8" t="s">
        <v>597</v>
      </c>
      <c r="G8" t="s">
        <v>599</v>
      </c>
      <c r="H8" s="33" t="s">
        <v>45</v>
      </c>
      <c r="I8" s="33" t="s">
        <v>224</v>
      </c>
      <c r="R8" s="30" t="s">
        <v>7</v>
      </c>
      <c r="S8" s="30" t="s">
        <v>0</v>
      </c>
      <c r="T8" s="30" t="s">
        <v>3</v>
      </c>
      <c r="U8" s="30" t="s">
        <v>4</v>
      </c>
      <c r="V8" s="30" t="s">
        <v>8</v>
      </c>
      <c r="W8" s="30" t="s">
        <v>9</v>
      </c>
      <c r="X8" s="30" t="s">
        <v>10</v>
      </c>
      <c r="Y8" s="30" t="s">
        <v>12</v>
      </c>
    </row>
    <row r="9" spans="2:25" ht="31.8" thickBot="1" x14ac:dyDescent="0.3">
      <c r="E9" s="33" t="s">
        <v>43</v>
      </c>
      <c r="F9" t="s">
        <v>598</v>
      </c>
      <c r="G9" t="s">
        <v>600</v>
      </c>
      <c r="H9" s="33" t="s">
        <v>45</v>
      </c>
      <c r="I9" s="33" t="s">
        <v>224</v>
      </c>
      <c r="R9" s="32" t="s">
        <v>34</v>
      </c>
      <c r="S9" s="32" t="s">
        <v>26</v>
      </c>
      <c r="T9" s="32" t="s">
        <v>27</v>
      </c>
      <c r="U9" s="32" t="s">
        <v>4</v>
      </c>
      <c r="V9" s="32" t="s">
        <v>37</v>
      </c>
      <c r="W9" s="32" t="s">
        <v>38</v>
      </c>
      <c r="X9" s="32" t="s">
        <v>28</v>
      </c>
      <c r="Y9" s="32" t="s">
        <v>29</v>
      </c>
    </row>
    <row r="10" spans="2:25" x14ac:dyDescent="0.25">
      <c r="E10" s="33" t="s">
        <v>249</v>
      </c>
      <c r="F10" t="s">
        <v>601</v>
      </c>
      <c r="G10" t="s">
        <v>603</v>
      </c>
      <c r="H10" s="33" t="s">
        <v>514</v>
      </c>
      <c r="I10" s="33"/>
      <c r="R10" s="110" t="s">
        <v>44</v>
      </c>
      <c r="S10" t="s">
        <v>594</v>
      </c>
      <c r="T10" t="s">
        <v>625</v>
      </c>
      <c r="U10" t="s">
        <v>45</v>
      </c>
      <c r="V10" s="110"/>
      <c r="W10" s="110" t="s">
        <v>224</v>
      </c>
    </row>
    <row r="11" spans="2:25" x14ac:dyDescent="0.25">
      <c r="E11" s="33" t="s">
        <v>249</v>
      </c>
      <c r="F11" t="s">
        <v>602</v>
      </c>
      <c r="G11" t="s">
        <v>604</v>
      </c>
      <c r="H11" s="33" t="s">
        <v>45</v>
      </c>
      <c r="I11" s="33"/>
      <c r="R11" s="110" t="s">
        <v>44</v>
      </c>
      <c r="S11" t="s">
        <v>595</v>
      </c>
      <c r="T11" t="s">
        <v>626</v>
      </c>
      <c r="U11" t="s">
        <v>45</v>
      </c>
      <c r="V11" s="110"/>
      <c r="W11" s="110" t="s">
        <v>224</v>
      </c>
    </row>
    <row r="12" spans="2:25" x14ac:dyDescent="0.25">
      <c r="R12" s="110" t="s">
        <v>44</v>
      </c>
      <c r="S12" t="s">
        <v>596</v>
      </c>
      <c r="T12" t="s">
        <v>627</v>
      </c>
      <c r="U12" t="s">
        <v>45</v>
      </c>
      <c r="V12" s="110"/>
      <c r="W12" s="110" t="s">
        <v>224</v>
      </c>
    </row>
    <row r="13" spans="2:25" x14ac:dyDescent="0.25">
      <c r="R13" s="110" t="s">
        <v>44</v>
      </c>
      <c r="S13" t="s">
        <v>610</v>
      </c>
      <c r="T13" t="s">
        <v>603</v>
      </c>
      <c r="U13" t="s">
        <v>514</v>
      </c>
      <c r="V13" s="110"/>
      <c r="W13" s="110" t="s">
        <v>224</v>
      </c>
    </row>
    <row r="14" spans="2:25" x14ac:dyDescent="0.25">
      <c r="R14" s="110" t="s">
        <v>44</v>
      </c>
      <c r="S14" t="s">
        <v>611</v>
      </c>
      <c r="T14" t="s">
        <v>628</v>
      </c>
      <c r="U14" t="s">
        <v>45</v>
      </c>
      <c r="V14" s="110"/>
      <c r="W14" s="110" t="s">
        <v>224</v>
      </c>
    </row>
    <row r="15" spans="2:25" x14ac:dyDescent="0.25">
      <c r="R15" s="110" t="s">
        <v>44</v>
      </c>
      <c r="S15" t="s">
        <v>608</v>
      </c>
      <c r="T15" t="s">
        <v>629</v>
      </c>
      <c r="U15" t="s">
        <v>45</v>
      </c>
      <c r="V15" s="110"/>
      <c r="W15" s="110" t="s">
        <v>224</v>
      </c>
    </row>
    <row r="16" spans="2:25" x14ac:dyDescent="0.25">
      <c r="H16" s="5" t="s">
        <v>13</v>
      </c>
      <c r="J16" s="5"/>
      <c r="R16" s="110" t="s">
        <v>44</v>
      </c>
      <c r="S16" t="s">
        <v>609</v>
      </c>
      <c r="T16" t="s">
        <v>630</v>
      </c>
      <c r="U16" t="s">
        <v>45</v>
      </c>
      <c r="V16" s="110"/>
      <c r="W16" s="110" t="s">
        <v>224</v>
      </c>
    </row>
    <row r="17" spans="6:20" x14ac:dyDescent="0.25">
      <c r="F17" s="3" t="s">
        <v>1</v>
      </c>
      <c r="G17" s="14" t="s">
        <v>5</v>
      </c>
      <c r="H17" s="3" t="s">
        <v>6</v>
      </c>
      <c r="I17" s="326" t="s">
        <v>605</v>
      </c>
      <c r="J17" s="30" t="s">
        <v>61</v>
      </c>
      <c r="K17" s="326" t="s">
        <v>267</v>
      </c>
    </row>
    <row r="18" spans="6:20" ht="31.8" thickBot="1" x14ac:dyDescent="0.3">
      <c r="F18" s="10" t="s">
        <v>36</v>
      </c>
      <c r="G18" s="10" t="s">
        <v>32</v>
      </c>
      <c r="H18" s="10" t="s">
        <v>33</v>
      </c>
      <c r="I18" s="10" t="s">
        <v>606</v>
      </c>
      <c r="J18" s="10"/>
      <c r="K18" s="10" t="s">
        <v>607</v>
      </c>
    </row>
    <row r="19" spans="6:20" ht="21.6" thickBot="1" x14ac:dyDescent="0.3">
      <c r="F19" s="11" t="s">
        <v>53</v>
      </c>
      <c r="G19" s="328"/>
      <c r="H19" s="328"/>
      <c r="I19" s="328" t="str">
        <f>$E$2</f>
        <v>Sets</v>
      </c>
      <c r="J19" s="32"/>
      <c r="K19" s="32" t="s">
        <v>617</v>
      </c>
      <c r="O19" t="s">
        <v>612</v>
      </c>
      <c r="P19" t="s">
        <v>623</v>
      </c>
      <c r="S19">
        <v>41.83</v>
      </c>
      <c r="T19" t="s">
        <v>188</v>
      </c>
    </row>
    <row r="20" spans="6:20" x14ac:dyDescent="0.25">
      <c r="F20" s="327" t="s">
        <v>225</v>
      </c>
      <c r="G20" s="327" t="s">
        <v>594</v>
      </c>
      <c r="H20" s="327"/>
      <c r="I20" s="327"/>
    </row>
    <row r="21" spans="6:20" x14ac:dyDescent="0.25">
      <c r="F21" s="111" t="s">
        <v>227</v>
      </c>
      <c r="G21" t="s">
        <v>595</v>
      </c>
      <c r="N21">
        <v>2030</v>
      </c>
      <c r="O21">
        <v>70</v>
      </c>
      <c r="P21" s="111" t="s">
        <v>616</v>
      </c>
      <c r="S21">
        <f>S19/1000000000</f>
        <v>4.1829999999999998E-8</v>
      </c>
      <c r="T21" t="s">
        <v>614</v>
      </c>
    </row>
    <row r="22" spans="6:20" x14ac:dyDescent="0.25">
      <c r="F22" s="111" t="s">
        <v>228</v>
      </c>
      <c r="G22" t="s">
        <v>596</v>
      </c>
      <c r="N22">
        <v>2040</v>
      </c>
      <c r="O22">
        <v>150</v>
      </c>
    </row>
    <row r="23" spans="6:20" x14ac:dyDescent="0.25">
      <c r="F23" t="s">
        <v>597</v>
      </c>
      <c r="G23" t="s">
        <v>608</v>
      </c>
      <c r="N23">
        <v>2050</v>
      </c>
      <c r="O23">
        <v>500</v>
      </c>
      <c r="S23">
        <f>S21*1000</f>
        <v>4.1829999999999998E-5</v>
      </c>
      <c r="T23" t="s">
        <v>615</v>
      </c>
    </row>
    <row r="24" spans="6:20" x14ac:dyDescent="0.25">
      <c r="F24" t="s">
        <v>598</v>
      </c>
      <c r="G24" t="s">
        <v>609</v>
      </c>
    </row>
    <row r="25" spans="6:20" x14ac:dyDescent="0.25">
      <c r="F25" t="s">
        <v>601</v>
      </c>
      <c r="H25" t="s">
        <v>610</v>
      </c>
      <c r="J25">
        <v>2030</v>
      </c>
      <c r="K25">
        <f>O21/1000</f>
        <v>7.0000000000000007E-2</v>
      </c>
    </row>
    <row r="26" spans="6:20" x14ac:dyDescent="0.25">
      <c r="F26" t="s">
        <v>601</v>
      </c>
      <c r="H26" t="s">
        <v>610</v>
      </c>
      <c r="J26">
        <v>2040</v>
      </c>
      <c r="K26">
        <f>O22/1000</f>
        <v>0.15</v>
      </c>
    </row>
    <row r="27" spans="6:20" x14ac:dyDescent="0.25">
      <c r="F27" t="s">
        <v>601</v>
      </c>
      <c r="H27" t="s">
        <v>610</v>
      </c>
      <c r="J27">
        <v>2050</v>
      </c>
      <c r="K27">
        <f>O23/1000</f>
        <v>0.5</v>
      </c>
    </row>
    <row r="28" spans="6:20" x14ac:dyDescent="0.25">
      <c r="F28" t="s">
        <v>601</v>
      </c>
      <c r="H28" t="s">
        <v>610</v>
      </c>
      <c r="J28">
        <v>0</v>
      </c>
      <c r="K28">
        <v>3</v>
      </c>
    </row>
    <row r="29" spans="6:20" x14ac:dyDescent="0.25">
      <c r="F29" t="s">
        <v>602</v>
      </c>
      <c r="H29" t="s">
        <v>611</v>
      </c>
      <c r="K29">
        <v>11.7</v>
      </c>
      <c r="O29" t="s">
        <v>613</v>
      </c>
      <c r="P29" s="329" t="s">
        <v>618</v>
      </c>
    </row>
    <row r="30" spans="6:20" ht="14.4" x14ac:dyDescent="0.25">
      <c r="P30" s="330"/>
    </row>
    <row r="31" spans="6:20" x14ac:dyDescent="0.25">
      <c r="Q31">
        <v>90</v>
      </c>
      <c r="R31" s="111" t="s">
        <v>619</v>
      </c>
      <c r="S31" s="111" t="s">
        <v>621</v>
      </c>
    </row>
    <row r="33" spans="17:18" x14ac:dyDescent="0.25">
      <c r="Q33">
        <f>Q31/0.000001</f>
        <v>90000000</v>
      </c>
      <c r="R33" s="111" t="s">
        <v>620</v>
      </c>
    </row>
    <row r="35" spans="17:18" x14ac:dyDescent="0.25">
      <c r="Q35">
        <f>Q33*0.13/1000000</f>
        <v>11.7</v>
      </c>
      <c r="R35" s="111" t="s">
        <v>622</v>
      </c>
    </row>
  </sheetData>
  <phoneticPr fontId="49" type="noConversion"/>
  <hyperlinks>
    <hyperlink ref="P29" r:id="rId1" display="https://www.bing.com/ck/a?!&amp;&amp;p=c028d30c855ef026JmltdHM9MTcwNjIyNzIwMCZpZ3VpZD0zODFjZjgxZC05YTMyLTY2YjYtMjU1OC1lYzFjOWI5ZTY3YzMmaW5zaWQ9NTE4Mg&amp;ptn=3&amp;ver=2&amp;hsh=3&amp;fclid=381cf81d-9a32-66b6-2558-ec1c9b9e67c3&amp;psq=kf23_forudsaetninger_-_tal_bag_figurer_inkl._opdateret_kvotepris_og_affaldsforbraending&amp;u=a1aHR0cHM6Ly9lbnMuZGsvc2l0ZXMvZW5zLmRrL2ZpbGVzL0Jhc2lzZnJlbXNrcml2bmluZy9rZjIzX2ZvcnVkc2FldG5pbmdlcl8tX3RhbF9iYWdfZmlndXJlcl9pbmtsLl9vcGRhdGVyZXRfa3ZvdGVwcmlzX29nX2FmZmFsZHNmb3JicmFlbmRpbmcueGxzeA&amp;ntb=1" xr:uid="{8BCBE9B5-AE7E-4BC5-8097-00CD8853751D}"/>
  </hyperlinks>
  <pageMargins left="0.7" right="0.7" top="0.75" bottom="0.75" header="0.3" footer="0.3"/>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593ED6-EFFA-4D59-BE30-3F65BBC3CC0A}">
  <dimension ref="B1:S19"/>
  <sheetViews>
    <sheetView tabSelected="1" zoomScale="93" workbookViewId="0">
      <selection activeCell="F21" sqref="F21"/>
    </sheetView>
  </sheetViews>
  <sheetFormatPr defaultRowHeight="13.2" x14ac:dyDescent="0.25"/>
  <cols>
    <col min="2" max="2" width="10.6640625" bestFit="1" customWidth="1"/>
    <col min="3" max="4" width="12.109375" bestFit="1" customWidth="1"/>
    <col min="5" max="7" width="12.109375" customWidth="1"/>
    <col min="8" max="8" width="16.5546875" bestFit="1" customWidth="1"/>
    <col min="9" max="9" width="13.5546875" bestFit="1" customWidth="1"/>
    <col min="11" max="11" width="10" bestFit="1" customWidth="1"/>
    <col min="12" max="12" width="13.44140625" bestFit="1" customWidth="1"/>
    <col min="13" max="13" width="17.44140625" bestFit="1" customWidth="1"/>
    <col min="14" max="14" width="35.44140625" bestFit="1" customWidth="1"/>
    <col min="16" max="16" width="10.88671875" bestFit="1" customWidth="1"/>
  </cols>
  <sheetData>
    <row r="1" spans="2:19" x14ac:dyDescent="0.25">
      <c r="K1" s="28" t="s">
        <v>14</v>
      </c>
      <c r="L1" s="28"/>
      <c r="M1" s="29"/>
      <c r="N1" s="29"/>
      <c r="O1" s="29"/>
      <c r="P1" s="29"/>
      <c r="Q1" s="29"/>
      <c r="R1" s="29"/>
      <c r="S1" s="29"/>
    </row>
    <row r="2" spans="2:19" x14ac:dyDescent="0.25">
      <c r="K2" s="30" t="s">
        <v>7</v>
      </c>
      <c r="L2" s="31" t="s">
        <v>30</v>
      </c>
      <c r="M2" s="30" t="s">
        <v>0</v>
      </c>
      <c r="N2" s="30" t="s">
        <v>3</v>
      </c>
      <c r="O2" s="30" t="s">
        <v>4</v>
      </c>
      <c r="P2" s="30" t="s">
        <v>8</v>
      </c>
      <c r="Q2" s="30" t="s">
        <v>9</v>
      </c>
      <c r="R2" s="30" t="s">
        <v>10</v>
      </c>
      <c r="S2" s="30" t="s">
        <v>12</v>
      </c>
    </row>
    <row r="3" spans="2:19" ht="31.8" thickBot="1" x14ac:dyDescent="0.3">
      <c r="K3" s="32" t="s">
        <v>34</v>
      </c>
      <c r="L3" s="32" t="s">
        <v>31</v>
      </c>
      <c r="M3" s="32" t="s">
        <v>26</v>
      </c>
      <c r="N3" s="32" t="s">
        <v>27</v>
      </c>
      <c r="O3" s="32" t="s">
        <v>4</v>
      </c>
      <c r="P3" s="32" t="s">
        <v>37</v>
      </c>
      <c r="Q3" s="32" t="s">
        <v>38</v>
      </c>
      <c r="R3" s="32" t="s">
        <v>28</v>
      </c>
      <c r="S3" s="32" t="s">
        <v>29</v>
      </c>
    </row>
    <row r="4" spans="2:19" x14ac:dyDescent="0.25">
      <c r="K4" s="29" t="s">
        <v>44</v>
      </c>
      <c r="L4" s="33"/>
      <c r="M4" s="110" t="s">
        <v>251</v>
      </c>
      <c r="N4" s="110" t="s">
        <v>252</v>
      </c>
      <c r="O4" s="110" t="s">
        <v>45</v>
      </c>
      <c r="P4" s="110" t="s">
        <v>246</v>
      </c>
      <c r="Q4" s="110"/>
      <c r="R4" s="29"/>
      <c r="S4" s="29"/>
    </row>
    <row r="5" spans="2:19" x14ac:dyDescent="0.25">
      <c r="K5" t="s">
        <v>254</v>
      </c>
      <c r="M5" t="s">
        <v>256</v>
      </c>
      <c r="N5" t="s">
        <v>259</v>
      </c>
      <c r="O5" t="s">
        <v>45</v>
      </c>
    </row>
    <row r="7" spans="2:19" x14ac:dyDescent="0.25">
      <c r="B7" s="5" t="s">
        <v>13</v>
      </c>
      <c r="K7" s="28" t="s">
        <v>15</v>
      </c>
      <c r="M7" s="33"/>
      <c r="N7" s="33"/>
      <c r="O7" s="33"/>
      <c r="P7" s="33"/>
      <c r="Q7" s="33"/>
    </row>
    <row r="8" spans="2:19" x14ac:dyDescent="0.25">
      <c r="B8" s="3" t="s">
        <v>1</v>
      </c>
      <c r="C8" s="14" t="s">
        <v>5</v>
      </c>
      <c r="D8" s="14" t="s">
        <v>6</v>
      </c>
      <c r="E8" s="14" t="s">
        <v>50</v>
      </c>
      <c r="F8" s="14" t="s">
        <v>260</v>
      </c>
      <c r="G8" s="14" t="s">
        <v>261</v>
      </c>
      <c r="H8" s="14" t="s">
        <v>262</v>
      </c>
      <c r="I8" s="14" t="s">
        <v>263</v>
      </c>
      <c r="K8" s="30" t="s">
        <v>11</v>
      </c>
      <c r="L8" s="30" t="s">
        <v>1</v>
      </c>
      <c r="M8" s="30" t="s">
        <v>2</v>
      </c>
      <c r="N8" s="30" t="s">
        <v>16</v>
      </c>
      <c r="O8" s="30" t="s">
        <v>17</v>
      </c>
      <c r="P8" s="30" t="s">
        <v>18</v>
      </c>
      <c r="Q8" s="30" t="s">
        <v>19</v>
      </c>
      <c r="R8" s="30" t="s">
        <v>20</v>
      </c>
    </row>
    <row r="9" spans="2:19" ht="31.8" thickBot="1" x14ac:dyDescent="0.3">
      <c r="B9" s="10" t="s">
        <v>36</v>
      </c>
      <c r="C9" s="10"/>
      <c r="D9" s="10"/>
      <c r="E9" s="10"/>
      <c r="F9" s="10"/>
      <c r="G9" s="10"/>
      <c r="H9" s="10"/>
      <c r="I9" s="10"/>
      <c r="K9" s="32" t="s">
        <v>35</v>
      </c>
      <c r="L9" s="32" t="s">
        <v>21</v>
      </c>
      <c r="M9" s="32" t="s">
        <v>22</v>
      </c>
      <c r="N9" s="32" t="s">
        <v>23</v>
      </c>
      <c r="O9" s="32"/>
      <c r="P9" s="32" t="s">
        <v>40</v>
      </c>
      <c r="Q9" s="32" t="s">
        <v>39</v>
      </c>
      <c r="R9" s="32" t="s">
        <v>25</v>
      </c>
    </row>
    <row r="10" spans="2:19" ht="13.8" thickBot="1" x14ac:dyDescent="0.3">
      <c r="B10" s="10" t="s">
        <v>53</v>
      </c>
      <c r="C10" s="9"/>
      <c r="D10" s="9"/>
      <c r="E10" s="9"/>
      <c r="F10" s="9"/>
      <c r="G10" s="9"/>
      <c r="H10" s="9"/>
      <c r="I10" s="9"/>
      <c r="K10" s="32" t="s">
        <v>47</v>
      </c>
      <c r="L10" s="34"/>
      <c r="M10" s="34"/>
      <c r="N10" s="34"/>
      <c r="O10" s="34"/>
      <c r="P10" s="34"/>
      <c r="Q10" s="34"/>
      <c r="R10" s="34"/>
    </row>
    <row r="11" spans="2:19" x14ac:dyDescent="0.25">
      <c r="B11" t="s">
        <v>250</v>
      </c>
      <c r="D11" t="s">
        <v>251</v>
      </c>
      <c r="F11">
        <v>1</v>
      </c>
      <c r="G11">
        <v>1</v>
      </c>
      <c r="K11" s="33" t="s">
        <v>249</v>
      </c>
      <c r="L11" s="33" t="s">
        <v>250</v>
      </c>
      <c r="M11" t="s">
        <v>253</v>
      </c>
      <c r="N11" s="33" t="s">
        <v>45</v>
      </c>
      <c r="O11" s="33" t="s">
        <v>264</v>
      </c>
      <c r="P11" s="33" t="s">
        <v>248</v>
      </c>
      <c r="Q11" s="33"/>
      <c r="R11" s="33"/>
    </row>
    <row r="12" spans="2:19" x14ac:dyDescent="0.25">
      <c r="B12" s="111" t="s">
        <v>257</v>
      </c>
      <c r="C12" s="111" t="s">
        <v>251</v>
      </c>
      <c r="D12" s="111" t="s">
        <v>256</v>
      </c>
      <c r="E12" s="111">
        <v>1</v>
      </c>
      <c r="F12" s="111">
        <v>1</v>
      </c>
      <c r="G12" s="111">
        <v>1</v>
      </c>
      <c r="H12" s="111">
        <v>1000</v>
      </c>
      <c r="I12" s="111">
        <v>5</v>
      </c>
      <c r="K12" s="33" t="s">
        <v>255</v>
      </c>
      <c r="L12" t="s">
        <v>257</v>
      </c>
      <c r="M12" t="s">
        <v>258</v>
      </c>
      <c r="N12" s="33" t="s">
        <v>45</v>
      </c>
      <c r="O12" s="33" t="s">
        <v>264</v>
      </c>
      <c r="P12" s="33" t="s">
        <v>248</v>
      </c>
      <c r="Q12" s="33"/>
      <c r="R12" s="33"/>
    </row>
    <row r="13" spans="2:19" x14ac:dyDescent="0.25">
      <c r="B13" s="111"/>
      <c r="C13" s="111"/>
      <c r="D13" s="111"/>
      <c r="E13" s="111"/>
      <c r="F13" s="111"/>
      <c r="G13" s="111"/>
      <c r="H13" s="111"/>
      <c r="I13" s="111"/>
      <c r="K13" s="33"/>
      <c r="N13" s="33"/>
      <c r="O13" s="33"/>
      <c r="P13" s="33"/>
      <c r="Q13" s="33"/>
    </row>
    <row r="15" spans="2:19" x14ac:dyDescent="0.25">
      <c r="B15" s="5" t="s">
        <v>13</v>
      </c>
    </row>
    <row r="16" spans="2:19" x14ac:dyDescent="0.25">
      <c r="B16" s="3" t="s">
        <v>1</v>
      </c>
      <c r="C16" s="14" t="s">
        <v>265</v>
      </c>
      <c r="D16" s="14" t="s">
        <v>61</v>
      </c>
      <c r="E16" s="14" t="s">
        <v>266</v>
      </c>
    </row>
    <row r="17" spans="2:5" ht="21.6" thickBot="1" x14ac:dyDescent="0.3">
      <c r="B17" s="10" t="s">
        <v>36</v>
      </c>
      <c r="C17" s="10"/>
      <c r="D17" s="10"/>
      <c r="E17" s="10"/>
    </row>
    <row r="18" spans="2:5" ht="13.8" thickBot="1" x14ac:dyDescent="0.3">
      <c r="B18" s="10" t="s">
        <v>53</v>
      </c>
      <c r="C18" s="9"/>
      <c r="D18" s="9"/>
      <c r="E18" s="9"/>
    </row>
    <row r="19" spans="2:5" x14ac:dyDescent="0.25">
      <c r="B19" t="s">
        <v>250</v>
      </c>
      <c r="C19" t="s">
        <v>267</v>
      </c>
      <c r="D19">
        <v>2030</v>
      </c>
      <c r="E19">
        <v>10000000000</v>
      </c>
    </row>
  </sheetData>
  <pageMargins left="0.7" right="0.7" top="0.75" bottom="0.75" header="0.3" footer="0.3"/>
  <legacy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C13E99-8DA0-41F0-90BA-14CD6750809C}">
  <sheetPr>
    <tabColor theme="3" tint="0.39997558519241921"/>
  </sheetPr>
  <dimension ref="A2:N71"/>
  <sheetViews>
    <sheetView topLeftCell="A18" zoomScale="74" workbookViewId="0">
      <selection activeCell="D29" sqref="D29"/>
    </sheetView>
  </sheetViews>
  <sheetFormatPr defaultRowHeight="13.2" x14ac:dyDescent="0.25"/>
  <cols>
    <col min="2" max="2" width="116.33203125" customWidth="1"/>
  </cols>
  <sheetData>
    <row r="2" spans="1:13" x14ac:dyDescent="0.25">
      <c r="A2" s="37"/>
    </row>
    <row r="3" spans="1:13" ht="26.4" customHeight="1" x14ac:dyDescent="0.25">
      <c r="A3" s="37"/>
      <c r="B3" s="38" t="s">
        <v>71</v>
      </c>
      <c r="C3" s="334" t="s">
        <v>72</v>
      </c>
      <c r="D3" s="335"/>
      <c r="E3" s="335"/>
      <c r="F3" s="335"/>
      <c r="G3" s="335"/>
      <c r="H3" s="335"/>
      <c r="I3" s="335"/>
      <c r="J3" s="335"/>
      <c r="K3" s="335"/>
      <c r="L3" s="335"/>
    </row>
    <row r="4" spans="1:13" ht="13.2" customHeight="1" x14ac:dyDescent="0.25">
      <c r="A4" s="37"/>
      <c r="B4" s="39"/>
      <c r="C4" s="40">
        <v>2020</v>
      </c>
      <c r="D4" s="40">
        <v>2030</v>
      </c>
      <c r="E4" s="40">
        <v>2040</v>
      </c>
      <c r="F4" s="40">
        <v>2050</v>
      </c>
      <c r="G4" s="336" t="s">
        <v>73</v>
      </c>
      <c r="H4" s="336"/>
      <c r="I4" s="336" t="s">
        <v>74</v>
      </c>
      <c r="J4" s="336"/>
      <c r="K4" s="40" t="s">
        <v>75</v>
      </c>
      <c r="L4" s="40" t="s">
        <v>76</v>
      </c>
    </row>
    <row r="5" spans="1:13" ht="39.6" customHeight="1" x14ac:dyDescent="0.25">
      <c r="A5" s="37"/>
      <c r="B5" s="38" t="s">
        <v>77</v>
      </c>
      <c r="C5" s="38"/>
      <c r="D5" s="38"/>
      <c r="E5" s="38"/>
      <c r="F5" s="38"/>
      <c r="G5" s="40" t="s">
        <v>78</v>
      </c>
      <c r="H5" s="40" t="s">
        <v>79</v>
      </c>
      <c r="I5" s="40" t="s">
        <v>78</v>
      </c>
      <c r="J5" s="40" t="s">
        <v>79</v>
      </c>
      <c r="K5" s="38"/>
      <c r="L5" s="41"/>
      <c r="M5" s="27"/>
    </row>
    <row r="6" spans="1:13" ht="52.95" customHeight="1" x14ac:dyDescent="0.25">
      <c r="A6" s="37"/>
      <c r="B6" s="39" t="s">
        <v>80</v>
      </c>
      <c r="C6" s="42">
        <v>100</v>
      </c>
      <c r="D6" s="42">
        <v>100</v>
      </c>
      <c r="E6" s="42">
        <v>100</v>
      </c>
      <c r="F6" s="42">
        <v>100</v>
      </c>
      <c r="G6" s="42">
        <v>100</v>
      </c>
      <c r="H6" s="42">
        <v>100</v>
      </c>
      <c r="I6" s="42">
        <v>100</v>
      </c>
      <c r="J6" s="42">
        <v>100</v>
      </c>
      <c r="K6" s="43"/>
      <c r="L6" s="41"/>
    </row>
    <row r="7" spans="1:13" ht="37.200000000000003" customHeight="1" x14ac:dyDescent="0.25">
      <c r="A7" s="37"/>
      <c r="B7" s="39" t="s">
        <v>81</v>
      </c>
      <c r="C7" s="42">
        <f t="shared" ref="C7:J7" si="0">C6*3600*(C15/100)*24/120</f>
        <v>47880</v>
      </c>
      <c r="D7" s="42">
        <f t="shared" si="0"/>
        <v>48960.000000000007</v>
      </c>
      <c r="E7" s="42">
        <f t="shared" si="0"/>
        <v>51480</v>
      </c>
      <c r="F7" s="42">
        <f t="shared" si="0"/>
        <v>54000</v>
      </c>
      <c r="G7" s="42">
        <f t="shared" si="0"/>
        <v>45360</v>
      </c>
      <c r="H7" s="42">
        <f t="shared" si="0"/>
        <v>50399.999999999993</v>
      </c>
      <c r="I7" s="42">
        <f t="shared" si="0"/>
        <v>50399.999999999993</v>
      </c>
      <c r="J7" s="42">
        <f t="shared" si="0"/>
        <v>57600</v>
      </c>
      <c r="K7" s="43" t="s">
        <v>82</v>
      </c>
      <c r="L7" s="41"/>
    </row>
    <row r="8" spans="1:13" x14ac:dyDescent="0.25">
      <c r="A8" s="37"/>
      <c r="B8" s="39"/>
      <c r="C8" s="39"/>
      <c r="D8" s="39"/>
      <c r="E8" s="39"/>
      <c r="F8" s="39"/>
      <c r="G8" s="39"/>
      <c r="H8" s="39"/>
      <c r="I8" s="39"/>
      <c r="J8" s="39"/>
      <c r="K8" s="39"/>
      <c r="L8" s="39"/>
      <c r="M8" s="12"/>
    </row>
    <row r="9" spans="1:13" x14ac:dyDescent="0.25">
      <c r="A9" s="37"/>
      <c r="B9" s="44" t="s">
        <v>83</v>
      </c>
      <c r="C9" s="42"/>
      <c r="D9" s="42"/>
      <c r="E9" s="42"/>
      <c r="F9" s="42"/>
      <c r="G9" s="42"/>
      <c r="H9" s="42"/>
      <c r="I9" s="42"/>
      <c r="J9" s="42"/>
      <c r="K9" s="43"/>
      <c r="L9" s="41"/>
    </row>
    <row r="10" spans="1:13" ht="30" customHeight="1" x14ac:dyDescent="0.25">
      <c r="A10" s="37"/>
      <c r="B10" s="39" t="s">
        <v>84</v>
      </c>
      <c r="C10" s="42">
        <v>100</v>
      </c>
      <c r="D10" s="42">
        <v>100</v>
      </c>
      <c r="E10" s="42">
        <v>100</v>
      </c>
      <c r="F10" s="42">
        <v>100</v>
      </c>
      <c r="G10" s="42">
        <v>100</v>
      </c>
      <c r="H10" s="42">
        <v>100</v>
      </c>
      <c r="I10" s="42">
        <v>100</v>
      </c>
      <c r="J10" s="42">
        <v>100</v>
      </c>
      <c r="K10" s="43"/>
      <c r="L10" s="41"/>
    </row>
    <row r="11" spans="1:13" x14ac:dyDescent="0.25">
      <c r="A11" s="37"/>
      <c r="B11" s="39"/>
      <c r="C11" s="42"/>
      <c r="D11" s="42"/>
      <c r="E11" s="42"/>
      <c r="F11" s="42"/>
      <c r="G11" s="42"/>
      <c r="H11" s="42"/>
      <c r="I11" s="42"/>
      <c r="J11" s="42"/>
      <c r="K11" s="43"/>
      <c r="L11" s="41"/>
    </row>
    <row r="12" spans="1:13" ht="28.95" customHeight="1" x14ac:dyDescent="0.25">
      <c r="A12" s="37"/>
      <c r="B12" s="39" t="s">
        <v>85</v>
      </c>
      <c r="C12" s="42">
        <f t="shared" ref="C12:J12" si="1">C21+(C21*8)</f>
        <v>179.56795679567958</v>
      </c>
      <c r="D12" s="42">
        <f t="shared" si="1"/>
        <v>183.61836183618362</v>
      </c>
      <c r="E12" s="42">
        <f t="shared" si="1"/>
        <v>193.06930693069307</v>
      </c>
      <c r="F12" s="42">
        <f t="shared" si="1"/>
        <v>202.52025202520252</v>
      </c>
      <c r="G12" s="42">
        <f t="shared" si="1"/>
        <v>170.11701170117013</v>
      </c>
      <c r="H12" s="42">
        <f t="shared" si="1"/>
        <v>189.01890189018903</v>
      </c>
      <c r="I12" s="42">
        <f t="shared" si="1"/>
        <v>189.01890189018903</v>
      </c>
      <c r="J12" s="42">
        <f t="shared" si="1"/>
        <v>216.02160216021602</v>
      </c>
      <c r="K12" s="43"/>
      <c r="L12" s="41"/>
    </row>
    <row r="13" spans="1:13" x14ac:dyDescent="0.25">
      <c r="A13" s="37"/>
      <c r="B13" s="45"/>
      <c r="C13" s="45"/>
      <c r="D13" s="45"/>
      <c r="E13" s="45"/>
      <c r="F13" s="45"/>
      <c r="G13" s="45"/>
      <c r="H13" s="45"/>
      <c r="I13" s="45"/>
      <c r="J13" s="45"/>
      <c r="K13" s="45"/>
      <c r="L13" s="45"/>
      <c r="M13" s="46"/>
    </row>
    <row r="14" spans="1:13" ht="26.4" customHeight="1" x14ac:dyDescent="0.25">
      <c r="A14" s="37"/>
      <c r="B14" s="47" t="s">
        <v>86</v>
      </c>
      <c r="C14" s="48"/>
      <c r="D14" s="48"/>
      <c r="E14" s="48"/>
      <c r="F14" s="48"/>
      <c r="G14" s="48"/>
      <c r="H14" s="48"/>
      <c r="I14" s="48"/>
      <c r="J14" s="48"/>
      <c r="K14" s="43"/>
      <c r="L14" s="41"/>
    </row>
    <row r="15" spans="1:13" ht="27.6" customHeight="1" x14ac:dyDescent="0.25">
      <c r="A15" s="37"/>
      <c r="B15" s="39" t="s">
        <v>87</v>
      </c>
      <c r="C15" s="49">
        <f>(63+70)/2</f>
        <v>66.5</v>
      </c>
      <c r="D15" s="49">
        <f>(65+71)/2</f>
        <v>68</v>
      </c>
      <c r="E15" s="49">
        <f>(D15+F15)/2</f>
        <v>71.5</v>
      </c>
      <c r="F15" s="49">
        <f>(70+80)/2</f>
        <v>75</v>
      </c>
      <c r="G15" s="49">
        <v>63</v>
      </c>
      <c r="H15" s="49">
        <v>70</v>
      </c>
      <c r="I15" s="49">
        <v>70</v>
      </c>
      <c r="J15" s="49">
        <v>80</v>
      </c>
      <c r="K15" s="43" t="s">
        <v>88</v>
      </c>
      <c r="L15" s="41" t="s">
        <v>89</v>
      </c>
      <c r="M15" s="50"/>
    </row>
    <row r="16" spans="1:13" ht="27.6" customHeight="1" x14ac:dyDescent="0.25">
      <c r="A16" s="37"/>
      <c r="B16" s="39" t="s">
        <v>90</v>
      </c>
      <c r="C16" s="49">
        <f t="shared" ref="C16:J16" si="2">(C21*39.4/1000*100)-C15</f>
        <v>12.110861086108613</v>
      </c>
      <c r="D16" s="49">
        <f t="shared" si="2"/>
        <v>12.384038403840378</v>
      </c>
      <c r="E16" s="49">
        <f t="shared" si="2"/>
        <v>13.021452145214511</v>
      </c>
      <c r="F16" s="49">
        <f t="shared" si="2"/>
        <v>13.658865886588657</v>
      </c>
      <c r="G16" s="49">
        <f t="shared" si="2"/>
        <v>11.473447344734481</v>
      </c>
      <c r="H16" s="49">
        <f t="shared" si="2"/>
        <v>12.748274827482746</v>
      </c>
      <c r="I16" s="49">
        <f t="shared" si="2"/>
        <v>12.748274827482746</v>
      </c>
      <c r="J16" s="49">
        <f t="shared" si="2"/>
        <v>14.569456945694569</v>
      </c>
      <c r="K16" s="43" t="s">
        <v>59</v>
      </c>
      <c r="L16" s="41"/>
    </row>
    <row r="17" spans="1:13" ht="26.4" customHeight="1" x14ac:dyDescent="0.25">
      <c r="A17" s="37"/>
      <c r="B17" s="39" t="s">
        <v>91</v>
      </c>
      <c r="C17" s="49">
        <f>100-C15-C16</f>
        <v>21.389138913891387</v>
      </c>
      <c r="D17" s="49">
        <f t="shared" ref="D17:J17" si="3">100-D15-D16</f>
        <v>19.615961596159622</v>
      </c>
      <c r="E17" s="49">
        <f t="shared" si="3"/>
        <v>15.478547854785489</v>
      </c>
      <c r="F17" s="49">
        <f t="shared" si="3"/>
        <v>11.341134113411343</v>
      </c>
      <c r="G17" s="49">
        <f t="shared" si="3"/>
        <v>25.526552655265519</v>
      </c>
      <c r="H17" s="49">
        <f t="shared" si="3"/>
        <v>17.251725172517254</v>
      </c>
      <c r="I17" s="49">
        <f t="shared" si="3"/>
        <v>17.251725172517254</v>
      </c>
      <c r="J17" s="49">
        <f t="shared" si="3"/>
        <v>5.4305430543054314</v>
      </c>
      <c r="K17" s="43"/>
      <c r="L17" s="41"/>
    </row>
    <row r="18" spans="1:13" ht="21" customHeight="1" x14ac:dyDescent="0.25">
      <c r="A18" s="37"/>
      <c r="B18" s="39" t="s">
        <v>92</v>
      </c>
      <c r="C18" s="49">
        <v>3</v>
      </c>
      <c r="D18" s="49">
        <v>3</v>
      </c>
      <c r="E18" s="49">
        <v>3</v>
      </c>
      <c r="F18" s="49">
        <v>3</v>
      </c>
      <c r="G18" s="49">
        <v>3</v>
      </c>
      <c r="H18" s="49">
        <v>3</v>
      </c>
      <c r="I18" s="49">
        <v>3</v>
      </c>
      <c r="J18" s="49">
        <v>3</v>
      </c>
      <c r="K18" s="43" t="s">
        <v>93</v>
      </c>
      <c r="L18" s="41"/>
    </row>
    <row r="19" spans="1:13" ht="30" customHeight="1" x14ac:dyDescent="0.25">
      <c r="A19" s="37"/>
      <c r="B19" s="39" t="s">
        <v>94</v>
      </c>
      <c r="C19" s="49">
        <f>C17-C18</f>
        <v>18.389138913891387</v>
      </c>
      <c r="D19" s="49">
        <f t="shared" ref="D19:J19" si="4">D17-D18</f>
        <v>16.615961596159622</v>
      </c>
      <c r="E19" s="49">
        <f t="shared" si="4"/>
        <v>12.478547854785489</v>
      </c>
      <c r="F19" s="49">
        <f t="shared" si="4"/>
        <v>8.3411341134113428</v>
      </c>
      <c r="G19" s="49">
        <f t="shared" si="4"/>
        <v>22.526552655265519</v>
      </c>
      <c r="H19" s="49">
        <f t="shared" si="4"/>
        <v>14.251725172517254</v>
      </c>
      <c r="I19" s="49">
        <f t="shared" si="4"/>
        <v>14.251725172517254</v>
      </c>
      <c r="J19" s="49">
        <f t="shared" si="4"/>
        <v>2.4305430543054314</v>
      </c>
      <c r="K19" s="43" t="s">
        <v>95</v>
      </c>
      <c r="L19" s="41"/>
    </row>
    <row r="20" spans="1:13" x14ac:dyDescent="0.25">
      <c r="A20" s="37"/>
      <c r="B20" s="39"/>
      <c r="C20" s="48"/>
      <c r="D20" s="48"/>
      <c r="E20" s="48"/>
      <c r="F20" s="48"/>
      <c r="G20" s="48"/>
      <c r="H20" s="48"/>
      <c r="I20" s="48"/>
      <c r="J20" s="48"/>
      <c r="K20" s="43"/>
      <c r="L20" s="41"/>
    </row>
    <row r="21" spans="1:13" ht="24.6" customHeight="1" x14ac:dyDescent="0.25">
      <c r="A21" s="37"/>
      <c r="B21" s="39" t="s">
        <v>96</v>
      </c>
      <c r="C21" s="49">
        <f>C15/100/33.33*1000</f>
        <v>19.951995199519953</v>
      </c>
      <c r="D21" s="49">
        <f t="shared" ref="D21:J21" si="5">D15/33.33*1000/100</f>
        <v>20.402040204020402</v>
      </c>
      <c r="E21" s="49">
        <f t="shared" si="5"/>
        <v>21.452145214521451</v>
      </c>
      <c r="F21" s="49">
        <f t="shared" si="5"/>
        <v>22.502250225022504</v>
      </c>
      <c r="G21" s="49">
        <f t="shared" si="5"/>
        <v>18.901890189018903</v>
      </c>
      <c r="H21" s="49">
        <f t="shared" si="5"/>
        <v>21.002100210021002</v>
      </c>
      <c r="I21" s="49">
        <f t="shared" si="5"/>
        <v>21.002100210021002</v>
      </c>
      <c r="J21" s="49">
        <f t="shared" si="5"/>
        <v>24.002400240024002</v>
      </c>
      <c r="K21" s="43" t="s">
        <v>88</v>
      </c>
      <c r="L21" s="41" t="s">
        <v>89</v>
      </c>
    </row>
    <row r="22" spans="1:13" x14ac:dyDescent="0.25">
      <c r="A22" s="37"/>
      <c r="B22" s="39"/>
      <c r="C22" s="42"/>
      <c r="D22" s="42"/>
      <c r="E22" s="42"/>
      <c r="F22" s="42"/>
      <c r="G22" s="42"/>
      <c r="H22" s="42"/>
      <c r="I22" s="42"/>
      <c r="J22" s="42"/>
      <c r="K22" s="43"/>
      <c r="L22" s="41"/>
    </row>
    <row r="23" spans="1:13" ht="18" customHeight="1" x14ac:dyDescent="0.25">
      <c r="A23" s="37"/>
      <c r="B23" s="39" t="s">
        <v>97</v>
      </c>
      <c r="C23" s="51">
        <v>2</v>
      </c>
      <c r="D23" s="51">
        <v>2</v>
      </c>
      <c r="E23" s="51">
        <v>2</v>
      </c>
      <c r="F23" s="51">
        <v>2</v>
      </c>
      <c r="G23" s="51">
        <v>2</v>
      </c>
      <c r="H23" s="51">
        <v>2</v>
      </c>
      <c r="I23" s="51">
        <v>2</v>
      </c>
      <c r="J23" s="51">
        <v>2</v>
      </c>
      <c r="K23" s="43" t="s">
        <v>67</v>
      </c>
      <c r="L23" s="41"/>
    </row>
    <row r="24" spans="1:13" ht="31.2" customHeight="1" x14ac:dyDescent="0.25">
      <c r="A24" s="37"/>
      <c r="B24" s="39" t="s">
        <v>98</v>
      </c>
      <c r="C24" s="42">
        <v>2</v>
      </c>
      <c r="D24" s="42">
        <v>2</v>
      </c>
      <c r="E24" s="42">
        <v>2</v>
      </c>
      <c r="F24" s="42">
        <v>2</v>
      </c>
      <c r="G24" s="42">
        <v>2</v>
      </c>
      <c r="H24" s="42">
        <v>2</v>
      </c>
      <c r="I24" s="42">
        <v>2</v>
      </c>
      <c r="J24" s="42">
        <v>2</v>
      </c>
      <c r="K24" s="43" t="s">
        <v>67</v>
      </c>
      <c r="L24" s="41"/>
    </row>
    <row r="25" spans="1:13" ht="20.399999999999999" customHeight="1" x14ac:dyDescent="0.25">
      <c r="A25" s="37"/>
      <c r="B25" s="39" t="s">
        <v>99</v>
      </c>
      <c r="C25" s="42">
        <v>25</v>
      </c>
      <c r="D25" s="42">
        <v>30</v>
      </c>
      <c r="E25" s="42">
        <v>32</v>
      </c>
      <c r="F25" s="42">
        <v>35</v>
      </c>
      <c r="G25" s="42">
        <v>25</v>
      </c>
      <c r="H25" s="42">
        <v>25</v>
      </c>
      <c r="I25" s="42">
        <v>30</v>
      </c>
      <c r="J25" s="42">
        <v>35</v>
      </c>
      <c r="K25" s="43" t="s">
        <v>100</v>
      </c>
      <c r="L25" s="41" t="s">
        <v>101</v>
      </c>
    </row>
    <row r="26" spans="1:13" ht="24.6" customHeight="1" x14ac:dyDescent="0.25">
      <c r="A26" s="37"/>
      <c r="B26" s="39" t="s">
        <v>102</v>
      </c>
      <c r="C26" s="48">
        <v>0.33</v>
      </c>
      <c r="D26" s="48">
        <v>0.33</v>
      </c>
      <c r="E26" s="48">
        <v>0.33</v>
      </c>
      <c r="F26" s="48">
        <v>0.33</v>
      </c>
      <c r="G26" s="48">
        <v>0.33</v>
      </c>
      <c r="H26" s="48">
        <v>0.33</v>
      </c>
      <c r="I26" s="48">
        <v>0.33</v>
      </c>
      <c r="J26" s="48">
        <v>0.33</v>
      </c>
      <c r="K26" s="43" t="s">
        <v>103</v>
      </c>
      <c r="L26" s="41"/>
    </row>
    <row r="27" spans="1:13" x14ac:dyDescent="0.25">
      <c r="A27" s="37"/>
      <c r="B27" s="39"/>
      <c r="C27" s="39"/>
      <c r="D27" s="39"/>
      <c r="E27" s="39"/>
      <c r="F27" s="39"/>
      <c r="G27" s="39"/>
      <c r="H27" s="39"/>
      <c r="I27" s="39"/>
      <c r="J27" s="39"/>
      <c r="K27" s="39"/>
      <c r="L27" s="39"/>
    </row>
    <row r="28" spans="1:13" ht="21" customHeight="1" x14ac:dyDescent="0.25">
      <c r="A28" s="37"/>
      <c r="B28" s="52" t="s">
        <v>104</v>
      </c>
      <c r="C28" s="48"/>
      <c r="D28" s="48"/>
      <c r="E28" s="48"/>
      <c r="F28" s="48"/>
      <c r="G28" s="48"/>
      <c r="H28" s="48"/>
      <c r="I28" s="48"/>
      <c r="J28" s="48"/>
      <c r="K28" s="43"/>
      <c r="L28" s="41"/>
    </row>
    <row r="29" spans="1:13" ht="19.2" customHeight="1" x14ac:dyDescent="0.25">
      <c r="A29" s="37"/>
      <c r="B29" s="39" t="s">
        <v>105</v>
      </c>
      <c r="C29" s="42">
        <v>650</v>
      </c>
      <c r="D29" s="42">
        <v>450</v>
      </c>
      <c r="E29" s="42">
        <v>300</v>
      </c>
      <c r="F29" s="42">
        <v>250</v>
      </c>
      <c r="G29" s="42">
        <v>400</v>
      </c>
      <c r="H29" s="42">
        <v>800</v>
      </c>
      <c r="I29" s="42">
        <v>150</v>
      </c>
      <c r="J29" s="42">
        <v>400</v>
      </c>
      <c r="K29" s="43" t="s">
        <v>106</v>
      </c>
      <c r="L29" s="41"/>
      <c r="M29" s="53"/>
    </row>
    <row r="30" spans="1:13" ht="19.95" customHeight="1" x14ac:dyDescent="0.25">
      <c r="A30" s="37"/>
      <c r="B30" s="39" t="s">
        <v>107</v>
      </c>
      <c r="C30" s="42">
        <f t="shared" ref="C30:J30" si="6">C29/(C7/1000/C6)</f>
        <v>1357.5605680868839</v>
      </c>
      <c r="D30" s="42">
        <f t="shared" si="6"/>
        <v>919.11764705882331</v>
      </c>
      <c r="E30" s="42">
        <f t="shared" si="6"/>
        <v>582.75058275058279</v>
      </c>
      <c r="F30" s="42">
        <f t="shared" si="6"/>
        <v>462.96296296296293</v>
      </c>
      <c r="G30" s="42">
        <f t="shared" si="6"/>
        <v>881.83421516754845</v>
      </c>
      <c r="H30" s="42">
        <f t="shared" si="6"/>
        <v>1587.3015873015877</v>
      </c>
      <c r="I30" s="42">
        <f t="shared" si="6"/>
        <v>297.61904761904771</v>
      </c>
      <c r="J30" s="42">
        <f t="shared" si="6"/>
        <v>694.44444444444434</v>
      </c>
      <c r="K30" s="43" t="s">
        <v>108</v>
      </c>
      <c r="L30" s="41"/>
    </row>
    <row r="31" spans="1:13" ht="39.6" customHeight="1" x14ac:dyDescent="0.25">
      <c r="A31" s="37"/>
      <c r="B31" s="39" t="s">
        <v>109</v>
      </c>
      <c r="C31" s="42">
        <v>90</v>
      </c>
      <c r="D31" s="42">
        <v>90</v>
      </c>
      <c r="E31" s="42">
        <v>90</v>
      </c>
      <c r="F31" s="42">
        <v>90</v>
      </c>
      <c r="G31" s="42">
        <v>90</v>
      </c>
      <c r="H31" s="42">
        <v>90</v>
      </c>
      <c r="I31" s="42">
        <v>90</v>
      </c>
      <c r="J31" s="42">
        <v>90</v>
      </c>
      <c r="K31" s="43" t="s">
        <v>110</v>
      </c>
      <c r="L31" s="41"/>
    </row>
    <row r="32" spans="1:13" ht="39.6" customHeight="1" x14ac:dyDescent="0.25">
      <c r="A32" s="37"/>
      <c r="B32" s="39" t="s">
        <v>111</v>
      </c>
      <c r="C32" s="42">
        <v>10</v>
      </c>
      <c r="D32" s="42">
        <v>10</v>
      </c>
      <c r="E32" s="42">
        <v>10</v>
      </c>
      <c r="F32" s="42">
        <v>10</v>
      </c>
      <c r="G32" s="42">
        <v>10</v>
      </c>
      <c r="H32" s="42">
        <v>10</v>
      </c>
      <c r="I32" s="42">
        <v>10</v>
      </c>
      <c r="J32" s="42">
        <v>10</v>
      </c>
      <c r="K32" s="43" t="s">
        <v>110</v>
      </c>
      <c r="L32" s="41"/>
    </row>
    <row r="33" spans="1:14" ht="22.95" customHeight="1" x14ac:dyDescent="0.25">
      <c r="A33" s="37"/>
      <c r="B33" s="39" t="s">
        <v>112</v>
      </c>
      <c r="C33" s="42">
        <v>2</v>
      </c>
      <c r="D33" s="42">
        <v>2</v>
      </c>
      <c r="E33" s="42">
        <v>2</v>
      </c>
      <c r="F33" s="42">
        <v>2</v>
      </c>
      <c r="G33" s="42">
        <v>2</v>
      </c>
      <c r="H33" s="42">
        <v>2</v>
      </c>
      <c r="I33" s="42">
        <v>2</v>
      </c>
      <c r="J33" s="42">
        <v>2</v>
      </c>
      <c r="K33" s="43" t="s">
        <v>113</v>
      </c>
      <c r="L33" s="41" t="s">
        <v>114</v>
      </c>
    </row>
    <row r="34" spans="1:14" ht="19.95" customHeight="1" x14ac:dyDescent="0.25">
      <c r="A34" s="37"/>
      <c r="B34" s="39" t="s">
        <v>115</v>
      </c>
      <c r="C34" s="48" t="s">
        <v>116</v>
      </c>
      <c r="D34" s="48" t="s">
        <v>116</v>
      </c>
      <c r="E34" s="48" t="s">
        <v>116</v>
      </c>
      <c r="F34" s="48" t="s">
        <v>116</v>
      </c>
      <c r="G34" s="48"/>
      <c r="H34" s="48"/>
      <c r="I34" s="48"/>
      <c r="J34" s="48"/>
      <c r="K34" s="43" t="s">
        <v>117</v>
      </c>
      <c r="L34" s="41"/>
    </row>
    <row r="35" spans="1:14" ht="20.399999999999999" customHeight="1" x14ac:dyDescent="0.25">
      <c r="A35" s="37"/>
      <c r="B35" s="39" t="s">
        <v>118</v>
      </c>
      <c r="C35" s="48" t="s">
        <v>116</v>
      </c>
      <c r="D35" s="48" t="s">
        <v>116</v>
      </c>
      <c r="E35" s="48" t="s">
        <v>116</v>
      </c>
      <c r="F35" s="48" t="s">
        <v>116</v>
      </c>
      <c r="G35" s="48"/>
      <c r="H35" s="48"/>
      <c r="I35" s="48"/>
      <c r="J35" s="48"/>
      <c r="K35" s="43"/>
      <c r="L35" s="41"/>
    </row>
    <row r="36" spans="1:14" x14ac:dyDescent="0.25">
      <c r="A36" s="37"/>
      <c r="B36" s="54"/>
      <c r="C36" s="54"/>
      <c r="D36" s="54"/>
      <c r="E36" s="54"/>
      <c r="F36" s="54"/>
      <c r="G36" s="54"/>
      <c r="H36" s="54"/>
      <c r="I36" s="54"/>
      <c r="J36" s="54"/>
      <c r="K36" s="54"/>
      <c r="L36" s="54"/>
    </row>
    <row r="37" spans="1:14" ht="24.6" customHeight="1" x14ac:dyDescent="0.25">
      <c r="A37" s="37"/>
      <c r="B37" s="52" t="s">
        <v>119</v>
      </c>
      <c r="C37" s="48"/>
      <c r="D37" s="48"/>
      <c r="E37" s="48"/>
      <c r="F37" s="48"/>
      <c r="G37" s="48"/>
      <c r="H37" s="48"/>
      <c r="I37" s="48"/>
      <c r="J37" s="48"/>
      <c r="K37" s="43"/>
      <c r="L37" s="41"/>
    </row>
    <row r="38" spans="1:14" ht="39.6" customHeight="1" x14ac:dyDescent="0.25">
      <c r="A38" s="37"/>
      <c r="B38" s="39" t="s">
        <v>120</v>
      </c>
      <c r="C38" s="49">
        <v>0.6</v>
      </c>
      <c r="D38" s="49">
        <v>1</v>
      </c>
      <c r="E38" s="49">
        <v>1.2</v>
      </c>
      <c r="F38" s="49">
        <v>1.5</v>
      </c>
      <c r="G38" s="49">
        <v>0.4</v>
      </c>
      <c r="H38" s="49">
        <v>0.6</v>
      </c>
      <c r="I38" s="49">
        <v>1.2</v>
      </c>
      <c r="J38" s="49">
        <v>1.5</v>
      </c>
      <c r="K38" s="43" t="s">
        <v>121</v>
      </c>
      <c r="L38" s="41" t="s">
        <v>122</v>
      </c>
      <c r="M38" s="55"/>
    </row>
    <row r="39" spans="1:14" ht="42" customHeight="1" x14ac:dyDescent="0.25">
      <c r="A39" s="37"/>
      <c r="B39" s="39" t="s">
        <v>123</v>
      </c>
      <c r="C39" s="56">
        <v>12.5</v>
      </c>
      <c r="D39" s="56">
        <v>10</v>
      </c>
      <c r="E39" s="56">
        <v>8</v>
      </c>
      <c r="F39" s="56">
        <v>7.5</v>
      </c>
      <c r="G39" s="56">
        <v>10</v>
      </c>
      <c r="H39" s="56">
        <v>15</v>
      </c>
      <c r="I39" s="56">
        <v>5</v>
      </c>
      <c r="J39" s="56">
        <v>10</v>
      </c>
      <c r="K39" s="57" t="s">
        <v>121</v>
      </c>
      <c r="L39" s="58" t="s">
        <v>122</v>
      </c>
      <c r="M39" s="55"/>
    </row>
    <row r="40" spans="1:14" x14ac:dyDescent="0.25">
      <c r="A40" s="37"/>
      <c r="C40" s="59"/>
      <c r="D40" s="60"/>
      <c r="E40" s="60"/>
      <c r="F40" s="60"/>
      <c r="G40" s="60"/>
      <c r="H40" s="61"/>
      <c r="I40" s="61"/>
      <c r="J40" s="62"/>
      <c r="K40" s="62"/>
      <c r="L40" s="63"/>
      <c r="M40" s="64"/>
      <c r="N40" s="65"/>
    </row>
    <row r="41" spans="1:14" x14ac:dyDescent="0.25">
      <c r="A41" s="37"/>
    </row>
    <row r="42" spans="1:14" x14ac:dyDescent="0.25">
      <c r="A42" s="37"/>
      <c r="C42" s="66"/>
      <c r="D42" s="67"/>
      <c r="E42" s="67"/>
      <c r="F42" s="67"/>
      <c r="G42" s="67"/>
      <c r="H42" s="68"/>
      <c r="I42" s="68"/>
    </row>
    <row r="43" spans="1:14" x14ac:dyDescent="0.25">
      <c r="A43" s="332"/>
      <c r="B43" s="332"/>
      <c r="C43" s="332"/>
      <c r="D43" s="332"/>
      <c r="E43" s="332"/>
      <c r="F43" s="332"/>
      <c r="G43" s="332"/>
      <c r="H43" s="332"/>
      <c r="I43" s="332"/>
      <c r="J43" s="69"/>
      <c r="K43" s="70"/>
      <c r="L43" s="332"/>
      <c r="M43" s="332"/>
    </row>
    <row r="44" spans="1:14" x14ac:dyDescent="0.25">
      <c r="A44" s="70"/>
      <c r="C44" s="332"/>
      <c r="D44" s="333"/>
      <c r="E44" s="333"/>
      <c r="F44" s="333"/>
      <c r="G44" s="333"/>
      <c r="H44" s="333"/>
      <c r="I44" s="333"/>
      <c r="J44" s="333"/>
      <c r="K44" s="333"/>
      <c r="L44" s="332"/>
      <c r="M44" s="332"/>
    </row>
    <row r="45" spans="1:14" x14ac:dyDescent="0.25">
      <c r="A45" s="71"/>
      <c r="B45" s="332"/>
      <c r="C45" s="333"/>
      <c r="D45" s="333"/>
      <c r="E45" s="333"/>
      <c r="F45" s="333"/>
      <c r="G45" s="333"/>
      <c r="H45" s="333"/>
      <c r="I45" s="333"/>
      <c r="J45" s="333"/>
      <c r="K45" s="70"/>
      <c r="L45" s="332"/>
      <c r="M45" s="332"/>
    </row>
    <row r="46" spans="1:14" x14ac:dyDescent="0.25">
      <c r="A46" s="70"/>
      <c r="C46" s="332"/>
      <c r="D46" s="333"/>
      <c r="E46" s="333"/>
      <c r="F46" s="333"/>
      <c r="G46" s="333"/>
      <c r="H46" s="333"/>
      <c r="I46" s="333"/>
      <c r="J46" s="333"/>
      <c r="K46" s="333"/>
      <c r="L46" s="332"/>
      <c r="M46" s="332"/>
    </row>
    <row r="47" spans="1:14" x14ac:dyDescent="0.25">
      <c r="A47" s="70"/>
      <c r="B47" s="332"/>
      <c r="C47" s="333"/>
      <c r="D47" s="333"/>
      <c r="E47" s="333"/>
      <c r="F47" s="333"/>
      <c r="G47" s="333"/>
      <c r="H47" s="333"/>
      <c r="I47" s="333"/>
      <c r="J47" s="333"/>
      <c r="K47" s="70"/>
      <c r="L47" s="332"/>
      <c r="M47" s="332"/>
    </row>
    <row r="48" spans="1:14" x14ac:dyDescent="0.25">
      <c r="B48" s="72"/>
      <c r="L48" s="332"/>
      <c r="M48" s="332"/>
    </row>
    <row r="49" spans="1:14" x14ac:dyDescent="0.25">
      <c r="A49" s="70"/>
      <c r="B49" s="69"/>
      <c r="C49" s="69"/>
      <c r="D49" s="73"/>
      <c r="E49" s="69"/>
      <c r="F49" s="69"/>
      <c r="G49" s="69"/>
      <c r="H49" s="69"/>
      <c r="I49" s="69"/>
      <c r="J49" s="69"/>
      <c r="K49" s="70"/>
      <c r="L49" s="332"/>
      <c r="M49" s="332"/>
    </row>
    <row r="50" spans="1:14" x14ac:dyDescent="0.25">
      <c r="A50" s="337" t="s">
        <v>124</v>
      </c>
      <c r="B50" s="337"/>
      <c r="C50" s="66"/>
      <c r="D50" s="66"/>
      <c r="E50" s="66"/>
      <c r="F50" s="66"/>
      <c r="G50" s="66"/>
      <c r="H50" s="66"/>
      <c r="I50" s="66"/>
      <c r="J50" s="66"/>
      <c r="K50" s="70"/>
      <c r="L50" s="332"/>
      <c r="M50" s="332"/>
    </row>
    <row r="51" spans="1:14" x14ac:dyDescent="0.25">
      <c r="A51" s="74" t="s">
        <v>93</v>
      </c>
      <c r="B51" s="75" t="s">
        <v>125</v>
      </c>
      <c r="C51" s="76"/>
      <c r="D51" s="76"/>
      <c r="E51" s="76"/>
      <c r="F51" s="76"/>
      <c r="G51" s="76"/>
      <c r="H51" s="76"/>
      <c r="I51" s="76"/>
      <c r="J51" s="76"/>
      <c r="K51" s="77"/>
      <c r="L51" s="77"/>
      <c r="M51" s="77"/>
    </row>
    <row r="52" spans="1:14" x14ac:dyDescent="0.25">
      <c r="A52" s="74" t="s">
        <v>88</v>
      </c>
      <c r="B52" s="75" t="s">
        <v>126</v>
      </c>
      <c r="C52" s="76"/>
      <c r="D52" s="76"/>
      <c r="E52" s="76"/>
      <c r="F52" s="76"/>
      <c r="G52" s="76"/>
      <c r="H52" s="76"/>
      <c r="I52" s="76"/>
      <c r="J52" s="76"/>
      <c r="K52" s="77"/>
      <c r="L52" s="77"/>
      <c r="M52" s="77"/>
      <c r="N52" s="78"/>
    </row>
    <row r="53" spans="1:14" x14ac:dyDescent="0.25">
      <c r="A53" s="74" t="s">
        <v>67</v>
      </c>
      <c r="B53" s="75" t="s">
        <v>127</v>
      </c>
      <c r="C53" s="79"/>
      <c r="D53" s="79"/>
      <c r="E53" s="79"/>
      <c r="F53" s="79"/>
      <c r="G53" s="79"/>
      <c r="H53" s="79"/>
      <c r="I53" s="79"/>
      <c r="J53" s="79"/>
      <c r="K53" s="79"/>
      <c r="L53" s="79"/>
      <c r="M53" s="79"/>
    </row>
    <row r="54" spans="1:14" x14ac:dyDescent="0.25">
      <c r="A54" s="74" t="s">
        <v>128</v>
      </c>
      <c r="B54" s="75" t="s">
        <v>129</v>
      </c>
      <c r="D54" s="76"/>
      <c r="E54" s="76"/>
      <c r="F54" s="76"/>
      <c r="G54" s="76"/>
      <c r="H54" s="76"/>
      <c r="I54" s="76"/>
      <c r="J54" s="76"/>
      <c r="K54" s="76"/>
      <c r="L54" s="77"/>
      <c r="M54" s="77"/>
    </row>
    <row r="55" spans="1:14" x14ac:dyDescent="0.25">
      <c r="A55" s="74" t="s">
        <v>58</v>
      </c>
      <c r="B55" s="75" t="s">
        <v>130</v>
      </c>
      <c r="C55" s="75"/>
      <c r="D55" s="75"/>
      <c r="E55" s="75"/>
      <c r="F55" s="75"/>
      <c r="G55" s="75"/>
      <c r="H55" s="75"/>
      <c r="I55" s="75"/>
      <c r="J55" s="75"/>
      <c r="K55" s="70"/>
      <c r="L55" s="80"/>
      <c r="M55" s="80"/>
    </row>
    <row r="56" spans="1:14" x14ac:dyDescent="0.25">
      <c r="A56" s="74" t="s">
        <v>110</v>
      </c>
      <c r="B56" s="75" t="s">
        <v>131</v>
      </c>
      <c r="C56" s="75"/>
      <c r="D56" s="75"/>
      <c r="E56" s="75"/>
      <c r="F56" s="75"/>
      <c r="G56" s="75"/>
      <c r="H56" s="75"/>
      <c r="I56" s="75"/>
      <c r="J56" s="75"/>
      <c r="K56" s="75"/>
      <c r="L56" s="75"/>
      <c r="M56" s="75"/>
    </row>
    <row r="57" spans="1:14" x14ac:dyDescent="0.25">
      <c r="A57" s="74" t="s">
        <v>132</v>
      </c>
      <c r="B57" s="80" t="s">
        <v>133</v>
      </c>
      <c r="C57" s="80"/>
      <c r="D57" s="80"/>
      <c r="E57" s="80"/>
      <c r="F57" s="80"/>
      <c r="G57" s="80"/>
      <c r="H57" s="80"/>
      <c r="I57" s="80"/>
      <c r="J57" s="80"/>
      <c r="K57" s="80"/>
      <c r="L57" s="80"/>
      <c r="M57" s="80"/>
    </row>
    <row r="58" spans="1:14" x14ac:dyDescent="0.25">
      <c r="A58" s="74" t="s">
        <v>121</v>
      </c>
      <c r="B58" s="80" t="s">
        <v>134</v>
      </c>
      <c r="C58" s="80"/>
      <c r="D58" s="80"/>
      <c r="E58" s="80"/>
      <c r="F58" s="80"/>
      <c r="G58" s="80"/>
      <c r="H58" s="80"/>
      <c r="I58" s="80"/>
      <c r="J58" s="80"/>
      <c r="K58" s="80"/>
    </row>
    <row r="59" spans="1:14" x14ac:dyDescent="0.25">
      <c r="A59" s="74" t="s">
        <v>135</v>
      </c>
      <c r="B59" s="80" t="s">
        <v>136</v>
      </c>
      <c r="C59" s="79"/>
      <c r="D59" s="79"/>
      <c r="E59" s="79"/>
      <c r="F59" s="79"/>
      <c r="G59" s="79"/>
      <c r="H59" s="79"/>
      <c r="I59" s="79"/>
      <c r="J59" s="79"/>
    </row>
    <row r="60" spans="1:14" x14ac:dyDescent="0.25">
      <c r="A60" s="74" t="s">
        <v>137</v>
      </c>
      <c r="B60" s="81" t="s">
        <v>138</v>
      </c>
      <c r="C60" s="81"/>
      <c r="D60" s="81"/>
      <c r="E60" s="81"/>
      <c r="F60" s="81"/>
      <c r="G60" s="81"/>
      <c r="H60" s="81"/>
      <c r="I60" s="81"/>
      <c r="J60" s="81"/>
      <c r="K60" s="81"/>
      <c r="L60" s="81"/>
      <c r="M60" s="81"/>
      <c r="N60" s="81"/>
    </row>
    <row r="61" spans="1:14" x14ac:dyDescent="0.25">
      <c r="A61" s="74" t="s">
        <v>95</v>
      </c>
      <c r="B61" s="81" t="s">
        <v>139</v>
      </c>
      <c r="C61" s="81"/>
      <c r="D61" s="81"/>
      <c r="E61" s="81"/>
      <c r="F61" s="81"/>
      <c r="G61" s="81"/>
      <c r="H61" s="81"/>
      <c r="I61" s="81"/>
      <c r="J61" s="81"/>
      <c r="K61" s="81"/>
      <c r="L61" s="81"/>
      <c r="M61" s="81"/>
      <c r="N61" s="81"/>
    </row>
    <row r="62" spans="1:14" ht="13.8" x14ac:dyDescent="0.25">
      <c r="A62" s="74" t="s">
        <v>140</v>
      </c>
      <c r="B62" s="82" t="s">
        <v>141</v>
      </c>
      <c r="C62" s="83"/>
      <c r="D62" s="83"/>
      <c r="E62" s="83"/>
      <c r="F62" s="83"/>
      <c r="G62" s="83"/>
      <c r="H62" s="83"/>
      <c r="I62" s="83"/>
      <c r="J62" s="83"/>
      <c r="K62" s="83"/>
      <c r="L62" s="83"/>
      <c r="M62" s="83"/>
      <c r="N62" s="83"/>
    </row>
    <row r="63" spans="1:14" x14ac:dyDescent="0.25">
      <c r="A63" s="74" t="s">
        <v>117</v>
      </c>
      <c r="B63" s="81" t="s">
        <v>142</v>
      </c>
      <c r="C63" s="81"/>
      <c r="D63" s="81"/>
      <c r="E63" s="81"/>
      <c r="F63" s="81"/>
      <c r="G63" s="81"/>
      <c r="H63" s="81"/>
      <c r="I63" s="81"/>
      <c r="J63" s="81"/>
      <c r="K63" s="81"/>
      <c r="L63" s="81"/>
      <c r="M63" s="81"/>
      <c r="N63" s="81"/>
    </row>
    <row r="64" spans="1:14" ht="13.8" x14ac:dyDescent="0.25">
      <c r="A64" s="74" t="s">
        <v>59</v>
      </c>
      <c r="B64" s="82" t="s">
        <v>143</v>
      </c>
      <c r="C64" s="83"/>
      <c r="D64" s="83"/>
      <c r="E64" s="83"/>
      <c r="F64" s="83"/>
      <c r="G64" s="83"/>
      <c r="H64" s="83"/>
      <c r="I64" s="83"/>
      <c r="J64" s="83"/>
      <c r="K64" s="83"/>
      <c r="L64" s="83"/>
      <c r="M64" s="83"/>
      <c r="N64" s="83"/>
    </row>
    <row r="65" spans="1:14" x14ac:dyDescent="0.25">
      <c r="A65" s="74" t="s">
        <v>144</v>
      </c>
      <c r="B65" s="81" t="s">
        <v>145</v>
      </c>
      <c r="C65" s="81"/>
      <c r="D65" s="81"/>
      <c r="E65" s="81"/>
      <c r="F65" s="81"/>
      <c r="G65" s="81"/>
      <c r="H65" s="81"/>
      <c r="I65" s="81"/>
      <c r="J65" s="81"/>
      <c r="K65" s="81"/>
      <c r="L65" s="81"/>
      <c r="M65" s="81"/>
      <c r="N65" s="81"/>
    </row>
    <row r="66" spans="1:14" ht="13.8" x14ac:dyDescent="0.25">
      <c r="A66" s="74"/>
      <c r="B66" s="82"/>
      <c r="C66" s="83"/>
      <c r="D66" s="83"/>
      <c r="E66" s="83"/>
      <c r="F66" s="83"/>
      <c r="G66" s="83"/>
      <c r="H66" s="83"/>
      <c r="I66" s="83"/>
      <c r="J66" s="83"/>
      <c r="K66" s="83"/>
      <c r="L66" s="83"/>
      <c r="M66" s="83"/>
      <c r="N66" s="83"/>
    </row>
    <row r="67" spans="1:14" x14ac:dyDescent="0.25">
      <c r="A67" s="84" t="s">
        <v>146</v>
      </c>
      <c r="B67" s="85"/>
      <c r="C67" s="85"/>
      <c r="D67" s="85"/>
      <c r="E67" s="85"/>
      <c r="F67" s="85"/>
      <c r="G67" s="85"/>
      <c r="H67" s="85"/>
      <c r="I67" s="85"/>
    </row>
    <row r="68" spans="1:14" x14ac:dyDescent="0.25">
      <c r="A68" s="37">
        <v>21</v>
      </c>
      <c r="B68" s="82" t="s">
        <v>147</v>
      </c>
      <c r="D68" s="86"/>
      <c r="E68" s="86"/>
      <c r="F68" s="86"/>
      <c r="G68" s="86"/>
      <c r="H68" s="86"/>
      <c r="I68" s="86"/>
      <c r="J68" s="86"/>
      <c r="K68" s="86"/>
    </row>
    <row r="69" spans="1:14" x14ac:dyDescent="0.25">
      <c r="A69" s="37">
        <v>24</v>
      </c>
      <c r="B69" s="82" t="s">
        <v>148</v>
      </c>
      <c r="D69" s="86"/>
      <c r="E69" s="86"/>
      <c r="F69" s="86"/>
      <c r="G69" s="86"/>
      <c r="H69" s="86"/>
      <c r="I69" s="86"/>
      <c r="J69" s="86"/>
      <c r="K69" s="86"/>
    </row>
    <row r="70" spans="1:14" x14ac:dyDescent="0.25">
      <c r="A70" s="37">
        <v>26</v>
      </c>
      <c r="B70" s="82" t="s">
        <v>149</v>
      </c>
      <c r="D70" s="86"/>
      <c r="E70" s="86"/>
      <c r="F70" s="86"/>
      <c r="G70" s="86"/>
      <c r="H70" s="86"/>
      <c r="I70" s="86"/>
      <c r="J70" s="86"/>
      <c r="K70" s="86"/>
    </row>
    <row r="71" spans="1:14" x14ac:dyDescent="0.25">
      <c r="A71">
        <v>27</v>
      </c>
      <c r="B71" s="82" t="s">
        <v>150</v>
      </c>
    </row>
  </sheetData>
  <mergeCells count="17">
    <mergeCell ref="L48:M48"/>
    <mergeCell ref="L49:M49"/>
    <mergeCell ref="A50:B50"/>
    <mergeCell ref="L50:M50"/>
    <mergeCell ref="B45:J45"/>
    <mergeCell ref="L45:M45"/>
    <mergeCell ref="C46:K46"/>
    <mergeCell ref="L46:M46"/>
    <mergeCell ref="B47:J47"/>
    <mergeCell ref="L47:M47"/>
    <mergeCell ref="C44:K44"/>
    <mergeCell ref="L44:M44"/>
    <mergeCell ref="C3:L3"/>
    <mergeCell ref="G4:H4"/>
    <mergeCell ref="I4:J4"/>
    <mergeCell ref="A43:I43"/>
    <mergeCell ref="L43:M43"/>
  </mergeCells>
  <hyperlinks>
    <hyperlink ref="C3" location="INDEX" display="Biogas plant, additional straw input in the feedstock mix" xr:uid="{A053F0A3-2E5C-42AE-BE4C-81251A11866E}"/>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129E13-9BEB-42C7-845F-57A27B8F4C18}">
  <sheetPr>
    <tabColor theme="3" tint="0.39997558519241921"/>
  </sheetPr>
  <dimension ref="C3:O71"/>
  <sheetViews>
    <sheetView topLeftCell="C1" zoomScale="70" zoomScaleNormal="70" workbookViewId="0">
      <selection activeCell="X25" sqref="X25"/>
    </sheetView>
  </sheetViews>
  <sheetFormatPr defaultRowHeight="13.2" x14ac:dyDescent="0.25"/>
  <cols>
    <col min="4" max="4" width="102.88671875" customWidth="1"/>
  </cols>
  <sheetData>
    <row r="3" spans="3:15" x14ac:dyDescent="0.25">
      <c r="C3" s="37"/>
      <c r="D3" s="38" t="s">
        <v>71</v>
      </c>
      <c r="E3" s="334" t="s">
        <v>291</v>
      </c>
      <c r="F3" s="335"/>
      <c r="G3" s="335"/>
      <c r="H3" s="335"/>
      <c r="I3" s="335"/>
      <c r="J3" s="335"/>
      <c r="K3" s="335"/>
      <c r="L3" s="335"/>
      <c r="M3" s="335"/>
      <c r="N3" s="335"/>
    </row>
    <row r="4" spans="3:15" x14ac:dyDescent="0.25">
      <c r="C4" s="37"/>
      <c r="D4" s="39"/>
      <c r="E4" s="40">
        <v>2020</v>
      </c>
      <c r="F4" s="40">
        <v>2030</v>
      </c>
      <c r="G4" s="40">
        <v>2040</v>
      </c>
      <c r="H4" s="40">
        <v>2050</v>
      </c>
      <c r="I4" s="336" t="s">
        <v>73</v>
      </c>
      <c r="J4" s="336"/>
      <c r="K4" s="336" t="s">
        <v>74</v>
      </c>
      <c r="L4" s="336"/>
      <c r="M4" s="40" t="s">
        <v>75</v>
      </c>
      <c r="N4" s="40" t="s">
        <v>76</v>
      </c>
    </row>
    <row r="5" spans="3:15" x14ac:dyDescent="0.25">
      <c r="C5" s="37"/>
      <c r="D5" s="38" t="s">
        <v>77</v>
      </c>
      <c r="E5" s="38"/>
      <c r="F5" s="38"/>
      <c r="G5" s="38"/>
      <c r="H5" s="38"/>
      <c r="I5" s="40" t="s">
        <v>78</v>
      </c>
      <c r="J5" s="40" t="s">
        <v>79</v>
      </c>
      <c r="K5" s="40" t="s">
        <v>78</v>
      </c>
      <c r="L5" s="40" t="s">
        <v>79</v>
      </c>
      <c r="M5" s="38"/>
      <c r="N5" s="41"/>
      <c r="O5" s="27"/>
    </row>
    <row r="6" spans="3:15" x14ac:dyDescent="0.25">
      <c r="C6" s="37"/>
      <c r="D6" s="39" t="s">
        <v>80</v>
      </c>
      <c r="E6" s="42">
        <v>100</v>
      </c>
      <c r="F6" s="42">
        <v>100</v>
      </c>
      <c r="G6" s="42">
        <v>100</v>
      </c>
      <c r="H6" s="42">
        <v>100</v>
      </c>
      <c r="I6" s="42">
        <v>100</v>
      </c>
      <c r="J6" s="42">
        <v>100</v>
      </c>
      <c r="K6" s="42">
        <v>100</v>
      </c>
      <c r="L6" s="42">
        <v>100</v>
      </c>
      <c r="M6" s="43"/>
      <c r="N6" s="41"/>
    </row>
    <row r="7" spans="3:15" x14ac:dyDescent="0.25">
      <c r="C7" s="37"/>
      <c r="D7" s="39" t="s">
        <v>81</v>
      </c>
      <c r="E7" s="42">
        <f>E6*3600*(E15/100)*24/120</f>
        <v>41760</v>
      </c>
      <c r="F7" s="42">
        <f t="shared" ref="F7:L7" si="0">F6*3600*(F15/100)*24/120</f>
        <v>47160</v>
      </c>
      <c r="G7" s="42">
        <f t="shared" si="0"/>
        <v>48960.000000000007</v>
      </c>
      <c r="H7" s="42">
        <f t="shared" si="0"/>
        <v>50760</v>
      </c>
      <c r="I7" s="42">
        <f t="shared" si="0"/>
        <v>43200</v>
      </c>
      <c r="J7" s="42">
        <f t="shared" si="0"/>
        <v>46080</v>
      </c>
      <c r="K7" s="42">
        <f t="shared" si="0"/>
        <v>48960.000000000007</v>
      </c>
      <c r="L7" s="42">
        <f t="shared" si="0"/>
        <v>50399.999999999993</v>
      </c>
      <c r="M7" s="43" t="s">
        <v>82</v>
      </c>
      <c r="N7" s="41"/>
    </row>
    <row r="8" spans="3:15" x14ac:dyDescent="0.25">
      <c r="C8" s="37"/>
      <c r="D8" s="39"/>
      <c r="E8" s="39"/>
      <c r="F8" s="39"/>
      <c r="G8" s="39"/>
      <c r="H8" s="39"/>
      <c r="I8" s="39"/>
      <c r="J8" s="39"/>
      <c r="K8" s="39"/>
      <c r="L8" s="39"/>
      <c r="M8" s="39"/>
      <c r="N8" s="39"/>
      <c r="O8" s="12"/>
    </row>
    <row r="9" spans="3:15" x14ac:dyDescent="0.25">
      <c r="C9" s="37"/>
      <c r="D9" s="44" t="s">
        <v>83</v>
      </c>
      <c r="E9" s="42"/>
      <c r="F9" s="42"/>
      <c r="G9" s="42"/>
      <c r="H9" s="42"/>
      <c r="I9" s="42"/>
      <c r="J9" s="42"/>
      <c r="K9" s="42"/>
      <c r="L9" s="42"/>
      <c r="M9" s="43"/>
      <c r="N9" s="41"/>
    </row>
    <row r="10" spans="3:15" x14ac:dyDescent="0.25">
      <c r="C10" s="37"/>
      <c r="D10" s="39" t="s">
        <v>84</v>
      </c>
      <c r="E10" s="42">
        <v>100</v>
      </c>
      <c r="F10" s="42">
        <v>100</v>
      </c>
      <c r="G10" s="42">
        <v>100</v>
      </c>
      <c r="H10" s="42">
        <v>100</v>
      </c>
      <c r="I10" s="42">
        <v>100</v>
      </c>
      <c r="J10" s="42">
        <v>100</v>
      </c>
      <c r="K10" s="42">
        <v>100</v>
      </c>
      <c r="L10" s="42">
        <v>100</v>
      </c>
      <c r="M10" s="43"/>
      <c r="N10" s="41"/>
    </row>
    <row r="11" spans="3:15" x14ac:dyDescent="0.25">
      <c r="C11" s="37"/>
      <c r="D11" s="39"/>
      <c r="E11" s="42"/>
      <c r="F11" s="42"/>
      <c r="G11" s="42"/>
      <c r="H11" s="42"/>
      <c r="I11" s="42"/>
      <c r="J11" s="42"/>
      <c r="K11" s="42"/>
      <c r="L11" s="42"/>
      <c r="M11" s="43"/>
      <c r="N11" s="41"/>
    </row>
    <row r="12" spans="3:15" x14ac:dyDescent="0.25">
      <c r="C12" s="37"/>
      <c r="D12" s="39" t="s">
        <v>85</v>
      </c>
      <c r="E12" s="42">
        <f>E21+(E21*8)</f>
        <v>156.6156615661566</v>
      </c>
      <c r="F12" s="42">
        <f t="shared" ref="F12:L12" si="1">F21+(F21*8)</f>
        <v>176.86768676867689</v>
      </c>
      <c r="G12" s="42">
        <f t="shared" si="1"/>
        <v>183.61836183618362</v>
      </c>
      <c r="H12" s="42">
        <f t="shared" si="1"/>
        <v>190.36903690369036</v>
      </c>
      <c r="I12" s="42">
        <f t="shared" si="1"/>
        <v>162.01620162016201</v>
      </c>
      <c r="J12" s="42">
        <f t="shared" si="1"/>
        <v>172.81728172817284</v>
      </c>
      <c r="K12" s="42">
        <f t="shared" si="1"/>
        <v>183.61836183618362</v>
      </c>
      <c r="L12" s="42">
        <f t="shared" si="1"/>
        <v>189.01890189018903</v>
      </c>
      <c r="M12" s="43"/>
      <c r="N12" s="41"/>
    </row>
    <row r="13" spans="3:15" x14ac:dyDescent="0.25">
      <c r="C13" s="37"/>
      <c r="D13" s="45"/>
      <c r="E13" s="45"/>
      <c r="F13" s="45"/>
      <c r="G13" s="45"/>
      <c r="H13" s="45"/>
      <c r="I13" s="45"/>
      <c r="J13" s="45"/>
      <c r="K13" s="45"/>
      <c r="L13" s="45"/>
      <c r="M13" s="45"/>
      <c r="N13" s="45"/>
      <c r="O13" s="46"/>
    </row>
    <row r="14" spans="3:15" x14ac:dyDescent="0.25">
      <c r="C14" s="37"/>
      <c r="D14" s="47" t="s">
        <v>86</v>
      </c>
      <c r="E14" s="48"/>
      <c r="F14" s="48"/>
      <c r="G14" s="48"/>
      <c r="H14" s="48"/>
      <c r="I14" s="48"/>
      <c r="J14" s="48"/>
      <c r="K14" s="48"/>
      <c r="L14" s="48"/>
      <c r="M14" s="43"/>
      <c r="N14" s="41"/>
    </row>
    <row r="15" spans="3:15" x14ac:dyDescent="0.25">
      <c r="C15" s="37"/>
      <c r="D15" s="39" t="s">
        <v>87</v>
      </c>
      <c r="E15" s="49">
        <f>(56+60)/2</f>
        <v>58</v>
      </c>
      <c r="F15" s="49">
        <f>(63+68)/2</f>
        <v>65.5</v>
      </c>
      <c r="G15" s="49">
        <f>(F15+H15)/2</f>
        <v>68</v>
      </c>
      <c r="H15" s="49">
        <f>(67+74)/2</f>
        <v>70.5</v>
      </c>
      <c r="I15" s="49">
        <v>60</v>
      </c>
      <c r="J15" s="49">
        <v>64</v>
      </c>
      <c r="K15" s="49">
        <v>68</v>
      </c>
      <c r="L15" s="49">
        <v>70</v>
      </c>
      <c r="M15" s="43" t="s">
        <v>88</v>
      </c>
      <c r="N15" s="41" t="s">
        <v>89</v>
      </c>
      <c r="O15" s="50"/>
    </row>
    <row r="16" spans="3:15" x14ac:dyDescent="0.25">
      <c r="C16" s="37"/>
      <c r="D16" s="39" t="s">
        <v>90</v>
      </c>
      <c r="E16" s="49">
        <f>(E21*39.4/1000*100)-E15</f>
        <v>10.562856285628555</v>
      </c>
      <c r="F16" s="49">
        <f t="shared" ref="F16:L16" si="2">(F21*39.4/1000*100)-F15</f>
        <v>11.928742874287437</v>
      </c>
      <c r="G16" s="49">
        <f t="shared" si="2"/>
        <v>12.384038403840378</v>
      </c>
      <c r="H16" s="49">
        <f t="shared" si="2"/>
        <v>12.83933393339332</v>
      </c>
      <c r="I16" s="49">
        <f t="shared" si="2"/>
        <v>10.927092709270923</v>
      </c>
      <c r="J16" s="49">
        <f t="shared" si="2"/>
        <v>11.655565556555672</v>
      </c>
      <c r="K16" s="49">
        <f t="shared" si="2"/>
        <v>12.384038403840378</v>
      </c>
      <c r="L16" s="49">
        <f t="shared" si="2"/>
        <v>12.748274827482746</v>
      </c>
      <c r="M16" s="43" t="s">
        <v>59</v>
      </c>
      <c r="N16" s="41"/>
    </row>
    <row r="17" spans="3:15" x14ac:dyDescent="0.25">
      <c r="C17" s="37"/>
      <c r="D17" s="39" t="s">
        <v>91</v>
      </c>
      <c r="E17" s="49">
        <f>100-E15-E16</f>
        <v>31.437143714371445</v>
      </c>
      <c r="F17" s="49">
        <f t="shared" ref="F17:L17" si="3">100-F15-F16</f>
        <v>22.571257125712563</v>
      </c>
      <c r="G17" s="49">
        <f t="shared" si="3"/>
        <v>19.615961596159622</v>
      </c>
      <c r="H17" s="49">
        <f t="shared" si="3"/>
        <v>16.66066606660668</v>
      </c>
      <c r="I17" s="49">
        <f t="shared" si="3"/>
        <v>29.072907290729077</v>
      </c>
      <c r="J17" s="49">
        <f t="shared" si="3"/>
        <v>24.344434443444328</v>
      </c>
      <c r="K17" s="49">
        <f t="shared" si="3"/>
        <v>19.615961596159622</v>
      </c>
      <c r="L17" s="49">
        <f t="shared" si="3"/>
        <v>17.251725172517254</v>
      </c>
      <c r="M17" s="43"/>
      <c r="N17" s="41"/>
    </row>
    <row r="18" spans="3:15" x14ac:dyDescent="0.25">
      <c r="C18" s="37"/>
      <c r="D18" s="39" t="s">
        <v>92</v>
      </c>
      <c r="E18" s="49">
        <v>3</v>
      </c>
      <c r="F18" s="49">
        <v>3</v>
      </c>
      <c r="G18" s="49">
        <v>3</v>
      </c>
      <c r="H18" s="49">
        <v>3</v>
      </c>
      <c r="I18" s="49">
        <v>3</v>
      </c>
      <c r="J18" s="49">
        <v>3</v>
      </c>
      <c r="K18" s="49">
        <v>3</v>
      </c>
      <c r="L18" s="49">
        <v>3</v>
      </c>
      <c r="M18" s="43" t="s">
        <v>93</v>
      </c>
      <c r="N18" s="41"/>
    </row>
    <row r="19" spans="3:15" x14ac:dyDescent="0.25">
      <c r="C19" s="37"/>
      <c r="D19" s="39" t="s">
        <v>94</v>
      </c>
      <c r="E19" s="49">
        <f>E17-E18</f>
        <v>28.437143714371445</v>
      </c>
      <c r="F19" s="49">
        <f t="shared" ref="F19:L19" si="4">F17-F18</f>
        <v>19.571257125712563</v>
      </c>
      <c r="G19" s="49">
        <f t="shared" si="4"/>
        <v>16.615961596159622</v>
      </c>
      <c r="H19" s="49">
        <f t="shared" si="4"/>
        <v>13.66066606660668</v>
      </c>
      <c r="I19" s="49">
        <f t="shared" si="4"/>
        <v>26.072907290729077</v>
      </c>
      <c r="J19" s="49">
        <f t="shared" si="4"/>
        <v>21.344434443444328</v>
      </c>
      <c r="K19" s="49">
        <f t="shared" si="4"/>
        <v>16.615961596159622</v>
      </c>
      <c r="L19" s="49">
        <f t="shared" si="4"/>
        <v>14.251725172517254</v>
      </c>
      <c r="M19" s="43" t="s">
        <v>95</v>
      </c>
      <c r="N19" s="41"/>
    </row>
    <row r="20" spans="3:15" x14ac:dyDescent="0.25">
      <c r="C20" s="37"/>
      <c r="D20" s="39"/>
      <c r="E20" s="48"/>
      <c r="F20" s="48"/>
      <c r="G20" s="48"/>
      <c r="H20" s="48"/>
      <c r="I20" s="48"/>
      <c r="J20" s="48"/>
      <c r="K20" s="48"/>
      <c r="L20" s="48"/>
      <c r="M20" s="43"/>
      <c r="N20" s="41"/>
    </row>
    <row r="21" spans="3:15" x14ac:dyDescent="0.25">
      <c r="C21" s="37"/>
      <c r="D21" s="39" t="s">
        <v>96</v>
      </c>
      <c r="E21" s="49">
        <f>E15/33.33*1000/100</f>
        <v>17.401740174017402</v>
      </c>
      <c r="F21" s="49">
        <f t="shared" ref="F21:L21" si="5">F15/33.33*1000/100</f>
        <v>19.651965196519654</v>
      </c>
      <c r="G21" s="49">
        <f t="shared" si="5"/>
        <v>20.402040204020402</v>
      </c>
      <c r="H21" s="49">
        <f t="shared" si="5"/>
        <v>21.152115211521149</v>
      </c>
      <c r="I21" s="49">
        <f t="shared" si="5"/>
        <v>18.001800180018002</v>
      </c>
      <c r="J21" s="49">
        <f>J15/33.33*1000/100</f>
        <v>19.201920192019205</v>
      </c>
      <c r="K21" s="49">
        <f t="shared" si="5"/>
        <v>20.402040204020402</v>
      </c>
      <c r="L21" s="49">
        <f t="shared" si="5"/>
        <v>21.002100210021002</v>
      </c>
      <c r="M21" s="43"/>
      <c r="N21" s="41" t="s">
        <v>89</v>
      </c>
    </row>
    <row r="22" spans="3:15" x14ac:dyDescent="0.25">
      <c r="C22" s="37"/>
      <c r="D22" s="39"/>
      <c r="E22" s="42"/>
      <c r="F22" s="42"/>
      <c r="G22" s="42"/>
      <c r="H22" s="42"/>
      <c r="I22" s="42"/>
      <c r="J22" s="42"/>
      <c r="K22" s="42"/>
      <c r="L22" s="42"/>
      <c r="M22" s="43"/>
      <c r="N22" s="41"/>
    </row>
    <row r="23" spans="3:15" x14ac:dyDescent="0.25">
      <c r="C23" s="37"/>
      <c r="D23" s="39" t="s">
        <v>97</v>
      </c>
      <c r="E23" s="51">
        <v>2</v>
      </c>
      <c r="F23" s="51">
        <v>2</v>
      </c>
      <c r="G23" s="51">
        <v>2</v>
      </c>
      <c r="H23" s="51">
        <v>2</v>
      </c>
      <c r="I23" s="51">
        <v>2</v>
      </c>
      <c r="J23" s="51">
        <v>2</v>
      </c>
      <c r="K23" s="51">
        <v>2</v>
      </c>
      <c r="L23" s="51">
        <v>2</v>
      </c>
      <c r="M23" s="43" t="s">
        <v>67</v>
      </c>
      <c r="N23" s="41"/>
    </row>
    <row r="24" spans="3:15" x14ac:dyDescent="0.25">
      <c r="C24" s="37"/>
      <c r="D24" s="39" t="s">
        <v>98</v>
      </c>
      <c r="E24" s="42">
        <v>2</v>
      </c>
      <c r="F24" s="42">
        <v>2</v>
      </c>
      <c r="G24" s="42">
        <v>2</v>
      </c>
      <c r="H24" s="42">
        <v>2</v>
      </c>
      <c r="I24" s="42">
        <v>2</v>
      </c>
      <c r="J24" s="42">
        <v>2</v>
      </c>
      <c r="K24" s="42">
        <v>2</v>
      </c>
      <c r="L24" s="42">
        <v>2</v>
      </c>
      <c r="M24" s="43" t="s">
        <v>67</v>
      </c>
      <c r="N24" s="41"/>
    </row>
    <row r="25" spans="3:15" x14ac:dyDescent="0.25">
      <c r="C25" s="37"/>
      <c r="D25" s="39" t="s">
        <v>99</v>
      </c>
      <c r="E25" s="42">
        <v>20</v>
      </c>
      <c r="F25" s="42">
        <v>25</v>
      </c>
      <c r="G25" s="42">
        <v>28</v>
      </c>
      <c r="H25" s="42">
        <v>30</v>
      </c>
      <c r="I25" s="42">
        <v>20</v>
      </c>
      <c r="J25" s="42">
        <v>20</v>
      </c>
      <c r="K25" s="42">
        <v>25</v>
      </c>
      <c r="L25" s="42">
        <v>30</v>
      </c>
      <c r="M25" s="43" t="s">
        <v>100</v>
      </c>
      <c r="N25" s="41" t="s">
        <v>101</v>
      </c>
    </row>
    <row r="26" spans="3:15" x14ac:dyDescent="0.25">
      <c r="C26" s="37"/>
      <c r="D26" s="39" t="s">
        <v>102</v>
      </c>
      <c r="E26" s="48">
        <v>0.33</v>
      </c>
      <c r="F26" s="48">
        <v>0.33</v>
      </c>
      <c r="G26" s="48">
        <v>0.33</v>
      </c>
      <c r="H26" s="48">
        <v>0.33</v>
      </c>
      <c r="I26" s="48">
        <v>0.33</v>
      </c>
      <c r="J26" s="48">
        <v>0.33</v>
      </c>
      <c r="K26" s="48">
        <v>0.33</v>
      </c>
      <c r="L26" s="48">
        <v>0.33</v>
      </c>
      <c r="M26" s="43" t="s">
        <v>103</v>
      </c>
      <c r="N26" s="41"/>
    </row>
    <row r="27" spans="3:15" x14ac:dyDescent="0.25">
      <c r="C27" s="37"/>
      <c r="D27" s="39"/>
      <c r="E27" s="39"/>
      <c r="F27" s="39"/>
      <c r="G27" s="39"/>
      <c r="H27" s="39"/>
      <c r="I27" s="39"/>
      <c r="J27" s="39"/>
      <c r="K27" s="39"/>
      <c r="L27" s="39"/>
      <c r="M27" s="39"/>
      <c r="N27" s="39"/>
    </row>
    <row r="28" spans="3:15" x14ac:dyDescent="0.25">
      <c r="C28" s="37"/>
      <c r="D28" s="52" t="s">
        <v>279</v>
      </c>
      <c r="E28" s="48"/>
      <c r="F28" s="48"/>
      <c r="G28" s="48"/>
      <c r="H28" s="48"/>
      <c r="I28" s="48"/>
      <c r="J28" s="48"/>
      <c r="K28" s="48"/>
      <c r="L28" s="48"/>
      <c r="M28" s="43"/>
      <c r="N28" s="41"/>
    </row>
    <row r="29" spans="3:15" x14ac:dyDescent="0.25">
      <c r="C29" s="37"/>
      <c r="D29" s="39" t="s">
        <v>105</v>
      </c>
      <c r="E29" s="42">
        <v>925</v>
      </c>
      <c r="F29" s="42">
        <v>650</v>
      </c>
      <c r="G29" s="42">
        <v>450</v>
      </c>
      <c r="H29" s="42">
        <v>400</v>
      </c>
      <c r="I29" s="42">
        <v>700</v>
      </c>
      <c r="J29" s="42">
        <v>1250</v>
      </c>
      <c r="K29" s="42">
        <v>300</v>
      </c>
      <c r="L29" s="42">
        <v>500</v>
      </c>
      <c r="M29" s="43" t="s">
        <v>106</v>
      </c>
      <c r="N29" s="41"/>
      <c r="O29" s="53"/>
    </row>
    <row r="30" spans="3:15" x14ac:dyDescent="0.25">
      <c r="C30" s="37"/>
      <c r="D30" s="39" t="s">
        <v>107</v>
      </c>
      <c r="E30" s="42">
        <f t="shared" ref="E30:L30" si="6">(E21/1000)^-1/24*E29</f>
        <v>2214.8168103448279</v>
      </c>
      <c r="F30" s="42">
        <f t="shared" si="6"/>
        <v>1378.1488549618321</v>
      </c>
      <c r="G30" s="42">
        <f t="shared" si="6"/>
        <v>919.02573529411768</v>
      </c>
      <c r="H30" s="42">
        <f t="shared" si="6"/>
        <v>787.94326241134763</v>
      </c>
      <c r="I30" s="42">
        <f t="shared" si="6"/>
        <v>1620.2083333333333</v>
      </c>
      <c r="J30" s="42">
        <f t="shared" si="6"/>
        <v>2712.4023437499995</v>
      </c>
      <c r="K30" s="42">
        <f t="shared" si="6"/>
        <v>612.68382352941182</v>
      </c>
      <c r="L30" s="42">
        <f t="shared" si="6"/>
        <v>991.96428571428578</v>
      </c>
      <c r="M30" s="43" t="s">
        <v>108</v>
      </c>
      <c r="N30" s="41"/>
    </row>
    <row r="31" spans="3:15" x14ac:dyDescent="0.25">
      <c r="C31" s="37"/>
      <c r="D31" s="39" t="s">
        <v>109</v>
      </c>
      <c r="E31" s="42">
        <v>90</v>
      </c>
      <c r="F31" s="42">
        <v>90</v>
      </c>
      <c r="G31" s="42">
        <v>90</v>
      </c>
      <c r="H31" s="42">
        <v>90</v>
      </c>
      <c r="I31" s="42">
        <v>90</v>
      </c>
      <c r="J31" s="42">
        <v>90</v>
      </c>
      <c r="K31" s="42">
        <v>90</v>
      </c>
      <c r="L31" s="42">
        <v>90</v>
      </c>
      <c r="M31" s="43" t="s">
        <v>110</v>
      </c>
      <c r="N31" s="41"/>
    </row>
    <row r="32" spans="3:15" x14ac:dyDescent="0.25">
      <c r="C32" s="37"/>
      <c r="D32" s="39" t="s">
        <v>111</v>
      </c>
      <c r="E32" s="42">
        <v>10</v>
      </c>
      <c r="F32" s="42">
        <v>10</v>
      </c>
      <c r="G32" s="42">
        <v>10</v>
      </c>
      <c r="H32" s="42">
        <v>10</v>
      </c>
      <c r="I32" s="42">
        <v>10</v>
      </c>
      <c r="J32" s="42">
        <v>10</v>
      </c>
      <c r="K32" s="42">
        <v>10</v>
      </c>
      <c r="L32" s="42">
        <v>10</v>
      </c>
      <c r="M32" s="43" t="s">
        <v>110</v>
      </c>
      <c r="N32" s="41"/>
    </row>
    <row r="33" spans="3:15" x14ac:dyDescent="0.25">
      <c r="C33" s="37"/>
      <c r="D33" s="39" t="s">
        <v>112</v>
      </c>
      <c r="E33" s="42">
        <v>4</v>
      </c>
      <c r="F33" s="42">
        <v>4</v>
      </c>
      <c r="G33" s="42">
        <v>4</v>
      </c>
      <c r="H33" s="42">
        <v>4</v>
      </c>
      <c r="I33" s="42">
        <v>4</v>
      </c>
      <c r="J33" s="42">
        <v>4</v>
      </c>
      <c r="K33" s="42">
        <v>4</v>
      </c>
      <c r="L33" s="42">
        <v>4</v>
      </c>
      <c r="M33" s="43" t="s">
        <v>113</v>
      </c>
      <c r="N33" s="41"/>
    </row>
    <row r="34" spans="3:15" x14ac:dyDescent="0.25">
      <c r="C34" s="37"/>
      <c r="D34" s="39" t="s">
        <v>115</v>
      </c>
      <c r="E34" s="48" t="s">
        <v>116</v>
      </c>
      <c r="F34" s="48" t="s">
        <v>116</v>
      </c>
      <c r="G34" s="48" t="s">
        <v>116</v>
      </c>
      <c r="H34" s="48" t="s">
        <v>116</v>
      </c>
      <c r="I34" s="48"/>
      <c r="J34" s="48"/>
      <c r="K34" s="48"/>
      <c r="L34" s="48"/>
      <c r="M34" s="43" t="s">
        <v>117</v>
      </c>
      <c r="N34" s="41"/>
    </row>
    <row r="35" spans="3:15" x14ac:dyDescent="0.25">
      <c r="C35" s="37"/>
      <c r="D35" s="39" t="s">
        <v>118</v>
      </c>
      <c r="E35" s="48" t="s">
        <v>116</v>
      </c>
      <c r="F35" s="48" t="s">
        <v>116</v>
      </c>
      <c r="G35" s="48" t="s">
        <v>116</v>
      </c>
      <c r="H35" s="48" t="s">
        <v>116</v>
      </c>
      <c r="I35" s="48"/>
      <c r="J35" s="48"/>
      <c r="K35" s="48"/>
      <c r="L35" s="48"/>
      <c r="M35" s="43"/>
      <c r="N35" s="41"/>
    </row>
    <row r="36" spans="3:15" x14ac:dyDescent="0.25">
      <c r="C36" s="37"/>
      <c r="D36" s="54"/>
      <c r="E36" s="54"/>
      <c r="F36" s="54"/>
      <c r="G36" s="54"/>
      <c r="H36" s="54"/>
      <c r="I36" s="54"/>
      <c r="J36" s="54"/>
      <c r="K36" s="54"/>
      <c r="L36" s="54"/>
      <c r="M36" s="54"/>
      <c r="N36" s="54"/>
    </row>
    <row r="37" spans="3:15" x14ac:dyDescent="0.25">
      <c r="C37" s="37"/>
      <c r="D37" s="52" t="s">
        <v>283</v>
      </c>
      <c r="E37" s="48"/>
      <c r="F37" s="48"/>
      <c r="G37" s="48"/>
      <c r="H37" s="48"/>
      <c r="I37" s="48"/>
      <c r="J37" s="48"/>
      <c r="K37" s="48"/>
      <c r="L37" s="48"/>
      <c r="M37" s="43"/>
      <c r="N37" s="41"/>
    </row>
    <row r="38" spans="3:15" x14ac:dyDescent="0.25">
      <c r="C38" s="37"/>
      <c r="D38" s="39" t="s">
        <v>120</v>
      </c>
      <c r="E38" s="49">
        <v>2.2000000000000002</v>
      </c>
      <c r="F38" s="49">
        <v>3.5</v>
      </c>
      <c r="G38" s="49">
        <v>3.8</v>
      </c>
      <c r="H38" s="49">
        <v>4</v>
      </c>
      <c r="I38" s="49">
        <v>2.2000000000000002</v>
      </c>
      <c r="J38" s="49">
        <v>2.2000000000000002</v>
      </c>
      <c r="K38" s="49">
        <v>3.2</v>
      </c>
      <c r="L38" s="49">
        <v>4</v>
      </c>
      <c r="M38" s="43"/>
      <c r="N38" s="41" t="s">
        <v>122</v>
      </c>
      <c r="O38" s="55"/>
    </row>
    <row r="39" spans="3:15" ht="15.6" x14ac:dyDescent="0.25">
      <c r="C39" s="37"/>
      <c r="D39" s="39" t="s">
        <v>123</v>
      </c>
      <c r="E39" s="56">
        <v>20</v>
      </c>
      <c r="F39" s="56">
        <v>20</v>
      </c>
      <c r="G39" s="56">
        <v>20</v>
      </c>
      <c r="H39" s="56">
        <v>20</v>
      </c>
      <c r="I39" s="56">
        <v>20</v>
      </c>
      <c r="J39" s="56">
        <v>20</v>
      </c>
      <c r="K39" s="56">
        <v>20</v>
      </c>
      <c r="L39" s="56">
        <v>20</v>
      </c>
      <c r="M39" s="57" t="s">
        <v>121</v>
      </c>
      <c r="N39" s="58"/>
      <c r="O39" s="55"/>
    </row>
    <row r="40" spans="3:15" x14ac:dyDescent="0.25">
      <c r="C40" s="37"/>
      <c r="E40" s="59"/>
      <c r="F40" s="60"/>
      <c r="G40" s="60"/>
      <c r="H40" s="60"/>
      <c r="I40" s="60"/>
      <c r="J40" s="61"/>
      <c r="K40" s="61"/>
      <c r="L40" s="62"/>
      <c r="M40" s="62"/>
      <c r="N40" s="63"/>
      <c r="O40" s="64"/>
    </row>
    <row r="41" spans="3:15" x14ac:dyDescent="0.25">
      <c r="C41" s="37"/>
    </row>
    <row r="42" spans="3:15" x14ac:dyDescent="0.25">
      <c r="C42" s="37"/>
      <c r="E42" s="66"/>
      <c r="F42" s="67"/>
      <c r="G42" s="67"/>
      <c r="H42" s="67"/>
      <c r="I42" s="67"/>
      <c r="J42" s="68"/>
      <c r="K42" s="68"/>
    </row>
    <row r="43" spans="3:15" x14ac:dyDescent="0.25">
      <c r="C43" s="332"/>
      <c r="D43" s="332"/>
      <c r="E43" s="332"/>
      <c r="F43" s="332"/>
      <c r="G43" s="332"/>
      <c r="H43" s="332"/>
      <c r="I43" s="332"/>
      <c r="J43" s="332"/>
      <c r="K43" s="332"/>
      <c r="L43" s="69"/>
      <c r="M43" s="70"/>
      <c r="N43" s="332"/>
      <c r="O43" s="332"/>
    </row>
    <row r="44" spans="3:15" x14ac:dyDescent="0.25">
      <c r="C44" s="70"/>
      <c r="E44" s="332"/>
      <c r="F44" s="333"/>
      <c r="G44" s="333"/>
      <c r="H44" s="333"/>
      <c r="I44" s="333"/>
      <c r="J44" s="333"/>
      <c r="K44" s="333"/>
      <c r="L44" s="333"/>
      <c r="M44" s="333"/>
      <c r="N44" s="332"/>
      <c r="O44" s="332"/>
    </row>
    <row r="45" spans="3:15" x14ac:dyDescent="0.25">
      <c r="C45" s="71"/>
      <c r="D45" s="332"/>
      <c r="E45" s="333"/>
      <c r="F45" s="333"/>
      <c r="G45" s="333"/>
      <c r="H45" s="333"/>
      <c r="I45" s="333"/>
      <c r="J45" s="333"/>
      <c r="K45" s="333"/>
      <c r="L45" s="333"/>
      <c r="M45" s="70"/>
      <c r="N45" s="332"/>
      <c r="O45" s="332"/>
    </row>
    <row r="46" spans="3:15" x14ac:dyDescent="0.25">
      <c r="C46" s="70"/>
      <c r="E46" s="332"/>
      <c r="F46" s="333"/>
      <c r="G46" s="333"/>
      <c r="H46" s="333"/>
      <c r="I46" s="333"/>
      <c r="J46" s="333"/>
      <c r="K46" s="333"/>
      <c r="L46" s="333"/>
      <c r="M46" s="333"/>
      <c r="N46" s="332"/>
      <c r="O46" s="332"/>
    </row>
    <row r="47" spans="3:15" x14ac:dyDescent="0.25">
      <c r="C47" s="70"/>
      <c r="D47" s="332"/>
      <c r="E47" s="333"/>
      <c r="F47" s="333"/>
      <c r="G47" s="333"/>
      <c r="H47" s="333"/>
      <c r="I47" s="333"/>
      <c r="J47" s="333"/>
      <c r="K47" s="333"/>
      <c r="L47" s="333"/>
      <c r="M47" s="70"/>
      <c r="N47" s="332"/>
      <c r="O47" s="332"/>
    </row>
    <row r="48" spans="3:15" x14ac:dyDescent="0.25">
      <c r="D48" s="72"/>
      <c r="N48" s="332"/>
      <c r="O48" s="332"/>
    </row>
    <row r="49" spans="3:15" x14ac:dyDescent="0.25">
      <c r="C49" s="70"/>
      <c r="D49" s="69"/>
      <c r="E49" s="69"/>
      <c r="F49" s="73"/>
      <c r="G49" s="69"/>
      <c r="H49" s="69"/>
      <c r="I49" s="69"/>
      <c r="J49" s="69"/>
      <c r="K49" s="69"/>
      <c r="L49" s="69"/>
      <c r="M49" s="70"/>
      <c r="N49" s="332"/>
      <c r="O49" s="332"/>
    </row>
    <row r="50" spans="3:15" x14ac:dyDescent="0.25">
      <c r="C50" s="337" t="s">
        <v>124</v>
      </c>
      <c r="D50" s="337"/>
      <c r="E50" s="66"/>
      <c r="F50" s="66"/>
      <c r="G50" s="66"/>
      <c r="H50" s="66"/>
      <c r="I50" s="66"/>
      <c r="J50" s="66"/>
      <c r="K50" s="66"/>
      <c r="L50" s="66"/>
      <c r="M50" s="70"/>
      <c r="N50" s="332"/>
      <c r="O50" s="332"/>
    </row>
    <row r="51" spans="3:15" x14ac:dyDescent="0.25">
      <c r="C51" s="74" t="s">
        <v>93</v>
      </c>
      <c r="D51" s="75" t="s">
        <v>125</v>
      </c>
      <c r="E51" s="76"/>
      <c r="F51" s="76"/>
      <c r="G51" s="76"/>
      <c r="H51" s="76"/>
      <c r="I51" s="76"/>
      <c r="J51" s="76"/>
      <c r="K51" s="76"/>
      <c r="L51" s="76"/>
      <c r="M51" s="77"/>
      <c r="N51" s="77"/>
      <c r="O51" s="77"/>
    </row>
    <row r="52" spans="3:15" x14ac:dyDescent="0.25">
      <c r="C52" s="74" t="s">
        <v>88</v>
      </c>
      <c r="D52" s="75" t="s">
        <v>126</v>
      </c>
      <c r="E52" s="76"/>
      <c r="F52" s="76"/>
      <c r="G52" s="76"/>
      <c r="H52" s="76"/>
      <c r="I52" s="76"/>
      <c r="J52" s="76"/>
      <c r="K52" s="76"/>
      <c r="L52" s="76"/>
      <c r="M52" s="77"/>
      <c r="N52" s="77"/>
      <c r="O52" s="77"/>
    </row>
    <row r="53" spans="3:15" x14ac:dyDescent="0.25">
      <c r="C53" s="74" t="s">
        <v>67</v>
      </c>
      <c r="D53" s="75" t="s">
        <v>292</v>
      </c>
      <c r="E53" s="79"/>
      <c r="F53" s="79"/>
      <c r="G53" s="79"/>
      <c r="H53" s="79"/>
      <c r="I53" s="79"/>
      <c r="J53" s="79"/>
      <c r="K53" s="79"/>
      <c r="L53" s="79"/>
      <c r="M53" s="79"/>
      <c r="N53" s="79"/>
      <c r="O53" s="79"/>
    </row>
    <row r="54" spans="3:15" x14ac:dyDescent="0.25">
      <c r="C54" s="74" t="s">
        <v>128</v>
      </c>
      <c r="D54" s="75" t="s">
        <v>293</v>
      </c>
      <c r="F54" s="76"/>
      <c r="G54" s="76"/>
      <c r="H54" s="76"/>
      <c r="I54" s="76"/>
      <c r="J54" s="76"/>
      <c r="K54" s="76"/>
      <c r="L54" s="76"/>
      <c r="M54" s="76"/>
      <c r="N54" s="77"/>
      <c r="O54" s="77"/>
    </row>
    <row r="55" spans="3:15" x14ac:dyDescent="0.25">
      <c r="C55" s="74" t="s">
        <v>58</v>
      </c>
      <c r="D55" s="75" t="s">
        <v>130</v>
      </c>
      <c r="E55" s="75"/>
      <c r="F55" s="75"/>
      <c r="G55" s="75"/>
      <c r="H55" s="75"/>
      <c r="I55" s="75"/>
      <c r="J55" s="75"/>
      <c r="K55" s="75"/>
      <c r="L55" s="75"/>
      <c r="M55" s="70"/>
      <c r="N55" s="80"/>
      <c r="O55" s="80"/>
    </row>
    <row r="56" spans="3:15" x14ac:dyDescent="0.25">
      <c r="C56" s="74" t="s">
        <v>110</v>
      </c>
      <c r="D56" s="75" t="s">
        <v>294</v>
      </c>
      <c r="E56" s="75"/>
      <c r="F56" s="75"/>
      <c r="G56" s="75"/>
      <c r="H56" s="75"/>
      <c r="I56" s="75"/>
      <c r="J56" s="75"/>
      <c r="K56" s="75"/>
      <c r="L56" s="75"/>
      <c r="M56" s="75"/>
      <c r="N56" s="75"/>
      <c r="O56" s="75"/>
    </row>
    <row r="57" spans="3:15" x14ac:dyDescent="0.25">
      <c r="C57" s="74" t="s">
        <v>132</v>
      </c>
      <c r="D57" s="80" t="s">
        <v>295</v>
      </c>
      <c r="E57" s="80"/>
      <c r="F57" s="80"/>
      <c r="G57" s="80"/>
      <c r="H57" s="80"/>
      <c r="I57" s="80"/>
      <c r="J57" s="80"/>
      <c r="K57" s="80"/>
      <c r="L57" s="80"/>
      <c r="M57" s="80"/>
      <c r="N57" s="80"/>
      <c r="O57" s="80"/>
    </row>
    <row r="58" spans="3:15" x14ac:dyDescent="0.25">
      <c r="C58" s="74" t="s">
        <v>121</v>
      </c>
      <c r="D58" s="80" t="s">
        <v>296</v>
      </c>
      <c r="E58" s="80"/>
      <c r="F58" s="80"/>
      <c r="G58" s="80"/>
      <c r="H58" s="80"/>
      <c r="I58" s="80"/>
      <c r="J58" s="80"/>
      <c r="K58" s="80"/>
      <c r="L58" s="80"/>
      <c r="M58" s="80"/>
    </row>
    <row r="59" spans="3:15" x14ac:dyDescent="0.25">
      <c r="C59" s="74" t="s">
        <v>135</v>
      </c>
      <c r="D59" s="81" t="s">
        <v>136</v>
      </c>
      <c r="E59" s="79"/>
      <c r="F59" s="79"/>
      <c r="G59" s="79"/>
      <c r="H59" s="79"/>
      <c r="I59" s="79"/>
      <c r="J59" s="79"/>
      <c r="K59" s="79"/>
      <c r="L59" s="79"/>
    </row>
    <row r="60" spans="3:15" x14ac:dyDescent="0.25">
      <c r="C60" s="74" t="s">
        <v>137</v>
      </c>
      <c r="D60" s="81" t="s">
        <v>297</v>
      </c>
      <c r="E60" s="81"/>
      <c r="F60" s="81"/>
      <c r="G60" s="81"/>
      <c r="H60" s="81"/>
      <c r="I60" s="81"/>
      <c r="J60" s="81"/>
      <c r="K60" s="81"/>
      <c r="L60" s="81"/>
      <c r="M60" s="81"/>
      <c r="N60" s="81"/>
      <c r="O60" s="81"/>
    </row>
    <row r="61" spans="3:15" x14ac:dyDescent="0.25">
      <c r="C61" s="74" t="s">
        <v>95</v>
      </c>
      <c r="D61" s="82" t="s">
        <v>139</v>
      </c>
      <c r="E61" s="81"/>
      <c r="F61" s="81"/>
      <c r="G61" s="81"/>
      <c r="H61" s="81"/>
      <c r="I61" s="81"/>
      <c r="J61" s="81"/>
      <c r="K61" s="81"/>
      <c r="L61" s="81"/>
      <c r="M61" s="81"/>
      <c r="N61" s="81"/>
      <c r="O61" s="81"/>
    </row>
    <row r="62" spans="3:15" ht="13.8" x14ac:dyDescent="0.25">
      <c r="C62" s="74" t="s">
        <v>140</v>
      </c>
      <c r="D62" s="81" t="s">
        <v>141</v>
      </c>
      <c r="E62" s="83"/>
      <c r="F62" s="83"/>
      <c r="G62" s="83"/>
      <c r="H62" s="83"/>
      <c r="I62" s="83"/>
      <c r="J62" s="83"/>
      <c r="K62" s="83"/>
      <c r="L62" s="83"/>
      <c r="M62" s="83"/>
      <c r="N62" s="83"/>
      <c r="O62" s="83"/>
    </row>
    <row r="63" spans="3:15" x14ac:dyDescent="0.25">
      <c r="C63" s="74" t="s">
        <v>117</v>
      </c>
      <c r="D63" s="82" t="s">
        <v>142</v>
      </c>
      <c r="E63" s="81"/>
      <c r="F63" s="81"/>
      <c r="G63" s="81"/>
      <c r="H63" s="81"/>
      <c r="I63" s="81"/>
      <c r="J63" s="81"/>
      <c r="K63" s="81"/>
      <c r="L63" s="81"/>
      <c r="M63" s="81"/>
      <c r="N63" s="81"/>
      <c r="O63" s="81"/>
    </row>
    <row r="64" spans="3:15" ht="13.8" x14ac:dyDescent="0.25">
      <c r="C64" s="74" t="s">
        <v>59</v>
      </c>
      <c r="D64" s="80" t="s">
        <v>143</v>
      </c>
      <c r="E64" s="83"/>
      <c r="F64" s="83"/>
      <c r="G64" s="83"/>
      <c r="I64" s="83"/>
      <c r="J64" s="83"/>
      <c r="K64" s="83"/>
      <c r="L64" s="83"/>
      <c r="M64" s="83"/>
      <c r="N64" s="83"/>
      <c r="O64" s="83"/>
    </row>
    <row r="65" spans="3:15" x14ac:dyDescent="0.25">
      <c r="C65" s="74" t="s">
        <v>144</v>
      </c>
      <c r="D65" s="81" t="s">
        <v>145</v>
      </c>
      <c r="E65" s="81"/>
      <c r="F65" s="81"/>
      <c r="G65" s="81"/>
      <c r="H65" s="81"/>
      <c r="I65" s="81"/>
      <c r="J65" s="81"/>
      <c r="K65" s="81"/>
      <c r="L65" s="81"/>
      <c r="M65" s="81"/>
      <c r="N65" s="81"/>
      <c r="O65" s="81"/>
    </row>
    <row r="66" spans="3:15" ht="13.8" x14ac:dyDescent="0.25">
      <c r="C66" s="74"/>
      <c r="D66" s="82"/>
      <c r="E66" s="83"/>
      <c r="F66" s="83"/>
      <c r="G66" s="83"/>
      <c r="H66" s="83"/>
      <c r="I66" s="83"/>
      <c r="J66" s="83"/>
      <c r="K66" s="83"/>
      <c r="L66" s="83"/>
      <c r="M66" s="83"/>
      <c r="N66" s="83"/>
      <c r="O66" s="83"/>
    </row>
    <row r="67" spans="3:15" x14ac:dyDescent="0.25">
      <c r="C67" s="84" t="s">
        <v>146</v>
      </c>
      <c r="D67" s="85"/>
      <c r="E67" s="85"/>
      <c r="F67" s="85"/>
      <c r="G67" s="85"/>
      <c r="H67" s="85"/>
      <c r="I67" s="85"/>
      <c r="J67" s="85"/>
      <c r="K67" s="85"/>
    </row>
    <row r="68" spans="3:15" x14ac:dyDescent="0.25">
      <c r="C68" s="37">
        <v>21</v>
      </c>
      <c r="D68" s="81" t="s">
        <v>147</v>
      </c>
      <c r="F68" s="86"/>
      <c r="G68" s="86"/>
      <c r="H68" s="86"/>
      <c r="I68" s="86"/>
      <c r="J68" s="86"/>
      <c r="K68" s="86"/>
      <c r="L68" s="86"/>
      <c r="M68" s="86"/>
    </row>
    <row r="69" spans="3:15" x14ac:dyDescent="0.25">
      <c r="C69" s="37">
        <v>24</v>
      </c>
      <c r="D69" s="81" t="s">
        <v>148</v>
      </c>
      <c r="F69" s="86"/>
      <c r="G69" s="86"/>
      <c r="H69" s="86"/>
      <c r="I69" s="86"/>
      <c r="J69" s="86"/>
      <c r="K69" s="86"/>
      <c r="L69" s="86"/>
      <c r="M69" s="86"/>
    </row>
    <row r="70" spans="3:15" x14ac:dyDescent="0.25">
      <c r="C70" s="37">
        <v>26</v>
      </c>
      <c r="D70" s="81" t="s">
        <v>149</v>
      </c>
      <c r="F70" s="86"/>
      <c r="G70" s="86"/>
      <c r="H70" s="86"/>
      <c r="I70" s="86"/>
      <c r="J70" s="86"/>
      <c r="K70" s="86"/>
      <c r="L70" s="86"/>
      <c r="M70" s="86"/>
    </row>
    <row r="71" spans="3:15" x14ac:dyDescent="0.25">
      <c r="C71">
        <v>27</v>
      </c>
      <c r="D71" s="81" t="s">
        <v>150</v>
      </c>
    </row>
  </sheetData>
  <mergeCells count="17">
    <mergeCell ref="N48:O48"/>
    <mergeCell ref="N49:O49"/>
    <mergeCell ref="C50:D50"/>
    <mergeCell ref="N50:O50"/>
    <mergeCell ref="D45:L45"/>
    <mergeCell ref="N45:O45"/>
    <mergeCell ref="E46:M46"/>
    <mergeCell ref="N46:O46"/>
    <mergeCell ref="D47:L47"/>
    <mergeCell ref="N47:O47"/>
    <mergeCell ref="E44:M44"/>
    <mergeCell ref="N44:O44"/>
    <mergeCell ref="E3:N3"/>
    <mergeCell ref="I4:J4"/>
    <mergeCell ref="K4:L4"/>
    <mergeCell ref="C43:K43"/>
    <mergeCell ref="N43:O43"/>
  </mergeCells>
  <hyperlinks>
    <hyperlink ref="E3" location="INDEX" display="Biogas plant, additional straw input in the feedstock mix" xr:uid="{C8B51AD8-9E69-4FE2-8353-34D9D64EFBEE}"/>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ED9A04-433B-468F-86B1-42883F633B3F}">
  <sheetPr>
    <tabColor theme="3" tint="0.39997558519241921"/>
  </sheetPr>
  <dimension ref="B2:N62"/>
  <sheetViews>
    <sheetView zoomScale="69" workbookViewId="0">
      <selection activeCell="C38" sqref="C38:N38"/>
    </sheetView>
  </sheetViews>
  <sheetFormatPr defaultRowHeight="13.2" x14ac:dyDescent="0.25"/>
  <cols>
    <col min="3" max="3" width="78" customWidth="1"/>
  </cols>
  <sheetData>
    <row r="2" spans="2:14" x14ac:dyDescent="0.25">
      <c r="B2" s="37"/>
      <c r="C2" s="38" t="s">
        <v>71</v>
      </c>
      <c r="D2" s="334" t="s">
        <v>270</v>
      </c>
      <c r="E2" s="335"/>
      <c r="F2" s="335"/>
      <c r="G2" s="335"/>
      <c r="H2" s="335"/>
      <c r="I2" s="335"/>
      <c r="J2" s="335"/>
      <c r="K2" s="335"/>
      <c r="L2" s="335"/>
      <c r="M2" s="335"/>
    </row>
    <row r="3" spans="2:14" x14ac:dyDescent="0.25">
      <c r="B3" s="37"/>
      <c r="C3" s="39"/>
      <c r="D3" s="40">
        <v>2020</v>
      </c>
      <c r="E3" s="40">
        <v>2030</v>
      </c>
      <c r="F3" s="40">
        <v>2040</v>
      </c>
      <c r="G3" s="40">
        <v>2050</v>
      </c>
      <c r="H3" s="336" t="s">
        <v>73</v>
      </c>
      <c r="I3" s="336"/>
      <c r="J3" s="336" t="s">
        <v>74</v>
      </c>
      <c r="K3" s="336"/>
      <c r="L3" s="40" t="s">
        <v>75</v>
      </c>
      <c r="M3" s="40" t="s">
        <v>76</v>
      </c>
    </row>
    <row r="4" spans="2:14" x14ac:dyDescent="0.25">
      <c r="B4" s="37"/>
      <c r="C4" s="38" t="s">
        <v>77</v>
      </c>
      <c r="D4" s="38"/>
      <c r="E4" s="38"/>
      <c r="F4" s="38"/>
      <c r="G4" s="38"/>
      <c r="H4" s="40" t="s">
        <v>78</v>
      </c>
      <c r="I4" s="40" t="s">
        <v>79</v>
      </c>
      <c r="J4" s="40" t="s">
        <v>78</v>
      </c>
      <c r="K4" s="40" t="s">
        <v>79</v>
      </c>
      <c r="L4" s="38"/>
      <c r="M4" s="41"/>
      <c r="N4" s="27"/>
    </row>
    <row r="5" spans="2:14" x14ac:dyDescent="0.25">
      <c r="B5" s="37"/>
      <c r="C5" s="39" t="s">
        <v>271</v>
      </c>
      <c r="D5" s="42">
        <v>1</v>
      </c>
      <c r="E5" s="42">
        <v>1</v>
      </c>
      <c r="F5" s="42">
        <v>1</v>
      </c>
      <c r="G5" s="42">
        <v>1</v>
      </c>
      <c r="H5" s="42">
        <v>1</v>
      </c>
      <c r="I5" s="42">
        <v>1</v>
      </c>
      <c r="J5" s="42">
        <v>1</v>
      </c>
      <c r="K5" s="42">
        <v>1</v>
      </c>
      <c r="L5" s="43" t="s">
        <v>93</v>
      </c>
      <c r="M5" s="41"/>
    </row>
    <row r="6" spans="2:14" x14ac:dyDescent="0.25">
      <c r="B6" s="37"/>
      <c r="C6" s="39" t="s">
        <v>81</v>
      </c>
      <c r="D6" s="42">
        <f t="shared" ref="D6:K6" si="0">D5*3600*(D15/100)*24/120</f>
        <v>558</v>
      </c>
      <c r="E6" s="42">
        <f t="shared" si="0"/>
        <v>579.6</v>
      </c>
      <c r="F6" s="42">
        <f t="shared" si="0"/>
        <v>590.4</v>
      </c>
      <c r="G6" s="42">
        <f t="shared" si="0"/>
        <v>601.20000000000005</v>
      </c>
      <c r="H6" s="42">
        <f t="shared" si="0"/>
        <v>532.79999999999995</v>
      </c>
      <c r="I6" s="42">
        <f t="shared" si="0"/>
        <v>583.20000000000005</v>
      </c>
      <c r="J6" s="42">
        <f t="shared" si="0"/>
        <v>554.4</v>
      </c>
      <c r="K6" s="42">
        <f t="shared" si="0"/>
        <v>609.12</v>
      </c>
      <c r="L6" s="43" t="s">
        <v>58</v>
      </c>
      <c r="M6" s="41"/>
    </row>
    <row r="7" spans="2:14" x14ac:dyDescent="0.25">
      <c r="B7" s="37"/>
      <c r="C7" s="39"/>
      <c r="D7" s="39"/>
      <c r="E7" s="39"/>
      <c r="F7" s="39"/>
      <c r="G7" s="39"/>
      <c r="H7" s="39"/>
      <c r="I7" s="39"/>
      <c r="J7" s="39"/>
      <c r="K7" s="39"/>
      <c r="L7" s="39"/>
      <c r="M7" s="39"/>
      <c r="N7" s="12"/>
    </row>
    <row r="8" spans="2:14" x14ac:dyDescent="0.25">
      <c r="B8" s="37"/>
      <c r="C8" s="44" t="s">
        <v>83</v>
      </c>
      <c r="D8" s="42"/>
      <c r="E8" s="42"/>
      <c r="F8" s="42"/>
      <c r="G8" s="42"/>
      <c r="H8" s="42"/>
      <c r="I8" s="42"/>
      <c r="J8" s="42"/>
      <c r="K8" s="42"/>
      <c r="L8" s="43"/>
      <c r="M8" s="41"/>
    </row>
    <row r="9" spans="2:14" x14ac:dyDescent="0.25">
      <c r="B9" s="37"/>
      <c r="C9" s="39" t="s">
        <v>84</v>
      </c>
      <c r="D9" s="49">
        <v>79.5</v>
      </c>
      <c r="E9" s="49">
        <v>80.5</v>
      </c>
      <c r="F9" s="49">
        <v>81.400000000000006</v>
      </c>
      <c r="G9" s="49">
        <v>81.400000000000006</v>
      </c>
      <c r="H9" s="49">
        <v>79</v>
      </c>
      <c r="I9" s="49">
        <v>82</v>
      </c>
      <c r="J9" s="49">
        <v>81</v>
      </c>
      <c r="K9" s="49">
        <v>83</v>
      </c>
      <c r="L9" s="43" t="s">
        <v>93</v>
      </c>
      <c r="M9" s="41"/>
    </row>
    <row r="10" spans="2:14" x14ac:dyDescent="0.25">
      <c r="B10" s="37"/>
      <c r="C10" s="39" t="s">
        <v>272</v>
      </c>
      <c r="D10" s="49">
        <f>100-D9</f>
        <v>20.5</v>
      </c>
      <c r="E10" s="49">
        <f t="shared" ref="E10:K10" si="1">100-E9</f>
        <v>19.5</v>
      </c>
      <c r="F10" s="49">
        <f t="shared" si="1"/>
        <v>18.599999999999994</v>
      </c>
      <c r="G10" s="49">
        <f t="shared" si="1"/>
        <v>18.599999999999994</v>
      </c>
      <c r="H10" s="49">
        <f t="shared" si="1"/>
        <v>21</v>
      </c>
      <c r="I10" s="49">
        <f t="shared" si="1"/>
        <v>18</v>
      </c>
      <c r="J10" s="49">
        <f t="shared" si="1"/>
        <v>19</v>
      </c>
      <c r="K10" s="49">
        <f t="shared" si="1"/>
        <v>17</v>
      </c>
      <c r="L10" s="43"/>
      <c r="M10" s="41"/>
    </row>
    <row r="11" spans="2:14" x14ac:dyDescent="0.25">
      <c r="B11" s="37"/>
      <c r="C11" s="39"/>
      <c r="D11" s="114"/>
      <c r="E11" s="114"/>
      <c r="F11" s="114"/>
      <c r="G11" s="114"/>
      <c r="H11" s="114"/>
      <c r="I11" s="114"/>
      <c r="J11" s="114"/>
      <c r="K11" s="114"/>
      <c r="L11" s="114"/>
      <c r="M11" s="114"/>
    </row>
    <row r="12" spans="2:14" x14ac:dyDescent="0.25">
      <c r="B12" s="37"/>
      <c r="C12" s="39" t="s">
        <v>273</v>
      </c>
      <c r="D12" s="42">
        <f>D19+(D19*8)</f>
        <v>209.27092709270929</v>
      </c>
      <c r="E12" s="42">
        <f t="shared" ref="E12:K12" si="2">E19+(E19*8)</f>
        <v>217.37173717371738</v>
      </c>
      <c r="F12" s="42">
        <f t="shared" si="2"/>
        <v>221.42214221422142</v>
      </c>
      <c r="G12" s="42">
        <f t="shared" si="2"/>
        <v>225.47254725472547</v>
      </c>
      <c r="H12" s="42">
        <f t="shared" si="2"/>
        <v>199.81998199819981</v>
      </c>
      <c r="I12" s="42">
        <f t="shared" si="2"/>
        <v>218.72187218721871</v>
      </c>
      <c r="J12" s="42">
        <f t="shared" si="2"/>
        <v>207.92079207920793</v>
      </c>
      <c r="K12" s="42">
        <f t="shared" si="2"/>
        <v>228.44284428442845</v>
      </c>
      <c r="L12" s="43"/>
      <c r="M12" s="41"/>
    </row>
    <row r="13" spans="2:14" x14ac:dyDescent="0.25">
      <c r="B13" s="37"/>
      <c r="C13" s="45"/>
      <c r="D13" s="114"/>
      <c r="E13" s="114"/>
      <c r="F13" s="114"/>
      <c r="G13" s="114"/>
      <c r="H13" s="114"/>
      <c r="I13" s="114"/>
      <c r="J13" s="114"/>
      <c r="K13" s="114"/>
      <c r="L13" s="114"/>
      <c r="M13" s="114"/>
      <c r="N13" s="46"/>
    </row>
    <row r="14" spans="2:14" x14ac:dyDescent="0.25">
      <c r="B14" s="37"/>
      <c r="C14" s="47" t="s">
        <v>86</v>
      </c>
      <c r="D14" s="115"/>
      <c r="E14" s="116"/>
      <c r="F14" s="115"/>
      <c r="G14" s="115"/>
      <c r="H14" s="117"/>
      <c r="I14" s="117"/>
      <c r="J14" s="117"/>
      <c r="K14" s="117"/>
      <c r="L14" s="115"/>
      <c r="M14" s="115"/>
    </row>
    <row r="15" spans="2:14" x14ac:dyDescent="0.25">
      <c r="B15" s="37"/>
      <c r="C15" s="39" t="s">
        <v>87</v>
      </c>
      <c r="D15" s="49">
        <f>(74+81)/2</f>
        <v>77.5</v>
      </c>
      <c r="E15" s="49">
        <f>(77+84)/2</f>
        <v>80.5</v>
      </c>
      <c r="F15" s="49">
        <f>(E15+G15)/2</f>
        <v>82</v>
      </c>
      <c r="G15" s="49">
        <f>(77+90)/2</f>
        <v>83.5</v>
      </c>
      <c r="H15" s="49">
        <v>74</v>
      </c>
      <c r="I15" s="49">
        <v>81</v>
      </c>
      <c r="J15" s="49">
        <v>77</v>
      </c>
      <c r="K15" s="49">
        <v>84.6</v>
      </c>
      <c r="L15" s="43" t="s">
        <v>274</v>
      </c>
      <c r="M15" s="41" t="s">
        <v>89</v>
      </c>
      <c r="N15" s="50"/>
    </row>
    <row r="16" spans="2:14" x14ac:dyDescent="0.25">
      <c r="B16" s="37"/>
      <c r="C16" s="39" t="s">
        <v>275</v>
      </c>
      <c r="D16" s="49">
        <f t="shared" ref="D16:K16" si="3">D15/33.33*39.4-D15</f>
        <v>14.114161416141613</v>
      </c>
      <c r="E16" s="49">
        <f t="shared" si="3"/>
        <v>14.660516051605157</v>
      </c>
      <c r="F16" s="49">
        <f t="shared" si="3"/>
        <v>14.933693369336936</v>
      </c>
      <c r="G16" s="49">
        <f t="shared" si="3"/>
        <v>15.206870687068701</v>
      </c>
      <c r="H16" s="49">
        <f>H15/33.33*39.4-H15</f>
        <v>13.476747674767466</v>
      </c>
      <c r="I16" s="49">
        <f t="shared" si="3"/>
        <v>14.751575157515745</v>
      </c>
      <c r="J16" s="49">
        <f t="shared" si="3"/>
        <v>14.023102310231025</v>
      </c>
      <c r="K16" s="49">
        <f t="shared" si="3"/>
        <v>15.407200720072012</v>
      </c>
      <c r="L16" s="43" t="s">
        <v>121</v>
      </c>
      <c r="M16" s="41"/>
    </row>
    <row r="17" spans="2:14" x14ac:dyDescent="0.25">
      <c r="B17" s="37"/>
      <c r="C17" s="39" t="s">
        <v>276</v>
      </c>
      <c r="D17" s="49">
        <f t="shared" ref="D17:K17" si="4">100-D15-D16</f>
        <v>8.3858385838583871</v>
      </c>
      <c r="E17" s="49">
        <f t="shared" si="4"/>
        <v>4.8394839483948431</v>
      </c>
      <c r="F17" s="49">
        <f t="shared" si="4"/>
        <v>3.066306630663064</v>
      </c>
      <c r="G17" s="49">
        <f t="shared" si="4"/>
        <v>1.2931293129312991</v>
      </c>
      <c r="H17" s="49">
        <f t="shared" si="4"/>
        <v>12.523252325232534</v>
      </c>
      <c r="I17" s="49">
        <f>100-I15-I16</f>
        <v>4.2484248424842548</v>
      </c>
      <c r="J17" s="49">
        <f t="shared" si="4"/>
        <v>8.9768976897689754</v>
      </c>
      <c r="K17" s="49">
        <f t="shared" si="4"/>
        <v>-7.2007200720065612E-3</v>
      </c>
      <c r="L17" s="43"/>
      <c r="M17" s="41"/>
    </row>
    <row r="18" spans="2:14" x14ac:dyDescent="0.25">
      <c r="B18" s="37"/>
      <c r="C18" s="39"/>
      <c r="D18" s="114"/>
      <c r="E18" s="114"/>
      <c r="F18" s="114"/>
      <c r="G18" s="114"/>
      <c r="H18" s="114"/>
      <c r="I18" s="114"/>
      <c r="J18" s="114"/>
      <c r="K18" s="114"/>
      <c r="L18" s="114"/>
      <c r="M18" s="114"/>
    </row>
    <row r="19" spans="2:14" x14ac:dyDescent="0.25">
      <c r="B19" s="37"/>
      <c r="C19" s="39" t="s">
        <v>277</v>
      </c>
      <c r="D19" s="49">
        <f>D15/33.33*1000/100</f>
        <v>23.252325232523255</v>
      </c>
      <c r="E19" s="49">
        <f t="shared" ref="E19:K19" si="5">E15/33.33*1000/100</f>
        <v>24.152415241524153</v>
      </c>
      <c r="F19" s="49">
        <f t="shared" si="5"/>
        <v>24.602460246024602</v>
      </c>
      <c r="G19" s="49">
        <f t="shared" si="5"/>
        <v>25.052505250525051</v>
      </c>
      <c r="H19" s="49">
        <f t="shared" si="5"/>
        <v>22.202220222022202</v>
      </c>
      <c r="I19" s="49">
        <f t="shared" si="5"/>
        <v>24.3024302430243</v>
      </c>
      <c r="J19" s="49">
        <f t="shared" si="5"/>
        <v>23.102310231023104</v>
      </c>
      <c r="K19" s="49">
        <f t="shared" si="5"/>
        <v>25.382538253825384</v>
      </c>
      <c r="L19" s="43"/>
      <c r="M19" s="41"/>
    </row>
    <row r="20" spans="2:14" x14ac:dyDescent="0.25">
      <c r="B20" s="37"/>
      <c r="C20" s="39"/>
      <c r="D20" s="42"/>
      <c r="E20" s="42"/>
      <c r="F20" s="42"/>
      <c r="G20" s="42"/>
      <c r="H20" s="42"/>
      <c r="I20" s="42"/>
      <c r="J20" s="42"/>
      <c r="K20" s="42"/>
      <c r="L20" s="43"/>
      <c r="M20" s="41"/>
    </row>
    <row r="21" spans="2:14" x14ac:dyDescent="0.25">
      <c r="B21" s="37"/>
      <c r="C21" s="39" t="s">
        <v>97</v>
      </c>
      <c r="D21" s="49">
        <v>1.4</v>
      </c>
      <c r="E21" s="49">
        <v>1.4</v>
      </c>
      <c r="F21" s="49">
        <v>1.4</v>
      </c>
      <c r="G21" s="49">
        <v>1.4</v>
      </c>
      <c r="H21" s="49">
        <v>1.4</v>
      </c>
      <c r="I21" s="49">
        <v>1.4</v>
      </c>
      <c r="J21" s="49">
        <v>1.4</v>
      </c>
      <c r="K21" s="49">
        <v>1.4</v>
      </c>
      <c r="L21" s="43" t="s">
        <v>93</v>
      </c>
      <c r="M21" s="41"/>
    </row>
    <row r="22" spans="2:14" x14ac:dyDescent="0.25">
      <c r="B22" s="37"/>
      <c r="C22" s="39" t="s">
        <v>98</v>
      </c>
      <c r="D22" s="42">
        <v>5</v>
      </c>
      <c r="E22" s="42">
        <v>5</v>
      </c>
      <c r="F22" s="42">
        <v>5</v>
      </c>
      <c r="G22" s="42">
        <v>5</v>
      </c>
      <c r="H22" s="42">
        <v>5</v>
      </c>
      <c r="I22" s="42">
        <v>5</v>
      </c>
      <c r="J22" s="42">
        <v>5</v>
      </c>
      <c r="K22" s="42">
        <v>5</v>
      </c>
      <c r="L22" s="43" t="s">
        <v>93</v>
      </c>
      <c r="M22" s="41"/>
    </row>
    <row r="23" spans="2:14" x14ac:dyDescent="0.25">
      <c r="B23" s="37"/>
      <c r="C23" s="39" t="s">
        <v>99</v>
      </c>
      <c r="D23" s="42">
        <v>10</v>
      </c>
      <c r="E23" s="42">
        <v>20</v>
      </c>
      <c r="F23" s="42">
        <v>20</v>
      </c>
      <c r="G23" s="42">
        <v>20</v>
      </c>
      <c r="H23" s="42">
        <v>10</v>
      </c>
      <c r="I23" s="42">
        <v>10</v>
      </c>
      <c r="J23" s="42">
        <v>15</v>
      </c>
      <c r="K23" s="42">
        <v>20</v>
      </c>
      <c r="L23" s="43" t="s">
        <v>93</v>
      </c>
      <c r="M23" s="41"/>
    </row>
    <row r="24" spans="2:14" x14ac:dyDescent="0.25">
      <c r="B24" s="37"/>
      <c r="C24" s="39" t="s">
        <v>278</v>
      </c>
      <c r="D24" s="49">
        <v>4</v>
      </c>
      <c r="E24" s="49">
        <v>0.5</v>
      </c>
      <c r="F24" s="49">
        <v>0.5</v>
      </c>
      <c r="G24" s="49">
        <v>0.5</v>
      </c>
      <c r="H24" s="49">
        <v>4</v>
      </c>
      <c r="I24" s="49">
        <v>4</v>
      </c>
      <c r="J24" s="49">
        <v>0.5</v>
      </c>
      <c r="K24" s="49">
        <v>1</v>
      </c>
      <c r="L24" s="43" t="s">
        <v>93</v>
      </c>
      <c r="M24" s="41"/>
    </row>
    <row r="25" spans="2:14" x14ac:dyDescent="0.25">
      <c r="B25" s="37"/>
      <c r="C25" s="39"/>
      <c r="D25" s="39"/>
      <c r="E25" s="39"/>
      <c r="F25" s="39"/>
      <c r="G25" s="39"/>
      <c r="H25" s="39"/>
      <c r="I25" s="39"/>
      <c r="J25" s="39"/>
      <c r="K25" s="39"/>
      <c r="L25" s="39"/>
      <c r="M25" s="39"/>
    </row>
    <row r="26" spans="2:14" x14ac:dyDescent="0.25">
      <c r="B26" s="37"/>
      <c r="C26" s="52" t="s">
        <v>279</v>
      </c>
      <c r="D26" s="48"/>
      <c r="E26" s="48"/>
      <c r="F26" s="48"/>
      <c r="G26" s="48"/>
      <c r="H26" s="48"/>
      <c r="I26" s="48"/>
      <c r="J26" s="48"/>
      <c r="K26" s="48"/>
      <c r="L26" s="43"/>
      <c r="M26" s="41"/>
    </row>
    <row r="27" spans="2:14" x14ac:dyDescent="0.25">
      <c r="B27" s="37"/>
      <c r="C27" s="39" t="s">
        <v>105</v>
      </c>
      <c r="D27" s="42">
        <f>((2800+5600)/2*0.85)/(D9/100)</f>
        <v>4490.566037735849</v>
      </c>
      <c r="E27" s="42">
        <f>(800+2800)/2*0.85/(E9/100)</f>
        <v>1900.6211180124224</v>
      </c>
      <c r="F27" s="42">
        <f>E27/2+G27/2</f>
        <v>1341.8953255909778</v>
      </c>
      <c r="G27" s="42">
        <f>(500+1000)/2*0.85/(G9/100)</f>
        <v>783.16953316953311</v>
      </c>
      <c r="H27" s="42">
        <f>2800*0.85/(H9/100)</f>
        <v>3012.658227848101</v>
      </c>
      <c r="I27" s="42">
        <f>5600*0.85/(I9/100)</f>
        <v>5804.8780487804879</v>
      </c>
      <c r="J27" s="42">
        <f>500*0.85/(J9/100)</f>
        <v>524.69135802469134</v>
      </c>
      <c r="K27" s="42">
        <f>1000*0.85/(K9/100)</f>
        <v>1024.0963855421687</v>
      </c>
      <c r="L27" s="43" t="s">
        <v>280</v>
      </c>
      <c r="M27" s="41" t="s">
        <v>89</v>
      </c>
      <c r="N27" s="53"/>
    </row>
    <row r="28" spans="2:14" x14ac:dyDescent="0.25">
      <c r="B28" s="37"/>
      <c r="C28" s="39" t="s">
        <v>107</v>
      </c>
      <c r="D28" s="42">
        <f t="shared" ref="D28:K28" si="6">(D19/1000)^-1/24*D27</f>
        <v>8046.8046256847219</v>
      </c>
      <c r="E28" s="42">
        <f t="shared" si="6"/>
        <v>3278.8665560742261</v>
      </c>
      <c r="F28" s="42">
        <f t="shared" si="6"/>
        <v>2272.6306505054517</v>
      </c>
      <c r="G28" s="42">
        <f t="shared" si="6"/>
        <v>1302.5469331607055</v>
      </c>
      <c r="H28" s="42">
        <f t="shared" si="6"/>
        <v>5653.8231269243925</v>
      </c>
      <c r="I28" s="42">
        <f t="shared" si="6"/>
        <v>9952.4992472146951</v>
      </c>
      <c r="J28" s="42">
        <f t="shared" si="6"/>
        <v>946.31834215167544</v>
      </c>
      <c r="K28" s="42">
        <f t="shared" si="6"/>
        <v>1681.1038480161778</v>
      </c>
      <c r="L28" s="43" t="s">
        <v>281</v>
      </c>
      <c r="M28" s="41" t="s">
        <v>89</v>
      </c>
    </row>
    <row r="29" spans="2:14" x14ac:dyDescent="0.25">
      <c r="B29" s="37"/>
      <c r="C29" s="39" t="s">
        <v>109</v>
      </c>
      <c r="D29" s="42">
        <v>80</v>
      </c>
      <c r="E29" s="42">
        <v>80</v>
      </c>
      <c r="F29" s="42">
        <v>80</v>
      </c>
      <c r="G29" s="42">
        <v>80</v>
      </c>
      <c r="H29" s="42">
        <v>80</v>
      </c>
      <c r="I29" s="42">
        <v>80</v>
      </c>
      <c r="J29" s="42">
        <v>80</v>
      </c>
      <c r="K29" s="42">
        <v>80</v>
      </c>
      <c r="L29" s="43" t="s">
        <v>93</v>
      </c>
      <c r="M29" s="41"/>
    </row>
    <row r="30" spans="2:14" x14ac:dyDescent="0.25">
      <c r="B30" s="37"/>
      <c r="C30" s="39" t="s">
        <v>111</v>
      </c>
      <c r="D30" s="42">
        <v>20</v>
      </c>
      <c r="E30" s="42">
        <v>20</v>
      </c>
      <c r="F30" s="42">
        <v>20</v>
      </c>
      <c r="G30" s="42">
        <v>20</v>
      </c>
      <c r="H30" s="42">
        <v>20</v>
      </c>
      <c r="I30" s="42">
        <v>20</v>
      </c>
      <c r="J30" s="42">
        <v>20</v>
      </c>
      <c r="K30" s="42">
        <v>20</v>
      </c>
      <c r="L30" s="43" t="s">
        <v>93</v>
      </c>
      <c r="M30" s="41"/>
    </row>
    <row r="31" spans="2:14" x14ac:dyDescent="0.25">
      <c r="B31" s="37"/>
      <c r="C31" s="39" t="s">
        <v>112</v>
      </c>
      <c r="D31" s="42">
        <v>12</v>
      </c>
      <c r="E31" s="42">
        <v>12</v>
      </c>
      <c r="F31" s="42">
        <v>12</v>
      </c>
      <c r="G31" s="42">
        <v>12</v>
      </c>
      <c r="H31" s="42">
        <v>12</v>
      </c>
      <c r="I31" s="42">
        <v>12</v>
      </c>
      <c r="J31" s="42">
        <v>12</v>
      </c>
      <c r="K31" s="42">
        <v>12</v>
      </c>
      <c r="L31" s="42" t="s">
        <v>282</v>
      </c>
      <c r="M31" s="41" t="s">
        <v>122</v>
      </c>
    </row>
    <row r="32" spans="2:14" x14ac:dyDescent="0.25">
      <c r="B32" s="37"/>
      <c r="C32" s="39" t="s">
        <v>115</v>
      </c>
      <c r="D32" s="48" t="s">
        <v>116</v>
      </c>
      <c r="E32" s="48" t="s">
        <v>116</v>
      </c>
      <c r="F32" s="48" t="s">
        <v>116</v>
      </c>
      <c r="G32" s="48" t="s">
        <v>116</v>
      </c>
      <c r="H32" s="48"/>
      <c r="I32" s="48"/>
      <c r="J32" s="48"/>
      <c r="K32" s="48"/>
      <c r="L32" s="43" t="s">
        <v>110</v>
      </c>
      <c r="M32" s="41"/>
    </row>
    <row r="33" spans="2:14" x14ac:dyDescent="0.25">
      <c r="B33" s="37"/>
      <c r="C33" s="39" t="s">
        <v>118</v>
      </c>
      <c r="D33" s="48" t="s">
        <v>116</v>
      </c>
      <c r="E33" s="48" t="s">
        <v>116</v>
      </c>
      <c r="F33" s="48" t="s">
        <v>116</v>
      </c>
      <c r="G33" s="48" t="s">
        <v>116</v>
      </c>
      <c r="H33" s="48"/>
      <c r="I33" s="48"/>
      <c r="J33" s="48"/>
      <c r="K33" s="48"/>
      <c r="L33" s="43"/>
      <c r="M33" s="41"/>
    </row>
    <row r="34" spans="2:14" x14ac:dyDescent="0.25">
      <c r="B34" s="37"/>
      <c r="C34" s="54"/>
      <c r="D34" s="54"/>
      <c r="E34" s="54"/>
      <c r="F34" s="54"/>
      <c r="G34" s="54"/>
      <c r="H34" s="54"/>
      <c r="I34" s="54"/>
      <c r="J34" s="54"/>
      <c r="K34" s="54"/>
      <c r="L34" s="54"/>
      <c r="M34" s="54"/>
    </row>
    <row r="35" spans="2:14" x14ac:dyDescent="0.25">
      <c r="B35" s="37"/>
      <c r="C35" s="52" t="s">
        <v>283</v>
      </c>
      <c r="D35" s="48"/>
      <c r="E35" s="48"/>
      <c r="F35" s="48"/>
      <c r="G35" s="48"/>
      <c r="H35" s="48"/>
      <c r="I35" s="48"/>
      <c r="J35" s="48"/>
      <c r="K35" s="48"/>
      <c r="L35" s="43"/>
      <c r="M35" s="41"/>
    </row>
    <row r="36" spans="2:14" x14ac:dyDescent="0.25">
      <c r="B36" s="37"/>
      <c r="C36" s="39" t="s">
        <v>120</v>
      </c>
      <c r="D36" s="48">
        <v>0.65</v>
      </c>
      <c r="E36" s="48">
        <v>1</v>
      </c>
      <c r="F36" s="48">
        <v>1.5</v>
      </c>
      <c r="G36" s="48">
        <v>1.5</v>
      </c>
      <c r="H36" s="48">
        <v>0.5</v>
      </c>
      <c r="I36" s="48">
        <v>0.65</v>
      </c>
      <c r="J36" s="48">
        <v>1.5</v>
      </c>
      <c r="K36" s="48">
        <v>1.8</v>
      </c>
      <c r="L36" s="43"/>
      <c r="M36" s="41" t="s">
        <v>122</v>
      </c>
      <c r="N36" s="55"/>
    </row>
    <row r="37" spans="2:14" ht="15.6" x14ac:dyDescent="0.25">
      <c r="B37" s="37"/>
      <c r="C37" s="39" t="s">
        <v>123</v>
      </c>
      <c r="D37" s="56">
        <v>35</v>
      </c>
      <c r="E37" s="56">
        <v>20</v>
      </c>
      <c r="F37" s="56">
        <v>15</v>
      </c>
      <c r="G37" s="56">
        <v>10</v>
      </c>
      <c r="H37" s="56">
        <v>35</v>
      </c>
      <c r="I37" s="56">
        <v>35</v>
      </c>
      <c r="J37" s="56">
        <v>10</v>
      </c>
      <c r="K37" s="56">
        <v>20</v>
      </c>
      <c r="L37" s="57"/>
      <c r="M37" s="58" t="s">
        <v>122</v>
      </c>
      <c r="N37" s="55"/>
    </row>
    <row r="38" spans="2:14" x14ac:dyDescent="0.25">
      <c r="B38" s="37"/>
      <c r="D38" s="59"/>
      <c r="E38" s="60"/>
      <c r="F38" s="60"/>
      <c r="G38" s="60"/>
      <c r="H38" s="60"/>
      <c r="I38" s="61"/>
      <c r="J38" s="61"/>
      <c r="K38" s="62"/>
      <c r="L38" s="62"/>
      <c r="M38" s="63"/>
      <c r="N38" s="64"/>
    </row>
    <row r="39" spans="2:14" x14ac:dyDescent="0.25">
      <c r="B39" s="37"/>
    </row>
    <row r="40" spans="2:14" x14ac:dyDescent="0.25">
      <c r="B40" s="37"/>
      <c r="D40" s="66"/>
      <c r="E40" s="67"/>
      <c r="F40" s="67"/>
      <c r="G40" s="67"/>
      <c r="H40" s="67"/>
      <c r="I40" s="68"/>
      <c r="J40" s="68"/>
    </row>
    <row r="41" spans="2:14" x14ac:dyDescent="0.25">
      <c r="B41" s="332"/>
      <c r="C41" s="332"/>
      <c r="D41" s="332"/>
      <c r="E41" s="332"/>
      <c r="F41" s="332"/>
      <c r="G41" s="332"/>
      <c r="H41" s="332"/>
      <c r="I41" s="332"/>
      <c r="J41" s="332"/>
      <c r="K41" s="69"/>
      <c r="L41" s="70"/>
      <c r="M41" s="332"/>
      <c r="N41" s="332"/>
    </row>
    <row r="42" spans="2:14" x14ac:dyDescent="0.25">
      <c r="B42" s="70"/>
      <c r="D42" s="332"/>
      <c r="E42" s="333"/>
      <c r="F42" s="333"/>
      <c r="G42" s="333"/>
      <c r="H42" s="333"/>
      <c r="I42" s="333"/>
      <c r="J42" s="333"/>
      <c r="K42" s="333"/>
      <c r="L42" s="333"/>
      <c r="M42" s="332"/>
      <c r="N42" s="332"/>
    </row>
    <row r="43" spans="2:14" x14ac:dyDescent="0.25">
      <c r="B43" s="71"/>
      <c r="C43" s="332"/>
      <c r="D43" s="333"/>
      <c r="E43" s="333"/>
      <c r="F43" s="333"/>
      <c r="G43" s="333"/>
      <c r="H43" s="333"/>
      <c r="I43" s="333"/>
      <c r="J43" s="333"/>
      <c r="K43" s="333"/>
      <c r="L43" s="70"/>
      <c r="M43" s="332"/>
      <c r="N43" s="332"/>
    </row>
    <row r="44" spans="2:14" x14ac:dyDescent="0.25">
      <c r="B44" s="70"/>
      <c r="D44" s="332"/>
      <c r="E44" s="333"/>
      <c r="F44" s="333"/>
      <c r="G44" s="333"/>
      <c r="H44" s="333"/>
      <c r="I44" s="333"/>
      <c r="J44" s="333"/>
      <c r="K44" s="333"/>
      <c r="L44" s="333"/>
      <c r="M44" s="332"/>
      <c r="N44" s="332"/>
    </row>
    <row r="45" spans="2:14" x14ac:dyDescent="0.25">
      <c r="B45" s="70"/>
      <c r="C45" s="332"/>
      <c r="D45" s="333"/>
      <c r="E45" s="333"/>
      <c r="F45" s="333"/>
      <c r="G45" s="333"/>
      <c r="H45" s="333"/>
      <c r="I45" s="333"/>
      <c r="J45" s="333"/>
      <c r="K45" s="333"/>
      <c r="L45" s="70"/>
      <c r="M45" s="332"/>
      <c r="N45" s="332"/>
    </row>
    <row r="46" spans="2:14" x14ac:dyDescent="0.25">
      <c r="C46" s="72"/>
      <c r="M46" s="332"/>
      <c r="N46" s="332"/>
    </row>
    <row r="47" spans="2:14" x14ac:dyDescent="0.25">
      <c r="B47" s="70"/>
      <c r="C47" s="69"/>
      <c r="D47" s="69"/>
      <c r="E47" s="73"/>
      <c r="F47" s="69"/>
      <c r="G47" s="69"/>
      <c r="H47" s="69"/>
      <c r="I47" s="69"/>
      <c r="J47" s="69"/>
      <c r="K47" s="69"/>
      <c r="L47" s="70"/>
      <c r="M47" s="332"/>
      <c r="N47" s="332"/>
    </row>
    <row r="48" spans="2:14" x14ac:dyDescent="0.25">
      <c r="B48" s="337" t="s">
        <v>124</v>
      </c>
      <c r="C48" s="337"/>
      <c r="D48" s="66"/>
      <c r="E48" s="66"/>
      <c r="F48" s="66"/>
      <c r="G48" s="66"/>
      <c r="H48" s="66"/>
      <c r="I48" s="66"/>
      <c r="J48" s="66"/>
      <c r="K48" s="66"/>
      <c r="L48" s="70"/>
      <c r="M48" s="332"/>
      <c r="N48" s="332"/>
    </row>
    <row r="49" spans="2:14" x14ac:dyDescent="0.25">
      <c r="B49" s="74" t="s">
        <v>93</v>
      </c>
      <c r="C49" s="75" t="s">
        <v>284</v>
      </c>
      <c r="D49" s="76"/>
      <c r="E49" s="76"/>
      <c r="F49" s="76"/>
      <c r="G49" s="76"/>
      <c r="H49" s="76"/>
      <c r="I49" s="76"/>
      <c r="J49" s="76"/>
      <c r="K49" s="76"/>
      <c r="L49" s="77"/>
      <c r="M49" s="77"/>
      <c r="N49" s="77"/>
    </row>
    <row r="50" spans="2:14" x14ac:dyDescent="0.25">
      <c r="B50" s="74" t="s">
        <v>88</v>
      </c>
      <c r="C50" s="75" t="s">
        <v>285</v>
      </c>
      <c r="D50" s="76"/>
      <c r="E50" s="76"/>
      <c r="F50" s="76"/>
      <c r="G50" s="76"/>
      <c r="H50" s="76"/>
      <c r="I50" s="76"/>
      <c r="J50" s="76"/>
      <c r="K50" s="76"/>
      <c r="L50" s="77"/>
      <c r="M50" s="77"/>
      <c r="N50" s="77"/>
    </row>
    <row r="51" spans="2:14" x14ac:dyDescent="0.25">
      <c r="B51" s="74" t="s">
        <v>67</v>
      </c>
      <c r="C51" s="75" t="s">
        <v>130</v>
      </c>
      <c r="D51" s="79"/>
      <c r="E51" s="79"/>
      <c r="F51" s="79"/>
      <c r="G51" s="79"/>
      <c r="H51" s="79"/>
      <c r="I51" s="79"/>
      <c r="J51" s="79"/>
      <c r="K51" s="79"/>
      <c r="L51" s="79"/>
      <c r="M51" s="79"/>
      <c r="N51" s="79"/>
    </row>
    <row r="52" spans="2:14" x14ac:dyDescent="0.25">
      <c r="B52" s="74" t="s">
        <v>128</v>
      </c>
      <c r="C52" s="75" t="s">
        <v>286</v>
      </c>
      <c r="E52" s="76"/>
      <c r="F52" s="76"/>
      <c r="G52" s="76"/>
      <c r="H52" s="76"/>
      <c r="I52" s="76"/>
      <c r="J52" s="76"/>
      <c r="K52" s="76"/>
      <c r="L52" s="76"/>
      <c r="M52" s="77"/>
      <c r="N52" s="77"/>
    </row>
    <row r="53" spans="2:14" x14ac:dyDescent="0.25">
      <c r="B53" s="74" t="s">
        <v>58</v>
      </c>
      <c r="C53" s="75" t="s">
        <v>287</v>
      </c>
      <c r="D53" s="75"/>
      <c r="E53" s="75"/>
      <c r="F53" s="75"/>
      <c r="G53" s="75"/>
      <c r="H53" s="75"/>
      <c r="I53" s="75"/>
      <c r="J53" s="75"/>
      <c r="K53" s="75"/>
      <c r="L53" s="70"/>
      <c r="M53" s="80"/>
      <c r="N53" s="80"/>
    </row>
    <row r="54" spans="2:14" x14ac:dyDescent="0.25">
      <c r="B54" s="74" t="s">
        <v>110</v>
      </c>
      <c r="C54" s="75" t="s">
        <v>288</v>
      </c>
      <c r="D54" s="75"/>
      <c r="E54" s="75"/>
      <c r="F54" s="75"/>
      <c r="G54" s="75"/>
      <c r="H54" s="75"/>
      <c r="I54" s="75"/>
      <c r="J54" s="75"/>
      <c r="K54" s="75"/>
      <c r="L54" s="75"/>
      <c r="M54" s="75"/>
      <c r="N54" s="75"/>
    </row>
    <row r="55" spans="2:14" x14ac:dyDescent="0.25">
      <c r="B55" s="74" t="s">
        <v>132</v>
      </c>
      <c r="C55" s="80" t="s">
        <v>289</v>
      </c>
      <c r="D55" s="80"/>
      <c r="E55" s="80"/>
      <c r="F55" s="80"/>
      <c r="G55" s="80"/>
      <c r="H55" s="80"/>
      <c r="I55" s="80"/>
      <c r="J55" s="80"/>
      <c r="K55" s="80"/>
      <c r="L55" s="80"/>
      <c r="M55" s="80"/>
      <c r="N55" s="80"/>
    </row>
    <row r="56" spans="2:14" x14ac:dyDescent="0.25">
      <c r="B56" s="74" t="s">
        <v>121</v>
      </c>
      <c r="C56" s="80" t="s">
        <v>143</v>
      </c>
      <c r="D56" s="80"/>
      <c r="E56" s="80"/>
      <c r="F56" s="80"/>
      <c r="G56" s="80"/>
      <c r="H56" s="80"/>
      <c r="I56" s="80"/>
      <c r="J56" s="80"/>
      <c r="K56" s="80"/>
      <c r="L56" s="80"/>
    </row>
    <row r="57" spans="2:14" x14ac:dyDescent="0.25">
      <c r="B57" s="74" t="s">
        <v>135</v>
      </c>
      <c r="C57" s="81" t="s">
        <v>290</v>
      </c>
      <c r="D57" s="79"/>
      <c r="E57" s="79"/>
      <c r="F57" s="79"/>
      <c r="G57" s="79"/>
      <c r="H57" s="79"/>
      <c r="I57" s="79"/>
      <c r="J57" s="79"/>
      <c r="K57" s="79"/>
    </row>
    <row r="58" spans="2:14" ht="13.8" x14ac:dyDescent="0.25">
      <c r="B58" s="74"/>
      <c r="C58" s="82"/>
      <c r="D58" s="83"/>
      <c r="E58" s="83"/>
      <c r="F58" s="83"/>
      <c r="G58" s="83"/>
      <c r="H58" s="83"/>
      <c r="I58" s="83"/>
      <c r="J58" s="83"/>
      <c r="K58" s="83"/>
      <c r="L58" s="83"/>
      <c r="M58" s="83"/>
      <c r="N58" s="83"/>
    </row>
    <row r="59" spans="2:14" x14ac:dyDescent="0.25">
      <c r="B59" s="84" t="s">
        <v>146</v>
      </c>
      <c r="C59" s="85"/>
      <c r="D59" s="85"/>
      <c r="E59" s="85"/>
      <c r="F59" s="85"/>
      <c r="G59" s="85"/>
      <c r="H59" s="85"/>
      <c r="I59" s="85"/>
      <c r="J59" s="85"/>
    </row>
    <row r="60" spans="2:14" x14ac:dyDescent="0.25">
      <c r="B60" s="37">
        <v>21</v>
      </c>
      <c r="C60" s="81" t="s">
        <v>147</v>
      </c>
      <c r="E60" s="86"/>
      <c r="F60" s="86"/>
      <c r="G60" s="86"/>
      <c r="H60" s="86"/>
      <c r="I60" s="86"/>
      <c r="J60" s="86"/>
      <c r="K60" s="86"/>
      <c r="L60" s="86"/>
    </row>
    <row r="61" spans="2:14" x14ac:dyDescent="0.25">
      <c r="B61" s="37">
        <v>24</v>
      </c>
      <c r="C61" s="81" t="s">
        <v>148</v>
      </c>
      <c r="E61" s="86"/>
      <c r="F61" s="86"/>
      <c r="G61" s="86"/>
      <c r="H61" s="86"/>
      <c r="I61" s="86"/>
      <c r="J61" s="86"/>
      <c r="K61" s="86"/>
      <c r="L61" s="86"/>
    </row>
    <row r="62" spans="2:14" x14ac:dyDescent="0.25">
      <c r="B62" s="37">
        <v>26</v>
      </c>
      <c r="C62" s="81" t="s">
        <v>149</v>
      </c>
      <c r="E62" s="86"/>
      <c r="F62" s="86"/>
      <c r="G62" s="86"/>
      <c r="H62" s="86"/>
      <c r="I62" s="86"/>
      <c r="J62" s="86"/>
      <c r="K62" s="86"/>
      <c r="L62" s="86"/>
    </row>
  </sheetData>
  <mergeCells count="17">
    <mergeCell ref="M46:N46"/>
    <mergeCell ref="M47:N47"/>
    <mergeCell ref="B48:C48"/>
    <mergeCell ref="M48:N48"/>
    <mergeCell ref="C43:K43"/>
    <mergeCell ref="M43:N43"/>
    <mergeCell ref="D44:L44"/>
    <mergeCell ref="M44:N44"/>
    <mergeCell ref="C45:K45"/>
    <mergeCell ref="M45:N45"/>
    <mergeCell ref="D42:L42"/>
    <mergeCell ref="M42:N42"/>
    <mergeCell ref="D2:M2"/>
    <mergeCell ref="H3:I3"/>
    <mergeCell ref="J3:K3"/>
    <mergeCell ref="B41:J41"/>
    <mergeCell ref="M41:N41"/>
  </mergeCells>
  <hyperlinks>
    <hyperlink ref="D2" location="INDEX" display="Biogas plant, additional straw input in the feedstock mix" xr:uid="{52362334-5560-4A9E-8A6F-761439C705AF}"/>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169002-B6E3-456D-B6D5-9BD987E0BF7C}">
  <sheetPr>
    <tabColor theme="3" tint="0.39997558519241921"/>
  </sheetPr>
  <dimension ref="B2:S77"/>
  <sheetViews>
    <sheetView topLeftCell="A15" zoomScale="90" workbookViewId="0">
      <selection activeCell="N34" sqref="N34"/>
    </sheetView>
  </sheetViews>
  <sheetFormatPr defaultRowHeight="13.2" x14ac:dyDescent="0.25"/>
  <cols>
    <col min="2" max="2" width="45.109375" customWidth="1"/>
  </cols>
  <sheetData>
    <row r="2" spans="2:18" ht="13.8" thickBot="1" x14ac:dyDescent="0.3">
      <c r="F2" s="99"/>
      <c r="K2" s="100"/>
    </row>
    <row r="3" spans="2:18" ht="13.8" thickBot="1" x14ac:dyDescent="0.3">
      <c r="B3" s="150" t="s">
        <v>71</v>
      </c>
      <c r="C3" s="338" t="s">
        <v>369</v>
      </c>
      <c r="D3" s="338"/>
      <c r="E3" s="338"/>
      <c r="F3" s="338"/>
      <c r="G3" s="338"/>
      <c r="H3" s="338"/>
      <c r="I3" s="338"/>
      <c r="J3" s="338"/>
      <c r="K3" s="338"/>
      <c r="L3" s="338"/>
    </row>
    <row r="4" spans="2:18" ht="13.8" thickBot="1" x14ac:dyDescent="0.3">
      <c r="B4" s="153" t="s">
        <v>300</v>
      </c>
      <c r="C4" s="154">
        <v>2020</v>
      </c>
      <c r="D4" s="154">
        <v>2030</v>
      </c>
      <c r="E4" s="154">
        <v>2040</v>
      </c>
      <c r="F4" s="154">
        <v>2050</v>
      </c>
      <c r="G4" s="155">
        <v>2020</v>
      </c>
      <c r="H4" s="155">
        <v>2020</v>
      </c>
      <c r="I4" s="155">
        <v>2050</v>
      </c>
      <c r="J4" s="155">
        <v>2050</v>
      </c>
      <c r="K4" s="156" t="s">
        <v>75</v>
      </c>
      <c r="L4" s="156" t="s">
        <v>76</v>
      </c>
    </row>
    <row r="5" spans="2:18" ht="13.8" thickBot="1" x14ac:dyDescent="0.3">
      <c r="B5" s="150" t="s">
        <v>301</v>
      </c>
      <c r="C5" s="155" t="s">
        <v>302</v>
      </c>
      <c r="D5" s="155" t="s">
        <v>302</v>
      </c>
      <c r="E5" s="155" t="s">
        <v>302</v>
      </c>
      <c r="F5" s="155" t="s">
        <v>302</v>
      </c>
      <c r="G5" s="155" t="s">
        <v>78</v>
      </c>
      <c r="H5" s="155" t="s">
        <v>79</v>
      </c>
      <c r="I5" s="155" t="s">
        <v>78</v>
      </c>
      <c r="J5" s="155" t="s">
        <v>79</v>
      </c>
      <c r="K5" s="157" t="s">
        <v>116</v>
      </c>
      <c r="L5" s="157" t="s">
        <v>116</v>
      </c>
    </row>
    <row r="6" spans="2:18" ht="13.8" thickBot="1" x14ac:dyDescent="0.3">
      <c r="B6" s="161" t="s">
        <v>77</v>
      </c>
      <c r="C6" s="159"/>
      <c r="D6" s="159"/>
      <c r="E6" s="159"/>
      <c r="F6" s="159"/>
      <c r="G6" s="159"/>
      <c r="H6" s="159"/>
      <c r="I6" s="159"/>
      <c r="J6" s="159"/>
      <c r="K6" s="160"/>
      <c r="L6" s="160"/>
      <c r="M6" t="s">
        <v>184</v>
      </c>
      <c r="N6" t="s">
        <v>185</v>
      </c>
    </row>
    <row r="7" spans="2:18" ht="13.8" thickBot="1" x14ac:dyDescent="0.3">
      <c r="B7" s="162" t="s">
        <v>183</v>
      </c>
      <c r="C7" s="163">
        <v>229</v>
      </c>
      <c r="D7" s="164">
        <f>+C7*2</f>
        <v>458</v>
      </c>
      <c r="E7" s="164">
        <f>+D7*2</f>
        <v>916</v>
      </c>
      <c r="F7" s="164">
        <f>+D7*5</f>
        <v>2290</v>
      </c>
      <c r="G7" s="165">
        <v>1</v>
      </c>
      <c r="H7" s="166">
        <v>1</v>
      </c>
      <c r="I7" s="166">
        <v>1</v>
      </c>
      <c r="J7" s="166">
        <v>1</v>
      </c>
      <c r="K7" s="167" t="s">
        <v>93</v>
      </c>
      <c r="L7" s="160"/>
      <c r="M7">
        <v>130</v>
      </c>
      <c r="N7">
        <v>107000</v>
      </c>
      <c r="O7" t="s">
        <v>186</v>
      </c>
    </row>
    <row r="8" spans="2:18" ht="13.8" thickBot="1" x14ac:dyDescent="0.3">
      <c r="B8" s="162" t="s">
        <v>370</v>
      </c>
      <c r="C8" s="163">
        <v>50</v>
      </c>
      <c r="D8" s="164">
        <v>100</v>
      </c>
      <c r="E8" s="164">
        <v>200</v>
      </c>
      <c r="F8" s="164">
        <v>500</v>
      </c>
      <c r="G8" s="165">
        <v>1</v>
      </c>
      <c r="H8" s="166">
        <v>1</v>
      </c>
      <c r="I8" s="166">
        <v>1</v>
      </c>
      <c r="J8" s="166">
        <v>1</v>
      </c>
      <c r="K8" s="167"/>
      <c r="L8" s="160"/>
    </row>
    <row r="9" spans="2:18" ht="13.8" thickBot="1" x14ac:dyDescent="0.3">
      <c r="B9" s="161" t="s">
        <v>163</v>
      </c>
      <c r="C9" s="164"/>
      <c r="D9" s="164"/>
      <c r="E9" s="164"/>
      <c r="F9" s="164"/>
      <c r="G9" s="164"/>
      <c r="H9" s="164"/>
      <c r="I9" s="164"/>
      <c r="J9" s="164"/>
      <c r="K9" s="160"/>
      <c r="L9" s="160"/>
      <c r="M9">
        <v>53.6</v>
      </c>
      <c r="N9">
        <v>53.6</v>
      </c>
      <c r="O9" t="s">
        <v>188</v>
      </c>
    </row>
    <row r="10" spans="2:18" ht="13.8" thickBot="1" x14ac:dyDescent="0.3">
      <c r="B10" s="162" t="s">
        <v>371</v>
      </c>
      <c r="C10" s="168">
        <v>0.83899999999999997</v>
      </c>
      <c r="D10" s="168">
        <v>0.83899999999999997</v>
      </c>
      <c r="E10" s="168">
        <v>0.83899999999999997</v>
      </c>
      <c r="F10" s="168">
        <v>0.83899999999999997</v>
      </c>
      <c r="G10" s="165">
        <v>0.98</v>
      </c>
      <c r="H10" s="165">
        <v>1.02</v>
      </c>
      <c r="I10" s="165">
        <f t="shared" ref="I10:J12" si="0">+G10</f>
        <v>0.98</v>
      </c>
      <c r="J10" s="165">
        <f t="shared" si="0"/>
        <v>1.02</v>
      </c>
      <c r="K10" s="160" t="s">
        <v>88</v>
      </c>
      <c r="L10" s="160" t="s">
        <v>187</v>
      </c>
      <c r="M10" s="101">
        <v>1</v>
      </c>
      <c r="N10" s="101">
        <v>3.6999999999999998E-2</v>
      </c>
      <c r="O10" t="s">
        <v>189</v>
      </c>
    </row>
    <row r="11" spans="2:18" ht="15" thickBot="1" x14ac:dyDescent="0.35">
      <c r="B11" s="169" t="s">
        <v>372</v>
      </c>
      <c r="C11" s="170">
        <v>0.18</v>
      </c>
      <c r="D11" s="170">
        <v>0.18</v>
      </c>
      <c r="E11" s="170">
        <v>0.18</v>
      </c>
      <c r="F11" s="170">
        <v>0.18</v>
      </c>
      <c r="G11" s="165">
        <v>0.98</v>
      </c>
      <c r="H11" s="165">
        <v>1.02</v>
      </c>
      <c r="I11" s="165">
        <f t="shared" si="0"/>
        <v>0.98</v>
      </c>
      <c r="J11" s="165">
        <f t="shared" si="0"/>
        <v>1.02</v>
      </c>
      <c r="K11" s="160" t="s">
        <v>88</v>
      </c>
      <c r="L11" s="160" t="s">
        <v>187</v>
      </c>
      <c r="M11">
        <f>M7/M9*M10</f>
        <v>2.4253731343283582</v>
      </c>
      <c r="N11">
        <f>N7/N9*N10</f>
        <v>73.861940298507449</v>
      </c>
      <c r="O11" t="s">
        <v>190</v>
      </c>
      <c r="R11" s="102"/>
    </row>
    <row r="12" spans="2:18" ht="13.8" thickBot="1" x14ac:dyDescent="0.3">
      <c r="B12" s="169" t="s">
        <v>373</v>
      </c>
      <c r="C12" s="170">
        <v>0.94699999999999995</v>
      </c>
      <c r="D12" s="170">
        <v>0.94699999999999995</v>
      </c>
      <c r="E12" s="170">
        <v>0.94699999999999995</v>
      </c>
      <c r="F12" s="170">
        <v>0.94699999999999995</v>
      </c>
      <c r="G12" s="165">
        <v>0.98</v>
      </c>
      <c r="H12" s="165">
        <v>1.02</v>
      </c>
      <c r="I12" s="165">
        <f t="shared" si="0"/>
        <v>0.98</v>
      </c>
      <c r="J12" s="165">
        <f t="shared" si="0"/>
        <v>1.02</v>
      </c>
      <c r="K12" s="160" t="s">
        <v>88</v>
      </c>
      <c r="L12" s="160" t="s">
        <v>187</v>
      </c>
    </row>
    <row r="13" spans="2:18" ht="15" thickBot="1" x14ac:dyDescent="0.35">
      <c r="B13" s="162" t="s">
        <v>374</v>
      </c>
      <c r="C13" s="168">
        <v>5.2999999999999999E-2</v>
      </c>
      <c r="D13" s="168">
        <v>5.2999999999999999E-2</v>
      </c>
      <c r="E13" s="168">
        <v>5.2999999999999999E-2</v>
      </c>
      <c r="F13" s="168">
        <v>5.2999999999999999E-2</v>
      </c>
      <c r="G13" s="165">
        <v>0.95</v>
      </c>
      <c r="H13" s="165">
        <v>1.1000000000000001</v>
      </c>
      <c r="I13" s="165">
        <v>0.75</v>
      </c>
      <c r="J13" s="165">
        <v>1.5</v>
      </c>
      <c r="K13" s="160" t="s">
        <v>67</v>
      </c>
      <c r="L13" s="160" t="s">
        <v>187</v>
      </c>
      <c r="M13" s="103">
        <f>M11*28</f>
        <v>67.910447761194035</v>
      </c>
      <c r="N13">
        <f>N11*28</f>
        <v>2068.1343283582087</v>
      </c>
      <c r="O13" t="s">
        <v>191</v>
      </c>
    </row>
    <row r="14" spans="2:18" ht="13.8" thickBot="1" x14ac:dyDescent="0.3">
      <c r="B14" s="161" t="s">
        <v>164</v>
      </c>
      <c r="C14" s="168"/>
      <c r="D14" s="168"/>
      <c r="E14" s="168"/>
      <c r="F14" s="168"/>
      <c r="G14" s="165"/>
      <c r="H14" s="165"/>
      <c r="I14" s="165"/>
      <c r="J14" s="165"/>
      <c r="K14" s="160"/>
      <c r="L14" s="160"/>
    </row>
    <row r="15" spans="2:18" ht="13.8" thickBot="1" x14ac:dyDescent="0.3">
      <c r="B15" s="162" t="s">
        <v>375</v>
      </c>
      <c r="C15" s="171">
        <v>0.82299999999999995</v>
      </c>
      <c r="D15" s="171">
        <v>0.82299999999999995</v>
      </c>
      <c r="E15" s="171">
        <v>0.82299999999999995</v>
      </c>
      <c r="F15" s="171">
        <v>0.82299999999999995</v>
      </c>
      <c r="G15" s="165">
        <v>0.98</v>
      </c>
      <c r="H15" s="165">
        <v>1.02</v>
      </c>
      <c r="I15" s="165">
        <f>+G15</f>
        <v>0.98</v>
      </c>
      <c r="J15" s="165">
        <f>+H15</f>
        <v>1.02</v>
      </c>
      <c r="K15" s="160"/>
      <c r="L15" s="160" t="s">
        <v>187</v>
      </c>
    </row>
    <row r="16" spans="2:18" ht="13.8" thickBot="1" x14ac:dyDescent="0.3">
      <c r="B16" s="162" t="s">
        <v>376</v>
      </c>
      <c r="C16" s="171">
        <v>0.108</v>
      </c>
      <c r="D16" s="168">
        <v>0.108</v>
      </c>
      <c r="E16" s="168">
        <v>0.108</v>
      </c>
      <c r="F16" s="168">
        <v>0.108</v>
      </c>
      <c r="G16" s="165">
        <v>0.98</v>
      </c>
      <c r="H16" s="165">
        <v>1.02</v>
      </c>
      <c r="I16" s="165">
        <f>+G16</f>
        <v>0.98</v>
      </c>
      <c r="J16" s="165">
        <f>+H16</f>
        <v>1.02</v>
      </c>
      <c r="K16" s="160" t="s">
        <v>128</v>
      </c>
      <c r="L16" s="160" t="s">
        <v>187</v>
      </c>
    </row>
    <row r="17" spans="2:13" ht="13.8" thickBot="1" x14ac:dyDescent="0.3">
      <c r="B17" s="162" t="s">
        <v>377</v>
      </c>
      <c r="C17" s="171">
        <v>3.7999999999999999E-2</v>
      </c>
      <c r="D17" s="171">
        <v>3.7999999999999999E-2</v>
      </c>
      <c r="E17" s="171">
        <v>3.7999999999999999E-2</v>
      </c>
      <c r="F17" s="171">
        <v>3.7999999999999999E-2</v>
      </c>
      <c r="G17" s="165">
        <v>0</v>
      </c>
      <c r="H17" s="165">
        <v>1</v>
      </c>
      <c r="I17" s="165">
        <v>0</v>
      </c>
      <c r="J17" s="165">
        <v>1</v>
      </c>
      <c r="K17" s="160" t="s">
        <v>58</v>
      </c>
      <c r="L17" s="160" t="s">
        <v>187</v>
      </c>
    </row>
    <row r="18" spans="2:13" ht="13.8" thickBot="1" x14ac:dyDescent="0.3">
      <c r="B18" s="162"/>
      <c r="C18" s="171"/>
      <c r="D18" s="171"/>
      <c r="E18" s="171"/>
      <c r="F18" s="171"/>
      <c r="G18" s="165"/>
      <c r="H18" s="165"/>
      <c r="I18" s="165"/>
      <c r="J18" s="165"/>
      <c r="K18" s="160"/>
      <c r="L18" s="160"/>
    </row>
    <row r="19" spans="2:13" ht="13.8" thickBot="1" x14ac:dyDescent="0.3">
      <c r="B19" s="169" t="s">
        <v>378</v>
      </c>
      <c r="C19" s="165">
        <v>0.05</v>
      </c>
      <c r="D19" s="165">
        <v>0.03</v>
      </c>
      <c r="E19" s="165">
        <v>0.03</v>
      </c>
      <c r="F19" s="165">
        <v>0.02</v>
      </c>
      <c r="G19" s="165">
        <v>0.02</v>
      </c>
      <c r="H19" s="165">
        <v>0.08</v>
      </c>
      <c r="I19" s="165">
        <v>0.02</v>
      </c>
      <c r="J19" s="165">
        <v>0.04</v>
      </c>
      <c r="K19" s="160"/>
      <c r="L19" s="160" t="s">
        <v>192</v>
      </c>
    </row>
    <row r="20" spans="2:13" ht="13.8" thickBot="1" x14ac:dyDescent="0.3">
      <c r="B20" s="162" t="s">
        <v>310</v>
      </c>
      <c r="C20" s="165">
        <v>0.03</v>
      </c>
      <c r="D20" s="165">
        <v>0.03</v>
      </c>
      <c r="E20" s="165">
        <v>0.03</v>
      </c>
      <c r="F20" s="165">
        <v>0.03</v>
      </c>
      <c r="G20" s="165"/>
      <c r="H20" s="165"/>
      <c r="I20" s="165"/>
      <c r="J20" s="165"/>
      <c r="K20" s="160"/>
      <c r="L20" s="160" t="s">
        <v>192</v>
      </c>
    </row>
    <row r="21" spans="2:13" ht="13.8" thickBot="1" x14ac:dyDescent="0.3">
      <c r="B21" s="169" t="s">
        <v>193</v>
      </c>
      <c r="C21" s="165" t="s">
        <v>194</v>
      </c>
      <c r="D21" s="165" t="s">
        <v>194</v>
      </c>
      <c r="E21" s="165" t="s">
        <v>194</v>
      </c>
      <c r="F21" s="165" t="s">
        <v>194</v>
      </c>
      <c r="G21" s="165">
        <v>0.28999999999999998</v>
      </c>
      <c r="H21" s="165">
        <v>1</v>
      </c>
      <c r="I21" s="165">
        <v>0.2</v>
      </c>
      <c r="J21" s="165">
        <v>1</v>
      </c>
      <c r="K21" s="160"/>
      <c r="L21" s="160" t="s">
        <v>195</v>
      </c>
    </row>
    <row r="22" spans="2:13" ht="15" thickBot="1" x14ac:dyDescent="0.35">
      <c r="B22" s="162" t="s">
        <v>311</v>
      </c>
      <c r="C22" s="164">
        <v>30</v>
      </c>
      <c r="D22" s="164">
        <v>30</v>
      </c>
      <c r="E22" s="164">
        <v>30</v>
      </c>
      <c r="F22" s="164">
        <v>30</v>
      </c>
      <c r="G22" s="164"/>
      <c r="H22" s="164"/>
      <c r="I22" s="164"/>
      <c r="J22" s="164"/>
      <c r="K22" s="160"/>
      <c r="L22" s="160"/>
      <c r="M22" s="102"/>
    </row>
    <row r="23" spans="2:13" ht="15" thickBot="1" x14ac:dyDescent="0.35">
      <c r="B23" s="162" t="s">
        <v>312</v>
      </c>
      <c r="C23" s="164">
        <v>2</v>
      </c>
      <c r="D23" s="164">
        <v>2</v>
      </c>
      <c r="E23" s="164">
        <v>2</v>
      </c>
      <c r="F23" s="164">
        <v>2</v>
      </c>
      <c r="G23" s="164"/>
      <c r="H23" s="164"/>
      <c r="I23" s="164"/>
      <c r="J23" s="164"/>
      <c r="K23" s="160"/>
      <c r="L23" s="160"/>
      <c r="M23" s="102"/>
    </row>
    <row r="24" spans="2:13" ht="13.8" thickBot="1" x14ac:dyDescent="0.3">
      <c r="B24" s="161" t="s">
        <v>321</v>
      </c>
      <c r="C24" s="164"/>
      <c r="D24" s="164"/>
      <c r="E24" s="164"/>
      <c r="F24" s="164"/>
      <c r="G24" s="164"/>
      <c r="H24" s="164"/>
      <c r="I24" s="164"/>
      <c r="J24" s="164"/>
      <c r="K24" s="160"/>
      <c r="L24" s="160"/>
    </row>
    <row r="25" spans="2:13" ht="15" thickBot="1" x14ac:dyDescent="0.35">
      <c r="B25" s="162" t="s">
        <v>379</v>
      </c>
      <c r="C25" s="172">
        <v>1.6868595874547716</v>
      </c>
      <c r="D25" s="172">
        <v>1.3796859290771877</v>
      </c>
      <c r="E25" s="172">
        <v>1.1284479615554368</v>
      </c>
      <c r="F25" s="172">
        <v>0.86512514262115736</v>
      </c>
      <c r="G25" s="173">
        <v>1.3186159999999998</v>
      </c>
      <c r="H25" s="173">
        <v>2.2225059999999996</v>
      </c>
      <c r="I25" s="173">
        <v>0.60613799999999984</v>
      </c>
      <c r="J25" s="173">
        <v>1.01023</v>
      </c>
      <c r="K25" s="160" t="s">
        <v>196</v>
      </c>
      <c r="L25" s="160" t="s">
        <v>192</v>
      </c>
      <c r="M25" s="102"/>
    </row>
    <row r="26" spans="2:13" ht="13.8" thickBot="1" x14ac:dyDescent="0.3">
      <c r="B26" s="162" t="s">
        <v>380</v>
      </c>
      <c r="C26" s="164">
        <v>53.169999999999995</v>
      </c>
      <c r="D26" s="164">
        <v>53.169999999999995</v>
      </c>
      <c r="E26" s="164">
        <v>53.169999999999995</v>
      </c>
      <c r="F26" s="164">
        <v>53.169999999999995</v>
      </c>
      <c r="G26" s="166">
        <v>0</v>
      </c>
      <c r="H26" s="166">
        <v>0</v>
      </c>
      <c r="I26" s="166">
        <v>0</v>
      </c>
      <c r="J26" s="166">
        <v>0</v>
      </c>
      <c r="K26" s="160">
        <v>0</v>
      </c>
      <c r="L26" s="160" t="s">
        <v>192</v>
      </c>
    </row>
    <row r="27" spans="2:13" ht="13.8" thickBot="1" x14ac:dyDescent="0.3">
      <c r="B27" s="162" t="s">
        <v>381</v>
      </c>
      <c r="C27" s="164">
        <v>53.169999999999995</v>
      </c>
      <c r="D27" s="164">
        <v>53.169999999999995</v>
      </c>
      <c r="E27" s="164">
        <v>53.169999999999995</v>
      </c>
      <c r="F27" s="164">
        <v>53.169999999999995</v>
      </c>
      <c r="G27" s="166">
        <v>0</v>
      </c>
      <c r="H27" s="166">
        <v>0</v>
      </c>
      <c r="I27" s="166">
        <v>0</v>
      </c>
      <c r="J27" s="166">
        <v>0</v>
      </c>
      <c r="K27" s="160">
        <v>0</v>
      </c>
      <c r="L27" s="160" t="s">
        <v>192</v>
      </c>
    </row>
    <row r="28" spans="2:13" ht="13.8" thickBot="1" x14ac:dyDescent="0.3">
      <c r="B28" s="162" t="s">
        <v>382</v>
      </c>
      <c r="C28" s="174">
        <v>50.605787623643153</v>
      </c>
      <c r="D28" s="174">
        <v>41.390577872315625</v>
      </c>
      <c r="E28" s="174">
        <v>33.853438846663103</v>
      </c>
      <c r="F28" s="174">
        <v>25.953754278634719</v>
      </c>
      <c r="G28" s="174">
        <v>42.066487631999991</v>
      </c>
      <c r="H28" s="174">
        <v>70.90238641199997</v>
      </c>
      <c r="I28" s="174">
        <v>19.337014475999993</v>
      </c>
      <c r="J28" s="174">
        <v>32.228357459999998</v>
      </c>
      <c r="K28" s="160" t="s">
        <v>132</v>
      </c>
      <c r="L28" s="160" t="s">
        <v>192</v>
      </c>
    </row>
    <row r="29" spans="2:13" ht="15" thickBot="1" x14ac:dyDescent="0.35">
      <c r="B29" s="162" t="s">
        <v>383</v>
      </c>
      <c r="C29" s="168">
        <v>2.1267999999999999E-2</v>
      </c>
      <c r="D29" s="168">
        <v>2.1267999999999999E-2</v>
      </c>
      <c r="E29" s="168">
        <v>2.1267999999999999E-2</v>
      </c>
      <c r="F29" s="168">
        <v>2.1267999999999999E-2</v>
      </c>
      <c r="G29" s="168">
        <v>1.0633999999999999E-2</v>
      </c>
      <c r="H29" s="168">
        <v>4.2535999999999997E-2</v>
      </c>
      <c r="I29" s="168">
        <v>1.0633999999999999E-2</v>
      </c>
      <c r="J29" s="168">
        <v>4.2535999999999997E-2</v>
      </c>
      <c r="K29" s="160" t="s">
        <v>121</v>
      </c>
      <c r="L29" s="160" t="s">
        <v>192</v>
      </c>
      <c r="M29" s="102"/>
    </row>
    <row r="30" spans="2:13" ht="13.8" thickBot="1" x14ac:dyDescent="0.3">
      <c r="B30" s="162" t="s">
        <v>384</v>
      </c>
      <c r="C30" s="164" t="s">
        <v>197</v>
      </c>
      <c r="D30" s="164" t="s">
        <v>197</v>
      </c>
      <c r="E30" s="164" t="s">
        <v>197</v>
      </c>
      <c r="F30" s="164" t="s">
        <v>197</v>
      </c>
      <c r="G30" s="166">
        <v>0</v>
      </c>
      <c r="H30" s="166">
        <v>0</v>
      </c>
      <c r="I30" s="166">
        <v>0</v>
      </c>
      <c r="J30" s="166">
        <v>0</v>
      </c>
      <c r="K30" s="160">
        <v>0</v>
      </c>
      <c r="L30" s="160"/>
    </row>
    <row r="31" spans="2:13" ht="13.8" thickBot="1" x14ac:dyDescent="0.3">
      <c r="B31" s="161" t="s">
        <v>334</v>
      </c>
      <c r="C31" s="164"/>
      <c r="D31" s="164"/>
      <c r="E31" s="164"/>
      <c r="F31" s="164"/>
      <c r="G31" s="166"/>
      <c r="H31" s="166"/>
      <c r="I31" s="166"/>
      <c r="J31" s="166"/>
      <c r="K31" s="160"/>
      <c r="L31" s="160"/>
    </row>
    <row r="32" spans="2:13" ht="13.8" thickBot="1" x14ac:dyDescent="0.3">
      <c r="B32" s="176" t="s">
        <v>198</v>
      </c>
      <c r="C32" s="163">
        <v>1.0900000000000001</v>
      </c>
      <c r="D32" s="163">
        <v>1.0900000000000001</v>
      </c>
      <c r="E32" s="163">
        <v>1.0900000000000001</v>
      </c>
      <c r="F32" s="163">
        <v>1.0900000000000001</v>
      </c>
      <c r="G32" s="177">
        <v>0.97</v>
      </c>
      <c r="H32" s="177">
        <v>1</v>
      </c>
      <c r="I32" s="177">
        <v>0.97</v>
      </c>
      <c r="J32" s="177">
        <v>1</v>
      </c>
      <c r="K32" s="178" t="s">
        <v>110</v>
      </c>
      <c r="L32" s="160" t="s">
        <v>192</v>
      </c>
    </row>
    <row r="33" spans="2:14" ht="13.8" thickBot="1" x14ac:dyDescent="0.3">
      <c r="B33" s="162" t="s">
        <v>385</v>
      </c>
      <c r="C33" s="164">
        <v>18.899999999999999</v>
      </c>
      <c r="D33" s="164">
        <v>18.899999999999999</v>
      </c>
      <c r="E33" s="164">
        <v>18.899999999999999</v>
      </c>
      <c r="F33" s="164">
        <v>18.899999999999999</v>
      </c>
      <c r="G33" s="166"/>
      <c r="H33" s="166"/>
      <c r="I33" s="166"/>
      <c r="J33" s="166"/>
      <c r="K33" s="160"/>
      <c r="L33" s="160"/>
      <c r="M33">
        <v>5.25</v>
      </c>
      <c r="N33" t="s">
        <v>624</v>
      </c>
    </row>
    <row r="34" spans="2:14" ht="13.8" thickBot="1" x14ac:dyDescent="0.3">
      <c r="B34" s="162" t="s">
        <v>386</v>
      </c>
      <c r="C34" s="164">
        <v>626</v>
      </c>
      <c r="D34" s="164">
        <v>626</v>
      </c>
      <c r="E34" s="164">
        <v>626</v>
      </c>
      <c r="F34" s="164">
        <v>626</v>
      </c>
      <c r="G34" s="166"/>
      <c r="H34" s="166"/>
      <c r="I34" s="166"/>
      <c r="J34" s="166"/>
      <c r="K34" s="160"/>
      <c r="L34" s="160"/>
    </row>
    <row r="35" spans="2:14" ht="13.8" thickBot="1" x14ac:dyDescent="0.3">
      <c r="B35" s="162" t="s">
        <v>387</v>
      </c>
      <c r="C35" s="168">
        <v>0.34635128229522749</v>
      </c>
      <c r="D35" s="168">
        <v>0.28328142677339391</v>
      </c>
      <c r="E35" s="168">
        <v>0.23169646210914421</v>
      </c>
      <c r="F35" s="168">
        <v>0.1776301979851144</v>
      </c>
      <c r="G35" s="172">
        <v>0.27074235807860264</v>
      </c>
      <c r="H35" s="172">
        <v>0.45633187772925765</v>
      </c>
      <c r="I35" s="172">
        <v>0.12445414847161572</v>
      </c>
      <c r="J35" s="172">
        <v>0.20742358078602621</v>
      </c>
      <c r="K35" s="160" t="s">
        <v>199</v>
      </c>
      <c r="L35" s="160" t="s">
        <v>192</v>
      </c>
    </row>
    <row r="36" spans="2:14" ht="13.8" thickBot="1" x14ac:dyDescent="0.3">
      <c r="B36" s="162" t="s">
        <v>388</v>
      </c>
      <c r="C36" s="172">
        <v>10.390538468856825</v>
      </c>
      <c r="D36" s="172">
        <v>8.4984428032018169</v>
      </c>
      <c r="E36" s="172">
        <v>6.9508938632743256</v>
      </c>
      <c r="F36" s="172">
        <v>5.3289059395534313</v>
      </c>
      <c r="G36" s="172">
        <v>8.1222707423580793</v>
      </c>
      <c r="H36" s="172">
        <v>13.689956331877729</v>
      </c>
      <c r="I36" s="172">
        <v>3.7336244541484715</v>
      </c>
      <c r="J36" s="172">
        <v>6.2227074235807862</v>
      </c>
      <c r="K36" s="160"/>
      <c r="L36" s="160" t="s">
        <v>192</v>
      </c>
    </row>
    <row r="37" spans="2:14" ht="15" thickBot="1" x14ac:dyDescent="0.35">
      <c r="B37" s="162" t="s">
        <v>389</v>
      </c>
      <c r="C37" s="168">
        <v>0.1</v>
      </c>
      <c r="D37" s="168">
        <v>0.1</v>
      </c>
      <c r="E37" s="168">
        <v>0.1</v>
      </c>
      <c r="F37" s="168">
        <v>0.1</v>
      </c>
      <c r="G37" s="168">
        <v>0.05</v>
      </c>
      <c r="H37" s="168">
        <v>0.2</v>
      </c>
      <c r="I37" s="168">
        <v>0.05</v>
      </c>
      <c r="J37" s="168">
        <v>0.2</v>
      </c>
      <c r="K37" s="160"/>
      <c r="L37" s="160" t="s">
        <v>192</v>
      </c>
      <c r="M37" s="102"/>
    </row>
    <row r="38" spans="2:14" ht="13.8" thickBot="1" x14ac:dyDescent="0.3">
      <c r="B38" s="162" t="s">
        <v>390</v>
      </c>
      <c r="C38" s="164" t="s">
        <v>197</v>
      </c>
      <c r="D38" s="164" t="s">
        <v>197</v>
      </c>
      <c r="E38" s="164" t="s">
        <v>197</v>
      </c>
      <c r="F38" s="164" t="s">
        <v>197</v>
      </c>
      <c r="G38" s="164"/>
      <c r="H38" s="164"/>
      <c r="I38" s="164"/>
      <c r="J38" s="164"/>
      <c r="K38" s="160"/>
      <c r="L38" s="160"/>
    </row>
    <row r="39" spans="2:14" ht="13.8" thickBot="1" x14ac:dyDescent="0.3">
      <c r="B39" s="175"/>
      <c r="C39" s="175"/>
      <c r="D39" s="175"/>
      <c r="E39" s="175"/>
      <c r="F39" s="175"/>
      <c r="G39" s="175"/>
      <c r="H39" s="175"/>
      <c r="I39" s="175"/>
      <c r="J39" s="175"/>
      <c r="K39" s="179"/>
      <c r="L39" s="179"/>
    </row>
    <row r="40" spans="2:14" ht="13.8" thickBot="1" x14ac:dyDescent="0.3">
      <c r="B40" s="151" t="s">
        <v>124</v>
      </c>
      <c r="C40" s="152"/>
      <c r="D40" s="152"/>
      <c r="E40" s="152"/>
      <c r="F40" s="152"/>
      <c r="G40" s="152"/>
      <c r="H40" s="152"/>
      <c r="I40" s="152"/>
      <c r="J40" s="152"/>
      <c r="K40" s="152"/>
      <c r="L40" s="152"/>
    </row>
    <row r="41" spans="2:14" ht="14.4" thickTop="1" thickBot="1" x14ac:dyDescent="0.3">
      <c r="B41" s="148" t="s">
        <v>200</v>
      </c>
      <c r="C41" s="146"/>
      <c r="D41" s="146"/>
      <c r="E41" s="146"/>
      <c r="F41" s="146"/>
      <c r="G41" s="146"/>
      <c r="H41" s="146"/>
      <c r="I41" s="146"/>
      <c r="J41" s="146"/>
      <c r="K41" s="146"/>
      <c r="L41" s="146"/>
    </row>
    <row r="42" spans="2:14" ht="14.4" thickTop="1" thickBot="1" x14ac:dyDescent="0.3">
      <c r="B42" s="148" t="s">
        <v>201</v>
      </c>
      <c r="C42" s="146"/>
      <c r="D42" s="146"/>
      <c r="E42" s="146"/>
      <c r="F42" s="146"/>
      <c r="G42" s="146"/>
      <c r="H42" s="146"/>
      <c r="I42" s="146"/>
      <c r="J42" s="146"/>
      <c r="K42" s="146"/>
      <c r="L42" s="146"/>
    </row>
    <row r="43" spans="2:14" ht="14.4" thickTop="1" thickBot="1" x14ac:dyDescent="0.3">
      <c r="B43" s="149" t="s">
        <v>202</v>
      </c>
      <c r="C43" s="146"/>
      <c r="D43" s="146"/>
      <c r="E43" s="146"/>
      <c r="F43" s="146"/>
      <c r="G43" s="146"/>
      <c r="H43" s="146"/>
      <c r="I43" s="146"/>
      <c r="J43" s="146"/>
      <c r="K43" s="146"/>
      <c r="L43" s="146"/>
    </row>
    <row r="44" spans="2:14" ht="14.4" thickTop="1" thickBot="1" x14ac:dyDescent="0.3">
      <c r="B44" s="148" t="s">
        <v>203</v>
      </c>
      <c r="C44" s="146"/>
      <c r="D44" s="146"/>
      <c r="E44" s="146"/>
      <c r="F44" s="146"/>
      <c r="G44" s="146"/>
      <c r="H44" s="146"/>
      <c r="I44" s="146"/>
      <c r="J44" s="146"/>
      <c r="K44" s="146"/>
      <c r="L44" s="146"/>
    </row>
    <row r="45" spans="2:14" ht="14.4" thickTop="1" thickBot="1" x14ac:dyDescent="0.3">
      <c r="B45" s="148" t="s">
        <v>391</v>
      </c>
      <c r="C45" s="146"/>
      <c r="D45" s="146"/>
      <c r="E45" s="146"/>
      <c r="F45" s="146"/>
      <c r="G45" s="146"/>
      <c r="H45" s="146"/>
      <c r="I45" s="146"/>
      <c r="J45" s="146"/>
      <c r="K45" s="146"/>
      <c r="L45" s="146"/>
    </row>
    <row r="46" spans="2:14" ht="14.4" thickTop="1" thickBot="1" x14ac:dyDescent="0.3">
      <c r="B46" s="149" t="s">
        <v>204</v>
      </c>
      <c r="C46" s="146"/>
      <c r="D46" s="146"/>
      <c r="E46" s="146"/>
      <c r="F46" s="146"/>
      <c r="G46" s="146"/>
      <c r="H46" s="146"/>
      <c r="I46" s="146"/>
      <c r="J46" s="146"/>
      <c r="K46" s="146"/>
      <c r="L46" s="146"/>
    </row>
    <row r="47" spans="2:14" ht="14.4" thickTop="1" thickBot="1" x14ac:dyDescent="0.3">
      <c r="B47" s="148" t="s">
        <v>205</v>
      </c>
      <c r="C47" s="146"/>
      <c r="D47" s="146"/>
      <c r="E47" s="146"/>
      <c r="F47" s="146"/>
      <c r="G47" s="146"/>
      <c r="H47" s="146"/>
      <c r="I47" s="146"/>
      <c r="J47" s="146"/>
      <c r="K47" s="146"/>
      <c r="L47" s="146"/>
    </row>
    <row r="48" spans="2:14" ht="14.4" thickTop="1" thickBot="1" x14ac:dyDescent="0.3">
      <c r="B48" s="148" t="s">
        <v>206</v>
      </c>
      <c r="C48" s="146"/>
      <c r="D48" s="146"/>
      <c r="E48" s="146"/>
      <c r="F48" s="146"/>
      <c r="G48" s="146"/>
      <c r="H48" s="146"/>
      <c r="I48" s="146"/>
      <c r="J48" s="146"/>
      <c r="K48" s="146"/>
      <c r="L48" s="146"/>
    </row>
    <row r="49" spans="2:19" ht="14.4" thickTop="1" thickBot="1" x14ac:dyDescent="0.3">
      <c r="B49" s="148" t="s">
        <v>207</v>
      </c>
      <c r="C49" s="146"/>
      <c r="D49" s="146"/>
      <c r="E49" s="146"/>
      <c r="F49" s="146"/>
      <c r="G49" s="146"/>
      <c r="H49" s="146"/>
      <c r="I49" s="146"/>
      <c r="J49" s="146"/>
      <c r="K49" s="146"/>
      <c r="L49" s="146"/>
    </row>
    <row r="50" spans="2:19" ht="14.4" thickTop="1" thickBot="1" x14ac:dyDescent="0.3">
      <c r="B50" s="148" t="s">
        <v>208</v>
      </c>
      <c r="C50" s="146"/>
      <c r="D50" s="146"/>
      <c r="E50" s="146"/>
      <c r="F50" s="146"/>
      <c r="G50" s="146"/>
      <c r="H50" s="146"/>
      <c r="I50" s="146"/>
      <c r="J50" s="146"/>
      <c r="K50" s="146"/>
      <c r="L50" s="146"/>
    </row>
    <row r="51" spans="2:19" ht="14.4" thickTop="1" thickBot="1" x14ac:dyDescent="0.3">
      <c r="B51" s="146"/>
      <c r="C51" s="146"/>
      <c r="D51" s="146"/>
      <c r="E51" s="146"/>
      <c r="F51" s="146"/>
      <c r="G51" s="146"/>
      <c r="H51" s="146"/>
      <c r="I51" s="146"/>
      <c r="J51" s="146"/>
      <c r="K51" s="146"/>
      <c r="L51" s="146"/>
    </row>
    <row r="52" spans="2:19" ht="14.4" thickTop="1" thickBot="1" x14ac:dyDescent="0.3">
      <c r="B52" s="147" t="s">
        <v>146</v>
      </c>
      <c r="C52" s="146"/>
      <c r="D52" s="146"/>
      <c r="E52" s="146"/>
      <c r="F52" s="146"/>
      <c r="G52" s="146"/>
      <c r="H52" s="146"/>
      <c r="I52" s="146"/>
      <c r="J52" s="146"/>
      <c r="K52" s="146"/>
      <c r="L52" s="146"/>
    </row>
    <row r="53" spans="2:19" ht="14.4" thickTop="1" thickBot="1" x14ac:dyDescent="0.3">
      <c r="B53" s="148" t="s">
        <v>209</v>
      </c>
      <c r="C53" s="146"/>
      <c r="D53" s="146"/>
      <c r="E53" s="146"/>
      <c r="F53" s="146"/>
      <c r="G53" s="146"/>
      <c r="H53" s="146"/>
      <c r="I53" s="146"/>
      <c r="J53" s="146"/>
      <c r="K53" s="146"/>
      <c r="L53" s="146"/>
    </row>
    <row r="54" spans="2:19" ht="14.4" thickTop="1" thickBot="1" x14ac:dyDescent="0.3">
      <c r="B54" s="148" t="s">
        <v>210</v>
      </c>
      <c r="C54" s="146"/>
      <c r="D54" s="146"/>
      <c r="E54" s="146"/>
      <c r="F54" s="146"/>
      <c r="G54" s="146"/>
      <c r="H54" s="146"/>
      <c r="I54" s="146"/>
      <c r="J54" s="146"/>
      <c r="K54" s="146"/>
      <c r="L54" s="146"/>
    </row>
    <row r="55" spans="2:19" ht="14.4" thickTop="1" thickBot="1" x14ac:dyDescent="0.3">
      <c r="B55" s="148" t="s">
        <v>211</v>
      </c>
      <c r="C55" s="146"/>
      <c r="D55" s="146"/>
      <c r="E55" s="146"/>
      <c r="F55" s="146"/>
      <c r="G55" s="146"/>
      <c r="H55" s="146"/>
      <c r="I55" s="146"/>
      <c r="J55" s="146"/>
      <c r="K55" s="146"/>
      <c r="L55" s="146"/>
    </row>
    <row r="56" spans="2:19" ht="14.4" thickTop="1" thickBot="1" x14ac:dyDescent="0.3">
      <c r="B56" s="146"/>
      <c r="C56" s="146"/>
      <c r="D56" s="146"/>
      <c r="E56" s="146"/>
      <c r="F56" s="146"/>
      <c r="G56" s="146"/>
      <c r="H56" s="146"/>
      <c r="I56" s="146"/>
      <c r="J56" s="146"/>
      <c r="K56" s="146"/>
      <c r="L56" s="146"/>
    </row>
    <row r="57" spans="2:19" ht="14.4" thickTop="1" thickBot="1" x14ac:dyDescent="0.3">
      <c r="B57" s="146"/>
      <c r="C57" s="146"/>
      <c r="D57" s="146"/>
      <c r="E57" s="146"/>
      <c r="F57" s="146"/>
      <c r="G57" s="146"/>
      <c r="H57" s="146"/>
      <c r="I57" s="146"/>
      <c r="J57" s="146"/>
      <c r="K57" s="146"/>
      <c r="L57" s="146"/>
    </row>
    <row r="58" spans="2:19" ht="13.8" thickTop="1" x14ac:dyDescent="0.25"/>
    <row r="59" spans="2:19" x14ac:dyDescent="0.25">
      <c r="B59" s="144"/>
      <c r="C59" s="142"/>
      <c r="D59" s="142"/>
      <c r="E59" s="142"/>
      <c r="F59" s="142"/>
      <c r="G59" s="142"/>
      <c r="H59" s="142"/>
      <c r="I59" s="142"/>
      <c r="J59" s="142"/>
      <c r="K59" s="142"/>
      <c r="L59" s="142"/>
      <c r="M59" s="142"/>
      <c r="N59" s="142"/>
      <c r="O59" s="142"/>
      <c r="P59" s="142"/>
      <c r="Q59" s="142"/>
      <c r="R59" s="142"/>
      <c r="S59" s="142"/>
    </row>
    <row r="60" spans="2:19" x14ac:dyDescent="0.25">
      <c r="B60" s="145"/>
      <c r="C60" s="142"/>
      <c r="D60" s="142"/>
      <c r="E60" s="142"/>
      <c r="F60" s="142"/>
      <c r="G60" s="142"/>
      <c r="H60" s="142"/>
      <c r="I60" s="142"/>
      <c r="J60" s="142"/>
      <c r="K60" s="142"/>
      <c r="L60" s="142"/>
      <c r="M60" s="142"/>
      <c r="N60" s="142"/>
      <c r="O60" s="142"/>
      <c r="P60" s="142"/>
      <c r="Q60" s="142"/>
      <c r="R60" s="142"/>
      <c r="S60" s="142"/>
    </row>
    <row r="61" spans="2:19" x14ac:dyDescent="0.25">
      <c r="B61" s="145"/>
      <c r="C61" s="142"/>
      <c r="D61" s="142"/>
      <c r="E61" s="142"/>
      <c r="F61" s="142"/>
      <c r="G61" s="142"/>
      <c r="H61" s="142"/>
      <c r="I61" s="142"/>
      <c r="J61" s="142"/>
      <c r="K61" s="142"/>
      <c r="L61" s="142"/>
      <c r="M61" s="142"/>
      <c r="N61" s="142"/>
      <c r="O61" s="142"/>
      <c r="P61" s="142"/>
      <c r="Q61" s="142"/>
      <c r="R61" s="142"/>
      <c r="S61" s="142"/>
    </row>
    <row r="62" spans="2:19" x14ac:dyDescent="0.25">
      <c r="B62" s="145"/>
      <c r="C62" s="142"/>
      <c r="D62" s="142"/>
      <c r="E62" s="142"/>
      <c r="F62" s="142"/>
      <c r="G62" s="142"/>
      <c r="H62" s="142"/>
      <c r="I62" s="142"/>
      <c r="J62" s="142"/>
      <c r="K62" s="142"/>
      <c r="L62" s="142"/>
      <c r="M62" s="142"/>
      <c r="N62" s="142"/>
      <c r="O62" s="142"/>
      <c r="P62" s="142"/>
      <c r="Q62" s="142"/>
      <c r="R62" s="142"/>
      <c r="S62" s="142"/>
    </row>
    <row r="63" spans="2:19" x14ac:dyDescent="0.25">
      <c r="B63" s="145"/>
      <c r="C63" s="142"/>
      <c r="D63" s="142"/>
      <c r="E63" s="142"/>
      <c r="F63" s="142"/>
      <c r="G63" s="142"/>
      <c r="H63" s="142"/>
      <c r="I63" s="142"/>
      <c r="J63" s="142"/>
      <c r="K63" s="142"/>
      <c r="L63" s="142"/>
      <c r="M63" s="142"/>
      <c r="N63" s="142"/>
      <c r="O63" s="142"/>
      <c r="P63" s="142"/>
      <c r="Q63" s="142"/>
      <c r="R63" s="142"/>
      <c r="S63" s="142"/>
    </row>
    <row r="64" spans="2:19" x14ac:dyDescent="0.25">
      <c r="B64" s="145"/>
      <c r="C64" s="142"/>
      <c r="D64" s="142"/>
      <c r="E64" s="142"/>
      <c r="F64" s="142"/>
      <c r="G64" s="142"/>
      <c r="H64" s="142"/>
      <c r="I64" s="142"/>
      <c r="J64" s="142"/>
      <c r="K64" s="142"/>
      <c r="L64" s="142"/>
      <c r="M64" s="142"/>
      <c r="N64" s="142"/>
      <c r="O64" s="142"/>
      <c r="P64" s="142"/>
      <c r="Q64" s="142"/>
      <c r="R64" s="142"/>
      <c r="S64" s="142"/>
    </row>
    <row r="65" spans="2:19" x14ac:dyDescent="0.25">
      <c r="B65" s="145"/>
      <c r="C65" s="142"/>
      <c r="D65" s="142"/>
      <c r="E65" s="142"/>
      <c r="F65" s="142"/>
      <c r="G65" s="142"/>
      <c r="H65" s="142"/>
      <c r="I65" s="142"/>
      <c r="J65" s="142"/>
      <c r="K65" s="142"/>
      <c r="L65" s="142"/>
      <c r="M65" s="142"/>
      <c r="N65" s="142"/>
      <c r="O65" s="142"/>
      <c r="P65" s="142"/>
      <c r="Q65" s="142"/>
      <c r="R65" s="142"/>
      <c r="S65" s="142"/>
    </row>
    <row r="66" spans="2:19" x14ac:dyDescent="0.25">
      <c r="B66" s="145"/>
      <c r="C66" s="142"/>
      <c r="D66" s="142"/>
      <c r="E66" s="142"/>
      <c r="F66" s="142"/>
      <c r="G66" s="142"/>
      <c r="H66" s="142"/>
      <c r="I66" s="142"/>
      <c r="J66" s="142"/>
      <c r="K66" s="142"/>
      <c r="L66" s="142"/>
      <c r="M66" s="142"/>
      <c r="N66" s="142"/>
      <c r="O66" s="142"/>
      <c r="P66" s="142"/>
      <c r="Q66" s="142"/>
      <c r="R66" s="142"/>
      <c r="S66" s="142"/>
    </row>
    <row r="67" spans="2:19" x14ac:dyDescent="0.25">
      <c r="B67" s="145"/>
      <c r="C67" s="142"/>
      <c r="D67" s="142"/>
      <c r="E67" s="142"/>
      <c r="F67" s="142"/>
      <c r="G67" s="142"/>
      <c r="H67" s="142"/>
      <c r="I67" s="142"/>
      <c r="J67" s="142"/>
      <c r="K67" s="142"/>
      <c r="L67" s="142"/>
      <c r="M67" s="142"/>
      <c r="N67" s="142"/>
      <c r="O67" s="142"/>
      <c r="P67" s="142"/>
      <c r="Q67" s="142"/>
      <c r="R67" s="142"/>
      <c r="S67" s="142"/>
    </row>
    <row r="68" spans="2:19" x14ac:dyDescent="0.25">
      <c r="B68" s="145"/>
      <c r="C68" s="142"/>
      <c r="D68" s="142"/>
      <c r="E68" s="142"/>
      <c r="F68" s="142"/>
      <c r="G68" s="142"/>
      <c r="H68" s="142"/>
      <c r="I68" s="142"/>
      <c r="J68" s="142"/>
      <c r="K68" s="142"/>
      <c r="L68" s="142"/>
      <c r="M68" s="142"/>
      <c r="N68" s="142"/>
      <c r="O68" s="142"/>
      <c r="P68" s="142"/>
      <c r="Q68" s="142"/>
      <c r="R68" s="142"/>
      <c r="S68" s="142"/>
    </row>
    <row r="69" spans="2:19" x14ac:dyDescent="0.25">
      <c r="B69" s="145"/>
      <c r="C69" s="142"/>
      <c r="D69" s="142"/>
      <c r="E69" s="142"/>
      <c r="F69" s="142"/>
      <c r="G69" s="142"/>
      <c r="H69" s="142"/>
      <c r="I69" s="142"/>
      <c r="J69" s="142"/>
      <c r="K69" s="142"/>
      <c r="L69" s="142"/>
      <c r="M69" s="142"/>
      <c r="N69" s="142"/>
      <c r="O69" s="142"/>
      <c r="P69" s="142"/>
      <c r="Q69" s="142"/>
      <c r="R69" s="142"/>
      <c r="S69" s="142"/>
    </row>
    <row r="70" spans="2:19" x14ac:dyDescent="0.25">
      <c r="B70" s="142"/>
      <c r="C70" s="142"/>
      <c r="D70" s="142"/>
      <c r="E70" s="142"/>
      <c r="F70" s="142"/>
      <c r="G70" s="142"/>
      <c r="H70" s="142"/>
      <c r="I70" s="142"/>
      <c r="J70" s="142"/>
      <c r="K70" s="142"/>
      <c r="L70" s="142"/>
      <c r="M70" s="142"/>
      <c r="N70" s="142"/>
      <c r="O70" s="142"/>
      <c r="P70" s="142"/>
      <c r="Q70" s="142"/>
      <c r="R70" s="142"/>
      <c r="S70" s="142"/>
    </row>
    <row r="71" spans="2:19" x14ac:dyDescent="0.25">
      <c r="B71" s="144"/>
      <c r="C71" s="142"/>
      <c r="D71" s="142"/>
      <c r="E71" s="142"/>
      <c r="F71" s="142"/>
      <c r="G71" s="142"/>
      <c r="H71" s="142"/>
      <c r="I71" s="142"/>
      <c r="J71" s="142"/>
      <c r="K71" s="142"/>
      <c r="L71" s="142"/>
      <c r="M71" s="142"/>
      <c r="N71" s="142"/>
      <c r="O71" s="142"/>
      <c r="P71" s="142"/>
      <c r="Q71" s="142"/>
      <c r="R71" s="142"/>
      <c r="S71" s="142"/>
    </row>
    <row r="72" spans="2:19" x14ac:dyDescent="0.25">
      <c r="B72" s="145"/>
      <c r="C72" s="142"/>
      <c r="D72" s="142"/>
      <c r="E72" s="142"/>
      <c r="F72" s="142"/>
      <c r="G72" s="142"/>
      <c r="H72" s="142"/>
      <c r="I72" s="142"/>
      <c r="J72" s="142"/>
      <c r="K72" s="142"/>
      <c r="L72" s="142"/>
      <c r="M72" s="142"/>
      <c r="N72" s="142"/>
      <c r="O72" s="142"/>
      <c r="P72" s="142"/>
      <c r="Q72" s="142"/>
      <c r="R72" s="142"/>
      <c r="S72" s="142"/>
    </row>
    <row r="73" spans="2:19" x14ac:dyDescent="0.25">
      <c r="B73" s="145"/>
      <c r="C73" s="142"/>
      <c r="D73" s="142"/>
      <c r="E73" s="142"/>
      <c r="F73" s="142"/>
      <c r="G73" s="142"/>
      <c r="H73" s="142"/>
      <c r="I73" s="142"/>
      <c r="J73" s="142"/>
      <c r="K73" s="142"/>
      <c r="L73" s="142"/>
      <c r="M73" s="142"/>
      <c r="N73" s="142"/>
      <c r="O73" s="142"/>
      <c r="P73" s="142"/>
      <c r="Q73" s="142"/>
      <c r="R73" s="142"/>
      <c r="S73" s="142"/>
    </row>
    <row r="74" spans="2:19" x14ac:dyDescent="0.25">
      <c r="B74" s="145"/>
      <c r="C74" s="142"/>
      <c r="D74" s="142"/>
      <c r="E74" s="142"/>
      <c r="F74" s="142"/>
      <c r="G74" s="142"/>
      <c r="H74" s="142"/>
      <c r="I74" s="142"/>
      <c r="J74" s="142"/>
      <c r="K74" s="142"/>
      <c r="L74" s="142"/>
      <c r="M74" s="142"/>
      <c r="N74" s="142"/>
      <c r="O74" s="142"/>
      <c r="P74" s="142"/>
      <c r="Q74" s="142"/>
      <c r="R74" s="142"/>
      <c r="S74" s="142"/>
    </row>
    <row r="75" spans="2:19" x14ac:dyDescent="0.25">
      <c r="B75" s="142"/>
      <c r="C75" s="142"/>
      <c r="D75" s="142"/>
      <c r="E75" s="142"/>
      <c r="F75" s="142"/>
      <c r="G75" s="142"/>
      <c r="H75" s="142"/>
      <c r="I75" s="142"/>
      <c r="J75" s="142"/>
      <c r="K75" s="142"/>
      <c r="L75" s="142"/>
      <c r="M75" s="142"/>
      <c r="N75" s="142"/>
      <c r="O75" s="142"/>
      <c r="P75" s="142"/>
      <c r="Q75" s="142"/>
      <c r="R75" s="142"/>
      <c r="S75" s="142"/>
    </row>
    <row r="76" spans="2:19" x14ac:dyDescent="0.25">
      <c r="B76" s="142"/>
      <c r="C76" s="142"/>
      <c r="D76" s="142"/>
      <c r="E76" s="142"/>
      <c r="F76" s="142"/>
      <c r="G76" s="142"/>
      <c r="H76" s="142"/>
      <c r="I76" s="142"/>
      <c r="J76" s="142"/>
      <c r="K76" s="142"/>
      <c r="L76" s="142"/>
      <c r="M76" s="142"/>
      <c r="N76" s="142"/>
      <c r="O76" s="142"/>
      <c r="P76" s="142"/>
      <c r="Q76" s="142"/>
      <c r="R76" s="142"/>
      <c r="S76" s="142"/>
    </row>
    <row r="77" spans="2:19" x14ac:dyDescent="0.25">
      <c r="B77" s="142"/>
      <c r="C77" s="142"/>
      <c r="D77" s="142"/>
      <c r="E77" s="142"/>
      <c r="F77" s="142"/>
      <c r="G77" s="142"/>
      <c r="H77" s="142"/>
      <c r="I77" s="142"/>
      <c r="J77" s="142"/>
      <c r="K77" s="142"/>
      <c r="L77" s="142"/>
      <c r="M77" s="142"/>
      <c r="N77" s="142"/>
      <c r="O77" s="142"/>
      <c r="P77" s="142"/>
      <c r="Q77" s="142"/>
      <c r="R77" s="142"/>
      <c r="S77" s="142"/>
    </row>
  </sheetData>
  <mergeCells count="1">
    <mergeCell ref="C3:L3"/>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C97E8C-901B-447D-865E-BF912C4F13EE}">
  <sheetPr>
    <tabColor theme="4"/>
  </sheetPr>
  <dimension ref="B1:V65"/>
  <sheetViews>
    <sheetView topLeftCell="A3" zoomScale="73" workbookViewId="0">
      <selection activeCell="S12" sqref="S12"/>
    </sheetView>
  </sheetViews>
  <sheetFormatPr defaultRowHeight="13.2" x14ac:dyDescent="0.25"/>
  <cols>
    <col min="2" max="2" width="30.44140625" customWidth="1"/>
    <col min="3" max="11" width="7" customWidth="1"/>
    <col min="17" max="17" width="12" bestFit="1" customWidth="1"/>
    <col min="21" max="21" width="10" bestFit="1" customWidth="1"/>
  </cols>
  <sheetData>
    <row r="1" spans="2:22" ht="13.8" thickBot="1" x14ac:dyDescent="0.3">
      <c r="G1" s="99"/>
    </row>
    <row r="2" spans="2:22" ht="13.8" thickBot="1" x14ac:dyDescent="0.3">
      <c r="B2" s="150" t="s">
        <v>71</v>
      </c>
      <c r="C2" s="339" t="s">
        <v>392</v>
      </c>
      <c r="D2" s="340"/>
      <c r="E2" s="340"/>
      <c r="F2" s="340"/>
      <c r="G2" s="340"/>
      <c r="H2" s="340"/>
      <c r="I2" s="340"/>
      <c r="J2" s="340"/>
      <c r="K2" s="340"/>
      <c r="L2" s="340"/>
      <c r="M2" s="340"/>
    </row>
    <row r="3" spans="2:22" ht="13.8" thickBot="1" x14ac:dyDescent="0.3">
      <c r="B3" s="153" t="s">
        <v>300</v>
      </c>
      <c r="C3" s="194">
        <v>2020</v>
      </c>
      <c r="D3" s="194">
        <v>2025</v>
      </c>
      <c r="E3" s="194">
        <v>2030</v>
      </c>
      <c r="F3" s="194">
        <v>2040</v>
      </c>
      <c r="G3" s="194">
        <v>2050</v>
      </c>
      <c r="H3" s="195">
        <v>2020</v>
      </c>
      <c r="I3" s="195">
        <v>2020</v>
      </c>
      <c r="J3" s="195">
        <v>2050</v>
      </c>
      <c r="K3" s="195">
        <v>2050</v>
      </c>
      <c r="L3" s="157" t="s">
        <v>75</v>
      </c>
      <c r="M3" s="157" t="s">
        <v>76</v>
      </c>
    </row>
    <row r="4" spans="2:22" ht="13.8" thickBot="1" x14ac:dyDescent="0.3">
      <c r="B4" s="150" t="s">
        <v>301</v>
      </c>
      <c r="C4" s="155" t="s">
        <v>302</v>
      </c>
      <c r="D4" s="155" t="s">
        <v>302</v>
      </c>
      <c r="E4" s="155" t="s">
        <v>302</v>
      </c>
      <c r="F4" s="155" t="s">
        <v>302</v>
      </c>
      <c r="G4" s="155" t="s">
        <v>302</v>
      </c>
      <c r="H4" s="195" t="s">
        <v>78</v>
      </c>
      <c r="I4" s="195" t="s">
        <v>79</v>
      </c>
      <c r="J4" s="195" t="s">
        <v>78</v>
      </c>
      <c r="K4" s="195" t="s">
        <v>79</v>
      </c>
      <c r="L4" s="157" t="s">
        <v>116</v>
      </c>
      <c r="M4" s="157" t="s">
        <v>116</v>
      </c>
    </row>
    <row r="5" spans="2:22" ht="13.8" thickBot="1" x14ac:dyDescent="0.3">
      <c r="B5" s="158" t="s">
        <v>305</v>
      </c>
      <c r="C5" s="159"/>
      <c r="D5" s="159"/>
      <c r="E5" s="159"/>
      <c r="F5" s="159"/>
      <c r="G5" s="159"/>
      <c r="H5" s="159"/>
      <c r="I5" s="159"/>
      <c r="J5" s="159"/>
      <c r="K5" s="159"/>
      <c r="L5" s="160"/>
      <c r="M5" s="160"/>
      <c r="Q5">
        <v>6.11</v>
      </c>
      <c r="R5" t="s">
        <v>516</v>
      </c>
      <c r="U5">
        <v>1</v>
      </c>
      <c r="V5" t="s">
        <v>517</v>
      </c>
    </row>
    <row r="6" spans="2:22" ht="13.8" thickBot="1" x14ac:dyDescent="0.3">
      <c r="B6" s="161" t="s">
        <v>77</v>
      </c>
      <c r="C6" s="159"/>
      <c r="D6" s="159"/>
      <c r="E6" s="159"/>
      <c r="F6" s="159"/>
      <c r="G6" s="159"/>
      <c r="H6" s="159"/>
      <c r="I6" s="159"/>
      <c r="J6" s="159"/>
      <c r="K6" s="159"/>
      <c r="L6" s="160"/>
      <c r="M6" s="160"/>
      <c r="U6">
        <v>3.5999999999999998E-6</v>
      </c>
      <c r="V6" t="s">
        <v>518</v>
      </c>
    </row>
    <row r="7" spans="2:22" ht="13.8" thickBot="1" x14ac:dyDescent="0.3">
      <c r="B7" s="162" t="s">
        <v>393</v>
      </c>
      <c r="C7" s="164">
        <v>300</v>
      </c>
      <c r="D7" s="164">
        <v>300</v>
      </c>
      <c r="E7" s="164">
        <v>600</v>
      </c>
      <c r="F7" s="164">
        <v>900</v>
      </c>
      <c r="G7" s="164">
        <v>1200</v>
      </c>
      <c r="H7" s="165"/>
      <c r="I7" s="166"/>
      <c r="J7" s="166"/>
      <c r="K7" s="166"/>
      <c r="L7" s="167" t="s">
        <v>93</v>
      </c>
      <c r="M7" s="160">
        <v>3</v>
      </c>
    </row>
    <row r="8" spans="2:22" ht="13.8" thickBot="1" x14ac:dyDescent="0.3">
      <c r="B8" s="162" t="s">
        <v>394</v>
      </c>
      <c r="C8" s="164">
        <v>69</v>
      </c>
      <c r="D8" s="164">
        <v>69</v>
      </c>
      <c r="E8" s="164">
        <v>138</v>
      </c>
      <c r="F8" s="164">
        <v>207</v>
      </c>
      <c r="G8" s="164">
        <v>276</v>
      </c>
      <c r="H8" s="165"/>
      <c r="I8" s="166"/>
      <c r="J8" s="166"/>
      <c r="K8" s="166"/>
      <c r="L8" s="167"/>
      <c r="M8" s="160"/>
      <c r="Q8">
        <f>Q5*U6</f>
        <v>2.1996000000000001E-5</v>
      </c>
      <c r="R8" t="s">
        <v>515</v>
      </c>
    </row>
    <row r="9" spans="2:22" ht="13.8" thickBot="1" x14ac:dyDescent="0.3">
      <c r="B9" s="161" t="s">
        <v>163</v>
      </c>
      <c r="C9" s="164"/>
      <c r="D9" s="164"/>
      <c r="E9" s="164"/>
      <c r="F9" s="164"/>
      <c r="G9" s="164"/>
      <c r="H9" s="164"/>
      <c r="I9" s="164"/>
      <c r="J9" s="164"/>
      <c r="K9" s="164"/>
      <c r="L9" s="160"/>
      <c r="M9" s="160"/>
    </row>
    <row r="10" spans="2:22" ht="13.8" thickBot="1" x14ac:dyDescent="0.3">
      <c r="B10" s="196" t="s">
        <v>395</v>
      </c>
      <c r="C10" s="197">
        <v>1.4</v>
      </c>
      <c r="D10" s="197">
        <v>1.4</v>
      </c>
      <c r="E10" s="197">
        <v>1.4</v>
      </c>
      <c r="F10" s="197">
        <v>1.4</v>
      </c>
      <c r="G10" s="197">
        <v>1.4</v>
      </c>
      <c r="H10" s="165">
        <v>1</v>
      </c>
      <c r="I10" s="165">
        <v>1.1000000000000001</v>
      </c>
      <c r="J10" s="165">
        <v>1</v>
      </c>
      <c r="K10" s="165">
        <v>1.1000000000000001</v>
      </c>
      <c r="L10" s="160" t="s">
        <v>88</v>
      </c>
      <c r="M10" s="160">
        <v>5</v>
      </c>
    </row>
    <row r="11" spans="2:22" ht="13.8" thickBot="1" x14ac:dyDescent="0.3">
      <c r="B11" s="196" t="s">
        <v>396</v>
      </c>
      <c r="C11" s="198">
        <v>0.19</v>
      </c>
      <c r="D11" s="198">
        <v>0.19</v>
      </c>
      <c r="E11" s="198">
        <v>0.19</v>
      </c>
      <c r="F11" s="198">
        <v>0.19</v>
      </c>
      <c r="G11" s="198">
        <v>0.19</v>
      </c>
      <c r="H11" s="165">
        <v>1</v>
      </c>
      <c r="I11" s="165">
        <v>1.1000000000000001</v>
      </c>
      <c r="J11" s="165">
        <v>1</v>
      </c>
      <c r="K11" s="165">
        <v>1.1000000000000001</v>
      </c>
      <c r="L11" s="160" t="s">
        <v>67</v>
      </c>
      <c r="M11" s="160">
        <v>5</v>
      </c>
    </row>
    <row r="12" spans="2:22" ht="13.8" thickBot="1" x14ac:dyDescent="0.3">
      <c r="B12" s="196" t="s">
        <v>397</v>
      </c>
      <c r="C12" s="198">
        <v>6.4</v>
      </c>
      <c r="D12" s="198">
        <v>6.4</v>
      </c>
      <c r="E12" s="198">
        <v>6.4</v>
      </c>
      <c r="F12" s="198">
        <v>6.4</v>
      </c>
      <c r="G12" s="198">
        <v>6.4</v>
      </c>
      <c r="H12" s="165">
        <v>1</v>
      </c>
      <c r="I12" s="165">
        <v>1.1000000000000001</v>
      </c>
      <c r="J12" s="165">
        <v>1</v>
      </c>
      <c r="K12" s="165">
        <v>1.1000000000000001</v>
      </c>
      <c r="L12" s="160" t="s">
        <v>128</v>
      </c>
      <c r="M12" s="160"/>
    </row>
    <row r="13" spans="2:22" ht="13.8" thickBot="1" x14ac:dyDescent="0.3">
      <c r="B13" s="196" t="s">
        <v>398</v>
      </c>
      <c r="C13" s="198">
        <v>0.1</v>
      </c>
      <c r="D13" s="198">
        <v>0.1</v>
      </c>
      <c r="E13" s="198">
        <v>0.1</v>
      </c>
      <c r="F13" s="198">
        <v>0.1</v>
      </c>
      <c r="G13" s="198">
        <v>0.1</v>
      </c>
      <c r="H13" s="165">
        <v>0.8</v>
      </c>
      <c r="I13" s="165">
        <v>1.2</v>
      </c>
      <c r="J13" s="165">
        <v>0.8</v>
      </c>
      <c r="K13" s="165">
        <v>1.2</v>
      </c>
      <c r="L13" s="160" t="s">
        <v>58</v>
      </c>
      <c r="M13" s="160">
        <v>5</v>
      </c>
    </row>
    <row r="14" spans="2:22" ht="13.8" thickBot="1" x14ac:dyDescent="0.3">
      <c r="B14" s="196" t="s">
        <v>399</v>
      </c>
      <c r="C14" s="198">
        <v>0.57999999999999996</v>
      </c>
      <c r="D14" s="198">
        <v>0.57999999999999996</v>
      </c>
      <c r="E14" s="198">
        <v>0.57999999999999996</v>
      </c>
      <c r="F14" s="198">
        <v>0.57999999999999996</v>
      </c>
      <c r="G14" s="198">
        <v>0.57999999999999996</v>
      </c>
      <c r="H14" s="165">
        <v>0.8</v>
      </c>
      <c r="I14" s="165">
        <v>1.2</v>
      </c>
      <c r="J14" s="165">
        <v>0.8</v>
      </c>
      <c r="K14" s="165">
        <v>1.2</v>
      </c>
      <c r="L14" s="160" t="s">
        <v>58</v>
      </c>
      <c r="M14" s="160">
        <v>5</v>
      </c>
    </row>
    <row r="15" spans="2:22" ht="13.8" thickBot="1" x14ac:dyDescent="0.3">
      <c r="B15" s="161" t="s">
        <v>164</v>
      </c>
      <c r="C15" s="164"/>
      <c r="D15" s="164"/>
      <c r="E15" s="164"/>
      <c r="F15" s="164"/>
      <c r="G15" s="164"/>
      <c r="H15" s="165"/>
      <c r="I15" s="165"/>
      <c r="J15" s="165"/>
      <c r="K15" s="165"/>
      <c r="L15" s="160"/>
      <c r="M15" s="160"/>
    </row>
    <row r="16" spans="2:22" ht="13.8" thickBot="1" x14ac:dyDescent="0.3">
      <c r="B16" s="196" t="s">
        <v>400</v>
      </c>
      <c r="C16" s="198">
        <v>0.78</v>
      </c>
      <c r="D16" s="198">
        <v>0.78</v>
      </c>
      <c r="E16" s="198">
        <v>0.78</v>
      </c>
      <c r="F16" s="198">
        <v>0.78</v>
      </c>
      <c r="G16" s="198">
        <v>0.78</v>
      </c>
      <c r="H16" s="165">
        <v>1</v>
      </c>
      <c r="I16" s="165">
        <v>1.1000000000000001</v>
      </c>
      <c r="J16" s="165">
        <v>1</v>
      </c>
      <c r="K16" s="165">
        <v>1.1000000000000001</v>
      </c>
      <c r="L16" s="199" t="s">
        <v>132</v>
      </c>
      <c r="M16" s="160"/>
      <c r="P16" t="s">
        <v>513</v>
      </c>
    </row>
    <row r="17" spans="2:13" ht="13.8" thickBot="1" x14ac:dyDescent="0.3">
      <c r="B17" s="196" t="s">
        <v>401</v>
      </c>
      <c r="C17" s="198">
        <v>0.2</v>
      </c>
      <c r="D17" s="198">
        <v>0.2</v>
      </c>
      <c r="E17" s="198">
        <v>0.2</v>
      </c>
      <c r="F17" s="198">
        <v>0.2</v>
      </c>
      <c r="G17" s="198">
        <v>0.2</v>
      </c>
      <c r="H17" s="165">
        <v>0</v>
      </c>
      <c r="I17" s="165">
        <v>1.1000000000000001</v>
      </c>
      <c r="J17" s="165">
        <v>0</v>
      </c>
      <c r="K17" s="165">
        <v>1.1000000000000001</v>
      </c>
      <c r="L17" s="199" t="s">
        <v>121</v>
      </c>
      <c r="M17" s="160"/>
    </row>
    <row r="18" spans="2:13" ht="13.8" thickBot="1" x14ac:dyDescent="0.3">
      <c r="B18" s="196" t="s">
        <v>402</v>
      </c>
      <c r="C18" s="198">
        <v>0.02</v>
      </c>
      <c r="D18" s="198">
        <v>0.02</v>
      </c>
      <c r="E18" s="198">
        <v>0.02</v>
      </c>
      <c r="F18" s="198">
        <v>0.02</v>
      </c>
      <c r="G18" s="198">
        <v>0.02</v>
      </c>
      <c r="H18" s="165">
        <v>0.9</v>
      </c>
      <c r="I18" s="165">
        <v>1.1000000000000001</v>
      </c>
      <c r="J18" s="165">
        <v>0.9</v>
      </c>
      <c r="K18" s="165">
        <v>1.1000000000000001</v>
      </c>
      <c r="L18" s="199" t="s">
        <v>135</v>
      </c>
      <c r="M18" s="160"/>
    </row>
    <row r="19" spans="2:13" ht="13.8" thickBot="1" x14ac:dyDescent="0.3">
      <c r="B19" s="196" t="s">
        <v>403</v>
      </c>
      <c r="C19" s="198">
        <v>0.55000000000000004</v>
      </c>
      <c r="D19" s="198">
        <v>0.55000000000000004</v>
      </c>
      <c r="E19" s="198">
        <v>0.55000000000000004</v>
      </c>
      <c r="F19" s="198">
        <v>0.55000000000000004</v>
      </c>
      <c r="G19" s="198">
        <v>0.55000000000000004</v>
      </c>
      <c r="H19" s="165">
        <v>1</v>
      </c>
      <c r="I19" s="165">
        <v>1.1000000000000001</v>
      </c>
      <c r="J19" s="165">
        <v>1</v>
      </c>
      <c r="K19" s="165">
        <v>1.1000000000000001</v>
      </c>
      <c r="L19" s="199" t="s">
        <v>137</v>
      </c>
      <c r="M19" s="160"/>
    </row>
    <row r="20" spans="2:13" ht="13.8" thickBot="1" x14ac:dyDescent="0.3">
      <c r="B20" s="162" t="s">
        <v>404</v>
      </c>
      <c r="C20" s="175">
        <v>5</v>
      </c>
      <c r="D20" s="175">
        <v>4</v>
      </c>
      <c r="E20" s="175">
        <v>3</v>
      </c>
      <c r="F20" s="175">
        <v>3</v>
      </c>
      <c r="G20" s="175">
        <v>2</v>
      </c>
      <c r="H20" s="165"/>
      <c r="I20" s="165"/>
      <c r="J20" s="165"/>
      <c r="K20" s="165"/>
      <c r="L20" s="175"/>
      <c r="M20" s="160"/>
    </row>
    <row r="21" spans="2:13" ht="13.8" thickBot="1" x14ac:dyDescent="0.3">
      <c r="B21" s="162" t="s">
        <v>310</v>
      </c>
      <c r="C21" s="175">
        <v>3</v>
      </c>
      <c r="D21" s="175">
        <v>3</v>
      </c>
      <c r="E21" s="175">
        <v>3</v>
      </c>
      <c r="F21" s="175">
        <v>3</v>
      </c>
      <c r="G21" s="175">
        <v>3</v>
      </c>
      <c r="H21" s="165"/>
      <c r="I21" s="165"/>
      <c r="J21" s="165"/>
      <c r="K21" s="165"/>
      <c r="L21" s="175"/>
      <c r="M21" s="160"/>
    </row>
    <row r="22" spans="2:13" ht="13.8" thickBot="1" x14ac:dyDescent="0.3">
      <c r="B22" s="162" t="s">
        <v>311</v>
      </c>
      <c r="C22" s="175">
        <v>30</v>
      </c>
      <c r="D22" s="175">
        <v>30</v>
      </c>
      <c r="E22" s="175">
        <v>30</v>
      </c>
      <c r="F22" s="175">
        <v>30</v>
      </c>
      <c r="G22" s="175">
        <v>30</v>
      </c>
      <c r="H22" s="164"/>
      <c r="I22" s="164"/>
      <c r="J22" s="164"/>
      <c r="K22" s="164"/>
      <c r="L22" s="160"/>
      <c r="M22" s="160"/>
    </row>
    <row r="23" spans="2:13" ht="13.8" thickBot="1" x14ac:dyDescent="0.3">
      <c r="B23" s="162" t="s">
        <v>312</v>
      </c>
      <c r="C23" s="175">
        <v>2</v>
      </c>
      <c r="D23" s="175">
        <v>2</v>
      </c>
      <c r="E23" s="175">
        <v>2</v>
      </c>
      <c r="F23" s="175">
        <v>2</v>
      </c>
      <c r="G23" s="175">
        <v>2</v>
      </c>
      <c r="H23" s="164"/>
      <c r="I23" s="164"/>
      <c r="J23" s="164"/>
      <c r="K23" s="164"/>
      <c r="L23" s="160"/>
      <c r="M23" s="160"/>
    </row>
    <row r="24" spans="2:13" ht="13.8" thickBot="1" x14ac:dyDescent="0.3">
      <c r="B24" s="161" t="s">
        <v>321</v>
      </c>
      <c r="C24" s="164"/>
      <c r="D24" s="164"/>
      <c r="E24" s="164"/>
      <c r="F24" s="164"/>
      <c r="G24" s="164"/>
      <c r="H24" s="164"/>
      <c r="I24" s="164"/>
      <c r="J24" s="164"/>
      <c r="K24" s="164"/>
      <c r="L24" s="160"/>
      <c r="M24" s="160"/>
    </row>
    <row r="25" spans="2:13" ht="13.8" thickBot="1" x14ac:dyDescent="0.3">
      <c r="B25" s="162" t="s">
        <v>405</v>
      </c>
      <c r="C25" s="200">
        <v>1.4355899999999999</v>
      </c>
      <c r="D25" s="200">
        <v>1.4355899999999999</v>
      </c>
      <c r="E25" s="200">
        <v>1.159106</v>
      </c>
      <c r="F25" s="200">
        <v>1.0208639999999998</v>
      </c>
      <c r="G25" s="200">
        <v>0.92515799999999992</v>
      </c>
      <c r="H25" s="166">
        <v>0.53169999999999995</v>
      </c>
      <c r="I25" s="166">
        <v>1.5951</v>
      </c>
      <c r="J25" s="166">
        <v>0.53169999999999995</v>
      </c>
      <c r="K25" s="166">
        <v>1.5951</v>
      </c>
      <c r="L25" s="160" t="s">
        <v>140</v>
      </c>
      <c r="M25" s="160">
        <v>1</v>
      </c>
    </row>
    <row r="26" spans="2:13" ht="13.8" thickBot="1" x14ac:dyDescent="0.3">
      <c r="B26" s="162" t="s">
        <v>380</v>
      </c>
      <c r="C26" s="164">
        <v>79.754999999999995</v>
      </c>
      <c r="D26" s="164">
        <v>79.754999999999995</v>
      </c>
      <c r="E26" s="164">
        <v>79.754999999999995</v>
      </c>
      <c r="F26" s="164">
        <v>79.754999999999995</v>
      </c>
      <c r="G26" s="164">
        <v>79.754999999999995</v>
      </c>
      <c r="H26" s="166">
        <v>0</v>
      </c>
      <c r="I26" s="166">
        <v>0</v>
      </c>
      <c r="J26" s="166">
        <v>0</v>
      </c>
      <c r="K26" s="166">
        <v>0</v>
      </c>
      <c r="L26" s="160"/>
      <c r="M26" s="160"/>
    </row>
    <row r="27" spans="2:13" ht="13.8" thickBot="1" x14ac:dyDescent="0.3">
      <c r="B27" s="162" t="s">
        <v>381</v>
      </c>
      <c r="C27" s="164">
        <v>26.584999999999997</v>
      </c>
      <c r="D27" s="164">
        <v>26.584999999999997</v>
      </c>
      <c r="E27" s="164">
        <v>26.584999999999997</v>
      </c>
      <c r="F27" s="164">
        <v>26.584999999999997</v>
      </c>
      <c r="G27" s="164">
        <v>26.584999999999997</v>
      </c>
      <c r="H27" s="166">
        <v>0</v>
      </c>
      <c r="I27" s="166">
        <v>0</v>
      </c>
      <c r="J27" s="166">
        <v>0</v>
      </c>
      <c r="K27" s="166">
        <v>0</v>
      </c>
      <c r="L27" s="160"/>
      <c r="M27" s="160"/>
    </row>
    <row r="28" spans="2:13" ht="13.8" thickBot="1" x14ac:dyDescent="0.3">
      <c r="B28" s="162" t="s">
        <v>406</v>
      </c>
      <c r="C28" s="174">
        <v>41.472599999999993</v>
      </c>
      <c r="D28" s="174">
        <v>41.472599999999993</v>
      </c>
      <c r="E28" s="174">
        <v>31.901999999999997</v>
      </c>
      <c r="F28" s="174">
        <v>31.901999999999997</v>
      </c>
      <c r="G28" s="174">
        <v>27.648399999999999</v>
      </c>
      <c r="H28" s="166">
        <v>0</v>
      </c>
      <c r="I28" s="166">
        <v>0</v>
      </c>
      <c r="J28" s="166">
        <v>0</v>
      </c>
      <c r="K28" s="166">
        <v>0</v>
      </c>
      <c r="L28" s="160" t="s">
        <v>117</v>
      </c>
      <c r="M28" s="160">
        <v>1</v>
      </c>
    </row>
    <row r="29" spans="2:13" ht="13.8" thickBot="1" x14ac:dyDescent="0.3">
      <c r="B29" s="162" t="s">
        <v>407</v>
      </c>
      <c r="C29" s="174">
        <v>0</v>
      </c>
      <c r="D29" s="174">
        <v>0</v>
      </c>
      <c r="E29" s="174">
        <v>0</v>
      </c>
      <c r="F29" s="174">
        <v>0</v>
      </c>
      <c r="G29" s="174">
        <v>0</v>
      </c>
      <c r="H29" s="166">
        <v>0</v>
      </c>
      <c r="I29" s="166">
        <v>0</v>
      </c>
      <c r="J29" s="166">
        <v>0</v>
      </c>
      <c r="K29" s="166">
        <v>0</v>
      </c>
      <c r="L29" s="160" t="s">
        <v>59</v>
      </c>
      <c r="M29" s="160"/>
    </row>
    <row r="30" spans="2:13" ht="13.8" thickBot="1" x14ac:dyDescent="0.3">
      <c r="B30" s="162" t="s">
        <v>408</v>
      </c>
      <c r="C30" s="164">
        <v>0</v>
      </c>
      <c r="D30" s="164">
        <v>0</v>
      </c>
      <c r="E30" s="164">
        <v>0</v>
      </c>
      <c r="F30" s="164">
        <v>0</v>
      </c>
      <c r="G30" s="164">
        <v>0</v>
      </c>
      <c r="H30" s="166">
        <v>0</v>
      </c>
      <c r="I30" s="166">
        <v>0</v>
      </c>
      <c r="J30" s="166">
        <v>0</v>
      </c>
      <c r="K30" s="166">
        <v>0</v>
      </c>
      <c r="L30" s="160"/>
      <c r="M30" s="160"/>
    </row>
    <row r="31" spans="2:13" ht="13.8" thickBot="1" x14ac:dyDescent="0.3">
      <c r="B31" s="161" t="s">
        <v>334</v>
      </c>
      <c r="C31" s="164"/>
      <c r="D31" s="164"/>
      <c r="E31" s="164"/>
      <c r="F31" s="164"/>
      <c r="G31" s="164"/>
      <c r="H31" s="166"/>
      <c r="I31" s="166"/>
      <c r="J31" s="166"/>
      <c r="K31" s="166"/>
      <c r="L31" s="160"/>
      <c r="M31" s="160"/>
    </row>
    <row r="32" spans="2:13" ht="13.8" thickBot="1" x14ac:dyDescent="0.3">
      <c r="B32" s="162" t="s">
        <v>409</v>
      </c>
      <c r="C32" s="164">
        <v>19.899999999999999</v>
      </c>
      <c r="D32" s="164">
        <v>19.899999999999999</v>
      </c>
      <c r="E32" s="164">
        <v>19.899999999999999</v>
      </c>
      <c r="F32" s="164">
        <v>19.899999999999999</v>
      </c>
      <c r="G32" s="164">
        <v>19.899999999999999</v>
      </c>
      <c r="H32" s="166"/>
      <c r="I32" s="166"/>
      <c r="J32" s="166"/>
      <c r="K32" s="166"/>
      <c r="L32" s="160"/>
      <c r="M32" s="160"/>
    </row>
    <row r="33" spans="2:13" ht="13.8" thickBot="1" x14ac:dyDescent="0.3">
      <c r="B33" s="162" t="s">
        <v>410</v>
      </c>
      <c r="C33" s="164">
        <v>0.79</v>
      </c>
      <c r="D33" s="164">
        <v>0.79</v>
      </c>
      <c r="E33" s="164">
        <v>0.79</v>
      </c>
      <c r="F33" s="164">
        <v>0.79</v>
      </c>
      <c r="G33" s="164">
        <v>0.79</v>
      </c>
      <c r="H33" s="166"/>
      <c r="I33" s="166"/>
      <c r="J33" s="166"/>
      <c r="K33" s="166"/>
      <c r="L33" s="160"/>
      <c r="M33" s="160"/>
    </row>
    <row r="34" spans="2:13" ht="13.8" thickBot="1" x14ac:dyDescent="0.3">
      <c r="B34" s="162" t="s">
        <v>411</v>
      </c>
      <c r="C34" s="172">
        <v>3</v>
      </c>
      <c r="D34" s="172">
        <v>3</v>
      </c>
      <c r="E34" s="172">
        <v>2</v>
      </c>
      <c r="F34" s="172">
        <v>1.5</v>
      </c>
      <c r="G34" s="172">
        <v>1</v>
      </c>
      <c r="H34" s="166">
        <v>0.5</v>
      </c>
      <c r="I34" s="166">
        <v>1</v>
      </c>
      <c r="J34" s="166">
        <v>0.8</v>
      </c>
      <c r="K34" s="166">
        <v>1.2</v>
      </c>
      <c r="L34" s="160"/>
      <c r="M34" s="160"/>
    </row>
    <row r="35" spans="2:13" ht="13.8" thickBot="1" x14ac:dyDescent="0.3">
      <c r="B35" s="162" t="s">
        <v>380</v>
      </c>
      <c r="C35" s="164" t="s">
        <v>298</v>
      </c>
      <c r="D35" s="164">
        <v>75</v>
      </c>
      <c r="E35" s="164">
        <v>75</v>
      </c>
      <c r="F35" s="164">
        <v>75</v>
      </c>
      <c r="G35" s="164">
        <v>75</v>
      </c>
      <c r="H35" s="166"/>
      <c r="I35" s="166"/>
      <c r="J35" s="166"/>
      <c r="K35" s="166"/>
      <c r="L35" s="160"/>
      <c r="M35" s="160"/>
    </row>
    <row r="36" spans="2:13" ht="13.8" thickBot="1" x14ac:dyDescent="0.3">
      <c r="B36" s="162" t="s">
        <v>381</v>
      </c>
      <c r="C36" s="164">
        <v>25</v>
      </c>
      <c r="D36" s="164">
        <v>25</v>
      </c>
      <c r="E36" s="164">
        <v>25</v>
      </c>
      <c r="F36" s="164">
        <v>25</v>
      </c>
      <c r="G36" s="164">
        <v>25</v>
      </c>
      <c r="H36" s="166"/>
      <c r="I36" s="166"/>
      <c r="J36" s="166"/>
      <c r="K36" s="166"/>
      <c r="L36" s="160"/>
      <c r="M36" s="160"/>
    </row>
    <row r="37" spans="2:13" ht="13.8" thickBot="1" x14ac:dyDescent="0.3">
      <c r="B37" s="162" t="s">
        <v>412</v>
      </c>
      <c r="C37" s="174">
        <v>9</v>
      </c>
      <c r="D37" s="174">
        <v>9</v>
      </c>
      <c r="E37" s="174">
        <v>7</v>
      </c>
      <c r="F37" s="174">
        <v>7</v>
      </c>
      <c r="G37" s="174">
        <v>6</v>
      </c>
      <c r="H37" s="166"/>
      <c r="I37" s="166"/>
      <c r="J37" s="166"/>
      <c r="K37" s="166"/>
      <c r="L37" s="160" t="s">
        <v>117</v>
      </c>
      <c r="M37" s="160">
        <v>1</v>
      </c>
    </row>
    <row r="38" spans="2:13" ht="13.8" thickBot="1" x14ac:dyDescent="0.3">
      <c r="B38" s="162" t="s">
        <v>413</v>
      </c>
      <c r="C38" s="174">
        <v>0</v>
      </c>
      <c r="D38" s="174">
        <v>0</v>
      </c>
      <c r="E38" s="174">
        <v>0</v>
      </c>
      <c r="F38" s="174">
        <v>0</v>
      </c>
      <c r="G38" s="174">
        <v>0</v>
      </c>
      <c r="H38" s="166"/>
      <c r="I38" s="166"/>
      <c r="J38" s="166"/>
      <c r="K38" s="166"/>
      <c r="L38" s="160"/>
      <c r="M38" s="160"/>
    </row>
    <row r="39" spans="2:13" ht="13.8" thickBot="1" x14ac:dyDescent="0.3">
      <c r="B39" s="162" t="s">
        <v>408</v>
      </c>
      <c r="C39" s="164">
        <v>0</v>
      </c>
      <c r="D39" s="164">
        <v>0</v>
      </c>
      <c r="E39" s="164">
        <v>0</v>
      </c>
      <c r="F39" s="164">
        <v>0</v>
      </c>
      <c r="G39" s="164">
        <v>0</v>
      </c>
      <c r="H39" s="164"/>
      <c r="I39" s="164"/>
      <c r="J39" s="164"/>
      <c r="K39" s="164"/>
      <c r="L39" s="160"/>
      <c r="M39" s="160"/>
    </row>
    <row r="40" spans="2:13" x14ac:dyDescent="0.25">
      <c r="B40" s="142"/>
      <c r="C40" s="187"/>
      <c r="D40" s="142"/>
      <c r="E40" s="142"/>
      <c r="F40" s="142"/>
      <c r="G40" s="142"/>
      <c r="H40" s="142"/>
      <c r="I40" s="142"/>
      <c r="J40" s="142"/>
      <c r="K40" s="142"/>
      <c r="L40" s="143"/>
      <c r="M40" s="143"/>
    </row>
    <row r="41" spans="2:13" x14ac:dyDescent="0.25">
      <c r="B41" s="188" t="s">
        <v>124</v>
      </c>
      <c r="C41" s="142"/>
      <c r="D41" s="142"/>
      <c r="E41" s="142"/>
      <c r="F41" s="142"/>
      <c r="G41" s="142"/>
      <c r="H41" s="142"/>
      <c r="I41" s="142"/>
      <c r="J41" s="142"/>
      <c r="K41" s="142"/>
      <c r="L41" s="142"/>
      <c r="M41" s="142"/>
    </row>
    <row r="42" spans="2:13" x14ac:dyDescent="0.25">
      <c r="B42" s="190" t="s">
        <v>414</v>
      </c>
      <c r="C42" s="142"/>
      <c r="D42" s="142"/>
      <c r="E42" s="142"/>
      <c r="G42" s="142"/>
      <c r="H42" s="142"/>
      <c r="I42" s="142"/>
      <c r="J42" s="142"/>
      <c r="K42" s="142"/>
      <c r="L42" s="142"/>
      <c r="M42" s="142"/>
    </row>
    <row r="43" spans="2:13" x14ac:dyDescent="0.25">
      <c r="B43" s="191" t="s">
        <v>415</v>
      </c>
      <c r="C43" s="142"/>
      <c r="D43" s="142"/>
      <c r="E43" s="142"/>
      <c r="G43" s="142"/>
      <c r="H43" s="142"/>
      <c r="I43" s="142"/>
      <c r="J43" s="142"/>
      <c r="K43" s="142"/>
      <c r="L43" s="142"/>
      <c r="M43" s="142"/>
    </row>
    <row r="44" spans="2:13" ht="14.4" x14ac:dyDescent="0.25">
      <c r="B44" s="191" t="s">
        <v>416</v>
      </c>
      <c r="C44" s="142"/>
      <c r="D44" s="142"/>
      <c r="E44" s="142"/>
      <c r="G44" s="142"/>
      <c r="H44" s="142"/>
      <c r="I44" s="142"/>
      <c r="J44" s="142"/>
      <c r="K44" s="142"/>
      <c r="L44" s="142"/>
      <c r="M44" s="142"/>
    </row>
    <row r="45" spans="2:13" x14ac:dyDescent="0.25">
      <c r="B45" s="191" t="s">
        <v>417</v>
      </c>
      <c r="C45" s="142"/>
      <c r="D45" s="142"/>
      <c r="E45" s="142"/>
      <c r="G45" s="142"/>
      <c r="H45" s="142"/>
      <c r="I45" s="142"/>
      <c r="J45" s="142"/>
      <c r="K45" s="142"/>
      <c r="L45" s="142"/>
      <c r="M45" s="142"/>
    </row>
    <row r="46" spans="2:13" ht="86.4" x14ac:dyDescent="0.25">
      <c r="B46" s="192" t="s">
        <v>418</v>
      </c>
      <c r="C46" s="142"/>
      <c r="D46" s="142"/>
      <c r="E46" s="142"/>
      <c r="G46" s="142"/>
      <c r="H46" s="142"/>
      <c r="I46" s="142"/>
      <c r="J46" s="142"/>
      <c r="K46" s="142"/>
      <c r="L46" s="142"/>
      <c r="M46" s="142"/>
    </row>
    <row r="47" spans="2:13" x14ac:dyDescent="0.25">
      <c r="B47" s="191" t="s">
        <v>419</v>
      </c>
      <c r="C47" s="142"/>
      <c r="D47" s="142"/>
      <c r="E47" s="142"/>
      <c r="G47" s="142"/>
      <c r="H47" s="142"/>
      <c r="I47" s="142"/>
      <c r="J47" s="142"/>
      <c r="K47" s="142"/>
      <c r="L47" s="142"/>
      <c r="M47" s="142"/>
    </row>
    <row r="48" spans="2:13" x14ac:dyDescent="0.25">
      <c r="B48" s="191" t="s">
        <v>420</v>
      </c>
      <c r="C48" s="142"/>
      <c r="D48" s="142"/>
      <c r="E48" s="142"/>
      <c r="G48" s="142"/>
      <c r="H48" s="142"/>
      <c r="I48" s="142"/>
      <c r="J48" s="142"/>
      <c r="K48" s="142"/>
      <c r="L48" s="142"/>
      <c r="M48" s="142"/>
    </row>
    <row r="49" spans="2:13" x14ac:dyDescent="0.25">
      <c r="B49" s="191" t="s">
        <v>421</v>
      </c>
      <c r="C49" s="142"/>
      <c r="D49" s="142"/>
      <c r="E49" s="142"/>
      <c r="G49" s="142"/>
      <c r="H49" s="142"/>
      <c r="I49" s="142"/>
      <c r="J49" s="142"/>
      <c r="K49" s="142"/>
      <c r="L49" s="142"/>
      <c r="M49" s="142"/>
    </row>
    <row r="50" spans="2:13" x14ac:dyDescent="0.25">
      <c r="B50" s="191" t="s">
        <v>422</v>
      </c>
      <c r="C50" s="142"/>
      <c r="D50" s="142"/>
      <c r="E50" s="142"/>
      <c r="G50" s="142"/>
      <c r="H50" s="142"/>
      <c r="I50" s="142"/>
      <c r="J50" s="142"/>
      <c r="K50" s="142"/>
      <c r="L50" s="142"/>
      <c r="M50" s="142"/>
    </row>
    <row r="51" spans="2:13" x14ac:dyDescent="0.25">
      <c r="B51" s="191" t="s">
        <v>423</v>
      </c>
      <c r="C51" s="142"/>
      <c r="D51" s="142"/>
      <c r="E51" s="142"/>
      <c r="G51" s="142"/>
      <c r="H51" s="142"/>
      <c r="I51" s="142"/>
      <c r="J51" s="142"/>
      <c r="K51" s="142"/>
      <c r="L51" s="142"/>
      <c r="M51" s="142"/>
    </row>
    <row r="52" spans="2:13" x14ac:dyDescent="0.25">
      <c r="B52" s="191" t="s">
        <v>424</v>
      </c>
      <c r="C52" s="142"/>
      <c r="D52" s="142"/>
      <c r="E52" s="142"/>
      <c r="G52" s="142"/>
      <c r="H52" s="142"/>
      <c r="I52" s="142"/>
      <c r="J52" s="142"/>
      <c r="K52" s="142"/>
      <c r="L52" s="142"/>
      <c r="M52" s="142"/>
    </row>
    <row r="53" spans="2:13" x14ac:dyDescent="0.25">
      <c r="B53" s="191" t="s">
        <v>425</v>
      </c>
      <c r="C53" s="142"/>
      <c r="D53" s="142"/>
      <c r="E53" s="142"/>
      <c r="F53" s="142"/>
      <c r="G53" s="142"/>
      <c r="H53" s="142"/>
      <c r="I53" s="142"/>
      <c r="J53" s="142"/>
      <c r="K53" s="142"/>
      <c r="L53" s="142"/>
      <c r="M53" s="142"/>
    </row>
    <row r="54" spans="2:13" x14ac:dyDescent="0.25">
      <c r="B54" s="191" t="s">
        <v>426</v>
      </c>
      <c r="C54" s="142"/>
      <c r="D54" s="142"/>
      <c r="E54" s="142"/>
      <c r="F54" s="142"/>
      <c r="G54" s="142"/>
      <c r="H54" s="142"/>
      <c r="I54" s="142"/>
      <c r="J54" s="142"/>
      <c r="K54" s="142"/>
      <c r="L54" s="142"/>
      <c r="M54" s="142"/>
    </row>
    <row r="55" spans="2:13" x14ac:dyDescent="0.25">
      <c r="B55" s="189"/>
      <c r="C55" s="142"/>
      <c r="D55" s="142"/>
      <c r="E55" s="142"/>
      <c r="F55" s="142"/>
      <c r="G55" s="142"/>
      <c r="H55" s="142"/>
      <c r="I55" s="142"/>
      <c r="J55" s="142"/>
      <c r="K55" s="142"/>
      <c r="L55" s="142"/>
      <c r="M55" s="142"/>
    </row>
    <row r="56" spans="2:13" x14ac:dyDescent="0.25">
      <c r="B56" s="189"/>
      <c r="C56" s="142"/>
      <c r="D56" s="142"/>
      <c r="E56" s="142"/>
      <c r="F56" s="142"/>
      <c r="G56" s="142"/>
      <c r="H56" s="142"/>
      <c r="I56" s="142"/>
      <c r="J56" s="142"/>
      <c r="K56" s="142"/>
      <c r="L56" s="142"/>
      <c r="M56" s="142"/>
    </row>
    <row r="57" spans="2:13" x14ac:dyDescent="0.25">
      <c r="B57" s="188" t="s">
        <v>146</v>
      </c>
      <c r="C57" s="142"/>
      <c r="D57" s="142"/>
      <c r="E57" s="142"/>
      <c r="F57" s="142"/>
      <c r="G57" s="142"/>
      <c r="H57" s="142"/>
      <c r="I57" s="142"/>
      <c r="J57" s="142"/>
      <c r="K57" s="142"/>
      <c r="L57" s="142"/>
      <c r="M57" s="142"/>
    </row>
    <row r="58" spans="2:13" x14ac:dyDescent="0.25">
      <c r="B58" s="193" t="s">
        <v>427</v>
      </c>
      <c r="C58" s="142"/>
      <c r="D58" s="142"/>
      <c r="E58" s="142"/>
      <c r="F58" s="142"/>
      <c r="G58" s="142"/>
      <c r="H58" s="142"/>
      <c r="I58" s="142"/>
      <c r="J58" s="142"/>
      <c r="K58" s="142"/>
      <c r="L58" s="142"/>
      <c r="M58" s="142"/>
    </row>
    <row r="59" spans="2:13" x14ac:dyDescent="0.25">
      <c r="B59" s="193" t="s">
        <v>428</v>
      </c>
      <c r="C59" s="142"/>
      <c r="D59" s="142"/>
      <c r="E59" s="142"/>
      <c r="F59" s="142"/>
      <c r="G59" s="142"/>
      <c r="H59" s="142"/>
      <c r="I59" s="142"/>
      <c r="J59" s="142"/>
      <c r="K59" s="142"/>
      <c r="L59" s="142"/>
      <c r="M59" s="142"/>
    </row>
    <row r="60" spans="2:13" x14ac:dyDescent="0.25">
      <c r="B60" s="193" t="s">
        <v>429</v>
      </c>
      <c r="C60" s="142"/>
      <c r="D60" s="142"/>
      <c r="E60" s="142"/>
      <c r="F60" s="142"/>
      <c r="G60" s="142"/>
      <c r="H60" s="142"/>
      <c r="I60" s="142"/>
      <c r="J60" s="142"/>
      <c r="K60" s="142"/>
      <c r="L60" s="142"/>
      <c r="M60" s="142"/>
    </row>
    <row r="61" spans="2:13" x14ac:dyDescent="0.25">
      <c r="B61" s="145"/>
      <c r="C61" s="142"/>
      <c r="D61" s="142"/>
      <c r="E61" s="142"/>
      <c r="F61" s="142"/>
      <c r="G61" s="142"/>
      <c r="H61" s="142"/>
      <c r="I61" s="142"/>
      <c r="J61" s="142"/>
      <c r="K61" s="142"/>
      <c r="L61" s="142"/>
      <c r="M61" s="142"/>
    </row>
    <row r="62" spans="2:13" x14ac:dyDescent="0.25">
      <c r="B62" s="145"/>
      <c r="C62" s="142"/>
      <c r="D62" s="142"/>
      <c r="E62" s="142"/>
      <c r="F62" s="142"/>
      <c r="G62" s="142"/>
      <c r="H62" s="142"/>
      <c r="I62" s="142"/>
      <c r="J62" s="142"/>
      <c r="K62" s="142"/>
      <c r="L62" s="142"/>
      <c r="M62" s="142"/>
    </row>
    <row r="63" spans="2:13" x14ac:dyDescent="0.25">
      <c r="B63" s="145"/>
      <c r="C63" s="142"/>
      <c r="D63" s="142"/>
      <c r="E63" s="142"/>
      <c r="F63" s="142"/>
      <c r="G63" s="142"/>
      <c r="H63" s="142"/>
      <c r="I63" s="142"/>
      <c r="J63" s="142"/>
      <c r="K63" s="142"/>
      <c r="L63" s="142"/>
      <c r="M63" s="142"/>
    </row>
    <row r="64" spans="2:13" x14ac:dyDescent="0.25">
      <c r="B64" s="145"/>
      <c r="C64" s="142"/>
      <c r="D64" s="142"/>
      <c r="E64" s="142"/>
      <c r="F64" s="142"/>
      <c r="G64" s="142"/>
      <c r="H64" s="142"/>
      <c r="I64" s="142"/>
      <c r="J64" s="142"/>
      <c r="K64" s="142"/>
      <c r="L64" s="142"/>
      <c r="M64" s="142"/>
    </row>
    <row r="65" spans="2:13" x14ac:dyDescent="0.25">
      <c r="B65" s="145"/>
      <c r="C65" s="142"/>
      <c r="D65" s="142"/>
      <c r="E65" s="142"/>
      <c r="F65" s="142"/>
      <c r="G65" s="142"/>
      <c r="H65" s="142"/>
      <c r="I65" s="142"/>
      <c r="J65" s="142"/>
      <c r="K65" s="142"/>
      <c r="L65" s="142"/>
      <c r="M65" s="142"/>
    </row>
  </sheetData>
  <mergeCells count="1">
    <mergeCell ref="C2:M2"/>
  </mergeCells>
  <phoneticPr fontId="49" type="noConversion"/>
  <hyperlinks>
    <hyperlink ref="B58" r:id="rId1" display="http://www.methanol.org/the-methanol-industry/" xr:uid="{0B64C4EC-0D72-4FFB-97B4-6804C0FD0B63}"/>
    <hyperlink ref="B59" r:id="rId2" display="https://energy.gov/sites/prod/files/2017/06/f34/fcto_may_2017_h2_scale_wkshp_hovsapian.pdf" xr:uid="{26B65DDD-CD7E-4828-9261-1A7B6601CEED}"/>
    <hyperlink ref="B60" r:id="rId3" display="https://doi.org/10.1016/j.renene.2015.07.066" xr:uid="{FBAB8A60-E6E7-4A48-A473-7211A5EB7CFA}"/>
    <hyperlink ref="C2" location="INDEX" display="Power to Methanol" xr:uid="{B155EA45-78BF-476D-A66A-9419898D8652}"/>
    <hyperlink ref="B53" r:id="rId4" display="http://serenergy.com/next-generation-of-methanol-fuel-cell-vehicles-sees-the-light-of-day/" xr:uid="{B07ED6E4-0895-4D6C-AA53-E07705BE5C39}"/>
    <hyperlink ref="B54" r:id="rId5" display="https://eu-ems.com/event_images/presentations/Benedikt Stefansson presentation.pdf" xr:uid="{3022F969-C9BD-494B-9B1E-3DFAA992964D}"/>
  </hyperlinks>
  <pageMargins left="0.7" right="0.7" top="0.75" bottom="0.75" header="0.3" footer="0.3"/>
  <drawing r:id="rId6"/>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1:R19"/>
  <sheetViews>
    <sheetView zoomScaleNormal="100" workbookViewId="0">
      <selection activeCell="B6" sqref="B6"/>
    </sheetView>
  </sheetViews>
  <sheetFormatPr defaultRowHeight="13.2" x14ac:dyDescent="0.25"/>
  <cols>
    <col min="1" max="1" width="3" customWidth="1"/>
    <col min="2" max="2" width="13.5546875" bestFit="1" customWidth="1"/>
    <col min="3" max="3" width="12.33203125" customWidth="1"/>
    <col min="4" max="4" width="11.88671875" bestFit="1" customWidth="1"/>
    <col min="5" max="5" width="18.109375" customWidth="1"/>
    <col min="6" max="6" width="8.88671875" bestFit="1" customWidth="1"/>
    <col min="7" max="7" width="7.88671875" bestFit="1" customWidth="1"/>
    <col min="8" max="8" width="8.33203125" bestFit="1" customWidth="1"/>
    <col min="9" max="9" width="2.109375" bestFit="1" customWidth="1"/>
    <col min="10" max="10" width="11.6640625" bestFit="1" customWidth="1"/>
    <col min="11" max="11" width="7.109375" customWidth="1"/>
    <col min="12" max="12" width="14.5546875" bestFit="1" customWidth="1"/>
    <col min="13" max="13" width="64.44140625" customWidth="1"/>
    <col min="14" max="14" width="6.109375" customWidth="1"/>
    <col min="15" max="15" width="10.44140625" bestFit="1" customWidth="1"/>
    <col min="16" max="16" width="12.88671875" bestFit="1" customWidth="1"/>
    <col min="17" max="17" width="14.109375" bestFit="1" customWidth="1"/>
    <col min="18" max="18" width="8.109375" customWidth="1"/>
  </cols>
  <sheetData>
    <row r="1" spans="2:18" x14ac:dyDescent="0.25">
      <c r="J1" s="28" t="s">
        <v>14</v>
      </c>
      <c r="K1" s="28"/>
      <c r="L1" s="29"/>
      <c r="M1" s="29"/>
      <c r="N1" s="29"/>
      <c r="O1" s="29"/>
      <c r="P1" s="29"/>
      <c r="Q1" s="29"/>
      <c r="R1" s="29"/>
    </row>
    <row r="2" spans="2:18" x14ac:dyDescent="0.25">
      <c r="J2" s="30" t="s">
        <v>7</v>
      </c>
      <c r="K2" s="31" t="s">
        <v>30</v>
      </c>
      <c r="L2" s="30" t="s">
        <v>0</v>
      </c>
      <c r="M2" s="30" t="s">
        <v>3</v>
      </c>
      <c r="N2" s="30" t="s">
        <v>4</v>
      </c>
      <c r="O2" s="30" t="s">
        <v>8</v>
      </c>
      <c r="P2" s="30" t="s">
        <v>9</v>
      </c>
      <c r="Q2" s="30" t="s">
        <v>10</v>
      </c>
      <c r="R2" s="30" t="s">
        <v>12</v>
      </c>
    </row>
    <row r="3" spans="2:18" ht="22.2" thickBot="1" x14ac:dyDescent="0.35">
      <c r="B3" s="7"/>
      <c r="C3" s="7"/>
      <c r="D3" s="7"/>
      <c r="E3" s="7"/>
      <c r="J3" s="32" t="s">
        <v>34</v>
      </c>
      <c r="K3" s="32" t="s">
        <v>31</v>
      </c>
      <c r="L3" s="32" t="s">
        <v>26</v>
      </c>
      <c r="M3" s="32" t="s">
        <v>27</v>
      </c>
      <c r="N3" s="32" t="s">
        <v>4</v>
      </c>
      <c r="O3" s="32" t="s">
        <v>37</v>
      </c>
      <c r="P3" s="32" t="s">
        <v>38</v>
      </c>
      <c r="Q3" s="32" t="s">
        <v>28</v>
      </c>
      <c r="R3" s="32" t="s">
        <v>29</v>
      </c>
    </row>
    <row r="4" spans="2:18" x14ac:dyDescent="0.25">
      <c r="E4" s="8"/>
      <c r="F4" s="8"/>
      <c r="J4" s="33" t="s">
        <v>44</v>
      </c>
      <c r="K4" s="33"/>
      <c r="L4" s="33" t="s">
        <v>153</v>
      </c>
      <c r="M4" s="35" t="s">
        <v>240</v>
      </c>
      <c r="N4" s="33" t="s">
        <v>45</v>
      </c>
      <c r="O4" s="33"/>
      <c r="P4" s="33"/>
      <c r="Q4" s="33"/>
      <c r="R4" s="33"/>
    </row>
    <row r="5" spans="2:18" x14ac:dyDescent="0.25">
      <c r="L5" s="16"/>
      <c r="M5" s="17"/>
    </row>
    <row r="6" spans="2:18" x14ac:dyDescent="0.25">
      <c r="B6" s="5" t="s">
        <v>13</v>
      </c>
      <c r="E6" s="5"/>
      <c r="F6" s="5"/>
      <c r="J6" s="28" t="s">
        <v>15</v>
      </c>
      <c r="K6" s="28"/>
      <c r="L6" s="33"/>
      <c r="M6" s="33"/>
      <c r="N6" s="33"/>
      <c r="O6" s="33"/>
      <c r="P6" s="33"/>
      <c r="Q6" s="33"/>
      <c r="R6" s="33"/>
    </row>
    <row r="7" spans="2:18" x14ac:dyDescent="0.25">
      <c r="B7" s="13" t="s">
        <v>1</v>
      </c>
      <c r="C7" s="13" t="s">
        <v>5</v>
      </c>
      <c r="D7" s="13" t="s">
        <v>6</v>
      </c>
      <c r="E7" s="25" t="s">
        <v>239</v>
      </c>
      <c r="F7" s="25" t="s">
        <v>50</v>
      </c>
      <c r="G7" s="25" t="s">
        <v>46</v>
      </c>
      <c r="H7" s="25" t="s">
        <v>241</v>
      </c>
      <c r="J7" s="30" t="s">
        <v>11</v>
      </c>
      <c r="K7" s="31" t="s">
        <v>30</v>
      </c>
      <c r="L7" s="30" t="s">
        <v>1</v>
      </c>
      <c r="M7" s="30" t="s">
        <v>2</v>
      </c>
      <c r="N7" s="30" t="s">
        <v>16</v>
      </c>
      <c r="O7" s="30" t="s">
        <v>17</v>
      </c>
      <c r="P7" s="30" t="s">
        <v>18</v>
      </c>
      <c r="Q7" s="30" t="s">
        <v>19</v>
      </c>
      <c r="R7" s="30" t="s">
        <v>20</v>
      </c>
    </row>
    <row r="8" spans="2:18" ht="21.6" thickBot="1" x14ac:dyDescent="0.3">
      <c r="B8" s="11" t="s">
        <v>36</v>
      </c>
      <c r="C8" s="11" t="s">
        <v>32</v>
      </c>
      <c r="D8" s="11" t="s">
        <v>33</v>
      </c>
      <c r="E8" s="11" t="s">
        <v>66</v>
      </c>
      <c r="F8" s="11" t="s">
        <v>52</v>
      </c>
      <c r="G8" s="11" t="s">
        <v>69</v>
      </c>
      <c r="H8" s="11" t="s">
        <v>242</v>
      </c>
      <c r="J8" s="32" t="s">
        <v>35</v>
      </c>
      <c r="K8" s="32" t="s">
        <v>31</v>
      </c>
      <c r="L8" s="32" t="s">
        <v>21</v>
      </c>
      <c r="M8" s="32" t="s">
        <v>22</v>
      </c>
      <c r="N8" s="32" t="s">
        <v>23</v>
      </c>
      <c r="O8" s="32" t="s">
        <v>24</v>
      </c>
      <c r="P8" s="32" t="s">
        <v>40</v>
      </c>
      <c r="Q8" s="32" t="s">
        <v>39</v>
      </c>
      <c r="R8" s="32" t="s">
        <v>25</v>
      </c>
    </row>
    <row r="9" spans="2:18" ht="13.8" thickBot="1" x14ac:dyDescent="0.3">
      <c r="B9" s="10" t="s">
        <v>53</v>
      </c>
      <c r="C9" s="10"/>
      <c r="D9" s="10"/>
      <c r="E9" s="9"/>
      <c r="F9" s="9" t="s">
        <v>243</v>
      </c>
      <c r="G9" s="9" t="s">
        <v>54</v>
      </c>
      <c r="H9" s="9" t="s">
        <v>243</v>
      </c>
      <c r="J9" s="32" t="s">
        <v>47</v>
      </c>
      <c r="K9" s="34"/>
      <c r="L9" s="34"/>
      <c r="M9" s="34"/>
      <c r="N9" s="34"/>
      <c r="O9" s="34"/>
      <c r="P9" s="34"/>
      <c r="Q9" s="34"/>
      <c r="R9" s="34"/>
    </row>
    <row r="10" spans="2:18" x14ac:dyDescent="0.25">
      <c r="B10" t="str">
        <f>L10</f>
        <v>FT-ELCWIN</v>
      </c>
      <c r="C10" t="str">
        <f>RIGHT(D10,3)</f>
        <v>WIN</v>
      </c>
      <c r="D10" s="16" t="str">
        <f>L4</f>
        <v>ELCWIN</v>
      </c>
      <c r="E10" s="22">
        <v>1</v>
      </c>
      <c r="F10" s="113">
        <v>1</v>
      </c>
      <c r="G10" s="23">
        <v>100</v>
      </c>
      <c r="H10" s="113">
        <v>1</v>
      </c>
      <c r="J10" s="29" t="s">
        <v>60</v>
      </c>
      <c r="K10" s="33"/>
      <c r="L10" s="33" t="str">
        <f>"FT"&amp;$H$1&amp;"-"&amp;L4</f>
        <v>FT-ELCWIN</v>
      </c>
      <c r="M10" s="35" t="str">
        <f>"Fuel Technology"&amp;" - "&amp;M4</f>
        <v>Fuel Technology - Wind (ELC)</v>
      </c>
      <c r="N10" s="33" t="str">
        <f>N4</f>
        <v>PJ</v>
      </c>
      <c r="O10" s="33" t="str">
        <f>$N$10&amp;"a"</f>
        <v>PJa</v>
      </c>
      <c r="P10" s="33"/>
      <c r="Q10" s="33"/>
      <c r="R10" s="33"/>
    </row>
    <row r="17" spans="10:11" x14ac:dyDescent="0.25">
      <c r="J17" s="16"/>
      <c r="K17" s="16"/>
    </row>
    <row r="18" spans="10:11" x14ac:dyDescent="0.25">
      <c r="J18" s="16"/>
      <c r="K18" s="16"/>
    </row>
    <row r="19" spans="10:11" x14ac:dyDescent="0.25">
      <c r="J19" s="16"/>
      <c r="K19" s="16"/>
    </row>
  </sheetData>
  <pageMargins left="0.7" right="0.7" top="0.75" bottom="0.75" header="0.3" footer="0.3"/>
  <pageSetup paperSize="9" orientation="portrait" r:id="rId1"/>
  <legacy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D70EE3-9592-41B0-BFE9-88B061320B52}">
  <sheetPr>
    <tabColor theme="4" tint="0.39997558519241921"/>
  </sheetPr>
  <dimension ref="A1:T62"/>
  <sheetViews>
    <sheetView workbookViewId="0">
      <selection activeCell="O4" sqref="O4"/>
    </sheetView>
  </sheetViews>
  <sheetFormatPr defaultRowHeight="13.2" x14ac:dyDescent="0.25"/>
  <cols>
    <col min="1" max="1" width="41.33203125" customWidth="1"/>
    <col min="16" max="16" width="11" bestFit="1" customWidth="1"/>
  </cols>
  <sheetData>
    <row r="1" spans="1:20" x14ac:dyDescent="0.25">
      <c r="A1" s="133" t="s">
        <v>71</v>
      </c>
      <c r="B1" s="341" t="s">
        <v>430</v>
      </c>
      <c r="C1" s="342"/>
      <c r="D1" s="342"/>
      <c r="E1" s="342"/>
      <c r="F1" s="342"/>
      <c r="G1" s="342"/>
      <c r="H1" s="342"/>
      <c r="I1" s="342"/>
      <c r="J1" s="342"/>
      <c r="K1" s="342"/>
    </row>
    <row r="2" spans="1:20" x14ac:dyDescent="0.25">
      <c r="A2" s="134" t="s">
        <v>300</v>
      </c>
      <c r="B2" s="135">
        <v>2020</v>
      </c>
      <c r="C2" s="135">
        <v>2030</v>
      </c>
      <c r="D2" s="135">
        <v>2040</v>
      </c>
      <c r="E2" s="135">
        <v>2050</v>
      </c>
      <c r="F2" s="136">
        <v>2020</v>
      </c>
      <c r="G2" s="136">
        <v>2020</v>
      </c>
      <c r="H2" s="136">
        <v>2050</v>
      </c>
      <c r="I2" s="136">
        <v>2050</v>
      </c>
      <c r="J2" s="137" t="s">
        <v>75</v>
      </c>
      <c r="K2" s="137" t="s">
        <v>76</v>
      </c>
    </row>
    <row r="3" spans="1:20" ht="13.8" thickBot="1" x14ac:dyDescent="0.3">
      <c r="A3" s="138" t="s">
        <v>301</v>
      </c>
      <c r="B3" s="139" t="s">
        <v>302</v>
      </c>
      <c r="C3" s="139" t="s">
        <v>302</v>
      </c>
      <c r="D3" s="139" t="s">
        <v>302</v>
      </c>
      <c r="E3" s="139" t="s">
        <v>302</v>
      </c>
      <c r="F3" s="139" t="s">
        <v>78</v>
      </c>
      <c r="G3" s="139" t="s">
        <v>79</v>
      </c>
      <c r="H3" s="139" t="s">
        <v>78</v>
      </c>
      <c r="I3" s="139" t="s">
        <v>79</v>
      </c>
      <c r="J3" s="201" t="s">
        <v>116</v>
      </c>
      <c r="K3" s="201" t="s">
        <v>116</v>
      </c>
    </row>
    <row r="4" spans="1:20" x14ac:dyDescent="0.25">
      <c r="A4" s="202" t="s">
        <v>305</v>
      </c>
      <c r="B4" s="140"/>
      <c r="C4" s="203"/>
      <c r="D4" s="203"/>
      <c r="E4" s="203"/>
      <c r="F4" s="203"/>
      <c r="G4" s="203"/>
      <c r="H4" s="203"/>
      <c r="I4" s="203"/>
      <c r="J4" s="204"/>
      <c r="K4" s="204"/>
    </row>
    <row r="5" spans="1:20" x14ac:dyDescent="0.25">
      <c r="A5" s="141" t="s">
        <v>77</v>
      </c>
      <c r="B5" s="203"/>
      <c r="C5" s="203"/>
      <c r="D5" s="203"/>
      <c r="E5" s="203"/>
      <c r="F5" s="203"/>
      <c r="G5" s="203"/>
      <c r="H5" s="203"/>
      <c r="I5" s="203"/>
      <c r="J5" s="204"/>
      <c r="K5" s="204"/>
    </row>
    <row r="6" spans="1:20" x14ac:dyDescent="0.25">
      <c r="A6" s="206" t="s">
        <v>431</v>
      </c>
      <c r="B6" s="185">
        <v>2</v>
      </c>
      <c r="C6" s="185">
        <v>13</v>
      </c>
      <c r="D6" s="185">
        <v>41</v>
      </c>
      <c r="E6" s="185">
        <v>165</v>
      </c>
      <c r="F6" s="207">
        <v>0.5</v>
      </c>
      <c r="G6" s="207">
        <v>1.5</v>
      </c>
      <c r="H6" s="207">
        <v>0.5</v>
      </c>
      <c r="I6" s="207">
        <v>1.5</v>
      </c>
      <c r="J6" s="186" t="s">
        <v>432</v>
      </c>
      <c r="K6" s="186" t="s">
        <v>433</v>
      </c>
    </row>
    <row r="7" spans="1:20" x14ac:dyDescent="0.25">
      <c r="A7" s="206" t="s">
        <v>434</v>
      </c>
      <c r="B7" s="185">
        <v>3.1</v>
      </c>
      <c r="C7" s="185">
        <v>20.5</v>
      </c>
      <c r="D7" s="185">
        <v>64.5</v>
      </c>
      <c r="E7" s="185">
        <v>259.60000000000002</v>
      </c>
      <c r="F7" s="207">
        <v>0.5</v>
      </c>
      <c r="G7" s="207">
        <v>1.5</v>
      </c>
      <c r="H7" s="207">
        <v>0.5</v>
      </c>
      <c r="I7" s="207">
        <v>1.5</v>
      </c>
      <c r="J7" s="186" t="s">
        <v>435</v>
      </c>
      <c r="K7" s="186" t="s">
        <v>436</v>
      </c>
    </row>
    <row r="8" spans="1:20" x14ac:dyDescent="0.25">
      <c r="A8" s="205" t="s">
        <v>163</v>
      </c>
      <c r="B8" s="208"/>
      <c r="C8" s="208"/>
      <c r="D8" s="208"/>
      <c r="E8" s="208"/>
      <c r="F8" s="208"/>
      <c r="G8" s="208"/>
      <c r="H8" s="208"/>
      <c r="I8" s="208"/>
      <c r="J8" s="204"/>
      <c r="K8" s="204"/>
    </row>
    <row r="9" spans="1:20" x14ac:dyDescent="0.25">
      <c r="A9" s="206" t="s">
        <v>437</v>
      </c>
      <c r="B9" s="185">
        <v>4.3</v>
      </c>
      <c r="C9" s="185">
        <v>3.9</v>
      </c>
      <c r="D9" s="185">
        <v>3.6</v>
      </c>
      <c r="E9" s="185">
        <v>3.3</v>
      </c>
      <c r="F9" s="207">
        <v>1</v>
      </c>
      <c r="G9" s="207">
        <v>1.1000000000000001</v>
      </c>
      <c r="H9" s="207">
        <v>1</v>
      </c>
      <c r="I9" s="207">
        <v>1.1000000000000001</v>
      </c>
      <c r="J9" s="186" t="s">
        <v>438</v>
      </c>
      <c r="K9" s="186"/>
    </row>
    <row r="10" spans="1:20" x14ac:dyDescent="0.25">
      <c r="A10" s="206" t="s">
        <v>373</v>
      </c>
      <c r="B10" s="185">
        <v>0.995</v>
      </c>
      <c r="C10" s="185">
        <v>0.995</v>
      </c>
      <c r="D10" s="185">
        <v>0.995</v>
      </c>
      <c r="E10" s="185">
        <v>0.995</v>
      </c>
      <c r="F10" s="207">
        <v>0.75</v>
      </c>
      <c r="G10" s="207">
        <v>1.25</v>
      </c>
      <c r="H10" s="207">
        <v>0.75</v>
      </c>
      <c r="I10" s="207">
        <v>1.25</v>
      </c>
      <c r="J10" s="186" t="s">
        <v>439</v>
      </c>
      <c r="K10" s="186"/>
      <c r="P10">
        <v>11.95</v>
      </c>
      <c r="Q10" t="s">
        <v>516</v>
      </c>
      <c r="S10">
        <v>1</v>
      </c>
      <c r="T10" t="s">
        <v>517</v>
      </c>
    </row>
    <row r="11" spans="1:20" x14ac:dyDescent="0.25">
      <c r="A11" s="206" t="s">
        <v>440</v>
      </c>
      <c r="B11" s="185">
        <v>5.0000000000000001E-3</v>
      </c>
      <c r="C11" s="185">
        <v>5.0000000000000001E-3</v>
      </c>
      <c r="D11" s="185">
        <v>5.0000000000000001E-3</v>
      </c>
      <c r="E11" s="185">
        <v>5.0000000000000001E-3</v>
      </c>
      <c r="F11" s="207">
        <v>0.75</v>
      </c>
      <c r="G11" s="207">
        <v>1.25</v>
      </c>
      <c r="H11" s="207">
        <v>0.75</v>
      </c>
      <c r="I11" s="207">
        <v>1.25</v>
      </c>
      <c r="J11" s="186" t="s">
        <v>58</v>
      </c>
      <c r="K11" s="186"/>
      <c r="S11">
        <v>3.5999999999999998E-6</v>
      </c>
      <c r="T11" t="s">
        <v>518</v>
      </c>
    </row>
    <row r="12" spans="1:20" x14ac:dyDescent="0.25">
      <c r="A12" s="205" t="s">
        <v>164</v>
      </c>
      <c r="B12" s="208"/>
      <c r="C12" s="208"/>
      <c r="D12" s="208"/>
      <c r="E12" s="208"/>
      <c r="F12" s="208"/>
      <c r="G12" s="208"/>
      <c r="H12" s="208"/>
      <c r="I12" s="208"/>
      <c r="J12" s="204"/>
      <c r="K12" s="204"/>
    </row>
    <row r="13" spans="1:20" x14ac:dyDescent="0.25">
      <c r="A13" s="206" t="s">
        <v>441</v>
      </c>
      <c r="B13" s="185">
        <v>0.65</v>
      </c>
      <c r="C13" s="185">
        <v>0.7</v>
      </c>
      <c r="D13" s="185">
        <v>0.73</v>
      </c>
      <c r="E13" s="185">
        <v>0.75</v>
      </c>
      <c r="F13" s="207">
        <v>0.8</v>
      </c>
      <c r="G13" s="207">
        <v>1.2</v>
      </c>
      <c r="H13" s="207">
        <v>0.8</v>
      </c>
      <c r="I13" s="207">
        <v>1.2</v>
      </c>
      <c r="J13" s="186" t="s">
        <v>442</v>
      </c>
      <c r="K13" s="186" t="s">
        <v>443</v>
      </c>
      <c r="P13">
        <f>P10*S11</f>
        <v>4.3019999999999998E-5</v>
      </c>
      <c r="Q13" t="s">
        <v>519</v>
      </c>
    </row>
    <row r="14" spans="1:20" x14ac:dyDescent="0.25">
      <c r="A14" s="206" t="s">
        <v>444</v>
      </c>
      <c r="B14" s="185">
        <v>0.25</v>
      </c>
      <c r="C14" s="185">
        <v>0.2</v>
      </c>
      <c r="D14" s="185">
        <v>0.17</v>
      </c>
      <c r="E14" s="185">
        <v>0.15</v>
      </c>
      <c r="F14" s="207">
        <v>0.8</v>
      </c>
      <c r="G14" s="207">
        <v>1.2</v>
      </c>
      <c r="H14" s="207">
        <v>0.8</v>
      </c>
      <c r="I14" s="207">
        <v>1.2</v>
      </c>
      <c r="J14" s="186" t="s">
        <v>121</v>
      </c>
      <c r="K14" s="186"/>
    </row>
    <row r="15" spans="1:20" x14ac:dyDescent="0.25">
      <c r="A15" s="206" t="s">
        <v>404</v>
      </c>
      <c r="B15" s="185">
        <v>0</v>
      </c>
      <c r="C15" s="185">
        <v>0</v>
      </c>
      <c r="D15" s="185">
        <v>0</v>
      </c>
      <c r="E15" s="185">
        <v>0</v>
      </c>
      <c r="F15" s="185"/>
      <c r="G15" s="185"/>
      <c r="H15" s="185"/>
      <c r="I15" s="185"/>
      <c r="J15" s="186" t="s">
        <v>135</v>
      </c>
      <c r="K15" s="186"/>
    </row>
    <row r="16" spans="1:20" x14ac:dyDescent="0.25">
      <c r="A16" s="206" t="s">
        <v>310</v>
      </c>
      <c r="B16" s="185">
        <v>3</v>
      </c>
      <c r="C16" s="185"/>
      <c r="D16" s="185"/>
      <c r="E16" s="185"/>
      <c r="F16" s="185"/>
      <c r="G16" s="185"/>
      <c r="H16" s="185"/>
      <c r="I16" s="185"/>
      <c r="J16" s="186"/>
      <c r="K16" s="186">
        <v>18</v>
      </c>
    </row>
    <row r="17" spans="1:11" x14ac:dyDescent="0.25">
      <c r="A17" s="206" t="s">
        <v>311</v>
      </c>
      <c r="B17" s="185">
        <v>25</v>
      </c>
      <c r="C17" s="185"/>
      <c r="D17" s="185"/>
      <c r="E17" s="185"/>
      <c r="F17" s="185"/>
      <c r="G17" s="185"/>
      <c r="H17" s="185"/>
      <c r="I17" s="185"/>
      <c r="J17" s="186"/>
      <c r="K17" s="186"/>
    </row>
    <row r="18" spans="1:11" x14ac:dyDescent="0.25">
      <c r="A18" s="206" t="s">
        <v>312</v>
      </c>
      <c r="B18" s="185">
        <v>2</v>
      </c>
      <c r="C18" s="185"/>
      <c r="D18" s="185"/>
      <c r="E18" s="185"/>
      <c r="F18" s="185"/>
      <c r="G18" s="185"/>
      <c r="H18" s="185"/>
      <c r="I18" s="185"/>
      <c r="J18" s="186"/>
      <c r="K18" s="186"/>
    </row>
    <row r="19" spans="1:11" x14ac:dyDescent="0.25">
      <c r="A19" s="141" t="s">
        <v>321</v>
      </c>
      <c r="B19" s="208"/>
      <c r="C19" s="208"/>
      <c r="D19" s="208"/>
      <c r="E19" s="208"/>
      <c r="F19" s="208"/>
      <c r="G19" s="208"/>
      <c r="H19" s="208"/>
      <c r="I19" s="208"/>
      <c r="J19" s="204"/>
      <c r="K19" s="204"/>
    </row>
    <row r="20" spans="1:11" x14ac:dyDescent="0.25">
      <c r="A20" s="206" t="s">
        <v>445</v>
      </c>
      <c r="B20" s="209">
        <v>2.2331399999999997</v>
      </c>
      <c r="C20" s="209">
        <v>1.7014399999999998</v>
      </c>
      <c r="D20" s="209">
        <v>1.16974</v>
      </c>
      <c r="E20" s="209">
        <v>0.95705999999999991</v>
      </c>
      <c r="F20" s="207">
        <v>0.79754999999999998</v>
      </c>
      <c r="G20" s="207">
        <v>1.5951</v>
      </c>
      <c r="H20" s="207">
        <v>0.79754999999999998</v>
      </c>
      <c r="I20" s="207">
        <v>1.3292499999999998</v>
      </c>
      <c r="J20" s="186" t="s">
        <v>446</v>
      </c>
      <c r="K20" s="186" t="s">
        <v>447</v>
      </c>
    </row>
    <row r="21" spans="1:11" x14ac:dyDescent="0.25">
      <c r="A21" s="206" t="s">
        <v>448</v>
      </c>
      <c r="B21" s="185">
        <v>79.754999999999995</v>
      </c>
      <c r="C21" s="185">
        <v>79.754999999999995</v>
      </c>
      <c r="D21" s="185">
        <v>79.754999999999995</v>
      </c>
      <c r="E21" s="185">
        <v>79.754999999999995</v>
      </c>
      <c r="F21" s="185">
        <v>0</v>
      </c>
      <c r="G21" s="185">
        <v>0</v>
      </c>
      <c r="H21" s="185">
        <v>0</v>
      </c>
      <c r="I21" s="185">
        <v>0</v>
      </c>
      <c r="J21" s="186" t="s">
        <v>95</v>
      </c>
      <c r="K21" s="186"/>
    </row>
    <row r="22" spans="1:11" x14ac:dyDescent="0.25">
      <c r="A22" s="206" t="s">
        <v>381</v>
      </c>
      <c r="B22" s="185">
        <v>26.584999999999997</v>
      </c>
      <c r="C22" s="185">
        <v>26.584999999999997</v>
      </c>
      <c r="D22" s="185">
        <v>26.584999999999997</v>
      </c>
      <c r="E22" s="185">
        <v>26.584999999999997</v>
      </c>
      <c r="F22" s="185">
        <v>0</v>
      </c>
      <c r="G22" s="185">
        <v>0</v>
      </c>
      <c r="H22" s="185">
        <v>0</v>
      </c>
      <c r="I22" s="185">
        <v>0</v>
      </c>
      <c r="J22" s="186">
        <v>0</v>
      </c>
      <c r="K22" s="186"/>
    </row>
    <row r="23" spans="1:11" x14ac:dyDescent="0.25">
      <c r="A23" s="206" t="s">
        <v>449</v>
      </c>
      <c r="B23" s="209">
        <v>17.971459999999997</v>
      </c>
      <c r="C23" s="209">
        <v>13.505179999999998</v>
      </c>
      <c r="D23" s="209">
        <v>9.0388999999999999</v>
      </c>
      <c r="E23" s="209">
        <v>7.8691599999999999</v>
      </c>
      <c r="F23" s="207">
        <v>0.95705999999999991</v>
      </c>
      <c r="G23" s="207">
        <v>1.16974</v>
      </c>
      <c r="H23" s="207">
        <v>0.95705999999999991</v>
      </c>
      <c r="I23" s="207">
        <v>1.16974</v>
      </c>
      <c r="J23" s="186" t="s">
        <v>140</v>
      </c>
      <c r="K23" s="186">
        <v>18</v>
      </c>
    </row>
    <row r="24" spans="1:11" x14ac:dyDescent="0.25">
      <c r="A24" s="206" t="s">
        <v>450</v>
      </c>
      <c r="B24" s="209">
        <v>5.6360199999999994</v>
      </c>
      <c r="C24" s="209">
        <v>4.4662799999999994</v>
      </c>
      <c r="D24" s="209">
        <v>3.4028799999999997</v>
      </c>
      <c r="E24" s="209">
        <v>2.2331399999999997</v>
      </c>
      <c r="F24" s="207">
        <v>0.95705999999999991</v>
      </c>
      <c r="G24" s="207">
        <v>1.16974</v>
      </c>
      <c r="H24" s="207">
        <v>0.95705999999999991</v>
      </c>
      <c r="I24" s="207">
        <v>1.16974</v>
      </c>
      <c r="J24" s="186" t="s">
        <v>117</v>
      </c>
      <c r="K24" s="186">
        <v>26</v>
      </c>
    </row>
    <row r="25" spans="1:11" x14ac:dyDescent="0.25">
      <c r="A25" s="206" t="s">
        <v>451</v>
      </c>
      <c r="B25" s="185">
        <v>0</v>
      </c>
      <c r="C25" s="185">
        <v>0</v>
      </c>
      <c r="D25" s="185">
        <v>0</v>
      </c>
      <c r="E25" s="185">
        <v>0</v>
      </c>
      <c r="F25" s="185">
        <v>0</v>
      </c>
      <c r="G25" s="185">
        <v>0</v>
      </c>
      <c r="H25" s="185">
        <v>0</v>
      </c>
      <c r="I25" s="185">
        <v>0</v>
      </c>
      <c r="J25" s="186">
        <v>0</v>
      </c>
      <c r="K25" s="186"/>
    </row>
    <row r="26" spans="1:11" x14ac:dyDescent="0.25">
      <c r="A26" s="205" t="s">
        <v>334</v>
      </c>
      <c r="B26" s="185"/>
      <c r="C26" s="185"/>
      <c r="D26" s="185"/>
      <c r="E26" s="185"/>
      <c r="F26" s="185"/>
      <c r="G26" s="185"/>
      <c r="H26" s="185"/>
      <c r="I26" s="185"/>
      <c r="J26" s="186"/>
      <c r="K26" s="186"/>
    </row>
    <row r="27" spans="1:11" x14ac:dyDescent="0.25">
      <c r="A27" s="206" t="s">
        <v>452</v>
      </c>
      <c r="B27" s="185">
        <v>3.3</v>
      </c>
      <c r="C27" s="185">
        <v>2.5</v>
      </c>
      <c r="D27" s="185">
        <v>1.7</v>
      </c>
      <c r="E27" s="185">
        <v>1.4</v>
      </c>
      <c r="F27" s="207">
        <v>0.75</v>
      </c>
      <c r="G27" s="207">
        <v>1.5</v>
      </c>
      <c r="H27" s="207">
        <v>0.75</v>
      </c>
      <c r="I27" s="207">
        <v>1.25</v>
      </c>
      <c r="J27" s="186" t="s">
        <v>446</v>
      </c>
      <c r="K27" s="186" t="s">
        <v>447</v>
      </c>
    </row>
    <row r="28" spans="1:11" x14ac:dyDescent="0.25">
      <c r="A28" s="206" t="s">
        <v>448</v>
      </c>
      <c r="B28" s="185">
        <v>75</v>
      </c>
      <c r="C28" s="185">
        <v>75</v>
      </c>
      <c r="D28" s="185">
        <v>75</v>
      </c>
      <c r="E28" s="185">
        <v>75</v>
      </c>
      <c r="F28" s="185"/>
      <c r="G28" s="185"/>
      <c r="H28" s="185"/>
      <c r="I28" s="185"/>
      <c r="J28" s="186" t="s">
        <v>95</v>
      </c>
      <c r="K28" s="186"/>
    </row>
    <row r="29" spans="1:11" x14ac:dyDescent="0.25">
      <c r="A29" s="206" t="s">
        <v>381</v>
      </c>
      <c r="B29" s="185">
        <v>25</v>
      </c>
      <c r="C29" s="185">
        <v>25</v>
      </c>
      <c r="D29" s="185">
        <v>25</v>
      </c>
      <c r="E29" s="185">
        <v>25</v>
      </c>
      <c r="F29" s="185"/>
      <c r="G29" s="185"/>
      <c r="H29" s="185"/>
      <c r="I29" s="185"/>
      <c r="J29" s="186"/>
      <c r="K29" s="186"/>
    </row>
    <row r="30" spans="1:11" x14ac:dyDescent="0.25">
      <c r="A30" s="206" t="s">
        <v>453</v>
      </c>
      <c r="B30" s="209">
        <v>0.16</v>
      </c>
      <c r="C30" s="209">
        <v>0.12</v>
      </c>
      <c r="D30" s="209">
        <v>0.08</v>
      </c>
      <c r="E30" s="209">
        <v>7.0000000000000007E-2</v>
      </c>
      <c r="F30" s="207">
        <v>0.9</v>
      </c>
      <c r="G30" s="207">
        <v>1.1000000000000001</v>
      </c>
      <c r="H30" s="207">
        <v>0.9</v>
      </c>
      <c r="I30" s="207">
        <v>1.1000000000000001</v>
      </c>
      <c r="J30" s="186" t="s">
        <v>140</v>
      </c>
      <c r="K30" s="186">
        <v>18</v>
      </c>
    </row>
    <row r="31" spans="1:11" x14ac:dyDescent="0.25">
      <c r="A31" s="206" t="s">
        <v>454</v>
      </c>
      <c r="B31" s="209">
        <v>0.05</v>
      </c>
      <c r="C31" s="209">
        <v>0.04</v>
      </c>
      <c r="D31" s="209">
        <v>0.03</v>
      </c>
      <c r="E31" s="209">
        <v>0.02</v>
      </c>
      <c r="F31" s="207">
        <v>0.9</v>
      </c>
      <c r="G31" s="207">
        <v>1.1000000000000001</v>
      </c>
      <c r="H31" s="207">
        <v>0.9</v>
      </c>
      <c r="I31" s="207">
        <v>1.1000000000000001</v>
      </c>
      <c r="J31" s="186" t="s">
        <v>117</v>
      </c>
      <c r="K31" s="186">
        <v>26</v>
      </c>
    </row>
    <row r="32" spans="1:11" ht="13.8" thickBot="1" x14ac:dyDescent="0.3">
      <c r="A32" s="210" t="s">
        <v>451</v>
      </c>
      <c r="B32" s="211">
        <v>0</v>
      </c>
      <c r="C32" s="211">
        <v>0</v>
      </c>
      <c r="D32" s="211">
        <v>0</v>
      </c>
      <c r="E32" s="211">
        <v>0</v>
      </c>
      <c r="F32" s="211"/>
      <c r="G32" s="211"/>
      <c r="H32" s="211"/>
      <c r="I32" s="211"/>
      <c r="J32" s="212"/>
      <c r="K32" s="212"/>
    </row>
    <row r="33" spans="1:11" x14ac:dyDescent="0.25">
      <c r="A33" s="142"/>
      <c r="B33" s="214"/>
      <c r="C33" s="214"/>
      <c r="D33" s="214"/>
      <c r="E33" s="214"/>
      <c r="F33" s="214"/>
      <c r="G33" s="214"/>
      <c r="H33" s="214"/>
      <c r="I33" s="213"/>
      <c r="J33" s="214"/>
      <c r="K33" s="214"/>
    </row>
    <row r="34" spans="1:11" x14ac:dyDescent="0.25">
      <c r="A34" s="215" t="s">
        <v>124</v>
      </c>
      <c r="B34" s="142"/>
      <c r="C34" s="142"/>
      <c r="D34" s="142"/>
      <c r="E34" s="142"/>
      <c r="F34" s="142"/>
      <c r="G34" s="142"/>
      <c r="H34" s="142"/>
      <c r="I34" s="142"/>
      <c r="J34" s="142"/>
      <c r="K34" s="142"/>
    </row>
    <row r="35" spans="1:11" x14ac:dyDescent="0.25">
      <c r="A35" s="145" t="s">
        <v>455</v>
      </c>
      <c r="B35" s="142"/>
      <c r="C35" s="142"/>
      <c r="D35" s="142"/>
      <c r="E35" s="142"/>
      <c r="F35" s="142"/>
      <c r="G35" s="142"/>
      <c r="H35" s="142"/>
      <c r="I35" s="142"/>
      <c r="J35" s="142"/>
      <c r="K35" s="142"/>
    </row>
    <row r="36" spans="1:11" x14ac:dyDescent="0.25">
      <c r="A36" s="145" t="s">
        <v>456</v>
      </c>
      <c r="B36" s="142"/>
      <c r="C36" s="142"/>
      <c r="D36" s="142"/>
      <c r="E36" s="142"/>
      <c r="F36" s="142"/>
      <c r="G36" s="142"/>
      <c r="H36" s="142"/>
      <c r="I36" s="142"/>
      <c r="J36" s="142"/>
      <c r="K36" s="142"/>
    </row>
    <row r="37" spans="1:11" x14ac:dyDescent="0.25">
      <c r="A37" s="145" t="s">
        <v>457</v>
      </c>
      <c r="B37" s="142"/>
      <c r="C37" s="142"/>
      <c r="D37" s="142"/>
      <c r="E37" s="142"/>
      <c r="F37" s="142"/>
      <c r="G37" s="142"/>
      <c r="H37" s="142"/>
      <c r="I37" s="142"/>
      <c r="J37" s="142"/>
      <c r="K37" s="142"/>
    </row>
    <row r="38" spans="1:11" x14ac:dyDescent="0.25">
      <c r="A38" s="145" t="s">
        <v>458</v>
      </c>
      <c r="B38" s="142"/>
      <c r="C38" s="142"/>
      <c r="D38" s="142"/>
      <c r="E38" s="142"/>
      <c r="F38" s="142"/>
      <c r="G38" s="142"/>
      <c r="H38" s="142"/>
      <c r="I38" s="142"/>
      <c r="J38" s="142"/>
      <c r="K38" s="142"/>
    </row>
    <row r="39" spans="1:11" x14ac:dyDescent="0.25">
      <c r="A39" s="145" t="s">
        <v>459</v>
      </c>
      <c r="B39" s="142"/>
      <c r="C39" s="142"/>
      <c r="D39" s="142"/>
      <c r="E39" s="142"/>
      <c r="F39" s="142"/>
      <c r="G39" s="142"/>
      <c r="H39" s="142"/>
      <c r="I39" s="142"/>
      <c r="J39" s="142"/>
      <c r="K39" s="142"/>
    </row>
    <row r="40" spans="1:11" x14ac:dyDescent="0.25">
      <c r="A40" s="145" t="s">
        <v>460</v>
      </c>
      <c r="B40" s="142"/>
      <c r="C40" s="142"/>
      <c r="D40" s="142"/>
      <c r="E40" s="142"/>
      <c r="F40" s="142"/>
      <c r="G40" s="142"/>
      <c r="H40" s="142"/>
      <c r="I40" s="142"/>
      <c r="J40" s="142"/>
      <c r="K40" s="142"/>
    </row>
    <row r="41" spans="1:11" x14ac:dyDescent="0.25">
      <c r="A41" s="145" t="s">
        <v>461</v>
      </c>
      <c r="B41" s="142"/>
      <c r="C41" s="142"/>
      <c r="D41" s="142"/>
      <c r="E41" s="142"/>
      <c r="F41" s="142"/>
      <c r="G41" s="142"/>
      <c r="H41" s="142"/>
      <c r="I41" s="142"/>
      <c r="J41" s="142"/>
      <c r="K41" s="142"/>
    </row>
    <row r="42" spans="1:11" x14ac:dyDescent="0.25">
      <c r="A42" s="145" t="s">
        <v>462</v>
      </c>
      <c r="B42" s="142"/>
      <c r="C42" s="142"/>
      <c r="D42" s="142"/>
      <c r="E42" s="142"/>
      <c r="F42" s="142"/>
      <c r="G42" s="142"/>
      <c r="H42" s="142"/>
      <c r="I42" s="142"/>
      <c r="J42" s="142"/>
      <c r="K42" s="142"/>
    </row>
    <row r="43" spans="1:11" x14ac:dyDescent="0.25">
      <c r="A43" s="145" t="s">
        <v>463</v>
      </c>
      <c r="B43" s="142"/>
      <c r="C43" s="142"/>
      <c r="D43" s="142"/>
      <c r="E43" s="142"/>
      <c r="F43" s="142"/>
      <c r="G43" s="142"/>
      <c r="H43" s="142"/>
      <c r="I43" s="142"/>
      <c r="J43" s="142"/>
      <c r="K43" s="142"/>
    </row>
    <row r="44" spans="1:11" x14ac:dyDescent="0.25">
      <c r="A44" s="145" t="s">
        <v>464</v>
      </c>
      <c r="B44" s="142"/>
      <c r="C44" s="142"/>
      <c r="D44" s="142"/>
      <c r="E44" s="142"/>
      <c r="F44" s="142"/>
      <c r="G44" s="142"/>
      <c r="H44" s="142"/>
      <c r="I44" s="142"/>
      <c r="J44" s="142"/>
      <c r="K44" s="142"/>
    </row>
    <row r="45" spans="1:11" x14ac:dyDescent="0.25">
      <c r="A45" s="145" t="s">
        <v>465</v>
      </c>
      <c r="B45" s="142"/>
      <c r="C45" s="142"/>
      <c r="D45" s="142"/>
      <c r="E45" s="142"/>
      <c r="F45" s="142"/>
      <c r="G45" s="142"/>
      <c r="H45" s="142"/>
      <c r="I45" s="142"/>
      <c r="J45" s="142"/>
      <c r="K45" s="142"/>
    </row>
    <row r="46" spans="1:11" x14ac:dyDescent="0.25">
      <c r="A46" s="145" t="s">
        <v>466</v>
      </c>
      <c r="B46" s="142"/>
      <c r="C46" s="142"/>
      <c r="D46" s="142"/>
      <c r="E46" s="142"/>
      <c r="F46" s="142"/>
      <c r="G46" s="142"/>
      <c r="H46" s="142"/>
      <c r="I46" s="142"/>
      <c r="J46" s="142"/>
      <c r="K46" s="142"/>
    </row>
    <row r="47" spans="1:11" x14ac:dyDescent="0.25">
      <c r="A47" s="145" t="s">
        <v>467</v>
      </c>
      <c r="B47" s="142"/>
      <c r="C47" s="142"/>
      <c r="D47" s="142"/>
      <c r="E47" s="142"/>
      <c r="F47" s="142"/>
      <c r="G47" s="142"/>
      <c r="H47" s="142"/>
      <c r="I47" s="142"/>
      <c r="J47" s="142"/>
      <c r="K47" s="142"/>
    </row>
    <row r="48" spans="1:11" x14ac:dyDescent="0.25">
      <c r="A48" s="145" t="s">
        <v>468</v>
      </c>
      <c r="B48" s="142"/>
      <c r="C48" s="142"/>
      <c r="D48" s="142"/>
      <c r="E48" s="142"/>
      <c r="F48" s="142"/>
      <c r="G48" s="142"/>
      <c r="H48" s="142"/>
      <c r="I48" s="142"/>
      <c r="J48" s="142"/>
      <c r="K48" s="142"/>
    </row>
    <row r="49" spans="1:11" x14ac:dyDescent="0.25">
      <c r="A49" s="145" t="s">
        <v>469</v>
      </c>
      <c r="B49" s="142"/>
      <c r="C49" s="142"/>
      <c r="D49" s="142"/>
      <c r="E49" s="142"/>
      <c r="F49" s="142"/>
      <c r="G49" s="142"/>
      <c r="H49" s="142"/>
      <c r="I49" s="142"/>
      <c r="J49" s="142"/>
      <c r="K49" s="142"/>
    </row>
    <row r="50" spans="1:11" x14ac:dyDescent="0.25">
      <c r="A50" s="142"/>
      <c r="B50" s="142"/>
      <c r="C50" s="142"/>
      <c r="D50" s="142"/>
      <c r="E50" s="142"/>
      <c r="F50" s="142"/>
      <c r="G50" s="142"/>
      <c r="H50" s="142"/>
      <c r="I50" s="142"/>
      <c r="J50" s="142"/>
      <c r="K50" s="142"/>
    </row>
    <row r="51" spans="1:11" x14ac:dyDescent="0.25">
      <c r="A51" s="142" t="s">
        <v>146</v>
      </c>
      <c r="B51" s="142"/>
      <c r="C51" s="142"/>
      <c r="D51" s="142"/>
      <c r="E51" s="142"/>
      <c r="F51" s="142"/>
      <c r="G51" s="142"/>
      <c r="H51" s="142"/>
      <c r="I51" s="142"/>
      <c r="J51" s="142"/>
      <c r="K51" s="142"/>
    </row>
    <row r="52" spans="1:11" x14ac:dyDescent="0.25">
      <c r="A52" s="145"/>
      <c r="B52" s="142"/>
      <c r="C52" s="142"/>
      <c r="D52" s="142"/>
      <c r="E52" s="142"/>
      <c r="F52" s="142"/>
      <c r="G52" s="142"/>
      <c r="H52" s="142"/>
      <c r="I52" s="142"/>
      <c r="J52" s="142"/>
      <c r="K52" s="142"/>
    </row>
    <row r="53" spans="1:11" x14ac:dyDescent="0.25">
      <c r="A53" s="142"/>
      <c r="B53" s="142"/>
      <c r="C53" s="142"/>
      <c r="D53" s="142"/>
      <c r="E53" s="142"/>
      <c r="F53" s="142"/>
      <c r="G53" s="142"/>
      <c r="H53" s="142"/>
      <c r="I53" s="142"/>
      <c r="J53" s="142"/>
      <c r="K53" s="142"/>
    </row>
    <row r="54" spans="1:11" x14ac:dyDescent="0.25">
      <c r="A54" s="142"/>
      <c r="B54" s="142"/>
      <c r="C54" s="142"/>
      <c r="D54" s="142"/>
      <c r="E54" s="142"/>
      <c r="F54" s="142"/>
      <c r="G54" s="142"/>
      <c r="H54" s="142"/>
      <c r="I54" s="142"/>
      <c r="J54" s="142"/>
      <c r="K54" s="142"/>
    </row>
    <row r="55" spans="1:11" x14ac:dyDescent="0.25">
      <c r="A55" s="142"/>
      <c r="B55" s="142"/>
      <c r="C55" s="142"/>
      <c r="D55" s="142"/>
      <c r="E55" s="142"/>
      <c r="F55" s="142"/>
      <c r="G55" s="142"/>
      <c r="H55" s="142"/>
      <c r="I55" s="142"/>
      <c r="J55" s="142"/>
      <c r="K55" s="142"/>
    </row>
    <row r="56" spans="1:11" x14ac:dyDescent="0.25">
      <c r="A56" s="142"/>
      <c r="B56" s="142"/>
      <c r="C56" s="142"/>
      <c r="D56" s="142"/>
      <c r="E56" s="142"/>
      <c r="F56" s="142"/>
      <c r="G56" s="142"/>
      <c r="H56" s="142"/>
      <c r="I56" s="142"/>
      <c r="J56" s="142"/>
      <c r="K56" s="142"/>
    </row>
    <row r="57" spans="1:11" x14ac:dyDescent="0.25">
      <c r="A57" s="142"/>
      <c r="B57" s="142"/>
      <c r="C57" s="142"/>
      <c r="D57" s="142"/>
      <c r="E57" s="142"/>
      <c r="F57" s="142"/>
      <c r="G57" s="142"/>
      <c r="H57" s="142"/>
      <c r="I57" s="142"/>
      <c r="J57" s="142"/>
      <c r="K57" s="142"/>
    </row>
    <row r="58" spans="1:11" x14ac:dyDescent="0.25">
      <c r="A58" s="142"/>
      <c r="B58" s="142"/>
      <c r="C58" s="142"/>
      <c r="D58" s="142"/>
      <c r="E58" s="142"/>
      <c r="F58" s="142"/>
      <c r="G58" s="142"/>
      <c r="H58" s="142"/>
      <c r="I58" s="142"/>
      <c r="J58" s="142"/>
      <c r="K58" s="142"/>
    </row>
    <row r="59" spans="1:11" x14ac:dyDescent="0.25">
      <c r="A59" s="142"/>
      <c r="B59" s="142"/>
      <c r="C59" s="142"/>
      <c r="D59" s="142"/>
      <c r="E59" s="142"/>
      <c r="F59" s="142"/>
      <c r="G59" s="142"/>
      <c r="H59" s="142"/>
      <c r="I59" s="142"/>
      <c r="J59" s="142"/>
      <c r="K59" s="142"/>
    </row>
    <row r="60" spans="1:11" x14ac:dyDescent="0.25">
      <c r="A60" s="142"/>
      <c r="B60" s="142"/>
      <c r="C60" s="142"/>
      <c r="D60" s="142"/>
      <c r="E60" s="142"/>
      <c r="F60" s="142"/>
      <c r="G60" s="142"/>
      <c r="H60" s="142"/>
      <c r="I60" s="142"/>
      <c r="J60" s="142"/>
      <c r="K60" s="142"/>
    </row>
    <row r="61" spans="1:11" x14ac:dyDescent="0.25">
      <c r="A61" s="142"/>
      <c r="B61" s="142"/>
      <c r="C61" s="142"/>
      <c r="D61" s="142"/>
      <c r="E61" s="142"/>
      <c r="F61" s="142"/>
      <c r="G61" s="142"/>
      <c r="H61" s="142"/>
      <c r="I61" s="142"/>
      <c r="J61" s="142"/>
      <c r="K61" s="142"/>
    </row>
    <row r="62" spans="1:11" x14ac:dyDescent="0.25">
      <c r="A62" s="142"/>
      <c r="B62" s="142"/>
      <c r="C62" s="142"/>
      <c r="D62" s="142"/>
      <c r="E62" s="142"/>
      <c r="F62" s="142"/>
      <c r="G62" s="142"/>
      <c r="H62" s="142"/>
      <c r="I62" s="142"/>
      <c r="J62" s="142"/>
      <c r="K62" s="142"/>
    </row>
  </sheetData>
  <mergeCells count="1">
    <mergeCell ref="B1:K1"/>
  </mergeCells>
  <hyperlinks>
    <hyperlink ref="B1" location="INDEX" display="Hydrogen to Jet Fuel" xr:uid="{F280C611-5E4B-4AE7-8CBB-6A463F9A5F96}"/>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7BDE9D-AF7F-436A-AC42-E17081E6E808}">
  <sheetPr>
    <tabColor theme="4" tint="0.39997558519241921"/>
  </sheetPr>
  <dimension ref="A1:M63"/>
  <sheetViews>
    <sheetView zoomScale="88" workbookViewId="0">
      <selection activeCell="B23" sqref="B23"/>
    </sheetView>
  </sheetViews>
  <sheetFormatPr defaultRowHeight="13.2" x14ac:dyDescent="0.25"/>
  <cols>
    <col min="1" max="1" width="40.109375" customWidth="1"/>
  </cols>
  <sheetData>
    <row r="1" spans="1:13" ht="14.4" x14ac:dyDescent="0.3">
      <c r="A1" s="226" t="s">
        <v>71</v>
      </c>
      <c r="B1" s="227" t="s">
        <v>473</v>
      </c>
      <c r="C1" s="227"/>
      <c r="D1" s="227"/>
      <c r="E1" s="227"/>
      <c r="F1" s="227"/>
      <c r="G1" s="227"/>
      <c r="H1" s="227"/>
      <c r="I1" s="227"/>
      <c r="J1" s="227"/>
      <c r="K1" s="227"/>
      <c r="L1" s="227"/>
      <c r="M1" s="216"/>
    </row>
    <row r="2" spans="1:13" ht="14.4" x14ac:dyDescent="0.3">
      <c r="A2" s="228" t="s">
        <v>300</v>
      </c>
      <c r="B2" s="229">
        <v>2020</v>
      </c>
      <c r="C2" s="230">
        <v>2025</v>
      </c>
      <c r="D2" s="230">
        <v>2030</v>
      </c>
      <c r="E2" s="230">
        <v>2040</v>
      </c>
      <c r="F2" s="230">
        <v>2050</v>
      </c>
      <c r="G2" s="230">
        <v>2025</v>
      </c>
      <c r="H2" s="230">
        <v>2025</v>
      </c>
      <c r="I2" s="230">
        <v>2050</v>
      </c>
      <c r="J2" s="230">
        <v>2050</v>
      </c>
      <c r="K2" s="231" t="s">
        <v>75</v>
      </c>
      <c r="L2" s="231" t="s">
        <v>76</v>
      </c>
      <c r="M2" s="216"/>
    </row>
    <row r="3" spans="1:13" ht="14.4" x14ac:dyDescent="0.3">
      <c r="A3" s="232" t="s">
        <v>301</v>
      </c>
      <c r="B3" s="230" t="s">
        <v>474</v>
      </c>
      <c r="C3" s="230" t="s">
        <v>474</v>
      </c>
      <c r="D3" s="230" t="s">
        <v>474</v>
      </c>
      <c r="E3" s="230" t="s">
        <v>474</v>
      </c>
      <c r="F3" s="230" t="s">
        <v>474</v>
      </c>
      <c r="G3" s="230" t="s">
        <v>78</v>
      </c>
      <c r="H3" s="230" t="s">
        <v>79</v>
      </c>
      <c r="I3" s="230" t="s">
        <v>78</v>
      </c>
      <c r="J3" s="230" t="s">
        <v>79</v>
      </c>
      <c r="K3" s="231" t="s">
        <v>116</v>
      </c>
      <c r="L3" s="231" t="s">
        <v>116</v>
      </c>
      <c r="M3" s="216"/>
    </row>
    <row r="4" spans="1:13" ht="14.4" x14ac:dyDescent="0.3">
      <c r="A4" s="233" t="s">
        <v>305</v>
      </c>
      <c r="B4" s="234"/>
      <c r="C4" s="235"/>
      <c r="D4" s="235"/>
      <c r="E4" s="235"/>
      <c r="F4" s="235"/>
      <c r="G4" s="235"/>
      <c r="H4" s="235"/>
      <c r="I4" s="235"/>
      <c r="J4" s="235"/>
      <c r="K4" s="236"/>
      <c r="L4" s="236"/>
      <c r="M4" s="216"/>
    </row>
    <row r="5" spans="1:13" ht="14.4" x14ac:dyDescent="0.3">
      <c r="A5" s="237" t="s">
        <v>77</v>
      </c>
      <c r="B5" s="237"/>
      <c r="C5" s="239"/>
      <c r="D5" s="239"/>
      <c r="E5" s="239"/>
      <c r="F5" s="239"/>
      <c r="G5" s="239"/>
      <c r="H5" s="239"/>
      <c r="I5" s="239"/>
      <c r="J5" s="239"/>
      <c r="K5" s="240"/>
      <c r="L5" s="240"/>
      <c r="M5" s="216"/>
    </row>
    <row r="6" spans="1:13" ht="14.4" x14ac:dyDescent="0.3">
      <c r="A6" s="238" t="s">
        <v>475</v>
      </c>
      <c r="B6" s="241">
        <v>0.5</v>
      </c>
      <c r="C6" s="241">
        <v>4.5</v>
      </c>
      <c r="D6" s="241">
        <v>125</v>
      </c>
      <c r="E6" s="241">
        <v>125</v>
      </c>
      <c r="F6" s="241">
        <v>125000</v>
      </c>
      <c r="G6" s="241">
        <v>0.1</v>
      </c>
      <c r="H6" s="241">
        <v>4.5</v>
      </c>
      <c r="I6" s="241">
        <v>62500</v>
      </c>
      <c r="J6" s="241">
        <v>1250000</v>
      </c>
      <c r="K6" s="242" t="s">
        <v>93</v>
      </c>
      <c r="L6" s="242" t="s">
        <v>476</v>
      </c>
      <c r="M6" s="216"/>
    </row>
    <row r="7" spans="1:13" ht="14.4" x14ac:dyDescent="0.3">
      <c r="A7" s="243" t="s">
        <v>477</v>
      </c>
      <c r="B7" s="239"/>
      <c r="C7" s="239"/>
      <c r="D7" s="239"/>
      <c r="E7" s="239"/>
      <c r="F7" s="239"/>
      <c r="G7" s="239"/>
      <c r="H7" s="239"/>
      <c r="I7" s="239"/>
      <c r="J7" s="239"/>
      <c r="K7" s="240"/>
      <c r="L7" s="240"/>
      <c r="M7" s="216"/>
    </row>
    <row r="8" spans="1:13" ht="14.4" x14ac:dyDescent="0.3">
      <c r="A8" s="238" t="s">
        <v>478</v>
      </c>
      <c r="B8" s="241">
        <v>1800</v>
      </c>
      <c r="C8" s="241">
        <v>1800</v>
      </c>
      <c r="D8" s="241">
        <v>1800</v>
      </c>
      <c r="E8" s="241">
        <v>1800</v>
      </c>
      <c r="F8" s="241">
        <v>1800</v>
      </c>
      <c r="G8" s="241">
        <v>1500</v>
      </c>
      <c r="H8" s="241">
        <v>2000</v>
      </c>
      <c r="I8" s="241">
        <v>1500</v>
      </c>
      <c r="J8" s="241">
        <v>2000</v>
      </c>
      <c r="K8" s="242" t="s">
        <v>88</v>
      </c>
      <c r="L8" s="242"/>
      <c r="M8" s="216"/>
    </row>
    <row r="9" spans="1:13" ht="14.4" x14ac:dyDescent="0.3">
      <c r="A9" s="238" t="s">
        <v>479</v>
      </c>
      <c r="B9" s="241"/>
      <c r="C9" s="241"/>
      <c r="D9" s="244"/>
      <c r="E9" s="241"/>
      <c r="F9" s="241"/>
      <c r="G9" s="241"/>
      <c r="H9" s="241"/>
      <c r="I9" s="241"/>
      <c r="J9" s="244"/>
      <c r="K9" s="242" t="s">
        <v>58</v>
      </c>
      <c r="L9" s="242"/>
      <c r="M9" s="216"/>
    </row>
    <row r="10" spans="1:13" ht="14.4" x14ac:dyDescent="0.3">
      <c r="A10" s="238" t="s">
        <v>480</v>
      </c>
      <c r="B10" s="241">
        <v>1.75</v>
      </c>
      <c r="C10" s="241">
        <v>1.5</v>
      </c>
      <c r="D10" s="241">
        <v>1.5</v>
      </c>
      <c r="E10" s="241">
        <v>1.286</v>
      </c>
      <c r="F10" s="241">
        <v>1.1020000000000001</v>
      </c>
      <c r="G10" s="245">
        <v>1.0499999999999998</v>
      </c>
      <c r="H10" s="245">
        <v>2.25</v>
      </c>
      <c r="I10" s="241">
        <v>0.77139999999999997</v>
      </c>
      <c r="J10" s="241">
        <v>1.653</v>
      </c>
      <c r="K10" s="242" t="s">
        <v>67</v>
      </c>
      <c r="L10" s="242">
        <v>2</v>
      </c>
      <c r="M10" s="216"/>
    </row>
    <row r="11" spans="1:13" ht="14.4" x14ac:dyDescent="0.3">
      <c r="A11" s="238" t="s">
        <v>481</v>
      </c>
      <c r="B11" s="241">
        <v>100</v>
      </c>
      <c r="C11" s="241">
        <v>100</v>
      </c>
      <c r="D11" s="241">
        <v>100</v>
      </c>
      <c r="E11" s="241">
        <v>100</v>
      </c>
      <c r="F11" s="241">
        <v>100</v>
      </c>
      <c r="G11" s="241">
        <v>50</v>
      </c>
      <c r="H11" s="241">
        <v>120</v>
      </c>
      <c r="I11" s="241">
        <v>50</v>
      </c>
      <c r="J11" s="241">
        <v>120</v>
      </c>
      <c r="K11" s="242"/>
      <c r="L11" s="242">
        <v>13</v>
      </c>
      <c r="M11" s="216"/>
    </row>
    <row r="12" spans="1:13" ht="14.4" x14ac:dyDescent="0.3">
      <c r="A12" s="238" t="s">
        <v>482</v>
      </c>
      <c r="B12" s="241">
        <v>0.25</v>
      </c>
      <c r="C12" s="241">
        <v>0.25</v>
      </c>
      <c r="D12" s="241">
        <v>0.22500000000000001</v>
      </c>
      <c r="E12" s="241">
        <v>0.20300000000000001</v>
      </c>
      <c r="F12" s="241">
        <v>0.182</v>
      </c>
      <c r="G12" s="241">
        <v>0.17499999999999999</v>
      </c>
      <c r="H12" s="241">
        <v>0.375</v>
      </c>
      <c r="I12" s="241">
        <v>0.12739999999999999</v>
      </c>
      <c r="J12" s="241">
        <v>0.27300000000000002</v>
      </c>
      <c r="K12" s="242" t="s">
        <v>67</v>
      </c>
      <c r="L12" s="242">
        <v>2</v>
      </c>
      <c r="M12" s="216"/>
    </row>
    <row r="13" spans="1:13" ht="14.4" x14ac:dyDescent="0.3">
      <c r="A13" s="238" t="s">
        <v>483</v>
      </c>
      <c r="B13" s="241"/>
      <c r="C13" s="241"/>
      <c r="D13" s="241"/>
      <c r="E13" s="241"/>
      <c r="F13" s="241"/>
      <c r="G13" s="241"/>
      <c r="H13" s="241"/>
      <c r="I13" s="241"/>
      <c r="J13" s="241"/>
      <c r="K13" s="242"/>
      <c r="L13" s="242"/>
      <c r="M13" s="216"/>
    </row>
    <row r="14" spans="1:13" ht="14.4" x14ac:dyDescent="0.3">
      <c r="A14" s="243" t="s">
        <v>484</v>
      </c>
      <c r="B14" s="241"/>
      <c r="C14" s="241"/>
      <c r="D14" s="241"/>
      <c r="E14" s="241"/>
      <c r="F14" s="241"/>
      <c r="G14" s="241"/>
      <c r="H14" s="241"/>
      <c r="I14" s="241"/>
      <c r="J14" s="241"/>
      <c r="K14" s="242"/>
      <c r="L14" s="242"/>
      <c r="M14" s="216"/>
    </row>
    <row r="15" spans="1:13" ht="14.4" x14ac:dyDescent="0.3">
      <c r="A15" s="238" t="s">
        <v>485</v>
      </c>
      <c r="B15" s="241">
        <v>99</v>
      </c>
      <c r="C15" s="241">
        <v>99</v>
      </c>
      <c r="D15" s="241">
        <v>99</v>
      </c>
      <c r="E15" s="241">
        <v>99</v>
      </c>
      <c r="F15" s="241">
        <v>99</v>
      </c>
      <c r="G15" s="241"/>
      <c r="H15" s="241"/>
      <c r="I15" s="241"/>
      <c r="J15" s="241"/>
      <c r="K15" s="242"/>
      <c r="L15" s="242" t="s">
        <v>486</v>
      </c>
      <c r="M15" s="216"/>
    </row>
    <row r="16" spans="1:13" ht="14.4" x14ac:dyDescent="0.3">
      <c r="A16" s="238" t="s">
        <v>487</v>
      </c>
      <c r="B16" s="241">
        <v>15</v>
      </c>
      <c r="C16" s="241">
        <v>15</v>
      </c>
      <c r="D16" s="241">
        <v>15</v>
      </c>
      <c r="E16" s="241">
        <v>15</v>
      </c>
      <c r="F16" s="241">
        <v>15</v>
      </c>
      <c r="G16" s="241">
        <v>10</v>
      </c>
      <c r="H16" s="241">
        <v>20</v>
      </c>
      <c r="I16" s="241">
        <v>10</v>
      </c>
      <c r="J16" s="241">
        <v>20</v>
      </c>
      <c r="K16" s="242" t="s">
        <v>128</v>
      </c>
      <c r="L16" s="242">
        <v>2</v>
      </c>
      <c r="M16" s="216"/>
    </row>
    <row r="17" spans="1:13" ht="14.4" x14ac:dyDescent="0.3">
      <c r="A17" s="238" t="s">
        <v>488</v>
      </c>
      <c r="B17" s="241">
        <v>1</v>
      </c>
      <c r="C17" s="241">
        <v>1</v>
      </c>
      <c r="D17" s="241">
        <v>1</v>
      </c>
      <c r="E17" s="241">
        <v>1</v>
      </c>
      <c r="F17" s="241">
        <v>1</v>
      </c>
      <c r="G17" s="241">
        <v>0.5</v>
      </c>
      <c r="H17" s="241">
        <v>2</v>
      </c>
      <c r="I17" s="241">
        <v>0.5</v>
      </c>
      <c r="J17" s="241">
        <v>2</v>
      </c>
      <c r="K17" s="242" t="s">
        <v>58</v>
      </c>
      <c r="L17" s="242" t="s">
        <v>489</v>
      </c>
      <c r="M17" s="216"/>
    </row>
    <row r="18" spans="1:13" ht="14.4" x14ac:dyDescent="0.3">
      <c r="A18" s="238" t="s">
        <v>490</v>
      </c>
      <c r="B18" s="241">
        <v>1.25</v>
      </c>
      <c r="C18" s="241">
        <v>1.25</v>
      </c>
      <c r="D18" s="241">
        <v>1</v>
      </c>
      <c r="E18" s="241">
        <v>0.75</v>
      </c>
      <c r="F18" s="241">
        <v>0.75</v>
      </c>
      <c r="G18" s="241">
        <v>0.75</v>
      </c>
      <c r="H18" s="241">
        <v>1.25</v>
      </c>
      <c r="I18" s="241">
        <v>0.7</v>
      </c>
      <c r="J18" s="241">
        <v>1</v>
      </c>
      <c r="K18" s="242" t="s">
        <v>110</v>
      </c>
      <c r="L18" s="242"/>
      <c r="M18" s="216"/>
    </row>
    <row r="19" spans="1:13" ht="14.4" x14ac:dyDescent="0.3">
      <c r="A19" s="238" t="s">
        <v>491</v>
      </c>
      <c r="B19" s="241">
        <v>50</v>
      </c>
      <c r="C19" s="241">
        <v>50</v>
      </c>
      <c r="D19" s="241">
        <v>50</v>
      </c>
      <c r="E19" s="241">
        <v>50</v>
      </c>
      <c r="F19" s="241">
        <v>50</v>
      </c>
      <c r="G19" s="241">
        <v>20</v>
      </c>
      <c r="H19" s="241">
        <v>70</v>
      </c>
      <c r="I19" s="241">
        <v>20</v>
      </c>
      <c r="J19" s="241">
        <v>70</v>
      </c>
      <c r="K19" s="242" t="s">
        <v>132</v>
      </c>
      <c r="L19" s="242"/>
      <c r="M19" s="216"/>
    </row>
    <row r="20" spans="1:13" ht="14.4" x14ac:dyDescent="0.3">
      <c r="A20" s="243" t="s">
        <v>492</v>
      </c>
      <c r="B20" s="241"/>
      <c r="C20" s="241"/>
      <c r="D20" s="241"/>
      <c r="E20" s="241"/>
      <c r="F20" s="241"/>
      <c r="G20" s="241"/>
      <c r="H20" s="241"/>
      <c r="I20" s="241"/>
      <c r="J20" s="241"/>
      <c r="K20" s="242"/>
      <c r="L20" s="242"/>
      <c r="M20" s="216"/>
    </row>
    <row r="21" spans="1:13" ht="14.4" x14ac:dyDescent="0.3">
      <c r="A21" s="238" t="s">
        <v>404</v>
      </c>
      <c r="B21" s="241">
        <v>5</v>
      </c>
      <c r="C21" s="241">
        <v>5</v>
      </c>
      <c r="D21" s="241">
        <v>3</v>
      </c>
      <c r="E21" s="241">
        <v>3</v>
      </c>
      <c r="F21" s="241">
        <v>3</v>
      </c>
      <c r="G21" s="241">
        <v>3</v>
      </c>
      <c r="H21" s="241">
        <v>3</v>
      </c>
      <c r="I21" s="241">
        <v>3</v>
      </c>
      <c r="J21" s="241">
        <v>3</v>
      </c>
      <c r="K21" s="242" t="s">
        <v>121</v>
      </c>
      <c r="L21" s="242"/>
      <c r="M21" s="216"/>
    </row>
    <row r="22" spans="1:13" ht="14.4" x14ac:dyDescent="0.3">
      <c r="A22" s="238" t="s">
        <v>493</v>
      </c>
      <c r="B22" s="241">
        <v>3</v>
      </c>
      <c r="C22" s="241">
        <v>3</v>
      </c>
      <c r="D22" s="241">
        <v>3</v>
      </c>
      <c r="E22" s="241">
        <v>3</v>
      </c>
      <c r="F22" s="241">
        <v>3</v>
      </c>
      <c r="G22" s="241">
        <v>3</v>
      </c>
      <c r="H22" s="241">
        <v>3</v>
      </c>
      <c r="I22" s="241">
        <v>3</v>
      </c>
      <c r="J22" s="241">
        <v>3</v>
      </c>
      <c r="K22" s="242" t="s">
        <v>121</v>
      </c>
      <c r="L22" s="242"/>
      <c r="M22" s="216"/>
    </row>
    <row r="23" spans="1:13" ht="14.4" x14ac:dyDescent="0.3">
      <c r="A23" s="238" t="s">
        <v>311</v>
      </c>
      <c r="B23" s="241">
        <v>20</v>
      </c>
      <c r="C23" s="241">
        <v>25</v>
      </c>
      <c r="D23" s="241">
        <v>25</v>
      </c>
      <c r="E23" s="241">
        <v>30</v>
      </c>
      <c r="F23" s="241">
        <v>30</v>
      </c>
      <c r="G23" s="241"/>
      <c r="H23" s="241"/>
      <c r="I23" s="241"/>
      <c r="J23" s="241"/>
      <c r="K23" s="242"/>
      <c r="L23" s="242">
        <v>2</v>
      </c>
      <c r="M23" s="216"/>
    </row>
    <row r="24" spans="1:13" ht="14.4" x14ac:dyDescent="0.3">
      <c r="A24" s="238" t="s">
        <v>312</v>
      </c>
      <c r="B24" s="241">
        <v>2</v>
      </c>
      <c r="C24" s="241">
        <v>2</v>
      </c>
      <c r="D24" s="241">
        <v>2</v>
      </c>
      <c r="E24" s="241">
        <v>2.5</v>
      </c>
      <c r="F24" s="241">
        <v>2.5</v>
      </c>
      <c r="G24" s="241">
        <v>1.5</v>
      </c>
      <c r="H24" s="241">
        <v>2.5</v>
      </c>
      <c r="I24" s="241">
        <v>1.5</v>
      </c>
      <c r="J24" s="241">
        <v>3</v>
      </c>
      <c r="K24" s="242" t="s">
        <v>135</v>
      </c>
      <c r="L24" s="242"/>
      <c r="M24" s="216"/>
    </row>
    <row r="25" spans="1:13" ht="14.4" x14ac:dyDescent="0.3">
      <c r="A25" s="237" t="s">
        <v>321</v>
      </c>
      <c r="B25" s="241"/>
      <c r="C25" s="241"/>
      <c r="D25" s="241"/>
      <c r="E25" s="241"/>
      <c r="F25" s="241"/>
      <c r="G25" s="241"/>
      <c r="H25" s="241"/>
      <c r="I25" s="241"/>
      <c r="J25" s="241"/>
      <c r="K25" s="242"/>
      <c r="L25" s="242"/>
      <c r="M25" s="216"/>
    </row>
    <row r="26" spans="1:13" ht="14.4" x14ac:dyDescent="0.3">
      <c r="A26" s="238" t="s">
        <v>494</v>
      </c>
      <c r="B26" s="241">
        <v>6.5</v>
      </c>
      <c r="C26" s="241">
        <v>4.8</v>
      </c>
      <c r="D26" s="241">
        <v>3</v>
      </c>
      <c r="E26" s="241">
        <v>2.1</v>
      </c>
      <c r="F26" s="241">
        <v>1.8</v>
      </c>
      <c r="G26" s="241">
        <v>3.4</v>
      </c>
      <c r="H26" s="241">
        <v>7.2</v>
      </c>
      <c r="I26" s="241">
        <v>1.3</v>
      </c>
      <c r="J26" s="241">
        <v>2.7</v>
      </c>
      <c r="K26" s="242" t="s">
        <v>137</v>
      </c>
      <c r="L26" s="242">
        <v>2</v>
      </c>
      <c r="M26" s="216"/>
    </row>
    <row r="27" spans="1:13" ht="14.4" x14ac:dyDescent="0.3">
      <c r="A27" s="238" t="s">
        <v>495</v>
      </c>
      <c r="B27" s="241">
        <v>0.34</v>
      </c>
      <c r="C27" s="241">
        <v>0.34</v>
      </c>
      <c r="D27" s="241">
        <v>0.34</v>
      </c>
      <c r="E27" s="241">
        <v>0.34</v>
      </c>
      <c r="F27" s="241">
        <v>0.34</v>
      </c>
      <c r="G27" s="241">
        <v>0.34</v>
      </c>
      <c r="H27" s="241">
        <v>0.34</v>
      </c>
      <c r="I27" s="241">
        <v>0.34</v>
      </c>
      <c r="J27" s="241">
        <v>0.34</v>
      </c>
      <c r="K27" s="242" t="s">
        <v>95</v>
      </c>
      <c r="L27" s="242">
        <v>7</v>
      </c>
      <c r="M27" s="216"/>
    </row>
    <row r="28" spans="1:13" ht="14.4" x14ac:dyDescent="0.3">
      <c r="A28" s="238" t="s">
        <v>496</v>
      </c>
      <c r="B28" s="241"/>
      <c r="C28" s="241"/>
      <c r="D28" s="241"/>
      <c r="E28" s="241"/>
      <c r="F28" s="241"/>
      <c r="G28" s="241"/>
      <c r="H28" s="241"/>
      <c r="I28" s="241"/>
      <c r="J28" s="241"/>
      <c r="K28" s="242" t="s">
        <v>140</v>
      </c>
      <c r="L28" s="242">
        <v>8</v>
      </c>
      <c r="M28" s="216"/>
    </row>
    <row r="29" spans="1:13" ht="14.4" x14ac:dyDescent="0.3">
      <c r="A29" s="238" t="s">
        <v>497</v>
      </c>
      <c r="B29" s="241"/>
      <c r="C29" s="241"/>
      <c r="D29" s="241"/>
      <c r="E29" s="241"/>
      <c r="F29" s="241"/>
      <c r="G29" s="241"/>
      <c r="H29" s="241"/>
      <c r="I29" s="241"/>
      <c r="J29" s="241"/>
      <c r="K29" s="242"/>
      <c r="L29" s="242"/>
      <c r="M29" s="216"/>
    </row>
    <row r="30" spans="1:13" ht="14.4" x14ac:dyDescent="0.3">
      <c r="A30" s="237" t="s">
        <v>119</v>
      </c>
      <c r="B30" s="241"/>
      <c r="C30" s="241"/>
      <c r="D30" s="241"/>
      <c r="E30" s="241"/>
      <c r="F30" s="241"/>
      <c r="G30" s="241"/>
      <c r="H30" s="241"/>
      <c r="I30" s="241"/>
      <c r="J30" s="241"/>
      <c r="K30" s="242"/>
      <c r="L30" s="242"/>
      <c r="M30" s="216"/>
    </row>
    <row r="31" spans="1:13" ht="14.4" x14ac:dyDescent="0.3">
      <c r="A31" s="238" t="s">
        <v>498</v>
      </c>
      <c r="B31" s="241">
        <v>0.1</v>
      </c>
      <c r="C31" s="241">
        <v>0.1</v>
      </c>
      <c r="D31" s="241">
        <v>0.1</v>
      </c>
      <c r="E31" s="241">
        <v>0.05</v>
      </c>
      <c r="F31" s="241">
        <v>0.02</v>
      </c>
      <c r="G31" s="241">
        <v>6.9999999999999993E-2</v>
      </c>
      <c r="H31" s="241">
        <v>0.15000000000000002</v>
      </c>
      <c r="I31" s="241">
        <v>1.3999999999999999E-2</v>
      </c>
      <c r="J31" s="241">
        <v>0.03</v>
      </c>
      <c r="K31" s="242"/>
      <c r="L31" s="242">
        <v>1</v>
      </c>
      <c r="M31" s="216"/>
    </row>
    <row r="32" spans="1:13" ht="14.4" x14ac:dyDescent="0.3">
      <c r="A32" s="238" t="s">
        <v>499</v>
      </c>
      <c r="B32" s="241">
        <v>0.11</v>
      </c>
      <c r="C32" s="241">
        <v>0.11</v>
      </c>
      <c r="D32" s="241">
        <v>0.11</v>
      </c>
      <c r="E32" s="241">
        <v>0.11</v>
      </c>
      <c r="F32" s="241">
        <v>0.11</v>
      </c>
      <c r="G32" s="241">
        <v>7.6999999999999999E-2</v>
      </c>
      <c r="H32" s="241">
        <v>0.16500000000000001</v>
      </c>
      <c r="I32" s="241">
        <v>7.6999999999999999E-2</v>
      </c>
      <c r="J32" s="241">
        <v>0.16500000000000001</v>
      </c>
      <c r="K32" s="242" t="s">
        <v>117</v>
      </c>
      <c r="L32" s="242">
        <v>9</v>
      </c>
      <c r="M32" s="216"/>
    </row>
    <row r="33" spans="1:13" ht="14.4" x14ac:dyDescent="0.3">
      <c r="A33" s="238" t="s">
        <v>500</v>
      </c>
      <c r="B33" s="241">
        <v>0.16</v>
      </c>
      <c r="C33" s="241">
        <v>0.16</v>
      </c>
      <c r="D33" s="241">
        <v>0.16</v>
      </c>
      <c r="E33" s="241">
        <v>0.16</v>
      </c>
      <c r="F33" s="241">
        <v>0.16</v>
      </c>
      <c r="G33" s="241">
        <v>0.11199999999999999</v>
      </c>
      <c r="H33" s="241">
        <v>0.24</v>
      </c>
      <c r="I33" s="241">
        <v>0.11199999999999999</v>
      </c>
      <c r="J33" s="241">
        <v>0.24</v>
      </c>
      <c r="K33" s="242" t="s">
        <v>59</v>
      </c>
      <c r="L33" s="242"/>
      <c r="M33" s="216"/>
    </row>
    <row r="34" spans="1:13" x14ac:dyDescent="0.25">
      <c r="A34" s="217"/>
      <c r="B34" s="218"/>
      <c r="C34" s="218"/>
      <c r="D34" s="218"/>
      <c r="E34" s="218"/>
      <c r="F34" s="218"/>
      <c r="G34" s="218"/>
      <c r="H34" s="218"/>
      <c r="I34" s="218"/>
      <c r="J34" s="218"/>
      <c r="K34" s="218"/>
      <c r="L34" s="218"/>
      <c r="M34" s="219"/>
    </row>
    <row r="35" spans="1:13" x14ac:dyDescent="0.25">
      <c r="A35" s="220" t="s">
        <v>146</v>
      </c>
      <c r="B35" s="222"/>
      <c r="C35" s="223"/>
      <c r="D35" s="223"/>
      <c r="E35" s="219"/>
      <c r="F35" s="219"/>
      <c r="G35" s="219"/>
      <c r="H35" s="219"/>
      <c r="I35" s="219"/>
      <c r="J35" s="219"/>
      <c r="K35" s="219"/>
      <c r="L35" s="219"/>
      <c r="M35" s="219"/>
    </row>
    <row r="36" spans="1:13" x14ac:dyDescent="0.25">
      <c r="A36" s="224"/>
      <c r="B36" s="219"/>
      <c r="C36" s="223"/>
      <c r="D36" s="223"/>
      <c r="E36" s="219"/>
      <c r="F36" s="219"/>
      <c r="G36" s="219"/>
      <c r="H36" s="219"/>
      <c r="I36" s="219"/>
      <c r="J36" s="219"/>
      <c r="K36" s="219"/>
      <c r="L36" s="219"/>
      <c r="M36" s="219"/>
    </row>
    <row r="37" spans="1:13" x14ac:dyDescent="0.25">
      <c r="A37" s="224"/>
      <c r="B37" s="219"/>
      <c r="C37" s="223"/>
      <c r="D37" s="223"/>
      <c r="E37" s="219"/>
      <c r="F37" s="219"/>
      <c r="G37" s="219"/>
      <c r="H37" s="219"/>
      <c r="I37" s="219"/>
      <c r="J37" s="219"/>
      <c r="K37" s="219"/>
      <c r="L37" s="219"/>
      <c r="M37" s="219"/>
    </row>
    <row r="38" spans="1:13" x14ac:dyDescent="0.25">
      <c r="A38" s="224"/>
      <c r="B38" s="219"/>
      <c r="C38" s="223"/>
      <c r="D38" s="223"/>
      <c r="E38" s="219"/>
      <c r="F38" s="219"/>
      <c r="G38" s="219"/>
      <c r="H38" s="219"/>
      <c r="I38" s="219"/>
      <c r="J38" s="219"/>
      <c r="K38" s="219"/>
      <c r="L38" s="219"/>
      <c r="M38" s="219"/>
    </row>
    <row r="39" spans="1:13" x14ac:dyDescent="0.25">
      <c r="A39" s="224"/>
      <c r="B39" s="219"/>
      <c r="C39" s="225"/>
      <c r="D39" s="225"/>
      <c r="E39" s="219"/>
      <c r="F39" s="219"/>
      <c r="G39" s="219"/>
      <c r="H39" s="219"/>
      <c r="I39" s="219"/>
      <c r="J39" s="219"/>
      <c r="K39" s="219"/>
      <c r="L39" s="219"/>
      <c r="M39" s="219"/>
    </row>
    <row r="40" spans="1:13" x14ac:dyDescent="0.25">
      <c r="A40" s="224"/>
      <c r="B40" s="219"/>
      <c r="C40" s="225"/>
      <c r="D40" s="225"/>
      <c r="E40" s="219"/>
      <c r="F40" s="219"/>
      <c r="G40" s="219"/>
      <c r="H40" s="219"/>
      <c r="I40" s="219"/>
      <c r="J40" s="219"/>
      <c r="K40" s="219"/>
      <c r="L40" s="219"/>
      <c r="M40" s="219"/>
    </row>
    <row r="41" spans="1:13" x14ac:dyDescent="0.25">
      <c r="A41" s="224"/>
      <c r="B41" s="219"/>
      <c r="C41" s="225"/>
      <c r="D41" s="225"/>
      <c r="E41" s="219"/>
      <c r="F41" s="219"/>
      <c r="G41" s="219"/>
      <c r="H41" s="219"/>
      <c r="I41" s="219"/>
      <c r="J41" s="219"/>
      <c r="K41" s="219"/>
      <c r="L41" s="219"/>
      <c r="M41" s="219"/>
    </row>
    <row r="42" spans="1:13" x14ac:dyDescent="0.25">
      <c r="A42" s="224"/>
      <c r="B42" s="219"/>
      <c r="C42" s="225"/>
      <c r="D42" s="225"/>
      <c r="E42" s="219"/>
      <c r="F42" s="219"/>
      <c r="G42" s="219"/>
      <c r="H42" s="219"/>
      <c r="I42" s="219"/>
      <c r="J42" s="219"/>
      <c r="K42" s="219"/>
      <c r="L42" s="219"/>
      <c r="M42" s="219"/>
    </row>
    <row r="43" spans="1:13" x14ac:dyDescent="0.25">
      <c r="A43" s="224"/>
      <c r="B43" s="219"/>
      <c r="C43" s="225"/>
      <c r="D43" s="225"/>
      <c r="E43" s="219"/>
      <c r="F43" s="219"/>
      <c r="G43" s="219"/>
      <c r="H43" s="219"/>
      <c r="I43" s="219"/>
      <c r="J43" s="219"/>
      <c r="K43" s="219"/>
      <c r="L43" s="219"/>
      <c r="M43" s="219"/>
    </row>
    <row r="44" spans="1:13" x14ac:dyDescent="0.25">
      <c r="A44" s="224"/>
      <c r="B44" s="219"/>
      <c r="C44" s="225"/>
      <c r="D44" s="225"/>
      <c r="E44" s="219"/>
      <c r="F44" s="219"/>
      <c r="G44" s="219"/>
      <c r="H44" s="219"/>
      <c r="I44" s="219"/>
      <c r="J44" s="219"/>
      <c r="K44" s="219"/>
      <c r="L44" s="219"/>
      <c r="M44" s="219"/>
    </row>
    <row r="45" spans="1:13" x14ac:dyDescent="0.25">
      <c r="A45" s="224"/>
      <c r="B45" s="219"/>
      <c r="C45" s="225"/>
      <c r="D45" s="225"/>
      <c r="E45" s="219"/>
      <c r="F45" s="219"/>
      <c r="G45" s="219"/>
      <c r="H45" s="219"/>
      <c r="I45" s="219"/>
      <c r="J45" s="219"/>
      <c r="K45" s="219"/>
      <c r="L45" s="219"/>
      <c r="M45" s="219"/>
    </row>
    <row r="46" spans="1:13" x14ac:dyDescent="0.25">
      <c r="A46" s="224"/>
      <c r="B46" s="219"/>
      <c r="C46" s="225"/>
      <c r="D46" s="225"/>
      <c r="E46" s="219"/>
      <c r="F46" s="219"/>
      <c r="G46" s="219"/>
      <c r="H46" s="219"/>
      <c r="I46" s="219"/>
      <c r="J46" s="219"/>
      <c r="K46" s="219"/>
      <c r="L46" s="219"/>
      <c r="M46" s="219"/>
    </row>
    <row r="47" spans="1:13" x14ac:dyDescent="0.25">
      <c r="A47" s="224"/>
      <c r="B47" s="219"/>
      <c r="C47" s="223"/>
      <c r="D47" s="223"/>
      <c r="E47" s="219"/>
      <c r="F47" s="219"/>
      <c r="G47" s="219"/>
      <c r="H47" s="219"/>
      <c r="I47" s="219"/>
      <c r="J47" s="219"/>
      <c r="K47" s="219"/>
      <c r="L47" s="219"/>
      <c r="M47" s="219"/>
    </row>
    <row r="48" spans="1:13" x14ac:dyDescent="0.25">
      <c r="A48" s="221"/>
      <c r="B48" s="219"/>
      <c r="C48" s="223"/>
      <c r="D48" s="223"/>
      <c r="E48" s="219"/>
      <c r="F48" s="219"/>
      <c r="G48" s="219"/>
      <c r="H48" s="219"/>
      <c r="I48" s="219"/>
      <c r="J48" s="219"/>
      <c r="K48" s="219"/>
      <c r="L48" s="219"/>
      <c r="M48" s="219"/>
    </row>
    <row r="49" spans="1:13" x14ac:dyDescent="0.25">
      <c r="A49" s="220" t="s">
        <v>124</v>
      </c>
      <c r="B49" s="219"/>
      <c r="C49" s="223"/>
      <c r="D49" s="223"/>
      <c r="E49" s="219"/>
      <c r="F49" s="219"/>
      <c r="G49" s="219"/>
      <c r="H49" s="219"/>
      <c r="I49" s="219"/>
      <c r="J49" s="219"/>
      <c r="K49" s="219"/>
      <c r="L49" s="219"/>
      <c r="M49" s="219"/>
    </row>
    <row r="50" spans="1:13" x14ac:dyDescent="0.25">
      <c r="A50" s="224"/>
      <c r="B50" s="219"/>
      <c r="C50" s="223"/>
      <c r="D50" s="223"/>
      <c r="E50" s="219"/>
      <c r="F50" s="219"/>
      <c r="G50" s="219"/>
      <c r="H50" s="219"/>
      <c r="I50" s="219"/>
      <c r="J50" s="219"/>
      <c r="K50" s="219"/>
      <c r="L50" s="219"/>
      <c r="M50" s="219"/>
    </row>
    <row r="51" spans="1:13" x14ac:dyDescent="0.25">
      <c r="A51" s="224"/>
      <c r="B51" s="219"/>
      <c r="C51" s="223"/>
      <c r="D51" s="223"/>
      <c r="E51" s="219"/>
      <c r="F51" s="219"/>
      <c r="G51" s="219"/>
      <c r="H51" s="219"/>
      <c r="I51" s="219"/>
      <c r="J51" s="219"/>
      <c r="K51" s="219"/>
      <c r="L51" s="219"/>
      <c r="M51" s="219"/>
    </row>
    <row r="52" spans="1:13" x14ac:dyDescent="0.25">
      <c r="A52" s="224"/>
      <c r="B52" s="219"/>
      <c r="C52" s="223"/>
      <c r="D52" s="223"/>
      <c r="E52" s="219"/>
      <c r="F52" s="219"/>
      <c r="G52" s="219"/>
      <c r="H52" s="219"/>
      <c r="I52" s="219"/>
      <c r="J52" s="219"/>
      <c r="K52" s="219"/>
      <c r="L52" s="219"/>
      <c r="M52" s="219"/>
    </row>
    <row r="53" spans="1:13" x14ac:dyDescent="0.25">
      <c r="A53" s="224"/>
      <c r="B53" s="219"/>
      <c r="C53" s="223"/>
      <c r="D53" s="223"/>
      <c r="E53" s="219"/>
      <c r="F53" s="219"/>
      <c r="G53" s="219"/>
      <c r="H53" s="219"/>
      <c r="I53" s="219"/>
      <c r="J53" s="219"/>
      <c r="K53" s="219"/>
      <c r="L53" s="219"/>
      <c r="M53" s="219"/>
    </row>
    <row r="54" spans="1:13" x14ac:dyDescent="0.25">
      <c r="A54" s="224"/>
      <c r="B54" s="219"/>
      <c r="C54" s="223"/>
      <c r="D54" s="223"/>
      <c r="E54" s="219"/>
      <c r="F54" s="219"/>
      <c r="G54" s="219"/>
      <c r="H54" s="219"/>
      <c r="I54" s="219"/>
      <c r="J54" s="219"/>
      <c r="K54" s="219"/>
      <c r="L54" s="219"/>
      <c r="M54" s="219"/>
    </row>
    <row r="55" spans="1:13" x14ac:dyDescent="0.25">
      <c r="A55" s="224"/>
      <c r="B55" s="219"/>
      <c r="C55" s="223"/>
      <c r="D55" s="223"/>
      <c r="E55" s="219"/>
      <c r="F55" s="219"/>
      <c r="G55" s="219"/>
      <c r="H55" s="219"/>
      <c r="I55" s="219"/>
      <c r="J55" s="219"/>
      <c r="K55" s="219"/>
      <c r="L55" s="219"/>
      <c r="M55" s="219"/>
    </row>
    <row r="56" spans="1:13" x14ac:dyDescent="0.25">
      <c r="A56" s="224"/>
      <c r="B56" s="219"/>
      <c r="C56" s="223"/>
      <c r="D56" s="223"/>
      <c r="E56" s="219"/>
      <c r="F56" s="219"/>
      <c r="G56" s="219"/>
      <c r="H56" s="219"/>
      <c r="I56" s="219"/>
      <c r="J56" s="219"/>
      <c r="K56" s="219"/>
      <c r="L56" s="219"/>
      <c r="M56" s="219"/>
    </row>
    <row r="57" spans="1:13" x14ac:dyDescent="0.25">
      <c r="A57" s="224"/>
      <c r="B57" s="219"/>
      <c r="C57" s="223"/>
      <c r="D57" s="223"/>
      <c r="E57" s="219"/>
      <c r="F57" s="219"/>
      <c r="G57" s="219"/>
      <c r="H57" s="219"/>
      <c r="I57" s="219"/>
      <c r="J57" s="219"/>
      <c r="K57" s="219"/>
      <c r="L57" s="219"/>
      <c r="M57" s="219"/>
    </row>
    <row r="58" spans="1:13" x14ac:dyDescent="0.25">
      <c r="A58" s="224"/>
      <c r="B58" s="219"/>
      <c r="C58" s="223"/>
      <c r="D58" s="223"/>
      <c r="E58" s="219"/>
      <c r="F58" s="219"/>
      <c r="G58" s="219"/>
      <c r="H58" s="219"/>
      <c r="I58" s="219"/>
      <c r="J58" s="219"/>
      <c r="K58" s="219"/>
      <c r="L58" s="219"/>
      <c r="M58" s="219"/>
    </row>
    <row r="59" spans="1:13" x14ac:dyDescent="0.25">
      <c r="A59" s="224"/>
      <c r="B59" s="219"/>
      <c r="C59" s="223"/>
      <c r="D59" s="223"/>
      <c r="E59" s="219"/>
      <c r="F59" s="219"/>
      <c r="G59" s="219"/>
      <c r="H59" s="219"/>
      <c r="I59" s="219"/>
      <c r="J59" s="219"/>
      <c r="K59" s="219"/>
      <c r="L59" s="219"/>
      <c r="M59" s="219"/>
    </row>
    <row r="60" spans="1:13" x14ac:dyDescent="0.25">
      <c r="A60" s="224"/>
      <c r="B60" s="219"/>
      <c r="C60" s="223"/>
      <c r="D60" s="223"/>
      <c r="E60" s="219"/>
      <c r="F60" s="219"/>
      <c r="G60" s="219"/>
      <c r="H60" s="219"/>
      <c r="I60" s="219"/>
      <c r="J60" s="219"/>
      <c r="K60" s="219"/>
      <c r="L60" s="219"/>
      <c r="M60" s="219"/>
    </row>
    <row r="61" spans="1:13" x14ac:dyDescent="0.25">
      <c r="A61" s="224"/>
      <c r="B61" s="219"/>
      <c r="C61" s="219"/>
      <c r="D61" s="219"/>
      <c r="E61" s="219"/>
      <c r="F61" s="219"/>
      <c r="G61" s="219"/>
      <c r="H61" s="219"/>
      <c r="I61" s="219"/>
      <c r="J61" s="219"/>
      <c r="K61" s="219"/>
      <c r="L61" s="219"/>
      <c r="M61" s="219"/>
    </row>
    <row r="62" spans="1:13" x14ac:dyDescent="0.25">
      <c r="A62" s="224"/>
      <c r="B62" s="219"/>
      <c r="C62" s="219"/>
      <c r="D62" s="219"/>
      <c r="E62" s="219"/>
      <c r="F62" s="219"/>
      <c r="G62" s="219"/>
      <c r="H62" s="219"/>
      <c r="I62" s="219"/>
      <c r="J62" s="219"/>
      <c r="K62" s="219"/>
      <c r="L62" s="219"/>
      <c r="M62" s="219"/>
    </row>
    <row r="63" spans="1:13" x14ac:dyDescent="0.25">
      <c r="A63" s="219"/>
      <c r="B63" s="219"/>
      <c r="C63" s="219"/>
      <c r="D63" s="219"/>
      <c r="E63" s="219"/>
      <c r="F63" s="219"/>
      <c r="G63" s="219"/>
      <c r="H63" s="219"/>
      <c r="I63" s="219"/>
      <c r="J63" s="219"/>
      <c r="K63" s="219"/>
      <c r="L63" s="219"/>
      <c r="M63" s="219"/>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9C3BDA-BF8E-47BC-9EA2-C8EFCF2ECB7C}">
  <sheetPr>
    <tabColor theme="4" tint="0.59999389629810485"/>
  </sheetPr>
  <dimension ref="A1:Z55"/>
  <sheetViews>
    <sheetView zoomScale="55" workbookViewId="0">
      <selection activeCell="O14" sqref="O14"/>
    </sheetView>
  </sheetViews>
  <sheetFormatPr defaultRowHeight="13.2" x14ac:dyDescent="0.25"/>
  <cols>
    <col min="1" max="1" width="47.5546875" customWidth="1"/>
  </cols>
  <sheetData>
    <row r="1" spans="1:26" ht="15" thickBot="1" x14ac:dyDescent="0.35">
      <c r="A1" s="103"/>
      <c r="N1" s="359" t="s">
        <v>527</v>
      </c>
      <c r="O1" s="361" t="s">
        <v>528</v>
      </c>
      <c r="P1" s="361"/>
      <c r="Q1" s="361"/>
      <c r="R1" s="361"/>
      <c r="S1" s="361"/>
      <c r="T1" s="361"/>
      <c r="U1" s="361"/>
      <c r="V1" s="361"/>
      <c r="W1" s="361"/>
      <c r="X1" s="361"/>
      <c r="Y1" s="361"/>
      <c r="Z1" s="362"/>
    </row>
    <row r="2" spans="1:26" ht="15" thickBot="1" x14ac:dyDescent="0.35">
      <c r="A2" s="249" t="s">
        <v>71</v>
      </c>
      <c r="B2" s="363" t="s">
        <v>529</v>
      </c>
      <c r="C2" s="364"/>
      <c r="D2" s="364"/>
      <c r="E2" s="364"/>
      <c r="F2" s="364"/>
      <c r="G2" s="364"/>
      <c r="H2" s="364"/>
      <c r="I2" s="364"/>
      <c r="J2" s="364"/>
      <c r="K2" s="365"/>
      <c r="N2" s="360"/>
      <c r="O2" s="366" t="s">
        <v>530</v>
      </c>
      <c r="P2" s="367"/>
      <c r="Q2" s="367"/>
      <c r="R2" s="368"/>
      <c r="S2" s="367" t="s">
        <v>531</v>
      </c>
      <c r="T2" s="367"/>
      <c r="U2" s="367"/>
      <c r="V2" s="367"/>
      <c r="W2" s="366" t="s">
        <v>532</v>
      </c>
      <c r="X2" s="367"/>
      <c r="Y2" s="367"/>
      <c r="Z2" s="369"/>
    </row>
    <row r="3" spans="1:26" ht="13.8" thickBot="1" x14ac:dyDescent="0.3">
      <c r="A3" s="357" t="s">
        <v>77</v>
      </c>
      <c r="B3" s="345">
        <v>2020</v>
      </c>
      <c r="C3" s="345">
        <v>2030</v>
      </c>
      <c r="D3" s="345">
        <v>2040</v>
      </c>
      <c r="E3" s="345">
        <v>2050</v>
      </c>
      <c r="F3" s="356">
        <v>2030</v>
      </c>
      <c r="G3" s="344"/>
      <c r="H3" s="343">
        <v>2050</v>
      </c>
      <c r="I3" s="344"/>
      <c r="J3" s="345" t="s">
        <v>75</v>
      </c>
      <c r="K3" s="345" t="s">
        <v>76</v>
      </c>
      <c r="N3" s="250" t="s">
        <v>533</v>
      </c>
      <c r="O3" s="251" t="s">
        <v>534</v>
      </c>
      <c r="P3" s="251" t="s">
        <v>535</v>
      </c>
      <c r="Q3" s="251" t="s">
        <v>536</v>
      </c>
      <c r="R3" s="251" t="s">
        <v>537</v>
      </c>
      <c r="S3" s="251" t="s">
        <v>534</v>
      </c>
      <c r="T3" s="251" t="s">
        <v>535</v>
      </c>
      <c r="U3" s="251" t="s">
        <v>536</v>
      </c>
      <c r="V3" s="251" t="s">
        <v>537</v>
      </c>
      <c r="W3" s="251" t="s">
        <v>534</v>
      </c>
      <c r="X3" s="251" t="s">
        <v>535</v>
      </c>
      <c r="Y3" s="251" t="s">
        <v>536</v>
      </c>
      <c r="Z3" s="252" t="s">
        <v>537</v>
      </c>
    </row>
    <row r="4" spans="1:26" ht="24.6" thickBot="1" x14ac:dyDescent="0.3">
      <c r="A4" s="358"/>
      <c r="B4" s="346"/>
      <c r="C4" s="346"/>
      <c r="D4" s="346"/>
      <c r="E4" s="346"/>
      <c r="F4" s="253" t="s">
        <v>78</v>
      </c>
      <c r="G4" s="253" t="s">
        <v>79</v>
      </c>
      <c r="H4" s="253" t="s">
        <v>78</v>
      </c>
      <c r="I4" s="253" t="s">
        <v>79</v>
      </c>
      <c r="J4" s="346"/>
      <c r="K4" s="346"/>
      <c r="N4" s="254" t="s">
        <v>538</v>
      </c>
      <c r="O4" s="255">
        <v>0</v>
      </c>
      <c r="P4" s="255">
        <v>0</v>
      </c>
      <c r="Q4" s="255">
        <v>0</v>
      </c>
      <c r="R4" s="255">
        <v>0</v>
      </c>
      <c r="S4" s="255">
        <v>1</v>
      </c>
      <c r="T4" s="255">
        <v>1</v>
      </c>
      <c r="U4" s="255">
        <v>1</v>
      </c>
      <c r="V4" s="255">
        <v>0</v>
      </c>
      <c r="W4" s="255">
        <v>0</v>
      </c>
      <c r="X4" s="255">
        <v>0</v>
      </c>
      <c r="Y4" s="255">
        <v>0</v>
      </c>
      <c r="Z4" s="256">
        <v>0</v>
      </c>
    </row>
    <row r="5" spans="1:26" x14ac:dyDescent="0.25">
      <c r="A5" s="257" t="s">
        <v>539</v>
      </c>
      <c r="B5" s="258">
        <v>15</v>
      </c>
      <c r="C5" s="259">
        <v>15</v>
      </c>
      <c r="D5" s="259">
        <v>15</v>
      </c>
      <c r="E5" s="259">
        <v>15</v>
      </c>
      <c r="F5" s="259">
        <v>5</v>
      </c>
      <c r="G5" s="259">
        <v>60</v>
      </c>
      <c r="H5" s="259">
        <v>5</v>
      </c>
      <c r="I5" s="259">
        <v>60</v>
      </c>
      <c r="J5" s="259" t="s">
        <v>93</v>
      </c>
      <c r="K5" s="260"/>
      <c r="N5" s="261" t="s">
        <v>540</v>
      </c>
      <c r="O5" s="255">
        <v>0</v>
      </c>
      <c r="P5" s="255">
        <v>0</v>
      </c>
      <c r="Q5" s="255">
        <v>0</v>
      </c>
      <c r="R5" s="255">
        <v>0</v>
      </c>
      <c r="S5" s="255">
        <v>1</v>
      </c>
      <c r="T5" s="255">
        <v>1</v>
      </c>
      <c r="U5" s="255">
        <v>1</v>
      </c>
      <c r="V5" s="255">
        <v>0</v>
      </c>
      <c r="W5" s="255">
        <v>0</v>
      </c>
      <c r="X5" s="255">
        <v>0</v>
      </c>
      <c r="Y5" s="255">
        <v>0</v>
      </c>
      <c r="Z5" s="256">
        <v>0</v>
      </c>
    </row>
    <row r="6" spans="1:26" x14ac:dyDescent="0.25">
      <c r="A6" s="262" t="s">
        <v>541</v>
      </c>
      <c r="B6" s="258">
        <v>99</v>
      </c>
      <c r="C6" s="258">
        <v>99</v>
      </c>
      <c r="D6" s="258">
        <v>99</v>
      </c>
      <c r="E6" s="258">
        <v>99</v>
      </c>
      <c r="F6" s="258">
        <v>98</v>
      </c>
      <c r="G6" s="258">
        <v>100</v>
      </c>
      <c r="H6" s="258">
        <v>98</v>
      </c>
      <c r="I6" s="258">
        <v>100</v>
      </c>
      <c r="J6" s="259"/>
      <c r="K6" s="260" t="s">
        <v>542</v>
      </c>
      <c r="N6" s="263" t="s">
        <v>543</v>
      </c>
      <c r="O6" s="255">
        <v>0</v>
      </c>
      <c r="P6" s="255">
        <v>0</v>
      </c>
      <c r="Q6" s="255">
        <v>0</v>
      </c>
      <c r="R6" s="255">
        <v>0</v>
      </c>
      <c r="S6" s="255">
        <v>1</v>
      </c>
      <c r="T6" s="255">
        <v>1</v>
      </c>
      <c r="U6" s="255">
        <v>1</v>
      </c>
      <c r="V6" s="255">
        <v>0</v>
      </c>
      <c r="W6" s="255">
        <v>0</v>
      </c>
      <c r="X6" s="255">
        <v>0</v>
      </c>
      <c r="Y6" s="255">
        <v>0</v>
      </c>
      <c r="Z6" s="256">
        <v>0</v>
      </c>
    </row>
    <row r="7" spans="1:26" x14ac:dyDescent="0.25">
      <c r="A7" s="262" t="s">
        <v>544</v>
      </c>
      <c r="B7" s="264">
        <v>99</v>
      </c>
      <c r="C7" s="264">
        <v>99</v>
      </c>
      <c r="D7" s="264">
        <v>99</v>
      </c>
      <c r="E7" s="264">
        <v>99</v>
      </c>
      <c r="F7" s="264">
        <v>98</v>
      </c>
      <c r="G7" s="264">
        <v>99</v>
      </c>
      <c r="H7" s="264">
        <v>98</v>
      </c>
      <c r="I7" s="264">
        <v>99</v>
      </c>
      <c r="J7" s="259"/>
      <c r="K7" s="260" t="s">
        <v>542</v>
      </c>
      <c r="N7" s="263" t="s">
        <v>545</v>
      </c>
      <c r="O7" s="255">
        <v>0</v>
      </c>
      <c r="P7" s="255">
        <v>0</v>
      </c>
      <c r="Q7" s="255">
        <v>0</v>
      </c>
      <c r="R7" s="255">
        <v>0</v>
      </c>
      <c r="S7" s="255">
        <v>1</v>
      </c>
      <c r="T7" s="255">
        <v>1</v>
      </c>
      <c r="U7" s="255">
        <v>1</v>
      </c>
      <c r="V7" s="255">
        <v>0</v>
      </c>
      <c r="W7" s="255">
        <v>0</v>
      </c>
      <c r="X7" s="255">
        <v>0</v>
      </c>
      <c r="Y7" s="255">
        <v>0</v>
      </c>
      <c r="Z7" s="256">
        <v>0</v>
      </c>
    </row>
    <row r="8" spans="1:26" x14ac:dyDescent="0.25">
      <c r="A8" s="262" t="s">
        <v>546</v>
      </c>
      <c r="B8" s="258">
        <v>0.5</v>
      </c>
      <c r="C8" s="258">
        <v>0.5</v>
      </c>
      <c r="D8" s="258">
        <v>0.5</v>
      </c>
      <c r="E8" s="258">
        <v>0.5</v>
      </c>
      <c r="F8" s="265">
        <v>0.1</v>
      </c>
      <c r="G8" s="265">
        <v>0.5</v>
      </c>
      <c r="H8" s="265">
        <v>0.1</v>
      </c>
      <c r="I8" s="265">
        <v>0.5</v>
      </c>
      <c r="J8" s="259"/>
      <c r="K8" s="260" t="s">
        <v>542</v>
      </c>
      <c r="N8" s="263" t="s">
        <v>547</v>
      </c>
      <c r="O8" s="255">
        <v>0</v>
      </c>
      <c r="P8" s="255">
        <v>0</v>
      </c>
      <c r="Q8" s="255">
        <v>0</v>
      </c>
      <c r="R8" s="255">
        <v>0</v>
      </c>
      <c r="S8" s="255">
        <v>1</v>
      </c>
      <c r="T8" s="255">
        <v>1</v>
      </c>
      <c r="U8" s="255">
        <v>1</v>
      </c>
      <c r="V8" s="255">
        <v>0</v>
      </c>
      <c r="W8" s="255">
        <v>0</v>
      </c>
      <c r="X8" s="255">
        <v>0</v>
      </c>
      <c r="Y8" s="255">
        <v>0</v>
      </c>
      <c r="Z8" s="256">
        <v>0</v>
      </c>
    </row>
    <row r="9" spans="1:26" x14ac:dyDescent="0.25">
      <c r="A9" s="262" t="s">
        <v>97</v>
      </c>
      <c r="B9" s="258">
        <v>1</v>
      </c>
      <c r="C9" s="259">
        <v>1</v>
      </c>
      <c r="D9" s="259">
        <v>1</v>
      </c>
      <c r="E9" s="259">
        <v>1</v>
      </c>
      <c r="F9" s="265">
        <v>0.5</v>
      </c>
      <c r="G9" s="265">
        <v>1</v>
      </c>
      <c r="H9" s="265">
        <v>0.5</v>
      </c>
      <c r="I9" s="265">
        <v>1</v>
      </c>
      <c r="J9" s="259"/>
      <c r="K9" s="260" t="s">
        <v>542</v>
      </c>
      <c r="N9" s="263" t="s">
        <v>548</v>
      </c>
      <c r="O9" s="255">
        <v>0</v>
      </c>
      <c r="P9" s="255">
        <v>0</v>
      </c>
      <c r="Q9" s="255">
        <v>0</v>
      </c>
      <c r="R9" s="255">
        <v>0</v>
      </c>
      <c r="S9" s="255">
        <v>1</v>
      </c>
      <c r="T9" s="255">
        <v>1</v>
      </c>
      <c r="U9" s="255">
        <v>1</v>
      </c>
      <c r="V9" s="255">
        <v>0</v>
      </c>
      <c r="W9" s="255">
        <v>0</v>
      </c>
      <c r="X9" s="255">
        <v>0</v>
      </c>
      <c r="Y9" s="255">
        <v>0</v>
      </c>
      <c r="Z9" s="256">
        <v>0</v>
      </c>
    </row>
    <row r="10" spans="1:26" x14ac:dyDescent="0.25">
      <c r="A10" s="262" t="s">
        <v>549</v>
      </c>
      <c r="B10" s="258">
        <v>0.2</v>
      </c>
      <c r="C10" s="259">
        <v>0.2</v>
      </c>
      <c r="D10" s="259">
        <v>0.2</v>
      </c>
      <c r="E10" s="266">
        <v>0.2</v>
      </c>
      <c r="F10" s="259">
        <v>0.2</v>
      </c>
      <c r="G10" s="259">
        <v>0.2</v>
      </c>
      <c r="H10" s="259">
        <v>0.2</v>
      </c>
      <c r="I10" s="259">
        <v>0.2</v>
      </c>
      <c r="J10" s="259"/>
      <c r="K10" s="260">
        <v>2</v>
      </c>
      <c r="N10" s="261" t="s">
        <v>550</v>
      </c>
      <c r="O10" s="255">
        <v>0</v>
      </c>
      <c r="P10" s="255">
        <v>0</v>
      </c>
      <c r="Q10" s="255">
        <v>0</v>
      </c>
      <c r="R10" s="255">
        <v>0</v>
      </c>
      <c r="S10" s="255">
        <v>1</v>
      </c>
      <c r="T10" s="255">
        <v>1</v>
      </c>
      <c r="U10" s="255">
        <v>1</v>
      </c>
      <c r="V10" s="255">
        <v>0</v>
      </c>
      <c r="W10" s="255">
        <v>0</v>
      </c>
      <c r="X10" s="255">
        <v>0</v>
      </c>
      <c r="Y10" s="255">
        <v>0</v>
      </c>
      <c r="Z10" s="256">
        <v>0</v>
      </c>
    </row>
    <row r="11" spans="1:26" ht="13.8" thickBot="1" x14ac:dyDescent="0.3">
      <c r="A11" s="262" t="s">
        <v>99</v>
      </c>
      <c r="B11" s="258">
        <v>25</v>
      </c>
      <c r="C11" s="259">
        <v>25</v>
      </c>
      <c r="D11" s="259">
        <v>25</v>
      </c>
      <c r="E11" s="266">
        <v>25</v>
      </c>
      <c r="F11" s="259">
        <v>20</v>
      </c>
      <c r="G11" s="259">
        <v>25</v>
      </c>
      <c r="H11" s="259">
        <v>20</v>
      </c>
      <c r="I11" s="259">
        <v>25</v>
      </c>
      <c r="J11" s="259"/>
      <c r="K11" s="260">
        <v>2</v>
      </c>
      <c r="N11" s="267" t="s">
        <v>551</v>
      </c>
      <c r="O11" s="268">
        <v>0</v>
      </c>
      <c r="P11" s="268">
        <v>0</v>
      </c>
      <c r="Q11" s="268">
        <v>0</v>
      </c>
      <c r="R11" s="268">
        <v>0</v>
      </c>
      <c r="S11" s="268">
        <v>1</v>
      </c>
      <c r="T11" s="268">
        <v>1</v>
      </c>
      <c r="U11" s="268">
        <v>1</v>
      </c>
      <c r="V11" s="268">
        <v>0</v>
      </c>
      <c r="W11" s="268">
        <v>0</v>
      </c>
      <c r="X11" s="268">
        <v>0</v>
      </c>
      <c r="Y11" s="268">
        <v>0</v>
      </c>
      <c r="Z11" s="269">
        <v>0</v>
      </c>
    </row>
    <row r="12" spans="1:26" ht="13.8" thickBot="1" x14ac:dyDescent="0.3">
      <c r="A12" s="262" t="s">
        <v>102</v>
      </c>
      <c r="B12" s="258">
        <v>0.5</v>
      </c>
      <c r="C12" s="259">
        <v>0.5</v>
      </c>
      <c r="D12" s="259">
        <v>0.5</v>
      </c>
      <c r="E12" s="266">
        <v>0.5</v>
      </c>
      <c r="F12" s="259">
        <v>0.5</v>
      </c>
      <c r="G12" s="259">
        <v>1</v>
      </c>
      <c r="H12" s="259">
        <v>0.5</v>
      </c>
      <c r="I12" s="259">
        <v>1</v>
      </c>
      <c r="J12" s="259"/>
      <c r="K12" s="260">
        <v>1</v>
      </c>
    </row>
    <row r="13" spans="1:26" ht="13.8" thickBot="1" x14ac:dyDescent="0.3">
      <c r="A13" s="270" t="s">
        <v>552</v>
      </c>
      <c r="B13" s="271"/>
      <c r="C13" s="272"/>
      <c r="D13" s="273"/>
      <c r="E13" s="274"/>
      <c r="F13" s="275"/>
      <c r="G13" s="275"/>
      <c r="H13" s="275"/>
      <c r="I13" s="275"/>
      <c r="J13" s="276"/>
      <c r="K13" s="277"/>
    </row>
    <row r="14" spans="1:26" x14ac:dyDescent="0.25">
      <c r="A14" s="262" t="s">
        <v>553</v>
      </c>
      <c r="B14" s="258">
        <v>2</v>
      </c>
      <c r="C14" s="259">
        <v>2</v>
      </c>
      <c r="D14" s="259">
        <v>2</v>
      </c>
      <c r="E14" s="266">
        <v>2</v>
      </c>
      <c r="F14" s="259"/>
      <c r="G14" s="259"/>
      <c r="H14" s="259"/>
      <c r="I14" s="259"/>
      <c r="J14" s="278"/>
      <c r="K14" s="279">
        <v>2</v>
      </c>
    </row>
    <row r="15" spans="1:26" x14ac:dyDescent="0.25">
      <c r="A15" s="262" t="s">
        <v>554</v>
      </c>
      <c r="B15" s="280">
        <v>0.03</v>
      </c>
      <c r="C15" s="280">
        <v>0.03</v>
      </c>
      <c r="D15" s="280">
        <v>0.03</v>
      </c>
      <c r="E15" s="280">
        <v>0.03</v>
      </c>
      <c r="F15" s="259"/>
      <c r="G15" s="259"/>
      <c r="H15" s="259"/>
      <c r="I15" s="259"/>
      <c r="J15" s="278"/>
      <c r="K15" s="279">
        <v>2</v>
      </c>
    </row>
    <row r="16" spans="1:26" x14ac:dyDescent="0.25">
      <c r="A16" s="262" t="s">
        <v>555</v>
      </c>
      <c r="B16" s="280">
        <v>0.17</v>
      </c>
      <c r="C16" s="280">
        <v>0.17</v>
      </c>
      <c r="D16" s="280">
        <v>0.17</v>
      </c>
      <c r="E16" s="280">
        <v>0.17</v>
      </c>
      <c r="F16" s="259"/>
      <c r="G16" s="259"/>
      <c r="H16" s="259"/>
      <c r="I16" s="259"/>
      <c r="J16" s="278"/>
      <c r="K16" s="281">
        <v>2</v>
      </c>
    </row>
    <row r="17" spans="1:11" x14ac:dyDescent="0.25">
      <c r="A17" s="282" t="s">
        <v>556</v>
      </c>
      <c r="B17" s="283"/>
      <c r="C17" s="284"/>
      <c r="D17" s="284"/>
      <c r="E17" s="285"/>
      <c r="F17" s="284"/>
      <c r="G17" s="284"/>
      <c r="H17" s="284"/>
      <c r="I17" s="284"/>
      <c r="J17" s="278"/>
      <c r="K17" s="279"/>
    </row>
    <row r="18" spans="1:11" ht="15.6" x14ac:dyDescent="0.25">
      <c r="A18" s="262" t="s">
        <v>557</v>
      </c>
      <c r="B18" s="347" t="s">
        <v>558</v>
      </c>
      <c r="C18" s="348"/>
      <c r="D18" s="348"/>
      <c r="E18" s="349"/>
      <c r="F18" s="286"/>
      <c r="G18" s="286"/>
      <c r="H18" s="286"/>
      <c r="I18" s="286"/>
      <c r="J18" s="278"/>
      <c r="K18" s="279"/>
    </row>
    <row r="19" spans="1:11" x14ac:dyDescent="0.25">
      <c r="A19" s="262" t="s">
        <v>559</v>
      </c>
      <c r="B19" s="350"/>
      <c r="C19" s="351"/>
      <c r="D19" s="351"/>
      <c r="E19" s="352"/>
      <c r="F19" s="286"/>
      <c r="G19" s="286"/>
      <c r="H19" s="286"/>
      <c r="I19" s="286"/>
      <c r="J19" s="278"/>
      <c r="K19" s="279"/>
    </row>
    <row r="20" spans="1:11" ht="15.6" x14ac:dyDescent="0.25">
      <c r="A20" s="262" t="s">
        <v>560</v>
      </c>
      <c r="B20" s="350"/>
      <c r="C20" s="351"/>
      <c r="D20" s="351"/>
      <c r="E20" s="352"/>
      <c r="F20" s="286"/>
      <c r="G20" s="286"/>
      <c r="H20" s="286"/>
      <c r="I20" s="286"/>
      <c r="J20" s="278"/>
      <c r="K20" s="279"/>
    </row>
    <row r="21" spans="1:11" x14ac:dyDescent="0.25">
      <c r="A21" s="262" t="s">
        <v>561</v>
      </c>
      <c r="B21" s="350"/>
      <c r="C21" s="351"/>
      <c r="D21" s="351"/>
      <c r="E21" s="352"/>
      <c r="F21" s="286"/>
      <c r="G21" s="286"/>
      <c r="H21" s="286"/>
      <c r="I21" s="286"/>
      <c r="J21" s="278"/>
      <c r="K21" s="279"/>
    </row>
    <row r="22" spans="1:11" ht="13.8" thickBot="1" x14ac:dyDescent="0.3">
      <c r="A22" s="287" t="s">
        <v>562</v>
      </c>
      <c r="B22" s="350"/>
      <c r="C22" s="351"/>
      <c r="D22" s="351"/>
      <c r="E22" s="352"/>
      <c r="F22" s="259"/>
      <c r="G22" s="259"/>
      <c r="H22" s="259"/>
      <c r="I22" s="259"/>
      <c r="J22" s="278"/>
      <c r="K22" s="279"/>
    </row>
    <row r="23" spans="1:11" ht="13.8" thickBot="1" x14ac:dyDescent="0.3">
      <c r="A23" s="288" t="s">
        <v>563</v>
      </c>
      <c r="B23" s="289"/>
      <c r="C23" s="272"/>
      <c r="D23" s="272"/>
      <c r="E23" s="290"/>
      <c r="F23" s="291"/>
      <c r="G23" s="275"/>
      <c r="H23" s="275"/>
      <c r="I23" s="275"/>
      <c r="J23" s="276"/>
      <c r="K23" s="277"/>
    </row>
    <row r="24" spans="1:11" x14ac:dyDescent="0.25">
      <c r="A24" s="257" t="s">
        <v>564</v>
      </c>
      <c r="B24" s="292">
        <v>9.555555555555556E-2</v>
      </c>
      <c r="C24" s="293">
        <v>8.3611111111111122E-2</v>
      </c>
      <c r="D24" s="293">
        <v>8.3611111111111122E-2</v>
      </c>
      <c r="E24" s="293">
        <v>8.3611111111111122E-2</v>
      </c>
      <c r="F24" s="286"/>
      <c r="G24" s="286"/>
      <c r="H24" s="286"/>
      <c r="I24" s="286"/>
      <c r="J24" s="279" t="s">
        <v>565</v>
      </c>
      <c r="K24" s="279" t="s">
        <v>566</v>
      </c>
    </row>
    <row r="25" spans="1:11" x14ac:dyDescent="0.25">
      <c r="A25" s="262" t="s">
        <v>567</v>
      </c>
      <c r="B25" s="258">
        <v>85</v>
      </c>
      <c r="C25" s="259">
        <v>85</v>
      </c>
      <c r="D25" s="259">
        <v>85</v>
      </c>
      <c r="E25" s="266">
        <v>85</v>
      </c>
      <c r="F25" s="286"/>
      <c r="G25" s="286"/>
      <c r="H25" s="286"/>
      <c r="I25" s="286"/>
      <c r="J25" s="278"/>
      <c r="K25" s="279">
        <v>2</v>
      </c>
    </row>
    <row r="26" spans="1:11" x14ac:dyDescent="0.25">
      <c r="A26" s="262" t="s">
        <v>568</v>
      </c>
      <c r="B26" s="258">
        <v>15</v>
      </c>
      <c r="C26" s="259">
        <v>15</v>
      </c>
      <c r="D26" s="259">
        <v>15</v>
      </c>
      <c r="E26" s="266">
        <v>15</v>
      </c>
      <c r="F26" s="286"/>
      <c r="G26" s="286"/>
      <c r="H26" s="286"/>
      <c r="I26" s="286"/>
      <c r="J26" s="278"/>
      <c r="K26" s="279">
        <v>2</v>
      </c>
    </row>
    <row r="27" spans="1:11" x14ac:dyDescent="0.25">
      <c r="A27" s="262" t="s">
        <v>569</v>
      </c>
      <c r="B27" s="264">
        <v>1107.45</v>
      </c>
      <c r="C27" s="294">
        <v>1055.7</v>
      </c>
      <c r="D27" s="294">
        <v>1003.95</v>
      </c>
      <c r="E27" s="295">
        <v>952.2</v>
      </c>
      <c r="F27" s="286"/>
      <c r="G27" s="286"/>
      <c r="H27" s="286"/>
      <c r="I27" s="286"/>
      <c r="J27" s="278"/>
      <c r="K27" s="279" t="s">
        <v>570</v>
      </c>
    </row>
    <row r="28" spans="1:11" x14ac:dyDescent="0.25">
      <c r="A28" s="262" t="s">
        <v>571</v>
      </c>
      <c r="B28" s="296">
        <f>B29+B30</f>
        <v>0.88250000000000006</v>
      </c>
      <c r="C28" s="296">
        <f t="shared" ref="C28:E28" si="0">C29+C30</f>
        <v>0.86831775700934588</v>
      </c>
      <c r="D28" s="296">
        <f t="shared" si="0"/>
        <v>0.84913551401869158</v>
      </c>
      <c r="E28" s="296">
        <f t="shared" si="0"/>
        <v>0.82495327102803739</v>
      </c>
      <c r="F28" s="286"/>
      <c r="G28" s="286"/>
      <c r="H28" s="286"/>
      <c r="I28" s="286"/>
      <c r="J28" s="278"/>
      <c r="K28" s="279"/>
    </row>
    <row r="29" spans="1:11" x14ac:dyDescent="0.25">
      <c r="A29" s="262" t="s">
        <v>572</v>
      </c>
      <c r="B29" s="296">
        <f>B8/100*73</f>
        <v>0.36499999999999999</v>
      </c>
      <c r="C29" s="296">
        <f>C8/100*75</f>
        <v>0.375</v>
      </c>
      <c r="D29" s="296">
        <f>D8/100*76</f>
        <v>0.38</v>
      </c>
      <c r="E29" s="296">
        <f>E8/100*76</f>
        <v>0.38</v>
      </c>
      <c r="F29" s="286"/>
      <c r="G29" s="286"/>
      <c r="H29" s="286"/>
      <c r="I29" s="286"/>
      <c r="J29" s="278" t="s">
        <v>128</v>
      </c>
      <c r="K29" s="279"/>
    </row>
    <row r="30" spans="1:11" x14ac:dyDescent="0.25">
      <c r="A30" s="262" t="s">
        <v>573</v>
      </c>
      <c r="B30" s="297">
        <v>0.51750000000000007</v>
      </c>
      <c r="C30" s="297">
        <v>0.49331775700934588</v>
      </c>
      <c r="D30" s="297">
        <v>0.46913551401869164</v>
      </c>
      <c r="E30" s="297">
        <v>0.44495327102803744</v>
      </c>
      <c r="F30" s="286"/>
      <c r="G30" s="286"/>
      <c r="H30" s="286"/>
      <c r="I30" s="286"/>
      <c r="J30" s="278"/>
      <c r="K30" s="279" t="s">
        <v>570</v>
      </c>
    </row>
    <row r="31" spans="1:11" ht="13.8" x14ac:dyDescent="0.3">
      <c r="A31" s="298"/>
      <c r="B31" s="258"/>
      <c r="C31" s="259"/>
      <c r="D31" s="259"/>
      <c r="E31" s="266"/>
      <c r="F31" s="286"/>
      <c r="G31" s="286"/>
      <c r="H31" s="286"/>
      <c r="I31" s="286"/>
      <c r="J31" s="278"/>
      <c r="K31" s="299"/>
    </row>
    <row r="32" spans="1:11" ht="14.4" thickBot="1" x14ac:dyDescent="0.35">
      <c r="A32" s="298"/>
      <c r="B32" s="258"/>
      <c r="C32" s="259"/>
      <c r="D32" s="259"/>
      <c r="E32" s="266"/>
      <c r="F32" s="286"/>
      <c r="G32" s="286"/>
      <c r="H32" s="286"/>
      <c r="I32" s="286"/>
      <c r="J32" s="278"/>
      <c r="K32" s="299"/>
    </row>
    <row r="33" spans="1:11" ht="13.8" thickBot="1" x14ac:dyDescent="0.3">
      <c r="A33" s="270" t="s">
        <v>283</v>
      </c>
      <c r="B33" s="300"/>
      <c r="C33" s="301"/>
      <c r="D33" s="302"/>
      <c r="E33" s="303"/>
      <c r="F33" s="304"/>
      <c r="G33" s="304"/>
      <c r="H33" s="304"/>
      <c r="I33" s="304"/>
      <c r="J33" s="305"/>
      <c r="K33" s="306"/>
    </row>
    <row r="34" spans="1:11" x14ac:dyDescent="0.25">
      <c r="A34" s="307" t="s">
        <v>574</v>
      </c>
      <c r="B34" s="308" t="s">
        <v>116</v>
      </c>
      <c r="C34" s="308" t="s">
        <v>116</v>
      </c>
      <c r="D34" s="308" t="s">
        <v>116</v>
      </c>
      <c r="E34" s="308" t="s">
        <v>116</v>
      </c>
      <c r="F34" s="309"/>
      <c r="G34" s="309"/>
      <c r="H34" s="309"/>
      <c r="I34" s="309"/>
      <c r="J34" s="310" t="s">
        <v>58</v>
      </c>
      <c r="K34" s="311"/>
    </row>
    <row r="35" spans="1:11" ht="26.4" x14ac:dyDescent="0.25">
      <c r="A35" s="257" t="s">
        <v>575</v>
      </c>
      <c r="B35" s="312">
        <v>1.7645202020202019E-2</v>
      </c>
      <c r="C35" s="312">
        <v>1.5439551767676779E-2</v>
      </c>
      <c r="D35" s="312">
        <v>1.5439551767676779E-2</v>
      </c>
      <c r="E35" s="312">
        <v>1.5439551767676779E-2</v>
      </c>
      <c r="F35" s="313"/>
      <c r="G35" s="313"/>
      <c r="H35" s="313"/>
      <c r="I35" s="313"/>
      <c r="J35" s="314"/>
      <c r="K35" s="315"/>
    </row>
    <row r="36" spans="1:11" x14ac:dyDescent="0.25">
      <c r="A36" s="262" t="s">
        <v>576</v>
      </c>
      <c r="B36" s="259" t="s">
        <v>116</v>
      </c>
      <c r="C36" s="259" t="s">
        <v>116</v>
      </c>
      <c r="D36" s="259" t="s">
        <v>116</v>
      </c>
      <c r="E36" s="259" t="s">
        <v>116</v>
      </c>
      <c r="F36" s="286"/>
      <c r="G36" s="286"/>
      <c r="H36" s="286"/>
      <c r="I36" s="286"/>
      <c r="J36" s="278"/>
      <c r="K36" s="279"/>
    </row>
    <row r="37" spans="1:11" x14ac:dyDescent="0.25">
      <c r="A37" s="262" t="s">
        <v>577</v>
      </c>
      <c r="B37" s="259" t="s">
        <v>116</v>
      </c>
      <c r="C37" s="259" t="s">
        <v>116</v>
      </c>
      <c r="D37" s="259" t="s">
        <v>116</v>
      </c>
      <c r="E37" s="259" t="s">
        <v>116</v>
      </c>
      <c r="F37" s="286"/>
      <c r="G37" s="286"/>
      <c r="H37" s="286"/>
      <c r="I37" s="286"/>
      <c r="J37" s="278"/>
      <c r="K37" s="279"/>
    </row>
    <row r="38" spans="1:11" ht="26.4" x14ac:dyDescent="0.25">
      <c r="A38" s="262" t="s">
        <v>578</v>
      </c>
      <c r="B38" s="353" t="s">
        <v>558</v>
      </c>
      <c r="C38" s="354"/>
      <c r="D38" s="354"/>
      <c r="E38" s="355"/>
      <c r="F38" s="286"/>
      <c r="G38" s="286"/>
      <c r="H38" s="286"/>
      <c r="I38" s="286"/>
      <c r="J38" s="278"/>
      <c r="K38" s="299"/>
    </row>
    <row r="39" spans="1:11" x14ac:dyDescent="0.25">
      <c r="A39" s="287" t="s">
        <v>579</v>
      </c>
      <c r="B39" s="259" t="s">
        <v>116</v>
      </c>
      <c r="C39" s="259" t="s">
        <v>116</v>
      </c>
      <c r="D39" s="259" t="s">
        <v>116</v>
      </c>
      <c r="E39" s="259" t="s">
        <v>116</v>
      </c>
      <c r="F39" s="286"/>
      <c r="G39" s="286"/>
      <c r="H39" s="286"/>
      <c r="I39" s="286"/>
      <c r="J39" s="278"/>
      <c r="K39" s="279"/>
    </row>
    <row r="40" spans="1:11" x14ac:dyDescent="0.25">
      <c r="A40" s="287" t="s">
        <v>580</v>
      </c>
      <c r="B40" s="259" t="s">
        <v>116</v>
      </c>
      <c r="C40" s="259" t="s">
        <v>116</v>
      </c>
      <c r="D40" s="259" t="s">
        <v>116</v>
      </c>
      <c r="E40" s="259" t="s">
        <v>116</v>
      </c>
      <c r="F40" s="286"/>
      <c r="G40" s="286"/>
      <c r="H40" s="286"/>
      <c r="I40" s="286"/>
      <c r="J40" s="278"/>
      <c r="K40" s="279"/>
    </row>
    <row r="41" spans="1:11" ht="13.8" thickBot="1" x14ac:dyDescent="0.3">
      <c r="A41" s="316" t="s">
        <v>581</v>
      </c>
      <c r="B41" s="317" t="s">
        <v>116</v>
      </c>
      <c r="C41" s="317" t="s">
        <v>116</v>
      </c>
      <c r="D41" s="317" t="s">
        <v>116</v>
      </c>
      <c r="E41" s="317" t="s">
        <v>116</v>
      </c>
      <c r="F41" s="318"/>
      <c r="G41" s="318"/>
      <c r="H41" s="318"/>
      <c r="I41" s="318"/>
      <c r="J41" s="319"/>
      <c r="K41" s="320"/>
    </row>
    <row r="42" spans="1:11" x14ac:dyDescent="0.25">
      <c r="A42" s="100"/>
      <c r="B42" s="100"/>
      <c r="C42" s="100"/>
      <c r="D42" s="72"/>
      <c r="E42" s="72"/>
      <c r="F42" s="72"/>
      <c r="G42" s="72"/>
      <c r="H42" s="72"/>
      <c r="I42" s="72"/>
      <c r="J42" s="72"/>
      <c r="K42" s="72"/>
    </row>
    <row r="43" spans="1:11" x14ac:dyDescent="0.25">
      <c r="H43" s="72"/>
      <c r="I43" s="72"/>
      <c r="J43" s="72"/>
      <c r="K43" s="72"/>
    </row>
    <row r="44" spans="1:11" x14ac:dyDescent="0.25">
      <c r="A44" s="321" t="s">
        <v>582</v>
      </c>
      <c r="B44" s="100"/>
      <c r="C44" s="100"/>
      <c r="D44" s="72"/>
      <c r="E44" s="72"/>
      <c r="F44" s="72"/>
      <c r="G44" s="72"/>
      <c r="H44" s="72"/>
      <c r="I44" s="72"/>
      <c r="J44" s="72"/>
      <c r="K44" s="72"/>
    </row>
    <row r="45" spans="1:11" x14ac:dyDescent="0.25">
      <c r="A45" s="322">
        <v>1</v>
      </c>
      <c r="B45" s="72" t="s">
        <v>583</v>
      </c>
      <c r="C45" s="72"/>
      <c r="D45" s="72"/>
      <c r="E45" s="72"/>
      <c r="F45" s="72"/>
      <c r="G45" s="72"/>
      <c r="H45" s="72"/>
      <c r="I45" s="72"/>
      <c r="J45" s="72"/>
      <c r="K45" s="72"/>
    </row>
    <row r="46" spans="1:11" x14ac:dyDescent="0.25">
      <c r="A46" s="322">
        <v>2</v>
      </c>
      <c r="B46" s="80" t="s">
        <v>584</v>
      </c>
      <c r="C46" s="72"/>
      <c r="D46" s="72"/>
      <c r="E46" s="72"/>
      <c r="F46" s="72"/>
      <c r="G46" s="72"/>
      <c r="H46" s="72"/>
      <c r="I46" s="72"/>
      <c r="J46" s="72"/>
      <c r="K46" s="72"/>
    </row>
    <row r="47" spans="1:11" x14ac:dyDescent="0.25">
      <c r="A47" s="322">
        <v>3</v>
      </c>
      <c r="B47" s="80" t="s">
        <v>585</v>
      </c>
      <c r="C47" s="72"/>
      <c r="D47" s="72"/>
      <c r="E47" s="72"/>
      <c r="F47" s="72"/>
      <c r="G47" s="72"/>
      <c r="H47" s="72"/>
      <c r="I47" s="72"/>
      <c r="J47" s="72"/>
      <c r="K47" s="72"/>
    </row>
    <row r="48" spans="1:11" x14ac:dyDescent="0.25">
      <c r="A48" s="322">
        <v>4</v>
      </c>
      <c r="B48" s="80" t="s">
        <v>586</v>
      </c>
      <c r="C48" s="72"/>
      <c r="D48" s="72"/>
      <c r="E48" s="72"/>
      <c r="F48" s="72"/>
      <c r="G48" s="72"/>
      <c r="H48" s="72"/>
      <c r="I48" s="72"/>
      <c r="J48" s="72"/>
      <c r="K48" s="72"/>
    </row>
    <row r="49" spans="1:11" x14ac:dyDescent="0.25">
      <c r="A49" s="100" t="s">
        <v>587</v>
      </c>
      <c r="B49" s="100"/>
      <c r="C49" s="72"/>
      <c r="D49" s="72"/>
      <c r="E49" s="72"/>
      <c r="F49" s="72"/>
      <c r="G49" s="72"/>
      <c r="H49" s="72"/>
      <c r="I49" s="72"/>
      <c r="J49" s="72"/>
      <c r="K49" s="72"/>
    </row>
    <row r="50" spans="1:11" x14ac:dyDescent="0.25">
      <c r="A50" s="322" t="s">
        <v>93</v>
      </c>
      <c r="B50" s="72" t="s">
        <v>588</v>
      </c>
      <c r="C50" s="72"/>
      <c r="D50" s="72"/>
      <c r="E50" s="72"/>
      <c r="F50" s="72"/>
      <c r="G50" s="72"/>
      <c r="H50" s="72"/>
      <c r="I50" s="72"/>
      <c r="J50" s="72"/>
      <c r="K50" s="72"/>
    </row>
    <row r="51" spans="1:11" x14ac:dyDescent="0.25">
      <c r="A51" s="322" t="s">
        <v>88</v>
      </c>
      <c r="B51" s="80" t="s">
        <v>589</v>
      </c>
      <c r="C51" s="72"/>
      <c r="D51" s="72"/>
      <c r="E51" s="72"/>
      <c r="F51" s="72"/>
      <c r="G51" s="72"/>
      <c r="H51" s="72"/>
      <c r="I51" s="72"/>
      <c r="J51" s="72"/>
      <c r="K51" s="72"/>
    </row>
    <row r="52" spans="1:11" x14ac:dyDescent="0.25">
      <c r="A52" s="323" t="s">
        <v>67</v>
      </c>
      <c r="B52" s="72" t="s">
        <v>590</v>
      </c>
      <c r="C52" s="72"/>
      <c r="D52" s="72"/>
      <c r="E52" s="72"/>
      <c r="F52" s="72"/>
      <c r="G52" s="72"/>
      <c r="H52" s="72"/>
      <c r="I52" s="72"/>
      <c r="J52" s="72"/>
      <c r="K52" s="72"/>
    </row>
    <row r="53" spans="1:11" x14ac:dyDescent="0.25">
      <c r="A53" s="322" t="s">
        <v>128</v>
      </c>
      <c r="B53" s="324" t="s">
        <v>591</v>
      </c>
      <c r="C53" s="72"/>
      <c r="D53" s="72"/>
      <c r="E53" s="72"/>
      <c r="F53" s="72"/>
      <c r="G53" s="72"/>
      <c r="H53" s="72"/>
      <c r="I53" s="72"/>
      <c r="J53" s="72"/>
      <c r="K53" s="72"/>
    </row>
    <row r="54" spans="1:11" x14ac:dyDescent="0.25">
      <c r="A54" s="322" t="s">
        <v>58</v>
      </c>
      <c r="B54" s="72" t="s">
        <v>592</v>
      </c>
      <c r="C54" s="72"/>
      <c r="D54" s="72"/>
      <c r="E54" s="72"/>
      <c r="F54" s="72"/>
      <c r="G54" s="72"/>
      <c r="H54" s="72"/>
      <c r="I54" s="72"/>
      <c r="J54" s="72"/>
      <c r="K54" s="72"/>
    </row>
    <row r="55" spans="1:11" x14ac:dyDescent="0.25">
      <c r="A55" s="325"/>
      <c r="B55" s="324"/>
      <c r="C55" s="100"/>
      <c r="D55" s="100"/>
    </row>
  </sheetData>
  <mergeCells count="17">
    <mergeCell ref="N1:N2"/>
    <mergeCell ref="O1:Z1"/>
    <mergeCell ref="B2:K2"/>
    <mergeCell ref="O2:R2"/>
    <mergeCell ref="S2:V2"/>
    <mergeCell ref="W2:Z2"/>
    <mergeCell ref="A3:A4"/>
    <mergeCell ref="B3:B4"/>
    <mergeCell ref="C3:C4"/>
    <mergeCell ref="D3:D4"/>
    <mergeCell ref="E3:E4"/>
    <mergeCell ref="H3:I3"/>
    <mergeCell ref="J3:J4"/>
    <mergeCell ref="K3:K4"/>
    <mergeCell ref="B18:E22"/>
    <mergeCell ref="B38:E38"/>
    <mergeCell ref="F3:G3"/>
  </mergeCells>
  <hyperlinks>
    <hyperlink ref="B2" location="INDEX" display="Electric boiler, 10 kV, steam" xr:uid="{50D20602-7AD5-4D34-B672-36376F983B66}"/>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1:W33"/>
  <sheetViews>
    <sheetView zoomScale="90" zoomScaleNormal="90" workbookViewId="0">
      <selection activeCell="H10" sqref="H10"/>
    </sheetView>
  </sheetViews>
  <sheetFormatPr defaultColWidth="8.88671875" defaultRowHeight="13.2" x14ac:dyDescent="0.25"/>
  <cols>
    <col min="1" max="1" width="3" style="16" customWidth="1"/>
    <col min="2" max="2" width="16.44140625" style="16" customWidth="1"/>
    <col min="3" max="3" width="12.109375" style="16" bestFit="1" customWidth="1"/>
    <col min="4" max="4" width="11.33203125" style="16" bestFit="1" customWidth="1"/>
    <col min="5" max="5" width="6" style="16" bestFit="1" customWidth="1"/>
    <col min="6" max="6" width="7.109375" style="16" bestFit="1" customWidth="1"/>
    <col min="7" max="7" width="8.33203125" style="16" bestFit="1" customWidth="1"/>
    <col min="8" max="8" width="10" style="16" bestFit="1" customWidth="1"/>
    <col min="9" max="10" width="8.44140625" style="16" bestFit="1" customWidth="1"/>
    <col min="11" max="11" width="6.88671875" style="16" bestFit="1" customWidth="1"/>
    <col min="12" max="12" width="11.44140625" style="16" bestFit="1" customWidth="1"/>
    <col min="13" max="13" width="7.21875" style="16" customWidth="1"/>
    <col min="14" max="14" width="6.109375" style="16" customWidth="1"/>
    <col min="15" max="15" width="12.6640625" bestFit="1" customWidth="1"/>
    <col min="16" max="16" width="7.44140625" bestFit="1" customWidth="1"/>
    <col min="17" max="17" width="14.109375" customWidth="1"/>
    <col min="18" max="18" width="55" bestFit="1" customWidth="1"/>
    <col min="19" max="19" width="6.33203125" customWidth="1"/>
    <col min="20" max="20" width="11.44140625" bestFit="1" customWidth="1"/>
    <col min="21" max="21" width="13.5546875" bestFit="1" customWidth="1"/>
    <col min="22" max="22" width="15" bestFit="1" customWidth="1"/>
    <col min="23" max="23" width="8.109375" bestFit="1" customWidth="1"/>
    <col min="24" max="16384" width="8.88671875" style="16"/>
  </cols>
  <sheetData>
    <row r="1" spans="2:23" x14ac:dyDescent="0.25">
      <c r="O1" s="28" t="s">
        <v>14</v>
      </c>
      <c r="P1" s="28"/>
      <c r="Q1" s="29"/>
      <c r="R1" s="29"/>
      <c r="S1" s="29"/>
      <c r="T1" s="29"/>
      <c r="U1" s="29"/>
      <c r="V1" s="29"/>
      <c r="W1" s="29"/>
    </row>
    <row r="2" spans="2:23" x14ac:dyDescent="0.25">
      <c r="O2" s="30" t="s">
        <v>7</v>
      </c>
      <c r="P2" s="31" t="s">
        <v>30</v>
      </c>
      <c r="Q2" s="30" t="s">
        <v>0</v>
      </c>
      <c r="R2" s="30" t="s">
        <v>3</v>
      </c>
      <c r="S2" s="30" t="s">
        <v>4</v>
      </c>
      <c r="T2" s="30" t="s">
        <v>8</v>
      </c>
      <c r="U2" s="30" t="s">
        <v>9</v>
      </c>
      <c r="V2" s="30" t="s">
        <v>10</v>
      </c>
      <c r="W2" s="30" t="s">
        <v>12</v>
      </c>
    </row>
    <row r="3" spans="2:23" ht="21.6" thickBot="1" x14ac:dyDescent="0.3">
      <c r="O3" s="32" t="s">
        <v>34</v>
      </c>
      <c r="P3" s="32" t="s">
        <v>31</v>
      </c>
      <c r="Q3" s="32" t="s">
        <v>26</v>
      </c>
      <c r="R3" s="32" t="s">
        <v>27</v>
      </c>
      <c r="S3" s="32" t="s">
        <v>4</v>
      </c>
      <c r="T3" s="32" t="s">
        <v>37</v>
      </c>
      <c r="U3" s="32" t="s">
        <v>38</v>
      </c>
      <c r="V3" s="32" t="s">
        <v>28</v>
      </c>
      <c r="W3" s="32" t="s">
        <v>29</v>
      </c>
    </row>
    <row r="4" spans="2:23" x14ac:dyDescent="0.25">
      <c r="O4" s="29" t="s">
        <v>44</v>
      </c>
      <c r="P4" s="33"/>
      <c r="Q4" s="110" t="s">
        <v>41</v>
      </c>
      <c r="R4" s="110" t="s">
        <v>51</v>
      </c>
      <c r="S4" s="110" t="s">
        <v>45</v>
      </c>
      <c r="T4" s="110" t="s">
        <v>246</v>
      </c>
      <c r="U4" s="110" t="s">
        <v>224</v>
      </c>
      <c r="V4" s="29"/>
      <c r="W4" s="29" t="s">
        <v>41</v>
      </c>
    </row>
    <row r="5" spans="2:23" x14ac:dyDescent="0.25">
      <c r="O5" s="2"/>
      <c r="P5" s="2"/>
    </row>
    <row r="6" spans="2:23" x14ac:dyDescent="0.25">
      <c r="E6" s="5" t="s">
        <v>13</v>
      </c>
      <c r="F6" s="24"/>
      <c r="G6" s="5"/>
      <c r="H6" s="5"/>
      <c r="I6" s="6"/>
      <c r="J6" s="6"/>
      <c r="K6" s="4"/>
      <c r="O6" s="28" t="s">
        <v>15</v>
      </c>
      <c r="P6" s="28"/>
      <c r="Q6" s="29"/>
      <c r="R6" s="29"/>
      <c r="S6" s="29"/>
      <c r="T6" s="29"/>
      <c r="U6" s="29"/>
      <c r="V6" s="29"/>
      <c r="W6" s="29"/>
    </row>
    <row r="7" spans="2:23" x14ac:dyDescent="0.25">
      <c r="B7" s="13" t="s">
        <v>1</v>
      </c>
      <c r="C7" s="13" t="s">
        <v>5</v>
      </c>
      <c r="D7" s="13" t="s">
        <v>6</v>
      </c>
      <c r="E7" s="13" t="s">
        <v>61</v>
      </c>
      <c r="F7" s="87" t="s">
        <v>68</v>
      </c>
      <c r="G7" s="88" t="s">
        <v>50</v>
      </c>
      <c r="H7" s="88" t="s">
        <v>48</v>
      </c>
      <c r="I7" s="88" t="s">
        <v>49</v>
      </c>
      <c r="J7" s="88" t="s">
        <v>64</v>
      </c>
      <c r="K7" s="87" t="s">
        <v>46</v>
      </c>
      <c r="L7" s="87" t="s">
        <v>70</v>
      </c>
      <c r="M7" s="87" t="s">
        <v>470</v>
      </c>
      <c r="N7" s="19"/>
      <c r="O7" s="30" t="s">
        <v>11</v>
      </c>
      <c r="P7" s="31" t="s">
        <v>30</v>
      </c>
      <c r="Q7" s="30" t="s">
        <v>1</v>
      </c>
      <c r="R7" s="30" t="s">
        <v>2</v>
      </c>
      <c r="S7" s="30" t="s">
        <v>16</v>
      </c>
      <c r="T7" s="30" t="s">
        <v>17</v>
      </c>
      <c r="U7" s="30" t="s">
        <v>18</v>
      </c>
      <c r="V7" s="30" t="s">
        <v>19</v>
      </c>
      <c r="W7" s="30" t="s">
        <v>20</v>
      </c>
    </row>
    <row r="8" spans="2:23" ht="23.4" customHeight="1" thickBot="1" x14ac:dyDescent="0.3">
      <c r="B8" s="11" t="s">
        <v>36</v>
      </c>
      <c r="C8" s="11" t="s">
        <v>32</v>
      </c>
      <c r="D8" s="11" t="s">
        <v>33</v>
      </c>
      <c r="E8" s="11"/>
      <c r="F8" s="89"/>
      <c r="G8" s="89" t="s">
        <v>52</v>
      </c>
      <c r="H8" s="89" t="s">
        <v>56</v>
      </c>
      <c r="I8" s="89" t="s">
        <v>55</v>
      </c>
      <c r="J8" s="89" t="s">
        <v>65</v>
      </c>
      <c r="K8" s="89" t="s">
        <v>69</v>
      </c>
      <c r="L8" s="89" t="s">
        <v>66</v>
      </c>
      <c r="M8" s="89" t="s">
        <v>471</v>
      </c>
      <c r="N8" s="20"/>
      <c r="O8" s="32" t="s">
        <v>35</v>
      </c>
      <c r="P8" s="32" t="s">
        <v>31</v>
      </c>
      <c r="Q8" s="32" t="s">
        <v>21</v>
      </c>
      <c r="R8" s="32" t="s">
        <v>22</v>
      </c>
      <c r="S8" s="32" t="s">
        <v>23</v>
      </c>
      <c r="T8" s="32" t="s">
        <v>24</v>
      </c>
      <c r="U8" s="32" t="s">
        <v>40</v>
      </c>
      <c r="V8" s="32" t="s">
        <v>39</v>
      </c>
      <c r="W8" s="32" t="s">
        <v>25</v>
      </c>
    </row>
    <row r="9" spans="2:23" ht="21.6" thickBot="1" x14ac:dyDescent="0.3">
      <c r="B9" s="10" t="s">
        <v>53</v>
      </c>
      <c r="C9" s="10"/>
      <c r="D9" s="10"/>
      <c r="E9" s="10"/>
      <c r="F9" s="90"/>
      <c r="G9" s="90"/>
      <c r="H9" s="90" t="s">
        <v>151</v>
      </c>
      <c r="I9" s="90" t="s">
        <v>269</v>
      </c>
      <c r="J9" s="90" t="s">
        <v>268</v>
      </c>
      <c r="K9" s="90" t="s">
        <v>54</v>
      </c>
      <c r="L9" s="90" t="s">
        <v>152</v>
      </c>
      <c r="M9" s="90" t="s">
        <v>177</v>
      </c>
      <c r="N9" s="20"/>
      <c r="O9" s="32" t="s">
        <v>47</v>
      </c>
      <c r="P9" s="32"/>
      <c r="Q9" s="32"/>
      <c r="R9" s="32"/>
      <c r="S9" s="32"/>
      <c r="T9" s="32"/>
      <c r="U9" s="32"/>
      <c r="V9" s="32"/>
      <c r="W9" s="32"/>
    </row>
    <row r="10" spans="2:23" x14ac:dyDescent="0.25">
      <c r="B10" s="36" t="str">
        <f>Q10</f>
        <v>ELCRNWIN01</v>
      </c>
      <c r="C10" s="16" t="s">
        <v>153</v>
      </c>
      <c r="D10" s="16" t="s">
        <v>41</v>
      </c>
      <c r="E10" s="16">
        <v>2025</v>
      </c>
      <c r="F10" s="16">
        <v>2033</v>
      </c>
      <c r="G10" s="26">
        <v>1</v>
      </c>
      <c r="H10" s="16">
        <f>'21 Offshore turbines'!D19*1000</f>
        <v>1880</v>
      </c>
      <c r="I10" s="16">
        <f>'21 Offshore turbines'!D27/1000</f>
        <v>42</v>
      </c>
      <c r="J10" s="26">
        <f>'21 Offshore turbines'!D26/(0.0000036*1000000)</f>
        <v>1.1583333333333334</v>
      </c>
      <c r="K10" s="16">
        <v>30</v>
      </c>
      <c r="L10" s="16">
        <v>31.536000000000001</v>
      </c>
      <c r="M10" s="16">
        <v>2.5</v>
      </c>
      <c r="N10" s="20"/>
      <c r="O10" s="33" t="s">
        <v>63</v>
      </c>
      <c r="P10" s="33"/>
      <c r="Q10" s="33" t="s">
        <v>154</v>
      </c>
      <c r="R10" s="33" t="s">
        <v>363</v>
      </c>
      <c r="S10" s="33" t="s">
        <v>45</v>
      </c>
      <c r="T10" s="33" t="s">
        <v>62</v>
      </c>
      <c r="U10" s="110" t="s">
        <v>224</v>
      </c>
      <c r="V10" s="33"/>
      <c r="W10" s="33" t="s">
        <v>244</v>
      </c>
    </row>
    <row r="11" spans="2:23" x14ac:dyDescent="0.25">
      <c r="E11" s="16">
        <v>2030</v>
      </c>
      <c r="G11" s="26">
        <v>1</v>
      </c>
      <c r="H11" s="16">
        <f>'21 Offshore turbines'!E19*1000</f>
        <v>1800</v>
      </c>
      <c r="I11" s="16">
        <f>'21 Offshore turbines'!E27/1000</f>
        <v>39</v>
      </c>
      <c r="J11" s="26">
        <f>'21 Offshore turbines'!E26/(0.0000036*1000000)</f>
        <v>1.0805555555555557</v>
      </c>
      <c r="K11" s="16">
        <v>30</v>
      </c>
      <c r="L11" s="16">
        <v>31.536000000000001</v>
      </c>
      <c r="M11" s="16">
        <v>2.5</v>
      </c>
      <c r="N11" s="21"/>
      <c r="O11" s="33" t="s">
        <v>63</v>
      </c>
      <c r="P11" s="33"/>
      <c r="Q11" s="33" t="s">
        <v>362</v>
      </c>
      <c r="R11" s="33" t="s">
        <v>364</v>
      </c>
      <c r="S11" s="33" t="s">
        <v>45</v>
      </c>
      <c r="T11" s="33" t="s">
        <v>62</v>
      </c>
      <c r="U11" s="110" t="s">
        <v>224</v>
      </c>
      <c r="V11" s="33"/>
      <c r="W11" s="33" t="s">
        <v>244</v>
      </c>
    </row>
    <row r="12" spans="2:23" x14ac:dyDescent="0.25">
      <c r="E12" s="16">
        <v>2040</v>
      </c>
      <c r="G12" s="26">
        <v>1</v>
      </c>
      <c r="H12" s="16">
        <f>'21 Offshore turbines'!F19*1000</f>
        <v>1680</v>
      </c>
      <c r="I12" s="16">
        <f>'21 Offshore turbines'!F27/1000</f>
        <v>34</v>
      </c>
      <c r="J12" s="26">
        <f>'21 Offshore turbines'!F26/(0.0000036*1000000)</f>
        <v>0.95000000000000007</v>
      </c>
      <c r="K12" s="16">
        <v>30</v>
      </c>
      <c r="L12" s="16">
        <v>31.536000000000001</v>
      </c>
      <c r="M12" s="16">
        <v>2.5</v>
      </c>
      <c r="N12" s="21"/>
      <c r="O12" s="33"/>
      <c r="P12" s="33"/>
      <c r="Q12" s="33"/>
      <c r="R12" s="33"/>
      <c r="S12" s="33"/>
      <c r="T12" s="33"/>
      <c r="U12" s="33"/>
      <c r="V12" s="33"/>
      <c r="W12" s="33"/>
    </row>
    <row r="13" spans="2:23" ht="13.8" thickBot="1" x14ac:dyDescent="0.3">
      <c r="E13" s="16">
        <v>2050</v>
      </c>
      <c r="G13" s="26">
        <v>1</v>
      </c>
      <c r="H13" s="16">
        <f>'21 Offshore turbines'!G19*1000</f>
        <v>1640</v>
      </c>
      <c r="I13" s="16">
        <f>'21 Offshore turbines'!G27/1000</f>
        <v>33</v>
      </c>
      <c r="J13" s="26">
        <f>'21 Offshore turbines'!G26/(0.0000036*1000000)</f>
        <v>0.9027777777777779</v>
      </c>
      <c r="K13" s="16">
        <v>30</v>
      </c>
      <c r="L13" s="16">
        <v>31.536000000000001</v>
      </c>
      <c r="M13" s="16">
        <v>2</v>
      </c>
      <c r="N13" s="21"/>
      <c r="O13" s="33"/>
      <c r="P13" s="33"/>
      <c r="U13" s="33"/>
      <c r="V13" s="33"/>
      <c r="W13" s="33"/>
    </row>
    <row r="14" spans="2:23" ht="13.8" thickTop="1" x14ac:dyDescent="0.25">
      <c r="B14" s="129" t="s">
        <v>362</v>
      </c>
      <c r="C14" s="128" t="s">
        <v>153</v>
      </c>
      <c r="D14" s="128" t="s">
        <v>41</v>
      </c>
      <c r="E14" s="128">
        <v>2025</v>
      </c>
      <c r="F14" s="131">
        <v>2030</v>
      </c>
      <c r="G14" s="130">
        <v>1</v>
      </c>
      <c r="H14" s="128">
        <f>'21 Near shore turbines'!D19*1000</f>
        <v>1490</v>
      </c>
      <c r="I14" s="128">
        <f>I10</f>
        <v>42</v>
      </c>
      <c r="J14" s="130">
        <f>J10</f>
        <v>1.1583333333333334</v>
      </c>
      <c r="K14" s="128">
        <v>30</v>
      </c>
      <c r="L14" s="128">
        <v>31.536000000000001</v>
      </c>
      <c r="M14" s="128">
        <v>2.5</v>
      </c>
      <c r="N14" s="21"/>
      <c r="O14" s="33"/>
      <c r="P14" s="33"/>
      <c r="Q14" s="33"/>
      <c r="R14" s="33"/>
      <c r="S14" s="33"/>
      <c r="T14" s="33"/>
      <c r="U14" s="29"/>
      <c r="V14" s="33"/>
      <c r="W14" s="33"/>
    </row>
    <row r="15" spans="2:23" x14ac:dyDescent="0.25">
      <c r="E15" s="16">
        <v>2030</v>
      </c>
      <c r="G15" s="26">
        <v>1</v>
      </c>
      <c r="H15" s="16">
        <f>'21 Near shore turbines'!E19*1000</f>
        <v>1380</v>
      </c>
      <c r="I15" s="16">
        <f t="shared" ref="I15:J16" si="0">I11</f>
        <v>39</v>
      </c>
      <c r="J15" s="26">
        <f t="shared" si="0"/>
        <v>1.0805555555555557</v>
      </c>
      <c r="K15" s="16">
        <v>30</v>
      </c>
      <c r="L15" s="16">
        <v>31.536000000000001</v>
      </c>
      <c r="M15" s="16">
        <v>2.5</v>
      </c>
      <c r="N15" s="21"/>
      <c r="O15" s="33"/>
      <c r="P15" s="33"/>
      <c r="Q15" s="33"/>
      <c r="R15" s="33"/>
      <c r="S15" s="33"/>
      <c r="T15" s="33"/>
      <c r="U15" s="29"/>
      <c r="V15" s="33"/>
      <c r="W15" s="33"/>
    </row>
    <row r="16" spans="2:23" x14ac:dyDescent="0.25">
      <c r="E16" s="16">
        <v>2040</v>
      </c>
      <c r="G16" s="26">
        <v>1</v>
      </c>
      <c r="H16" s="16">
        <f>'21 Near shore turbines'!F19*1000</f>
        <v>1240</v>
      </c>
      <c r="I16" s="16">
        <f t="shared" si="0"/>
        <v>34</v>
      </c>
      <c r="J16" s="26">
        <f t="shared" si="0"/>
        <v>0.95000000000000007</v>
      </c>
      <c r="K16" s="16">
        <v>30</v>
      </c>
      <c r="L16" s="16">
        <v>31.536000000000001</v>
      </c>
      <c r="M16" s="16">
        <v>2.5</v>
      </c>
      <c r="N16" s="21"/>
      <c r="O16" s="33"/>
      <c r="P16" s="33"/>
      <c r="Q16" s="33"/>
      <c r="R16" s="33"/>
      <c r="S16" s="33"/>
      <c r="T16" s="33"/>
      <c r="U16" s="33"/>
      <c r="V16" s="33"/>
      <c r="W16" s="33"/>
    </row>
    <row r="17" spans="5:23" x14ac:dyDescent="0.25">
      <c r="E17" s="16">
        <v>2050</v>
      </c>
      <c r="G17" s="26">
        <v>1</v>
      </c>
      <c r="H17" s="16">
        <f>'21 Near shore turbines'!G19*1000</f>
        <v>1190</v>
      </c>
      <c r="I17" s="16">
        <f>I13</f>
        <v>33</v>
      </c>
      <c r="J17" s="26">
        <f t="shared" ref="J17" si="1">J13</f>
        <v>0.9027777777777779</v>
      </c>
      <c r="K17" s="16">
        <v>30</v>
      </c>
      <c r="L17" s="16">
        <v>31.536000000000001</v>
      </c>
      <c r="M17" s="16">
        <v>2</v>
      </c>
      <c r="N17" s="21"/>
      <c r="O17" s="33"/>
      <c r="P17" s="33"/>
      <c r="Q17" s="33"/>
      <c r="R17" s="33"/>
      <c r="S17" s="33"/>
      <c r="T17" s="33"/>
      <c r="U17" s="33"/>
      <c r="V17" s="33"/>
      <c r="W17" s="33"/>
    </row>
    <row r="18" spans="5:23" x14ac:dyDescent="0.25">
      <c r="G18" s="26"/>
      <c r="J18" s="26"/>
      <c r="N18" s="21"/>
    </row>
    <row r="20" spans="5:23" x14ac:dyDescent="0.25">
      <c r="G20" s="26"/>
      <c r="J20" s="26"/>
    </row>
    <row r="21" spans="5:23" x14ac:dyDescent="0.25">
      <c r="G21" s="26"/>
      <c r="J21" s="26"/>
    </row>
    <row r="22" spans="5:23" ht="13.8" thickBot="1" x14ac:dyDescent="0.3">
      <c r="G22" s="26"/>
      <c r="I22" s="26"/>
      <c r="J22" s="26"/>
      <c r="L22" s="18"/>
      <c r="M22" s="18"/>
    </row>
    <row r="23" spans="5:23" ht="13.8" thickTop="1" x14ac:dyDescent="0.25">
      <c r="I23" s="128"/>
    </row>
    <row r="28" spans="5:23" x14ac:dyDescent="0.25">
      <c r="R28" s="15"/>
      <c r="U28" s="1"/>
    </row>
    <row r="29" spans="5:23" x14ac:dyDescent="0.25">
      <c r="R29" s="15"/>
    </row>
    <row r="30" spans="5:23" x14ac:dyDescent="0.25">
      <c r="R30" s="15"/>
    </row>
    <row r="31" spans="5:23" x14ac:dyDescent="0.25">
      <c r="R31" s="15"/>
    </row>
    <row r="32" spans="5:23" x14ac:dyDescent="0.25">
      <c r="R32" s="15"/>
      <c r="U32" s="1"/>
    </row>
    <row r="33" spans="21:21" x14ac:dyDescent="0.25">
      <c r="U33" s="1"/>
    </row>
  </sheetData>
  <pageMargins left="0.7" right="0.7" top="0.75" bottom="0.75" header="0.3" footer="0.3"/>
  <pageSetup paperSize="9" orientation="portrait" verticalDpi="0"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B79580-7254-4935-8B63-265B0113ED7C}">
  <sheetPr>
    <tabColor rgb="FF92D050"/>
  </sheetPr>
  <dimension ref="A1:M149"/>
  <sheetViews>
    <sheetView topLeftCell="A7" workbookViewId="0">
      <selection activeCell="F35" sqref="F35"/>
    </sheetView>
  </sheetViews>
  <sheetFormatPr defaultRowHeight="13.2" x14ac:dyDescent="0.25"/>
  <cols>
    <col min="1" max="1" width="15.44140625" bestFit="1" customWidth="1"/>
    <col min="2" max="2" width="96.44140625" customWidth="1"/>
  </cols>
  <sheetData>
    <row r="1" spans="1:13" x14ac:dyDescent="0.25">
      <c r="A1" s="118" t="s">
        <v>71</v>
      </c>
      <c r="B1" s="118"/>
      <c r="C1" s="119" t="s">
        <v>299</v>
      </c>
      <c r="D1" s="119"/>
      <c r="E1" s="119"/>
      <c r="F1" s="119"/>
      <c r="G1" s="119"/>
      <c r="H1" s="119"/>
      <c r="I1" s="119"/>
      <c r="J1" s="119"/>
      <c r="K1" s="119"/>
      <c r="L1" s="119"/>
      <c r="M1" s="119"/>
    </row>
    <row r="2" spans="1:13" x14ac:dyDescent="0.25">
      <c r="A2" s="120" t="s">
        <v>300</v>
      </c>
      <c r="B2" s="120"/>
      <c r="C2" s="119">
        <v>2020</v>
      </c>
      <c r="D2" s="119">
        <v>2025</v>
      </c>
      <c r="E2" s="119">
        <v>2030</v>
      </c>
      <c r="F2" s="119">
        <v>2040</v>
      </c>
      <c r="G2" s="119">
        <v>2050</v>
      </c>
      <c r="H2" s="119">
        <v>2025</v>
      </c>
      <c r="I2" s="119">
        <v>2025</v>
      </c>
      <c r="J2" s="119">
        <v>2050</v>
      </c>
      <c r="K2" s="119">
        <v>2050</v>
      </c>
      <c r="L2" s="119" t="s">
        <v>75</v>
      </c>
      <c r="M2" s="119" t="s">
        <v>76</v>
      </c>
    </row>
    <row r="3" spans="1:13" ht="13.8" thickBot="1" x14ac:dyDescent="0.3">
      <c r="A3" s="121" t="s">
        <v>301</v>
      </c>
      <c r="B3" s="121"/>
      <c r="C3" s="122" t="s">
        <v>302</v>
      </c>
      <c r="D3" s="122" t="s">
        <v>302</v>
      </c>
      <c r="E3" s="122" t="s">
        <v>302</v>
      </c>
      <c r="F3" s="122" t="s">
        <v>302</v>
      </c>
      <c r="G3" s="122" t="s">
        <v>302</v>
      </c>
      <c r="H3" s="122" t="s">
        <v>303</v>
      </c>
      <c r="I3" s="122" t="s">
        <v>304</v>
      </c>
      <c r="J3" s="122" t="s">
        <v>303</v>
      </c>
      <c r="K3" s="122" t="s">
        <v>304</v>
      </c>
      <c r="L3" s="122" t="s">
        <v>116</v>
      </c>
      <c r="M3" s="122" t="s">
        <v>116</v>
      </c>
    </row>
    <row r="4" spans="1:13" x14ac:dyDescent="0.25">
      <c r="A4" s="120" t="s">
        <v>305</v>
      </c>
      <c r="B4" s="120" t="s">
        <v>306</v>
      </c>
      <c r="C4" s="119"/>
      <c r="D4" s="119"/>
      <c r="E4" s="119"/>
      <c r="F4" s="119"/>
      <c r="G4" s="119"/>
      <c r="H4" s="119"/>
      <c r="I4" s="119"/>
      <c r="J4" s="119"/>
      <c r="K4" s="119"/>
      <c r="L4" s="119"/>
      <c r="M4" s="119"/>
    </row>
    <row r="5" spans="1:13" x14ac:dyDescent="0.25">
      <c r="A5" s="123" t="s">
        <v>77</v>
      </c>
      <c r="C5" s="124"/>
      <c r="D5" s="124"/>
      <c r="E5" s="124"/>
      <c r="F5" s="124"/>
      <c r="G5" s="124"/>
      <c r="H5" s="124"/>
      <c r="I5" s="124"/>
      <c r="J5" s="124"/>
      <c r="K5" s="124"/>
      <c r="L5" s="124"/>
      <c r="M5" s="124"/>
    </row>
    <row r="6" spans="1:13" x14ac:dyDescent="0.25">
      <c r="A6" s="123"/>
      <c r="B6" t="s">
        <v>307</v>
      </c>
      <c r="C6" s="124">
        <v>8.4</v>
      </c>
      <c r="D6" s="124">
        <v>15</v>
      </c>
      <c r="E6" s="124">
        <v>20</v>
      </c>
      <c r="F6" s="124">
        <v>25</v>
      </c>
      <c r="G6" s="124">
        <v>30</v>
      </c>
      <c r="H6" s="124">
        <v>12.75</v>
      </c>
      <c r="I6" s="124">
        <v>17.25</v>
      </c>
      <c r="J6" s="124">
        <v>22.5</v>
      </c>
      <c r="K6" s="124">
        <v>37.5</v>
      </c>
      <c r="L6" s="124" t="s">
        <v>93</v>
      </c>
      <c r="M6" s="124" t="s">
        <v>308</v>
      </c>
    </row>
    <row r="7" spans="1:13" x14ac:dyDescent="0.25">
      <c r="A7" s="125"/>
      <c r="B7" s="125" t="s">
        <v>309</v>
      </c>
      <c r="C7" s="126">
        <v>1.9087E-2</v>
      </c>
      <c r="D7" s="126">
        <v>1.7587999999999999E-2</v>
      </c>
      <c r="E7" s="126">
        <v>1.7496000000000001E-2</v>
      </c>
      <c r="F7" s="126">
        <v>1.7316000000000002E-2</v>
      </c>
      <c r="G7" s="126">
        <v>1.7139000000000001E-2</v>
      </c>
      <c r="H7" s="126">
        <v>1.7587999999999999E-2</v>
      </c>
      <c r="I7" s="126">
        <v>1.7587999999999999E-2</v>
      </c>
      <c r="J7" s="126">
        <v>1.7139000000000001E-2</v>
      </c>
      <c r="K7" s="126">
        <v>1.7139000000000001E-2</v>
      </c>
      <c r="L7" s="124" t="s">
        <v>88</v>
      </c>
      <c r="M7" s="124"/>
    </row>
    <row r="8" spans="1:13" x14ac:dyDescent="0.25">
      <c r="A8" s="123"/>
      <c r="B8" t="s">
        <v>310</v>
      </c>
      <c r="C8" s="124">
        <v>0.5</v>
      </c>
      <c r="D8" s="124">
        <v>0.5</v>
      </c>
      <c r="E8" s="124">
        <v>0.5</v>
      </c>
      <c r="F8" s="124">
        <v>0.5</v>
      </c>
      <c r="G8" s="124">
        <v>0.5</v>
      </c>
      <c r="H8" s="124">
        <v>0.5</v>
      </c>
      <c r="I8" s="124">
        <v>0.5</v>
      </c>
      <c r="J8" s="124">
        <v>0.5</v>
      </c>
      <c r="K8" s="124">
        <v>0.5</v>
      </c>
      <c r="L8" s="124" t="s">
        <v>88</v>
      </c>
      <c r="M8" s="124"/>
    </row>
    <row r="9" spans="1:13" x14ac:dyDescent="0.25">
      <c r="A9" s="123"/>
      <c r="B9" t="s">
        <v>311</v>
      </c>
      <c r="C9" s="124">
        <v>27</v>
      </c>
      <c r="D9" s="124">
        <v>30</v>
      </c>
      <c r="E9" s="124">
        <v>30</v>
      </c>
      <c r="F9" s="124">
        <v>30</v>
      </c>
      <c r="G9" s="124">
        <v>30</v>
      </c>
      <c r="H9" s="124">
        <v>25</v>
      </c>
      <c r="I9" s="124">
        <v>35</v>
      </c>
      <c r="J9" s="124">
        <v>25</v>
      </c>
      <c r="K9" s="124">
        <v>35</v>
      </c>
      <c r="L9" s="124" t="s">
        <v>67</v>
      </c>
      <c r="M9" s="124"/>
    </row>
    <row r="10" spans="1:13" x14ac:dyDescent="0.25">
      <c r="A10" s="123"/>
      <c r="B10" t="s">
        <v>312</v>
      </c>
      <c r="C10" s="124">
        <v>2.5</v>
      </c>
      <c r="D10" s="124">
        <v>2.5</v>
      </c>
      <c r="E10" s="124">
        <v>2.5</v>
      </c>
      <c r="F10" s="124">
        <v>2.5</v>
      </c>
      <c r="G10" s="124">
        <v>2</v>
      </c>
      <c r="H10" s="124">
        <v>2</v>
      </c>
      <c r="I10" s="124">
        <v>3</v>
      </c>
      <c r="J10" s="124">
        <v>1.5</v>
      </c>
      <c r="K10" s="124">
        <v>2.5</v>
      </c>
      <c r="L10" s="124" t="s">
        <v>128</v>
      </c>
      <c r="M10" s="124"/>
    </row>
    <row r="11" spans="1:13" x14ac:dyDescent="0.25">
      <c r="A11" s="123"/>
      <c r="B11" t="s">
        <v>313</v>
      </c>
      <c r="C11" s="124">
        <v>165.36</v>
      </c>
      <c r="D11" s="124">
        <v>177.36</v>
      </c>
      <c r="E11" s="124">
        <v>171.96</v>
      </c>
      <c r="F11" s="124">
        <v>169.84</v>
      </c>
      <c r="G11" s="124">
        <v>171.26</v>
      </c>
      <c r="H11" s="124">
        <v>150.76</v>
      </c>
      <c r="I11" s="124">
        <v>203.96</v>
      </c>
      <c r="J11" s="124">
        <v>128.44</v>
      </c>
      <c r="K11" s="124">
        <v>214.07</v>
      </c>
      <c r="L11" s="124" t="s">
        <v>58</v>
      </c>
      <c r="M11" s="124" t="s">
        <v>314</v>
      </c>
    </row>
    <row r="12" spans="1:13" x14ac:dyDescent="0.25">
      <c r="A12" s="123" t="s">
        <v>315</v>
      </c>
      <c r="C12" s="124"/>
      <c r="D12" s="124"/>
      <c r="E12" s="124"/>
      <c r="F12" s="124"/>
      <c r="G12" s="124"/>
      <c r="H12" s="124"/>
      <c r="I12" s="124"/>
      <c r="J12" s="124"/>
      <c r="K12" s="124"/>
      <c r="L12" s="124"/>
      <c r="M12" s="124"/>
    </row>
    <row r="13" spans="1:13" x14ac:dyDescent="0.25">
      <c r="A13" s="125"/>
      <c r="B13" s="125" t="s">
        <v>316</v>
      </c>
      <c r="C13" s="126"/>
      <c r="D13" s="126"/>
      <c r="E13" s="126"/>
      <c r="F13" s="126"/>
      <c r="G13" s="126"/>
      <c r="H13" s="126"/>
      <c r="I13" s="126"/>
      <c r="J13" s="126"/>
      <c r="K13" s="126"/>
      <c r="L13" s="124"/>
      <c r="M13" s="124"/>
    </row>
    <row r="14" spans="1:13" x14ac:dyDescent="0.25">
      <c r="A14" s="125"/>
      <c r="B14" s="125" t="s">
        <v>317</v>
      </c>
      <c r="C14" s="126"/>
      <c r="D14" s="126"/>
      <c r="E14" s="126"/>
      <c r="F14" s="126"/>
      <c r="G14" s="126"/>
      <c r="H14" s="126"/>
      <c r="I14" s="126"/>
      <c r="J14" s="126"/>
      <c r="K14" s="126"/>
      <c r="L14" s="124"/>
      <c r="M14" s="124"/>
    </row>
    <row r="15" spans="1:13" x14ac:dyDescent="0.25">
      <c r="A15" s="125"/>
      <c r="B15" s="125" t="s">
        <v>318</v>
      </c>
      <c r="C15" s="126"/>
      <c r="D15" s="126"/>
      <c r="E15" s="126"/>
      <c r="F15" s="126"/>
      <c r="G15" s="126"/>
      <c r="H15" s="126"/>
      <c r="I15" s="126"/>
      <c r="J15" s="126"/>
      <c r="K15" s="126"/>
      <c r="L15" s="124"/>
      <c r="M15" s="124"/>
    </row>
    <row r="16" spans="1:13" x14ac:dyDescent="0.25">
      <c r="A16" s="123"/>
      <c r="B16" t="s">
        <v>319</v>
      </c>
      <c r="C16" s="124"/>
      <c r="D16" s="124"/>
      <c r="E16" s="124"/>
      <c r="F16" s="124"/>
      <c r="G16" s="124"/>
      <c r="H16" s="124"/>
      <c r="I16" s="124"/>
      <c r="J16" s="124"/>
      <c r="K16" s="124"/>
      <c r="L16" s="124"/>
      <c r="M16" s="124"/>
    </row>
    <row r="17" spans="1:13" x14ac:dyDescent="0.25">
      <c r="A17" s="123"/>
      <c r="B17" t="s">
        <v>320</v>
      </c>
      <c r="C17" s="124"/>
      <c r="D17" s="124"/>
      <c r="E17" s="124"/>
      <c r="F17" s="124"/>
      <c r="G17" s="124"/>
      <c r="H17" s="124"/>
      <c r="I17" s="124"/>
      <c r="J17" s="124"/>
      <c r="K17" s="124"/>
      <c r="L17" s="124"/>
      <c r="M17" s="124"/>
    </row>
    <row r="18" spans="1:13" x14ac:dyDescent="0.25">
      <c r="A18" s="123" t="s">
        <v>321</v>
      </c>
      <c r="C18" s="124"/>
      <c r="D18" s="124"/>
      <c r="E18" s="124"/>
      <c r="F18" s="124"/>
      <c r="G18" s="124"/>
      <c r="H18" s="124"/>
      <c r="I18" s="124"/>
      <c r="J18" s="124"/>
      <c r="K18" s="124"/>
      <c r="L18" s="124"/>
      <c r="M18" s="124"/>
    </row>
    <row r="19" spans="1:13" x14ac:dyDescent="0.25">
      <c r="A19" s="123"/>
      <c r="B19" s="127" t="s">
        <v>322</v>
      </c>
      <c r="C19" s="124">
        <v>2.12</v>
      </c>
      <c r="D19" s="124">
        <v>1.88</v>
      </c>
      <c r="E19" s="124">
        <v>1.8</v>
      </c>
      <c r="F19" s="124">
        <v>1.68</v>
      </c>
      <c r="G19" s="124">
        <v>1.64</v>
      </c>
      <c r="H19" s="124">
        <v>1.88</v>
      </c>
      <c r="I19" s="124">
        <v>1.88</v>
      </c>
      <c r="J19" s="124">
        <v>1.64</v>
      </c>
      <c r="K19" s="124">
        <v>1.64</v>
      </c>
      <c r="L19" s="124" t="s">
        <v>110</v>
      </c>
      <c r="M19" s="124" t="s">
        <v>314</v>
      </c>
    </row>
    <row r="20" spans="1:13" x14ac:dyDescent="0.25">
      <c r="A20" s="123"/>
      <c r="B20" s="127" t="s">
        <v>323</v>
      </c>
      <c r="C20" s="124">
        <v>0.54</v>
      </c>
      <c r="D20" s="124">
        <v>0.4</v>
      </c>
      <c r="E20" s="124">
        <v>0.37</v>
      </c>
      <c r="F20" s="124">
        <v>0.33</v>
      </c>
      <c r="G20" s="124">
        <v>0.32</v>
      </c>
      <c r="H20" s="124">
        <v>0.4</v>
      </c>
      <c r="I20" s="124">
        <v>0.4</v>
      </c>
      <c r="J20" s="124">
        <v>0.32</v>
      </c>
      <c r="K20" s="124">
        <v>0.32</v>
      </c>
      <c r="L20" s="124"/>
      <c r="M20" s="124" t="s">
        <v>314</v>
      </c>
    </row>
    <row r="21" spans="1:13" x14ac:dyDescent="0.25">
      <c r="A21" s="123"/>
      <c r="C21" s="124">
        <v>0.38</v>
      </c>
      <c r="D21" s="124">
        <v>0.31</v>
      </c>
      <c r="E21" s="124">
        <v>0.28000000000000003</v>
      </c>
      <c r="F21" s="124">
        <v>0.25</v>
      </c>
      <c r="G21" s="124">
        <v>0.23</v>
      </c>
      <c r="H21" s="124">
        <v>0.26</v>
      </c>
      <c r="I21" s="124">
        <v>0.36</v>
      </c>
      <c r="J21" s="124">
        <v>0.17</v>
      </c>
      <c r="K21" s="124">
        <v>0.34</v>
      </c>
      <c r="L21" s="124"/>
      <c r="M21" s="124" t="s">
        <v>325</v>
      </c>
    </row>
    <row r="22" spans="1:13" x14ac:dyDescent="0.25">
      <c r="A22" s="123"/>
      <c r="B22" t="s">
        <v>326</v>
      </c>
      <c r="C22" s="124">
        <v>0.03</v>
      </c>
      <c r="D22" s="124">
        <v>0.02</v>
      </c>
      <c r="E22" s="124">
        <v>0.02</v>
      </c>
      <c r="F22" s="124">
        <v>0.01</v>
      </c>
      <c r="G22" s="124">
        <v>0.01</v>
      </c>
      <c r="H22" s="124">
        <v>0.02</v>
      </c>
      <c r="I22" s="124">
        <v>0.02</v>
      </c>
      <c r="J22" s="124">
        <v>0.01</v>
      </c>
      <c r="K22" s="124">
        <v>0.02</v>
      </c>
      <c r="L22" s="124"/>
      <c r="M22" s="124" t="s">
        <v>314</v>
      </c>
    </row>
    <row r="23" spans="1:13" x14ac:dyDescent="0.25">
      <c r="A23" s="123"/>
      <c r="B23" t="s">
        <v>327</v>
      </c>
      <c r="C23" s="124">
        <v>0.21</v>
      </c>
      <c r="D23" s="124">
        <v>0.21</v>
      </c>
      <c r="E23" s="124">
        <v>0.22</v>
      </c>
      <c r="F23" s="124">
        <v>0.22</v>
      </c>
      <c r="G23" s="124">
        <v>0.21</v>
      </c>
      <c r="H23" s="124">
        <v>0.18</v>
      </c>
      <c r="I23" s="124">
        <v>0.25</v>
      </c>
      <c r="J23" s="124">
        <v>0.16</v>
      </c>
      <c r="K23" s="124">
        <v>0.32</v>
      </c>
      <c r="L23" s="124"/>
      <c r="M23" s="124" t="s">
        <v>328</v>
      </c>
    </row>
    <row r="24" spans="1:13" x14ac:dyDescent="0.25">
      <c r="A24" s="123"/>
      <c r="B24" t="s">
        <v>329</v>
      </c>
      <c r="C24" s="124">
        <v>0.25</v>
      </c>
      <c r="D24" s="124">
        <v>0.24</v>
      </c>
      <c r="E24" s="124">
        <v>0.24</v>
      </c>
      <c r="F24" s="124">
        <v>0.25</v>
      </c>
      <c r="G24" s="124">
        <v>0.26</v>
      </c>
      <c r="H24" s="124">
        <v>0.2</v>
      </c>
      <c r="I24" s="124">
        <v>0.28000000000000003</v>
      </c>
      <c r="J24" s="124">
        <v>0.2</v>
      </c>
      <c r="K24" s="124">
        <v>0.4</v>
      </c>
      <c r="L24" s="124"/>
      <c r="M24" s="124" t="s">
        <v>330</v>
      </c>
    </row>
    <row r="25" spans="1:13" x14ac:dyDescent="0.25">
      <c r="A25" s="123"/>
      <c r="B25" t="s">
        <v>331</v>
      </c>
      <c r="C25" s="124">
        <v>0.72</v>
      </c>
      <c r="D25" s="124">
        <v>0.69</v>
      </c>
      <c r="E25" s="124">
        <v>0.67</v>
      </c>
      <c r="F25" s="124">
        <v>0.61</v>
      </c>
      <c r="G25" s="124">
        <v>0.61</v>
      </c>
      <c r="H25" s="124">
        <v>0.59</v>
      </c>
      <c r="I25" s="124">
        <v>0.8</v>
      </c>
      <c r="J25" s="124">
        <v>0.46</v>
      </c>
      <c r="K25" s="124">
        <v>0.91</v>
      </c>
      <c r="L25" s="124"/>
      <c r="M25" s="124" t="s">
        <v>314</v>
      </c>
    </row>
    <row r="26" spans="1:13" x14ac:dyDescent="0.25">
      <c r="A26" s="123"/>
      <c r="B26" t="s">
        <v>332</v>
      </c>
      <c r="C26" s="124">
        <v>5</v>
      </c>
      <c r="D26" s="124">
        <v>4.17</v>
      </c>
      <c r="E26" s="124">
        <v>3.89</v>
      </c>
      <c r="F26" s="124">
        <v>3.42</v>
      </c>
      <c r="G26" s="124">
        <v>3.25</v>
      </c>
      <c r="H26" s="124">
        <v>3.55</v>
      </c>
      <c r="I26" s="124">
        <v>4.8</v>
      </c>
      <c r="J26" s="124">
        <v>2.44</v>
      </c>
      <c r="K26" s="124">
        <v>4.88</v>
      </c>
      <c r="L26" s="124" t="s">
        <v>121</v>
      </c>
      <c r="M26" s="124" t="s">
        <v>314</v>
      </c>
    </row>
    <row r="27" spans="1:13" x14ac:dyDescent="0.25">
      <c r="A27" s="123"/>
      <c r="B27" t="s">
        <v>333</v>
      </c>
      <c r="C27" s="124">
        <v>50000</v>
      </c>
      <c r="D27" s="124">
        <v>42000</v>
      </c>
      <c r="E27" s="124">
        <v>39000</v>
      </c>
      <c r="F27" s="124">
        <v>34000</v>
      </c>
      <c r="G27" s="124">
        <v>33000</v>
      </c>
      <c r="H27" s="124">
        <v>35700</v>
      </c>
      <c r="I27" s="124">
        <v>48300</v>
      </c>
      <c r="J27" s="124">
        <v>24750</v>
      </c>
      <c r="K27" s="124">
        <v>49500</v>
      </c>
      <c r="L27" s="124" t="s">
        <v>121</v>
      </c>
      <c r="M27" s="124" t="s">
        <v>314</v>
      </c>
    </row>
    <row r="28" spans="1:13" x14ac:dyDescent="0.25">
      <c r="A28" s="123" t="s">
        <v>334</v>
      </c>
      <c r="C28" s="124"/>
      <c r="D28" s="124"/>
      <c r="E28" s="124"/>
      <c r="F28" s="124"/>
      <c r="G28" s="124"/>
      <c r="H28" s="124"/>
      <c r="I28" s="124"/>
      <c r="J28" s="124"/>
      <c r="K28" s="124"/>
      <c r="L28" s="124"/>
      <c r="M28" s="124"/>
    </row>
    <row r="29" spans="1:13" x14ac:dyDescent="0.25">
      <c r="A29" s="123"/>
      <c r="B29" t="s">
        <v>335</v>
      </c>
      <c r="C29" s="124">
        <v>103.5</v>
      </c>
      <c r="D29" s="124">
        <v>138</v>
      </c>
      <c r="E29" s="124">
        <v>155</v>
      </c>
      <c r="F29" s="124">
        <v>170</v>
      </c>
      <c r="G29" s="124">
        <v>185</v>
      </c>
      <c r="H29" s="124">
        <v>124.2</v>
      </c>
      <c r="I29" s="124">
        <v>151.80000000000001</v>
      </c>
      <c r="J29" s="124">
        <v>157.25</v>
      </c>
      <c r="K29" s="124">
        <v>212.75</v>
      </c>
      <c r="L29" s="124"/>
      <c r="M29" s="124" t="s">
        <v>336</v>
      </c>
    </row>
    <row r="30" spans="1:13" x14ac:dyDescent="0.25">
      <c r="A30" s="123"/>
      <c r="B30" t="s">
        <v>337</v>
      </c>
      <c r="C30" s="124">
        <v>167</v>
      </c>
      <c r="D30" s="124">
        <v>236</v>
      </c>
      <c r="E30" s="124">
        <v>270</v>
      </c>
      <c r="F30" s="124">
        <v>300</v>
      </c>
      <c r="G30" s="124">
        <v>330</v>
      </c>
      <c r="H30" s="124">
        <v>212.4</v>
      </c>
      <c r="I30" s="124">
        <v>259.60000000000002</v>
      </c>
      <c r="J30" s="124">
        <v>280.5</v>
      </c>
      <c r="K30" s="124">
        <v>379.5</v>
      </c>
      <c r="L30" s="124"/>
      <c r="M30" s="124" t="s">
        <v>336</v>
      </c>
    </row>
    <row r="31" spans="1:13" x14ac:dyDescent="0.25">
      <c r="A31" s="123"/>
      <c r="B31" t="s">
        <v>338</v>
      </c>
      <c r="C31" s="124">
        <v>383.49</v>
      </c>
      <c r="D31" s="124">
        <v>342.91</v>
      </c>
      <c r="E31" s="124">
        <v>349.31</v>
      </c>
      <c r="F31" s="124">
        <v>353.68</v>
      </c>
      <c r="G31" s="124">
        <v>350.75</v>
      </c>
      <c r="H31" s="124">
        <v>359.84</v>
      </c>
      <c r="I31" s="124">
        <v>325.89999999999998</v>
      </c>
      <c r="J31" s="124">
        <v>364.11</v>
      </c>
      <c r="K31" s="124">
        <v>331.53</v>
      </c>
      <c r="L31" s="124" t="s">
        <v>135</v>
      </c>
      <c r="M31" s="124" t="s">
        <v>336</v>
      </c>
    </row>
    <row r="32" spans="1:13" x14ac:dyDescent="0.25">
      <c r="A32" s="123"/>
      <c r="B32" t="s">
        <v>339</v>
      </c>
      <c r="C32" s="124">
        <v>6.05</v>
      </c>
      <c r="D32" s="124">
        <v>5.64</v>
      </c>
      <c r="E32" s="124">
        <v>5.82</v>
      </c>
      <c r="F32" s="124">
        <v>5.89</v>
      </c>
      <c r="G32" s="124">
        <v>5.84</v>
      </c>
      <c r="H32" s="124">
        <v>6.63</v>
      </c>
      <c r="I32" s="124">
        <v>4.9000000000000004</v>
      </c>
      <c r="J32" s="124">
        <v>7.79</v>
      </c>
      <c r="K32" s="124">
        <v>4.67</v>
      </c>
      <c r="L32" s="124" t="s">
        <v>58</v>
      </c>
      <c r="M32" s="124" t="s">
        <v>314</v>
      </c>
    </row>
    <row r="33" spans="1:13" x14ac:dyDescent="0.25">
      <c r="A33" s="123"/>
      <c r="B33" t="s">
        <v>340</v>
      </c>
      <c r="C33" s="124">
        <v>4400</v>
      </c>
      <c r="D33" s="124">
        <v>4775</v>
      </c>
      <c r="E33" s="124">
        <v>4800</v>
      </c>
      <c r="F33" s="124">
        <v>4850</v>
      </c>
      <c r="G33" s="124">
        <v>4900</v>
      </c>
      <c r="H33" s="124">
        <v>4300</v>
      </c>
      <c r="I33" s="124">
        <v>5250</v>
      </c>
      <c r="J33" s="124">
        <v>4050</v>
      </c>
      <c r="K33" s="124">
        <v>5500</v>
      </c>
      <c r="L33" s="124" t="s">
        <v>137</v>
      </c>
      <c r="M33" s="124" t="s">
        <v>314</v>
      </c>
    </row>
    <row r="34" spans="1:13" x14ac:dyDescent="0.25">
      <c r="A34" s="123"/>
    </row>
    <row r="35" spans="1:13" x14ac:dyDescent="0.25">
      <c r="A35" s="123"/>
      <c r="F35" s="331"/>
    </row>
    <row r="36" spans="1:13" x14ac:dyDescent="0.25">
      <c r="A36" s="123" t="s">
        <v>124</v>
      </c>
    </row>
    <row r="37" spans="1:13" x14ac:dyDescent="0.25">
      <c r="A37" s="123"/>
      <c r="B37" t="s">
        <v>341</v>
      </c>
    </row>
    <row r="38" spans="1:13" x14ac:dyDescent="0.25">
      <c r="A38" s="123"/>
      <c r="B38" t="s">
        <v>342</v>
      </c>
    </row>
    <row r="39" spans="1:13" x14ac:dyDescent="0.25">
      <c r="A39" s="123"/>
      <c r="B39" t="s">
        <v>343</v>
      </c>
    </row>
    <row r="40" spans="1:13" x14ac:dyDescent="0.25">
      <c r="A40" s="123"/>
      <c r="B40" t="s">
        <v>344</v>
      </c>
    </row>
    <row r="41" spans="1:13" x14ac:dyDescent="0.25">
      <c r="A41" s="123"/>
      <c r="B41" t="s">
        <v>345</v>
      </c>
    </row>
    <row r="42" spans="1:13" x14ac:dyDescent="0.25">
      <c r="A42" s="123"/>
      <c r="B42" t="s">
        <v>346</v>
      </c>
    </row>
    <row r="43" spans="1:13" x14ac:dyDescent="0.25">
      <c r="A43" s="123"/>
      <c r="B43" t="s">
        <v>347</v>
      </c>
    </row>
    <row r="44" spans="1:13" x14ac:dyDescent="0.25">
      <c r="A44" s="123"/>
      <c r="B44" t="s">
        <v>348</v>
      </c>
    </row>
    <row r="45" spans="1:13" x14ac:dyDescent="0.25">
      <c r="A45" s="123"/>
      <c r="B45" t="s">
        <v>349</v>
      </c>
    </row>
    <row r="46" spans="1:13" x14ac:dyDescent="0.25">
      <c r="A46" s="123"/>
      <c r="B46" t="s">
        <v>350</v>
      </c>
    </row>
    <row r="47" spans="1:13" x14ac:dyDescent="0.25">
      <c r="A47" s="123"/>
      <c r="B47" t="s">
        <v>351</v>
      </c>
    </row>
    <row r="48" spans="1:13" x14ac:dyDescent="0.25">
      <c r="A48" s="123"/>
      <c r="B48" t="s">
        <v>352</v>
      </c>
    </row>
    <row r="49" spans="1:2" x14ac:dyDescent="0.25">
      <c r="A49" s="123"/>
      <c r="B49" t="s">
        <v>353</v>
      </c>
    </row>
    <row r="50" spans="1:2" x14ac:dyDescent="0.25">
      <c r="A50" s="123"/>
    </row>
    <row r="51" spans="1:2" x14ac:dyDescent="0.25">
      <c r="A51" s="123" t="s">
        <v>146</v>
      </c>
    </row>
    <row r="52" spans="1:2" x14ac:dyDescent="0.25">
      <c r="A52" s="123"/>
      <c r="B52" t="s">
        <v>354</v>
      </c>
    </row>
    <row r="53" spans="1:2" x14ac:dyDescent="0.25">
      <c r="A53" s="123"/>
      <c r="B53" t="s">
        <v>355</v>
      </c>
    </row>
    <row r="54" spans="1:2" x14ac:dyDescent="0.25">
      <c r="A54" s="123"/>
      <c r="B54" t="s">
        <v>356</v>
      </c>
    </row>
    <row r="55" spans="1:2" x14ac:dyDescent="0.25">
      <c r="A55" s="123"/>
      <c r="B55" t="s">
        <v>357</v>
      </c>
    </row>
    <row r="56" spans="1:2" x14ac:dyDescent="0.25">
      <c r="A56" s="123"/>
      <c r="B56" t="s">
        <v>358</v>
      </c>
    </row>
    <row r="57" spans="1:2" x14ac:dyDescent="0.25">
      <c r="A57" s="123"/>
      <c r="B57" t="s">
        <v>359</v>
      </c>
    </row>
    <row r="58" spans="1:2" x14ac:dyDescent="0.25">
      <c r="A58" s="123"/>
    </row>
    <row r="59" spans="1:2" x14ac:dyDescent="0.25">
      <c r="A59" s="123"/>
    </row>
    <row r="60" spans="1:2" x14ac:dyDescent="0.25">
      <c r="A60" s="123"/>
    </row>
    <row r="61" spans="1:2" x14ac:dyDescent="0.25">
      <c r="A61" s="123"/>
    </row>
    <row r="62" spans="1:2" x14ac:dyDescent="0.25">
      <c r="A62" s="123"/>
    </row>
    <row r="63" spans="1:2" x14ac:dyDescent="0.25">
      <c r="A63" s="123"/>
    </row>
    <row r="64" spans="1:2" x14ac:dyDescent="0.25">
      <c r="A64" s="123"/>
    </row>
    <row r="65" spans="1:1" x14ac:dyDescent="0.25">
      <c r="A65" s="123"/>
    </row>
    <row r="66" spans="1:1" x14ac:dyDescent="0.25">
      <c r="A66" s="123"/>
    </row>
    <row r="67" spans="1:1" x14ac:dyDescent="0.25">
      <c r="A67" s="123"/>
    </row>
    <row r="68" spans="1:1" x14ac:dyDescent="0.25">
      <c r="A68" s="123"/>
    </row>
    <row r="69" spans="1:1" x14ac:dyDescent="0.25">
      <c r="A69" s="123"/>
    </row>
    <row r="70" spans="1:1" x14ac:dyDescent="0.25">
      <c r="A70" s="123"/>
    </row>
    <row r="71" spans="1:1" x14ac:dyDescent="0.25">
      <c r="A71" s="123"/>
    </row>
    <row r="72" spans="1:1" x14ac:dyDescent="0.25">
      <c r="A72" s="123"/>
    </row>
    <row r="73" spans="1:1" x14ac:dyDescent="0.25">
      <c r="A73" s="123"/>
    </row>
    <row r="74" spans="1:1" x14ac:dyDescent="0.25">
      <c r="A74" s="123"/>
    </row>
    <row r="75" spans="1:1" x14ac:dyDescent="0.25">
      <c r="A75" s="123"/>
    </row>
    <row r="76" spans="1:1" x14ac:dyDescent="0.25">
      <c r="A76" s="123"/>
    </row>
    <row r="77" spans="1:1" x14ac:dyDescent="0.25">
      <c r="A77" s="123"/>
    </row>
    <row r="78" spans="1:1" x14ac:dyDescent="0.25">
      <c r="A78" s="123"/>
    </row>
    <row r="79" spans="1:1" x14ac:dyDescent="0.25">
      <c r="A79" s="123"/>
    </row>
    <row r="80" spans="1:1" x14ac:dyDescent="0.25">
      <c r="A80" s="123"/>
    </row>
    <row r="81" spans="1:1" x14ac:dyDescent="0.25">
      <c r="A81" s="123"/>
    </row>
    <row r="82" spans="1:1" x14ac:dyDescent="0.25">
      <c r="A82" s="123"/>
    </row>
    <row r="83" spans="1:1" x14ac:dyDescent="0.25">
      <c r="A83" s="123"/>
    </row>
    <row r="84" spans="1:1" x14ac:dyDescent="0.25">
      <c r="A84" s="123"/>
    </row>
    <row r="85" spans="1:1" x14ac:dyDescent="0.25">
      <c r="A85" s="123"/>
    </row>
    <row r="86" spans="1:1" x14ac:dyDescent="0.25">
      <c r="A86" s="123"/>
    </row>
    <row r="87" spans="1:1" x14ac:dyDescent="0.25">
      <c r="A87" s="123"/>
    </row>
    <row r="88" spans="1:1" x14ac:dyDescent="0.25">
      <c r="A88" s="123"/>
    </row>
    <row r="89" spans="1:1" x14ac:dyDescent="0.25">
      <c r="A89" s="123"/>
    </row>
    <row r="90" spans="1:1" x14ac:dyDescent="0.25">
      <c r="A90" s="123"/>
    </row>
    <row r="91" spans="1:1" x14ac:dyDescent="0.25">
      <c r="A91" s="123"/>
    </row>
    <row r="92" spans="1:1" x14ac:dyDescent="0.25">
      <c r="A92" s="123"/>
    </row>
    <row r="93" spans="1:1" x14ac:dyDescent="0.25">
      <c r="A93" s="123"/>
    </row>
    <row r="94" spans="1:1" x14ac:dyDescent="0.25">
      <c r="A94" s="123"/>
    </row>
    <row r="95" spans="1:1" x14ac:dyDescent="0.25">
      <c r="A95" s="123"/>
    </row>
    <row r="96" spans="1:1" x14ac:dyDescent="0.25">
      <c r="A96" s="123"/>
    </row>
    <row r="97" spans="1:1" x14ac:dyDescent="0.25">
      <c r="A97" s="123"/>
    </row>
    <row r="98" spans="1:1" x14ac:dyDescent="0.25">
      <c r="A98" s="123"/>
    </row>
    <row r="99" spans="1:1" x14ac:dyDescent="0.25">
      <c r="A99" s="123"/>
    </row>
    <row r="100" spans="1:1" x14ac:dyDescent="0.25">
      <c r="A100" s="123"/>
    </row>
    <row r="101" spans="1:1" x14ac:dyDescent="0.25">
      <c r="A101" s="123"/>
    </row>
    <row r="102" spans="1:1" x14ac:dyDescent="0.25">
      <c r="A102" s="123"/>
    </row>
    <row r="103" spans="1:1" x14ac:dyDescent="0.25">
      <c r="A103" s="123"/>
    </row>
    <row r="104" spans="1:1" x14ac:dyDescent="0.25">
      <c r="A104" s="123"/>
    </row>
    <row r="105" spans="1:1" x14ac:dyDescent="0.25">
      <c r="A105" s="123"/>
    </row>
    <row r="106" spans="1:1" x14ac:dyDescent="0.25">
      <c r="A106" s="123"/>
    </row>
    <row r="107" spans="1:1" x14ac:dyDescent="0.25">
      <c r="A107" s="123"/>
    </row>
    <row r="108" spans="1:1" x14ac:dyDescent="0.25">
      <c r="A108" s="123"/>
    </row>
    <row r="109" spans="1:1" x14ac:dyDescent="0.25">
      <c r="A109" s="123"/>
    </row>
    <row r="110" spans="1:1" x14ac:dyDescent="0.25">
      <c r="A110" s="123"/>
    </row>
    <row r="111" spans="1:1" x14ac:dyDescent="0.25">
      <c r="A111" s="123"/>
    </row>
    <row r="112" spans="1:1" x14ac:dyDescent="0.25">
      <c r="A112" s="123"/>
    </row>
    <row r="113" spans="1:1" x14ac:dyDescent="0.25">
      <c r="A113" s="123"/>
    </row>
    <row r="114" spans="1:1" x14ac:dyDescent="0.25">
      <c r="A114" s="123"/>
    </row>
    <row r="115" spans="1:1" x14ac:dyDescent="0.25">
      <c r="A115" s="123"/>
    </row>
    <row r="116" spans="1:1" x14ac:dyDescent="0.25">
      <c r="A116" s="123"/>
    </row>
    <row r="117" spans="1:1" x14ac:dyDescent="0.25">
      <c r="A117" s="123"/>
    </row>
    <row r="118" spans="1:1" x14ac:dyDescent="0.25">
      <c r="A118" s="123"/>
    </row>
    <row r="119" spans="1:1" x14ac:dyDescent="0.25">
      <c r="A119" s="123"/>
    </row>
    <row r="120" spans="1:1" x14ac:dyDescent="0.25">
      <c r="A120" s="123"/>
    </row>
    <row r="121" spans="1:1" x14ac:dyDescent="0.25">
      <c r="A121" s="123"/>
    </row>
    <row r="122" spans="1:1" x14ac:dyDescent="0.25">
      <c r="A122" s="123"/>
    </row>
    <row r="123" spans="1:1" x14ac:dyDescent="0.25">
      <c r="A123" s="123"/>
    </row>
    <row r="124" spans="1:1" x14ac:dyDescent="0.25">
      <c r="A124" s="123"/>
    </row>
    <row r="125" spans="1:1" x14ac:dyDescent="0.25">
      <c r="A125" s="123"/>
    </row>
    <row r="126" spans="1:1" x14ac:dyDescent="0.25">
      <c r="A126" s="123"/>
    </row>
    <row r="127" spans="1:1" x14ac:dyDescent="0.25">
      <c r="A127" s="123"/>
    </row>
    <row r="128" spans="1:1" x14ac:dyDescent="0.25">
      <c r="A128" s="123"/>
    </row>
    <row r="129" spans="1:1" x14ac:dyDescent="0.25">
      <c r="A129" s="123"/>
    </row>
    <row r="130" spans="1:1" x14ac:dyDescent="0.25">
      <c r="A130" s="123"/>
    </row>
    <row r="131" spans="1:1" x14ac:dyDescent="0.25">
      <c r="A131" s="123"/>
    </row>
    <row r="132" spans="1:1" x14ac:dyDescent="0.25">
      <c r="A132" s="123"/>
    </row>
    <row r="133" spans="1:1" x14ac:dyDescent="0.25">
      <c r="A133" s="123"/>
    </row>
    <row r="134" spans="1:1" x14ac:dyDescent="0.25">
      <c r="A134" s="123"/>
    </row>
    <row r="135" spans="1:1" x14ac:dyDescent="0.25">
      <c r="A135" s="123"/>
    </row>
    <row r="136" spans="1:1" x14ac:dyDescent="0.25">
      <c r="A136" s="123"/>
    </row>
    <row r="137" spans="1:1" x14ac:dyDescent="0.25">
      <c r="A137" s="123"/>
    </row>
    <row r="138" spans="1:1" x14ac:dyDescent="0.25">
      <c r="A138" s="123"/>
    </row>
    <row r="139" spans="1:1" x14ac:dyDescent="0.25">
      <c r="A139" s="123"/>
    </row>
    <row r="140" spans="1:1" x14ac:dyDescent="0.25">
      <c r="A140" s="123"/>
    </row>
    <row r="141" spans="1:1" x14ac:dyDescent="0.25">
      <c r="A141" s="123"/>
    </row>
    <row r="142" spans="1:1" x14ac:dyDescent="0.25">
      <c r="A142" s="123"/>
    </row>
    <row r="143" spans="1:1" x14ac:dyDescent="0.25">
      <c r="A143" s="123"/>
    </row>
    <row r="144" spans="1:1" x14ac:dyDescent="0.25">
      <c r="A144" s="123"/>
    </row>
    <row r="145" spans="1:1" x14ac:dyDescent="0.25">
      <c r="A145" s="123"/>
    </row>
    <row r="146" spans="1:1" x14ac:dyDescent="0.25">
      <c r="A146" s="123"/>
    </row>
    <row r="147" spans="1:1" x14ac:dyDescent="0.25">
      <c r="A147" s="123"/>
    </row>
    <row r="148" spans="1:1" x14ac:dyDescent="0.25">
      <c r="A148" s="123"/>
    </row>
    <row r="149" spans="1:1" x14ac:dyDescent="0.25">
      <c r="A149" s="123"/>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490C48-5982-42E9-8462-20200856C031}">
  <sheetPr>
    <tabColor rgb="FF92D050"/>
  </sheetPr>
  <dimension ref="A1:O118"/>
  <sheetViews>
    <sheetView topLeftCell="A22" workbookViewId="0">
      <selection activeCell="O34" sqref="O34:O35"/>
    </sheetView>
  </sheetViews>
  <sheetFormatPr defaultRowHeight="13.2" x14ac:dyDescent="0.25"/>
  <cols>
    <col min="1" max="1" width="24.44140625" customWidth="1"/>
    <col min="2" max="2" width="44.33203125" customWidth="1"/>
  </cols>
  <sheetData>
    <row r="1" spans="1:12" x14ac:dyDescent="0.25">
      <c r="A1" s="118" t="s">
        <v>71</v>
      </c>
      <c r="B1" s="118"/>
      <c r="C1" s="119" t="s">
        <v>360</v>
      </c>
      <c r="D1" s="119"/>
      <c r="E1" s="119"/>
      <c r="F1" s="119"/>
      <c r="G1" s="119"/>
      <c r="H1" s="119"/>
      <c r="I1" s="119"/>
      <c r="J1" s="119"/>
      <c r="K1" s="119"/>
      <c r="L1" s="119"/>
    </row>
    <row r="2" spans="1:12" x14ac:dyDescent="0.25">
      <c r="A2" s="120" t="s">
        <v>300</v>
      </c>
      <c r="B2" s="120"/>
      <c r="C2" s="119">
        <v>2020</v>
      </c>
      <c r="D2" s="119">
        <v>2025</v>
      </c>
      <c r="E2" s="119">
        <v>2030</v>
      </c>
      <c r="F2" s="119">
        <v>2040</v>
      </c>
      <c r="G2" s="119">
        <v>2050</v>
      </c>
      <c r="H2" s="119">
        <v>2025</v>
      </c>
      <c r="I2" s="119">
        <v>2025</v>
      </c>
      <c r="J2" s="119">
        <v>2050</v>
      </c>
      <c r="K2" s="119">
        <v>2050</v>
      </c>
      <c r="L2" s="119" t="s">
        <v>75</v>
      </c>
    </row>
    <row r="3" spans="1:12" ht="13.8" thickBot="1" x14ac:dyDescent="0.3">
      <c r="A3" s="121" t="s">
        <v>301</v>
      </c>
      <c r="B3" s="121"/>
      <c r="C3" s="122" t="s">
        <v>302</v>
      </c>
      <c r="D3" s="122" t="s">
        <v>302</v>
      </c>
      <c r="E3" s="122" t="s">
        <v>302</v>
      </c>
      <c r="F3" s="122" t="s">
        <v>302</v>
      </c>
      <c r="G3" s="122" t="s">
        <v>302</v>
      </c>
      <c r="H3" s="122" t="s">
        <v>303</v>
      </c>
      <c r="I3" s="122" t="s">
        <v>304</v>
      </c>
      <c r="J3" s="122" t="s">
        <v>303</v>
      </c>
      <c r="K3" s="122" t="s">
        <v>304</v>
      </c>
      <c r="L3" s="122" t="s">
        <v>116</v>
      </c>
    </row>
    <row r="4" spans="1:12" x14ac:dyDescent="0.25">
      <c r="A4" s="120" t="s">
        <v>305</v>
      </c>
      <c r="B4" s="120" t="s">
        <v>306</v>
      </c>
      <c r="C4" s="119"/>
      <c r="D4" s="119"/>
      <c r="E4" s="119"/>
      <c r="F4" s="119"/>
      <c r="G4" s="119"/>
      <c r="H4" s="119"/>
      <c r="I4" s="119"/>
      <c r="J4" s="119"/>
      <c r="K4" s="119"/>
      <c r="L4" s="119"/>
    </row>
    <row r="5" spans="1:12" x14ac:dyDescent="0.25">
      <c r="A5" s="123" t="s">
        <v>77</v>
      </c>
      <c r="C5" s="124"/>
      <c r="D5" s="124"/>
      <c r="E5" s="124"/>
      <c r="F5" s="124"/>
      <c r="G5" s="124"/>
      <c r="H5" s="124"/>
      <c r="I5" s="124"/>
      <c r="J5" s="124"/>
      <c r="K5" s="124"/>
      <c r="L5" s="124"/>
    </row>
    <row r="6" spans="1:12" x14ac:dyDescent="0.25">
      <c r="A6" s="123"/>
      <c r="B6" t="s">
        <v>307</v>
      </c>
      <c r="C6" s="124">
        <v>8.4</v>
      </c>
      <c r="D6" s="124">
        <v>10</v>
      </c>
      <c r="E6" s="124">
        <v>15</v>
      </c>
      <c r="F6" s="124">
        <v>15</v>
      </c>
      <c r="G6" s="124">
        <v>15</v>
      </c>
      <c r="H6" s="124">
        <v>8.5</v>
      </c>
      <c r="I6" s="124">
        <v>11.5</v>
      </c>
      <c r="J6" s="124">
        <v>11.25</v>
      </c>
      <c r="K6" s="124">
        <v>18.75</v>
      </c>
      <c r="L6" s="124" t="s">
        <v>93</v>
      </c>
    </row>
    <row r="7" spans="1:12" x14ac:dyDescent="0.25">
      <c r="A7" s="125"/>
      <c r="B7" s="125" t="s">
        <v>309</v>
      </c>
      <c r="C7" s="126">
        <v>2.0483000000000001E-2</v>
      </c>
      <c r="D7" s="126">
        <v>1.9417E-2</v>
      </c>
      <c r="E7" s="126">
        <v>1.8872E-2</v>
      </c>
      <c r="F7" s="126">
        <v>1.8872E-2</v>
      </c>
      <c r="G7" s="126">
        <v>1.8872E-2</v>
      </c>
      <c r="H7" s="126">
        <v>1.9417E-2</v>
      </c>
      <c r="I7" s="126">
        <v>1.9417E-2</v>
      </c>
      <c r="J7" s="126">
        <v>1.8872E-2</v>
      </c>
      <c r="K7" s="126">
        <v>1.8872E-2</v>
      </c>
      <c r="L7" s="124" t="s">
        <v>88</v>
      </c>
    </row>
    <row r="8" spans="1:12" x14ac:dyDescent="0.25">
      <c r="A8" s="123"/>
      <c r="B8" t="s">
        <v>310</v>
      </c>
      <c r="C8" s="124">
        <v>0.5</v>
      </c>
      <c r="D8" s="124">
        <v>0.5</v>
      </c>
      <c r="E8" s="124">
        <v>0.5</v>
      </c>
      <c r="F8" s="124">
        <v>0.5</v>
      </c>
      <c r="G8" s="124">
        <v>0.5</v>
      </c>
      <c r="H8" s="124">
        <v>0.5</v>
      </c>
      <c r="I8" s="124">
        <v>0.5</v>
      </c>
      <c r="J8" s="124">
        <v>0.5</v>
      </c>
      <c r="K8" s="124">
        <v>0.5</v>
      </c>
      <c r="L8" s="124" t="s">
        <v>88</v>
      </c>
    </row>
    <row r="9" spans="1:12" x14ac:dyDescent="0.25">
      <c r="A9" s="123"/>
      <c r="B9" t="s">
        <v>311</v>
      </c>
      <c r="C9" s="124">
        <v>27</v>
      </c>
      <c r="D9" s="124">
        <v>30</v>
      </c>
      <c r="E9" s="124">
        <v>30</v>
      </c>
      <c r="F9" s="124">
        <v>30</v>
      </c>
      <c r="G9" s="124">
        <v>30</v>
      </c>
      <c r="H9" s="124">
        <v>25</v>
      </c>
      <c r="I9" s="124">
        <v>35</v>
      </c>
      <c r="J9" s="124">
        <v>25</v>
      </c>
      <c r="K9" s="124">
        <v>35</v>
      </c>
      <c r="L9" s="124" t="s">
        <v>67</v>
      </c>
    </row>
    <row r="10" spans="1:12" x14ac:dyDescent="0.25">
      <c r="A10" s="123"/>
      <c r="B10" t="s">
        <v>312</v>
      </c>
      <c r="C10" s="124">
        <v>2.5</v>
      </c>
      <c r="D10" s="124">
        <v>2.5</v>
      </c>
      <c r="E10" s="124">
        <v>2.5</v>
      </c>
      <c r="F10" s="124">
        <v>2.5</v>
      </c>
      <c r="G10" s="124">
        <v>2</v>
      </c>
      <c r="H10" s="124">
        <v>2</v>
      </c>
      <c r="I10" s="124">
        <v>3</v>
      </c>
      <c r="J10" s="124">
        <v>1.5</v>
      </c>
      <c r="K10" s="124">
        <v>2.5</v>
      </c>
      <c r="L10" s="124" t="s">
        <v>128</v>
      </c>
    </row>
    <row r="11" spans="1:12" x14ac:dyDescent="0.25">
      <c r="A11" s="123"/>
      <c r="B11" t="s">
        <v>313</v>
      </c>
      <c r="C11" s="124">
        <v>32.020000000000003</v>
      </c>
      <c r="D11" s="124">
        <v>35.18</v>
      </c>
      <c r="E11" s="124">
        <v>35.81</v>
      </c>
      <c r="F11" s="124">
        <v>35.81</v>
      </c>
      <c r="G11" s="124">
        <v>35.81</v>
      </c>
      <c r="H11" s="124">
        <v>29.91</v>
      </c>
      <c r="I11" s="124">
        <v>40.46</v>
      </c>
      <c r="J11" s="124">
        <v>26.86</v>
      </c>
      <c r="K11" s="124">
        <v>44.76</v>
      </c>
      <c r="L11" s="124" t="s">
        <v>58</v>
      </c>
    </row>
    <row r="12" spans="1:12" x14ac:dyDescent="0.25">
      <c r="A12" s="123" t="s">
        <v>315</v>
      </c>
      <c r="C12" s="124"/>
      <c r="D12" s="124"/>
      <c r="E12" s="124"/>
      <c r="F12" s="124"/>
      <c r="G12" s="124"/>
      <c r="H12" s="124"/>
      <c r="I12" s="124"/>
      <c r="J12" s="124"/>
      <c r="K12" s="124"/>
      <c r="L12" s="124"/>
    </row>
    <row r="13" spans="1:12" x14ac:dyDescent="0.25">
      <c r="A13" s="125"/>
      <c r="B13" s="125" t="s">
        <v>316</v>
      </c>
      <c r="C13" s="126"/>
      <c r="D13" s="126"/>
      <c r="E13" s="126"/>
      <c r="F13" s="126"/>
      <c r="G13" s="126"/>
      <c r="H13" s="126"/>
      <c r="I13" s="126"/>
      <c r="J13" s="126"/>
      <c r="K13" s="126"/>
      <c r="L13" s="124"/>
    </row>
    <row r="14" spans="1:12" x14ac:dyDescent="0.25">
      <c r="A14" s="125"/>
      <c r="B14" s="125" t="s">
        <v>317</v>
      </c>
      <c r="C14" s="126"/>
      <c r="D14" s="126"/>
      <c r="E14" s="126"/>
      <c r="F14" s="126"/>
      <c r="G14" s="126"/>
      <c r="H14" s="126"/>
      <c r="I14" s="126"/>
      <c r="J14" s="126"/>
      <c r="K14" s="126"/>
      <c r="L14" s="124"/>
    </row>
    <row r="15" spans="1:12" x14ac:dyDescent="0.25">
      <c r="A15" s="125"/>
      <c r="B15" s="125" t="s">
        <v>318</v>
      </c>
      <c r="C15" s="126"/>
      <c r="D15" s="126"/>
      <c r="E15" s="126"/>
      <c r="F15" s="126"/>
      <c r="G15" s="126"/>
      <c r="H15" s="126"/>
      <c r="I15" s="126"/>
      <c r="J15" s="126"/>
      <c r="K15" s="126"/>
      <c r="L15" s="124"/>
    </row>
    <row r="16" spans="1:12" x14ac:dyDescent="0.25">
      <c r="A16" s="123"/>
      <c r="B16" t="s">
        <v>319</v>
      </c>
      <c r="C16" s="124"/>
      <c r="D16" s="124"/>
      <c r="E16" s="124"/>
      <c r="F16" s="124"/>
      <c r="G16" s="124"/>
      <c r="H16" s="124"/>
      <c r="I16" s="124"/>
      <c r="J16" s="124"/>
      <c r="K16" s="124"/>
      <c r="L16" s="124"/>
    </row>
    <row r="17" spans="1:12" x14ac:dyDescent="0.25">
      <c r="A17" s="123"/>
      <c r="B17" t="s">
        <v>320</v>
      </c>
      <c r="C17" s="124"/>
      <c r="D17" s="124"/>
      <c r="E17" s="124"/>
      <c r="F17" s="124"/>
      <c r="G17" s="124"/>
      <c r="H17" s="124"/>
      <c r="I17" s="124"/>
      <c r="J17" s="124"/>
      <c r="K17" s="124"/>
      <c r="L17" s="124"/>
    </row>
    <row r="18" spans="1:12" x14ac:dyDescent="0.25">
      <c r="A18" s="123" t="s">
        <v>321</v>
      </c>
      <c r="C18" s="124"/>
      <c r="D18" s="124"/>
      <c r="E18" s="124"/>
      <c r="F18" s="124"/>
      <c r="G18" s="124"/>
      <c r="H18" s="124"/>
      <c r="I18" s="124"/>
      <c r="J18" s="124"/>
      <c r="K18" s="124"/>
      <c r="L18" s="124"/>
    </row>
    <row r="19" spans="1:12" x14ac:dyDescent="0.25">
      <c r="A19" s="123"/>
      <c r="B19" t="s">
        <v>322</v>
      </c>
      <c r="C19" s="124">
        <v>1.7</v>
      </c>
      <c r="D19" s="124">
        <v>1.49</v>
      </c>
      <c r="E19" s="124">
        <v>1.38</v>
      </c>
      <c r="F19" s="124">
        <v>1.24</v>
      </c>
      <c r="G19" s="124">
        <v>1.19</v>
      </c>
      <c r="H19" s="124">
        <v>1.49</v>
      </c>
      <c r="I19" s="124">
        <v>1.49</v>
      </c>
      <c r="J19" s="124">
        <v>1.19</v>
      </c>
      <c r="K19" s="124">
        <v>1.19</v>
      </c>
      <c r="L19" s="124" t="s">
        <v>110</v>
      </c>
    </row>
    <row r="20" spans="1:12" x14ac:dyDescent="0.25">
      <c r="A20" s="123"/>
      <c r="B20" t="s">
        <v>323</v>
      </c>
      <c r="C20" s="124">
        <v>0.39</v>
      </c>
      <c r="D20" s="124">
        <v>0.31</v>
      </c>
      <c r="E20" s="124">
        <v>0.25</v>
      </c>
      <c r="F20" s="124">
        <v>0.23</v>
      </c>
      <c r="G20" s="124">
        <v>0.22</v>
      </c>
      <c r="H20" s="124">
        <v>0.31</v>
      </c>
      <c r="I20" s="124">
        <v>0.31</v>
      </c>
      <c r="J20" s="124">
        <v>0.22</v>
      </c>
      <c r="K20" s="124">
        <v>0.22</v>
      </c>
      <c r="L20" s="124"/>
    </row>
    <row r="21" spans="1:12" x14ac:dyDescent="0.25">
      <c r="A21" s="123"/>
      <c r="B21" t="s">
        <v>324</v>
      </c>
      <c r="C21" s="124">
        <v>0.39</v>
      </c>
      <c r="D21" s="124">
        <v>0.33</v>
      </c>
      <c r="E21" s="124">
        <v>0.28999999999999998</v>
      </c>
      <c r="F21" s="124">
        <v>0.26</v>
      </c>
      <c r="G21" s="124">
        <v>0.25</v>
      </c>
      <c r="H21" s="124">
        <v>0.28000000000000003</v>
      </c>
      <c r="I21" s="124">
        <v>1.31</v>
      </c>
      <c r="J21" s="124">
        <v>0.18</v>
      </c>
      <c r="K21" s="124">
        <v>0.98</v>
      </c>
      <c r="L21" s="124"/>
    </row>
    <row r="22" spans="1:12" x14ac:dyDescent="0.25">
      <c r="A22" s="123"/>
      <c r="B22" t="s">
        <v>326</v>
      </c>
      <c r="C22" s="124">
        <v>0.01</v>
      </c>
      <c r="D22" s="124">
        <v>0.01</v>
      </c>
      <c r="E22" s="124">
        <v>0.01</v>
      </c>
      <c r="F22" s="124">
        <v>0.01</v>
      </c>
      <c r="G22" s="124">
        <v>0.01</v>
      </c>
      <c r="H22" s="124">
        <v>0.01</v>
      </c>
      <c r="I22" s="124">
        <v>0.05</v>
      </c>
      <c r="J22" s="124">
        <v>0.01</v>
      </c>
      <c r="K22" s="124">
        <v>0.04</v>
      </c>
      <c r="L22" s="124"/>
    </row>
    <row r="23" spans="1:12" x14ac:dyDescent="0.25">
      <c r="A23" s="123"/>
      <c r="B23" t="s">
        <v>327</v>
      </c>
      <c r="C23" s="124">
        <v>0.13</v>
      </c>
      <c r="D23" s="124">
        <v>0.13</v>
      </c>
      <c r="E23" s="124">
        <v>0.12</v>
      </c>
      <c r="F23" s="124">
        <v>0.11</v>
      </c>
      <c r="G23" s="124">
        <v>0.11</v>
      </c>
      <c r="H23" s="124">
        <v>0.11</v>
      </c>
      <c r="I23" s="124">
        <v>0.51</v>
      </c>
      <c r="J23" s="124">
        <v>0.08</v>
      </c>
      <c r="K23" s="124">
        <v>0.42</v>
      </c>
      <c r="L23" s="124"/>
    </row>
    <row r="24" spans="1:12" x14ac:dyDescent="0.25">
      <c r="A24" s="123"/>
      <c r="B24" t="s">
        <v>329</v>
      </c>
      <c r="C24" s="124">
        <v>0.05</v>
      </c>
      <c r="D24" s="124">
        <v>0.05</v>
      </c>
      <c r="E24" s="124">
        <v>0.05</v>
      </c>
      <c r="F24" s="124">
        <v>0.05</v>
      </c>
      <c r="G24" s="124">
        <v>0.05</v>
      </c>
      <c r="H24" s="124">
        <v>0.04</v>
      </c>
      <c r="I24" s="124">
        <v>0.2</v>
      </c>
      <c r="J24" s="124">
        <v>0.04</v>
      </c>
      <c r="K24" s="124">
        <v>0.19</v>
      </c>
      <c r="L24" s="124"/>
    </row>
    <row r="25" spans="1:12" x14ac:dyDescent="0.25">
      <c r="A25" s="123"/>
      <c r="B25" t="s">
        <v>331</v>
      </c>
      <c r="C25" s="124">
        <v>0.72</v>
      </c>
      <c r="D25" s="124">
        <v>0.66</v>
      </c>
      <c r="E25" s="124">
        <v>0.65</v>
      </c>
      <c r="F25" s="124">
        <v>0.57999999999999996</v>
      </c>
      <c r="G25" s="124">
        <v>0.56000000000000005</v>
      </c>
      <c r="H25" s="124">
        <v>0.56000000000000005</v>
      </c>
      <c r="I25" s="124">
        <v>2.63</v>
      </c>
      <c r="J25" s="124">
        <v>0.42</v>
      </c>
      <c r="K25" s="124">
        <v>2.2400000000000002</v>
      </c>
      <c r="L25" s="124"/>
    </row>
    <row r="26" spans="1:12" x14ac:dyDescent="0.25">
      <c r="A26" s="123"/>
      <c r="B26" t="s">
        <v>332</v>
      </c>
      <c r="C26" s="124">
        <v>5</v>
      </c>
      <c r="D26" s="124">
        <v>4.17</v>
      </c>
      <c r="E26" s="124">
        <v>3.89</v>
      </c>
      <c r="F26" s="124">
        <v>3.42</v>
      </c>
      <c r="G26" s="124">
        <v>3.25</v>
      </c>
      <c r="H26" s="124">
        <v>3.55</v>
      </c>
      <c r="I26" s="124">
        <v>16.690000000000001</v>
      </c>
      <c r="J26" s="124">
        <v>2.44</v>
      </c>
      <c r="K26" s="124">
        <v>13.01</v>
      </c>
      <c r="L26" s="124" t="s">
        <v>121</v>
      </c>
    </row>
    <row r="27" spans="1:12" x14ac:dyDescent="0.25">
      <c r="A27" s="123"/>
      <c r="B27" t="s">
        <v>333</v>
      </c>
      <c r="C27" s="124">
        <v>50000</v>
      </c>
      <c r="D27" s="124">
        <v>42000</v>
      </c>
      <c r="E27" s="124">
        <v>39000</v>
      </c>
      <c r="F27" s="124">
        <v>34000</v>
      </c>
      <c r="G27" s="124">
        <v>33000</v>
      </c>
      <c r="H27" s="124">
        <v>35700</v>
      </c>
      <c r="I27" s="124">
        <v>48300</v>
      </c>
      <c r="J27" s="124">
        <v>24750</v>
      </c>
      <c r="K27" s="124">
        <v>49500</v>
      </c>
      <c r="L27" s="124" t="s">
        <v>121</v>
      </c>
    </row>
    <row r="28" spans="1:12" x14ac:dyDescent="0.25">
      <c r="A28" s="123" t="s">
        <v>334</v>
      </c>
      <c r="C28" s="124"/>
      <c r="D28" s="124"/>
      <c r="E28" s="124"/>
      <c r="F28" s="124"/>
      <c r="G28" s="124"/>
      <c r="H28" s="124"/>
      <c r="I28" s="124"/>
      <c r="J28" s="124"/>
      <c r="K28" s="124"/>
      <c r="L28" s="124"/>
    </row>
    <row r="29" spans="1:12" x14ac:dyDescent="0.25">
      <c r="A29" s="123"/>
      <c r="B29" t="s">
        <v>335</v>
      </c>
      <c r="C29" s="124">
        <v>103.5</v>
      </c>
      <c r="D29" s="124">
        <v>115.5</v>
      </c>
      <c r="E29" s="124">
        <v>138</v>
      </c>
      <c r="F29" s="124">
        <v>138</v>
      </c>
      <c r="G29" s="124">
        <v>138</v>
      </c>
      <c r="H29" s="124">
        <v>98.17</v>
      </c>
      <c r="I29" s="124">
        <v>132.82</v>
      </c>
      <c r="J29" s="124">
        <v>103.5</v>
      </c>
      <c r="K29" s="124">
        <v>207</v>
      </c>
      <c r="L29" s="124"/>
    </row>
    <row r="30" spans="1:12" x14ac:dyDescent="0.25">
      <c r="A30" s="123"/>
      <c r="B30" t="s">
        <v>337</v>
      </c>
      <c r="C30" s="124">
        <v>167</v>
      </c>
      <c r="D30" s="124">
        <v>191</v>
      </c>
      <c r="E30" s="124">
        <v>236</v>
      </c>
      <c r="F30" s="124">
        <v>236</v>
      </c>
      <c r="G30" s="124">
        <v>236</v>
      </c>
      <c r="H30" s="124">
        <v>162.35</v>
      </c>
      <c r="I30" s="124">
        <v>219.65</v>
      </c>
      <c r="J30" s="124">
        <v>177</v>
      </c>
      <c r="K30" s="124">
        <v>354</v>
      </c>
      <c r="L30" s="124"/>
    </row>
    <row r="31" spans="1:12" x14ac:dyDescent="0.25">
      <c r="A31" s="123"/>
      <c r="B31" t="s">
        <v>338</v>
      </c>
      <c r="C31" s="124">
        <v>383.49</v>
      </c>
      <c r="D31" s="124">
        <v>349.01</v>
      </c>
      <c r="E31" s="124">
        <v>342.91</v>
      </c>
      <c r="F31" s="124">
        <v>342.91</v>
      </c>
      <c r="G31" s="124">
        <v>342.91</v>
      </c>
      <c r="H31" s="124">
        <v>410.61</v>
      </c>
      <c r="I31" s="124">
        <v>303.49</v>
      </c>
      <c r="J31" s="124">
        <v>457.21</v>
      </c>
      <c r="K31" s="124">
        <v>190.5</v>
      </c>
      <c r="L31" s="124" t="s">
        <v>135</v>
      </c>
    </row>
    <row r="32" spans="1:12" x14ac:dyDescent="0.25">
      <c r="A32" s="123"/>
      <c r="B32" t="s">
        <v>339</v>
      </c>
      <c r="C32" s="124">
        <v>31.23</v>
      </c>
      <c r="D32" s="124">
        <v>28.42</v>
      </c>
      <c r="E32" s="124">
        <v>27.92</v>
      </c>
      <c r="F32" s="124">
        <v>27.92</v>
      </c>
      <c r="G32" s="124">
        <v>27.92</v>
      </c>
      <c r="H32" s="124">
        <v>33.44</v>
      </c>
      <c r="I32" s="124">
        <v>24.71</v>
      </c>
      <c r="J32" s="124">
        <v>37.229999999999997</v>
      </c>
      <c r="K32" s="124">
        <v>22.34</v>
      </c>
      <c r="L32" s="124" t="s">
        <v>58</v>
      </c>
    </row>
    <row r="33" spans="1:15" x14ac:dyDescent="0.25">
      <c r="A33" s="123"/>
      <c r="B33" t="s">
        <v>340</v>
      </c>
      <c r="C33" s="124">
        <v>4100</v>
      </c>
      <c r="D33" s="124">
        <v>4325</v>
      </c>
      <c r="E33" s="124">
        <v>4450</v>
      </c>
      <c r="F33" s="124">
        <v>4450</v>
      </c>
      <c r="G33" s="124">
        <v>4450</v>
      </c>
      <c r="H33" s="124">
        <v>3675</v>
      </c>
      <c r="I33" s="124">
        <v>4975</v>
      </c>
      <c r="J33" s="124">
        <v>3250</v>
      </c>
      <c r="K33" s="124">
        <v>6500</v>
      </c>
      <c r="L33" s="124" t="s">
        <v>137</v>
      </c>
    </row>
    <row r="34" spans="1:15" x14ac:dyDescent="0.25">
      <c r="A34" s="123"/>
      <c r="O34">
        <f>4450-4800</f>
        <v>-350</v>
      </c>
    </row>
    <row r="35" spans="1:15" x14ac:dyDescent="0.25">
      <c r="A35" s="123"/>
      <c r="O35">
        <f>350/4800</f>
        <v>7.2916666666666671E-2</v>
      </c>
    </row>
    <row r="36" spans="1:15" x14ac:dyDescent="0.25">
      <c r="A36" s="123" t="s">
        <v>124</v>
      </c>
    </row>
    <row r="37" spans="1:15" x14ac:dyDescent="0.25">
      <c r="A37" s="123"/>
      <c r="B37" t="s">
        <v>341</v>
      </c>
    </row>
    <row r="38" spans="1:15" x14ac:dyDescent="0.25">
      <c r="A38" s="123"/>
      <c r="B38" t="s">
        <v>342</v>
      </c>
    </row>
    <row r="39" spans="1:15" x14ac:dyDescent="0.25">
      <c r="A39" s="123"/>
      <c r="B39" t="s">
        <v>343</v>
      </c>
    </row>
    <row r="40" spans="1:15" x14ac:dyDescent="0.25">
      <c r="A40" s="123"/>
      <c r="B40" t="s">
        <v>344</v>
      </c>
    </row>
    <row r="41" spans="1:15" x14ac:dyDescent="0.25">
      <c r="A41" s="123"/>
      <c r="B41" t="s">
        <v>345</v>
      </c>
    </row>
    <row r="42" spans="1:15" x14ac:dyDescent="0.25">
      <c r="A42" s="123"/>
      <c r="B42" t="s">
        <v>361</v>
      </c>
    </row>
    <row r="43" spans="1:15" x14ac:dyDescent="0.25">
      <c r="A43" s="123"/>
      <c r="B43" t="s">
        <v>347</v>
      </c>
    </row>
    <row r="44" spans="1:15" x14ac:dyDescent="0.25">
      <c r="A44" s="123"/>
      <c r="B44" t="s">
        <v>348</v>
      </c>
    </row>
    <row r="45" spans="1:15" x14ac:dyDescent="0.25">
      <c r="A45" s="123"/>
      <c r="B45" t="s">
        <v>349</v>
      </c>
    </row>
    <row r="46" spans="1:15" x14ac:dyDescent="0.25">
      <c r="A46" s="123"/>
      <c r="B46" t="s">
        <v>350</v>
      </c>
    </row>
    <row r="47" spans="1:15" x14ac:dyDescent="0.25">
      <c r="A47" s="123"/>
      <c r="B47" t="s">
        <v>351</v>
      </c>
    </row>
    <row r="48" spans="1:15" x14ac:dyDescent="0.25">
      <c r="A48" s="123"/>
      <c r="B48" t="s">
        <v>352</v>
      </c>
    </row>
    <row r="49" spans="1:2" x14ac:dyDescent="0.25">
      <c r="A49" s="123"/>
      <c r="B49" t="s">
        <v>353</v>
      </c>
    </row>
    <row r="50" spans="1:2" x14ac:dyDescent="0.25">
      <c r="A50" s="123"/>
    </row>
    <row r="51" spans="1:2" x14ac:dyDescent="0.25">
      <c r="A51" s="123" t="s">
        <v>146</v>
      </c>
    </row>
    <row r="52" spans="1:2" x14ac:dyDescent="0.25">
      <c r="A52" s="123"/>
      <c r="B52" t="s">
        <v>354</v>
      </c>
    </row>
    <row r="53" spans="1:2" x14ac:dyDescent="0.25">
      <c r="A53" s="123"/>
      <c r="B53" t="s">
        <v>355</v>
      </c>
    </row>
    <row r="54" spans="1:2" x14ac:dyDescent="0.25">
      <c r="A54" s="123"/>
      <c r="B54" t="s">
        <v>356</v>
      </c>
    </row>
    <row r="55" spans="1:2" x14ac:dyDescent="0.25">
      <c r="A55" s="123"/>
      <c r="B55" t="s">
        <v>357</v>
      </c>
    </row>
    <row r="56" spans="1:2" x14ac:dyDescent="0.25">
      <c r="A56" s="123"/>
      <c r="B56" t="s">
        <v>358</v>
      </c>
    </row>
    <row r="57" spans="1:2" x14ac:dyDescent="0.25">
      <c r="A57" s="123"/>
      <c r="B57" t="s">
        <v>359</v>
      </c>
    </row>
    <row r="58" spans="1:2" x14ac:dyDescent="0.25">
      <c r="A58" s="123"/>
    </row>
    <row r="59" spans="1:2" x14ac:dyDescent="0.25">
      <c r="A59" s="123"/>
    </row>
    <row r="60" spans="1:2" x14ac:dyDescent="0.25">
      <c r="A60" s="123"/>
    </row>
    <row r="61" spans="1:2" x14ac:dyDescent="0.25">
      <c r="A61" s="123"/>
    </row>
    <row r="62" spans="1:2" x14ac:dyDescent="0.25">
      <c r="A62" s="123"/>
    </row>
    <row r="63" spans="1:2" x14ac:dyDescent="0.25">
      <c r="A63" s="123"/>
    </row>
    <row r="64" spans="1:2" x14ac:dyDescent="0.25">
      <c r="A64" s="123"/>
    </row>
    <row r="65" spans="1:1" x14ac:dyDescent="0.25">
      <c r="A65" s="123"/>
    </row>
    <row r="66" spans="1:1" x14ac:dyDescent="0.25">
      <c r="A66" s="123"/>
    </row>
    <row r="67" spans="1:1" x14ac:dyDescent="0.25">
      <c r="A67" s="123"/>
    </row>
    <row r="68" spans="1:1" x14ac:dyDescent="0.25">
      <c r="A68" s="123"/>
    </row>
    <row r="69" spans="1:1" x14ac:dyDescent="0.25">
      <c r="A69" s="123"/>
    </row>
    <row r="70" spans="1:1" x14ac:dyDescent="0.25">
      <c r="A70" s="123"/>
    </row>
    <row r="71" spans="1:1" x14ac:dyDescent="0.25">
      <c r="A71" s="123"/>
    </row>
    <row r="72" spans="1:1" x14ac:dyDescent="0.25">
      <c r="A72" s="123"/>
    </row>
    <row r="73" spans="1:1" x14ac:dyDescent="0.25">
      <c r="A73" s="123"/>
    </row>
    <row r="74" spans="1:1" x14ac:dyDescent="0.25">
      <c r="A74" s="123"/>
    </row>
    <row r="75" spans="1:1" x14ac:dyDescent="0.25">
      <c r="A75" s="123"/>
    </row>
    <row r="76" spans="1:1" x14ac:dyDescent="0.25">
      <c r="A76" s="123"/>
    </row>
    <row r="77" spans="1:1" x14ac:dyDescent="0.25">
      <c r="A77" s="123"/>
    </row>
    <row r="78" spans="1:1" x14ac:dyDescent="0.25">
      <c r="A78" s="123"/>
    </row>
    <row r="79" spans="1:1" x14ac:dyDescent="0.25">
      <c r="A79" s="123"/>
    </row>
    <row r="80" spans="1:1" x14ac:dyDescent="0.25">
      <c r="A80" s="123"/>
    </row>
    <row r="81" spans="1:1" x14ac:dyDescent="0.25">
      <c r="A81" s="123"/>
    </row>
    <row r="82" spans="1:1" x14ac:dyDescent="0.25">
      <c r="A82" s="123"/>
    </row>
    <row r="83" spans="1:1" x14ac:dyDescent="0.25">
      <c r="A83" s="123"/>
    </row>
    <row r="84" spans="1:1" x14ac:dyDescent="0.25">
      <c r="A84" s="123"/>
    </row>
    <row r="85" spans="1:1" x14ac:dyDescent="0.25">
      <c r="A85" s="123"/>
    </row>
    <row r="86" spans="1:1" x14ac:dyDescent="0.25">
      <c r="A86" s="123"/>
    </row>
    <row r="87" spans="1:1" x14ac:dyDescent="0.25">
      <c r="A87" s="123"/>
    </row>
    <row r="88" spans="1:1" x14ac:dyDescent="0.25">
      <c r="A88" s="123"/>
    </row>
    <row r="89" spans="1:1" x14ac:dyDescent="0.25">
      <c r="A89" s="123"/>
    </row>
    <row r="90" spans="1:1" x14ac:dyDescent="0.25">
      <c r="A90" s="123"/>
    </row>
    <row r="91" spans="1:1" x14ac:dyDescent="0.25">
      <c r="A91" s="123"/>
    </row>
    <row r="92" spans="1:1" x14ac:dyDescent="0.25">
      <c r="A92" s="123"/>
    </row>
    <row r="93" spans="1:1" x14ac:dyDescent="0.25">
      <c r="A93" s="123"/>
    </row>
    <row r="94" spans="1:1" x14ac:dyDescent="0.25">
      <c r="A94" s="123"/>
    </row>
    <row r="95" spans="1:1" x14ac:dyDescent="0.25">
      <c r="A95" s="123"/>
    </row>
    <row r="96" spans="1:1" x14ac:dyDescent="0.25">
      <c r="A96" s="123"/>
    </row>
    <row r="97" spans="1:1" x14ac:dyDescent="0.25">
      <c r="A97" s="123"/>
    </row>
    <row r="98" spans="1:1" x14ac:dyDescent="0.25">
      <c r="A98" s="123"/>
    </row>
    <row r="99" spans="1:1" x14ac:dyDescent="0.25">
      <c r="A99" s="123"/>
    </row>
    <row r="100" spans="1:1" x14ac:dyDescent="0.25">
      <c r="A100" s="123"/>
    </row>
    <row r="101" spans="1:1" x14ac:dyDescent="0.25">
      <c r="A101" s="123"/>
    </row>
    <row r="102" spans="1:1" x14ac:dyDescent="0.25">
      <c r="A102" s="123"/>
    </row>
    <row r="103" spans="1:1" x14ac:dyDescent="0.25">
      <c r="A103" s="123"/>
    </row>
    <row r="104" spans="1:1" x14ac:dyDescent="0.25">
      <c r="A104" s="123"/>
    </row>
    <row r="105" spans="1:1" x14ac:dyDescent="0.25">
      <c r="A105" s="123"/>
    </row>
    <row r="106" spans="1:1" x14ac:dyDescent="0.25">
      <c r="A106" s="123"/>
    </row>
    <row r="107" spans="1:1" x14ac:dyDescent="0.25">
      <c r="A107" s="123"/>
    </row>
    <row r="108" spans="1:1" x14ac:dyDescent="0.25">
      <c r="A108" s="123"/>
    </row>
    <row r="109" spans="1:1" x14ac:dyDescent="0.25">
      <c r="A109" s="123"/>
    </row>
    <row r="110" spans="1:1" x14ac:dyDescent="0.25">
      <c r="A110" s="123"/>
    </row>
    <row r="111" spans="1:1" x14ac:dyDescent="0.25">
      <c r="A111" s="123"/>
    </row>
    <row r="112" spans="1:1" x14ac:dyDescent="0.25">
      <c r="A112" s="123"/>
    </row>
    <row r="113" spans="1:1" x14ac:dyDescent="0.25">
      <c r="A113" s="123"/>
    </row>
    <row r="114" spans="1:1" x14ac:dyDescent="0.25">
      <c r="A114" s="123"/>
    </row>
    <row r="115" spans="1:1" x14ac:dyDescent="0.25">
      <c r="A115" s="123"/>
    </row>
    <row r="116" spans="1:1" x14ac:dyDescent="0.25">
      <c r="A116" s="123"/>
    </row>
    <row r="117" spans="1:1" x14ac:dyDescent="0.25">
      <c r="A117" s="123"/>
    </row>
    <row r="118" spans="1:1" x14ac:dyDescent="0.25">
      <c r="A118" s="123"/>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C11C7B-99A6-4A58-B6CE-072D4A78BD7D}">
  <dimension ref="A1:AA38"/>
  <sheetViews>
    <sheetView topLeftCell="E1" zoomScale="73" workbookViewId="0">
      <selection activeCell="H23" sqref="H23"/>
    </sheetView>
  </sheetViews>
  <sheetFormatPr defaultRowHeight="13.2" x14ac:dyDescent="0.25"/>
  <cols>
    <col min="1" max="1" width="3" style="16" customWidth="1"/>
    <col min="2" max="2" width="15.88671875" bestFit="1" customWidth="1"/>
    <col min="3" max="3" width="33.6640625" bestFit="1" customWidth="1"/>
    <col min="5" max="5" width="14" bestFit="1" customWidth="1"/>
    <col min="6" max="6" width="17" bestFit="1" customWidth="1"/>
    <col min="9" max="9" width="12.109375" bestFit="1" customWidth="1"/>
    <col min="10" max="10" width="13" bestFit="1" customWidth="1"/>
    <col min="11" max="11" width="19.5546875" bestFit="1" customWidth="1"/>
    <col min="12" max="12" width="10.109375" bestFit="1" customWidth="1"/>
    <col min="13" max="13" width="6.88671875" bestFit="1" customWidth="1"/>
    <col min="14" max="14" width="12.33203125" bestFit="1" customWidth="1"/>
    <col min="15" max="15" width="11.6640625" bestFit="1" customWidth="1"/>
    <col min="16" max="16" width="14.5546875" customWidth="1"/>
    <col min="17" max="17" width="14.109375" bestFit="1" customWidth="1"/>
    <col min="18" max="18" width="14.109375" customWidth="1"/>
    <col min="19" max="19" width="3" style="16" customWidth="1"/>
    <col min="20" max="20" width="31.44140625" bestFit="1" customWidth="1"/>
    <col min="21" max="21" width="45.33203125" bestFit="1" customWidth="1"/>
    <col min="22" max="22" width="33.6640625" bestFit="1" customWidth="1"/>
    <col min="23" max="23" width="8.44140625" bestFit="1" customWidth="1"/>
    <col min="24" max="24" width="10.88671875" bestFit="1" customWidth="1"/>
    <col min="25" max="25" width="13.44140625" bestFit="1" customWidth="1"/>
    <col min="26" max="26" width="17.44140625" customWidth="1"/>
  </cols>
  <sheetData>
    <row r="1" spans="2:27" x14ac:dyDescent="0.25">
      <c r="Q1" s="91"/>
      <c r="R1" s="91"/>
      <c r="T1" s="28" t="s">
        <v>14</v>
      </c>
      <c r="U1" s="29"/>
      <c r="V1" s="29"/>
      <c r="W1" s="29"/>
      <c r="X1" s="29"/>
      <c r="Y1" s="29"/>
      <c r="Z1" s="29"/>
      <c r="AA1" s="29"/>
    </row>
    <row r="2" spans="2:27" x14ac:dyDescent="0.25">
      <c r="Q2" s="91"/>
      <c r="R2" s="91"/>
      <c r="T2" s="30" t="s">
        <v>7</v>
      </c>
      <c r="U2" s="30" t="s">
        <v>0</v>
      </c>
      <c r="V2" s="30" t="s">
        <v>3</v>
      </c>
      <c r="W2" s="30" t="s">
        <v>4</v>
      </c>
      <c r="X2" s="30" t="s">
        <v>8</v>
      </c>
      <c r="Y2" s="30" t="s">
        <v>9</v>
      </c>
      <c r="Z2" s="30" t="s">
        <v>10</v>
      </c>
      <c r="AA2" s="30" t="s">
        <v>12</v>
      </c>
    </row>
    <row r="3" spans="2:27" ht="21.6" thickBot="1" x14ac:dyDescent="0.3">
      <c r="Q3" s="91"/>
      <c r="R3" s="91"/>
      <c r="T3" s="32" t="s">
        <v>34</v>
      </c>
      <c r="U3" s="32" t="s">
        <v>26</v>
      </c>
      <c r="V3" s="32" t="s">
        <v>27</v>
      </c>
      <c r="W3" s="32" t="s">
        <v>4</v>
      </c>
      <c r="X3" s="32" t="s">
        <v>37</v>
      </c>
      <c r="Y3" s="32" t="s">
        <v>38</v>
      </c>
      <c r="Z3" s="32" t="s">
        <v>28</v>
      </c>
      <c r="AA3" s="32" t="s">
        <v>29</v>
      </c>
    </row>
    <row r="4" spans="2:27" x14ac:dyDescent="0.25">
      <c r="T4" s="29" t="s">
        <v>44</v>
      </c>
      <c r="U4" t="s">
        <v>156</v>
      </c>
      <c r="V4" t="s">
        <v>157</v>
      </c>
      <c r="W4" t="s">
        <v>45</v>
      </c>
      <c r="X4" s="29"/>
      <c r="Y4" s="110" t="s">
        <v>224</v>
      </c>
      <c r="Z4" s="29"/>
      <c r="AA4" s="29"/>
    </row>
    <row r="5" spans="2:27" x14ac:dyDescent="0.25">
      <c r="T5" t="s">
        <v>44</v>
      </c>
      <c r="U5" s="93" t="s">
        <v>160</v>
      </c>
      <c r="V5" t="s">
        <v>521</v>
      </c>
      <c r="W5" t="s">
        <v>45</v>
      </c>
      <c r="Y5" t="s">
        <v>224</v>
      </c>
    </row>
    <row r="10" spans="2:27" x14ac:dyDescent="0.25">
      <c r="B10" s="97" t="s">
        <v>13</v>
      </c>
      <c r="C10" s="93"/>
      <c r="D10" s="93"/>
      <c r="E10" s="93"/>
      <c r="F10" s="97"/>
      <c r="H10" s="97"/>
      <c r="I10" s="97"/>
      <c r="J10" s="93"/>
      <c r="K10" s="93"/>
      <c r="L10" s="93"/>
      <c r="M10" s="93"/>
      <c r="N10" s="93"/>
      <c r="O10" s="93"/>
      <c r="P10" s="93"/>
      <c r="Q10" s="93"/>
      <c r="R10" s="93"/>
      <c r="T10" s="28" t="s">
        <v>15</v>
      </c>
      <c r="U10" s="29"/>
      <c r="V10" s="29"/>
      <c r="W10" s="29"/>
      <c r="X10" s="29"/>
      <c r="Y10" s="29"/>
      <c r="Z10" s="29"/>
      <c r="AA10" s="29"/>
    </row>
    <row r="11" spans="2:27" x14ac:dyDescent="0.25">
      <c r="B11" s="30" t="s">
        <v>1</v>
      </c>
      <c r="C11" s="30" t="s">
        <v>2</v>
      </c>
      <c r="D11" s="30" t="s">
        <v>5</v>
      </c>
      <c r="E11" s="30" t="s">
        <v>6</v>
      </c>
      <c r="F11" s="30" t="s">
        <v>162</v>
      </c>
      <c r="G11" s="30" t="s">
        <v>61</v>
      </c>
      <c r="H11" s="30" t="s">
        <v>68</v>
      </c>
      <c r="I11" s="30" t="s">
        <v>50</v>
      </c>
      <c r="J11" s="30" t="s">
        <v>164</v>
      </c>
      <c r="K11" s="30" t="s">
        <v>57</v>
      </c>
      <c r="L11" s="30" t="s">
        <v>165</v>
      </c>
      <c r="M11" s="30" t="s">
        <v>166</v>
      </c>
      <c r="N11" s="30" t="s">
        <v>70</v>
      </c>
      <c r="O11" s="30" t="s">
        <v>48</v>
      </c>
      <c r="P11" s="30" t="s">
        <v>49</v>
      </c>
      <c r="Q11" s="30" t="s">
        <v>64</v>
      </c>
      <c r="R11" s="30" t="s">
        <v>470</v>
      </c>
      <c r="T11" s="30" t="s">
        <v>11</v>
      </c>
      <c r="U11" s="30" t="s">
        <v>1</v>
      </c>
      <c r="V11" s="30" t="s">
        <v>2</v>
      </c>
      <c r="W11" s="30" t="s">
        <v>16</v>
      </c>
      <c r="X11" s="30" t="s">
        <v>17</v>
      </c>
      <c r="Y11" s="30" t="s">
        <v>18</v>
      </c>
      <c r="Z11" s="30" t="s">
        <v>19</v>
      </c>
      <c r="AA11" s="30" t="s">
        <v>20</v>
      </c>
    </row>
    <row r="12" spans="2:27" ht="21.6" thickBot="1" x14ac:dyDescent="0.3">
      <c r="B12" s="32" t="s">
        <v>167</v>
      </c>
      <c r="C12" s="32" t="s">
        <v>22</v>
      </c>
      <c r="D12" s="32" t="s">
        <v>32</v>
      </c>
      <c r="E12" s="32" t="s">
        <v>33</v>
      </c>
      <c r="F12" s="32" t="s">
        <v>168</v>
      </c>
      <c r="G12" s="32"/>
      <c r="H12" s="32"/>
      <c r="I12" s="32" t="s">
        <v>52</v>
      </c>
      <c r="J12" s="32" t="s">
        <v>170</v>
      </c>
      <c r="K12" s="32" t="s">
        <v>171</v>
      </c>
      <c r="L12" s="32"/>
      <c r="M12" s="32" t="s">
        <v>247</v>
      </c>
      <c r="N12" s="32" t="s">
        <v>66</v>
      </c>
      <c r="O12" s="32" t="s">
        <v>173</v>
      </c>
      <c r="P12" s="32" t="s">
        <v>55</v>
      </c>
      <c r="Q12" s="32" t="s">
        <v>65</v>
      </c>
      <c r="R12" s="32" t="s">
        <v>472</v>
      </c>
      <c r="T12" s="32" t="s">
        <v>35</v>
      </c>
      <c r="U12" s="32" t="s">
        <v>21</v>
      </c>
      <c r="V12" s="32" t="s">
        <v>22</v>
      </c>
      <c r="W12" s="32" t="s">
        <v>23</v>
      </c>
      <c r="X12" s="32" t="s">
        <v>24</v>
      </c>
      <c r="Y12" s="32" t="s">
        <v>245</v>
      </c>
      <c r="Z12" s="32" t="s">
        <v>39</v>
      </c>
      <c r="AA12" s="32" t="s">
        <v>25</v>
      </c>
    </row>
    <row r="13" spans="2:27" ht="13.8" thickBot="1" x14ac:dyDescent="0.3">
      <c r="B13" s="32" t="s">
        <v>174</v>
      </c>
      <c r="C13" s="32"/>
      <c r="D13" s="32"/>
      <c r="E13" s="32"/>
      <c r="F13" s="32"/>
      <c r="G13" s="32"/>
      <c r="H13" s="32"/>
      <c r="I13" s="32" t="s">
        <v>175</v>
      </c>
      <c r="J13" s="32" t="s">
        <v>176</v>
      </c>
      <c r="K13" s="32" t="s">
        <v>97</v>
      </c>
      <c r="L13" s="32"/>
      <c r="M13" s="32" t="s">
        <v>177</v>
      </c>
      <c r="N13" s="32" t="s">
        <v>231</v>
      </c>
      <c r="O13" s="32" t="s">
        <v>232</v>
      </c>
      <c r="P13" s="32" t="s">
        <v>234</v>
      </c>
      <c r="Q13" s="32" t="s">
        <v>233</v>
      </c>
      <c r="R13" s="32" t="s">
        <v>177</v>
      </c>
      <c r="T13" s="32" t="s">
        <v>47</v>
      </c>
      <c r="U13" s="32"/>
      <c r="V13" s="32"/>
      <c r="W13" s="32"/>
      <c r="X13" s="32"/>
      <c r="Y13" s="32"/>
      <c r="Z13" s="32"/>
      <c r="AA13" s="32"/>
    </row>
    <row r="14" spans="2:27" x14ac:dyDescent="0.25">
      <c r="B14" s="93" t="s">
        <v>158</v>
      </c>
      <c r="C14" s="93" t="s">
        <v>159</v>
      </c>
      <c r="D14" s="93" t="s">
        <v>41</v>
      </c>
      <c r="E14" s="93" t="s">
        <v>156</v>
      </c>
      <c r="F14" s="93"/>
      <c r="G14" s="93">
        <v>2020</v>
      </c>
      <c r="H14" s="93">
        <v>2030</v>
      </c>
      <c r="I14" s="94">
        <f>'86 AEC 100MW'!C15/100</f>
        <v>0.66500000000000004</v>
      </c>
      <c r="J14" s="94"/>
      <c r="K14" s="94">
        <v>0.98</v>
      </c>
      <c r="L14" s="94">
        <v>0.46</v>
      </c>
      <c r="M14" s="95">
        <v>25</v>
      </c>
      <c r="N14" s="16">
        <v>31.536000000000001</v>
      </c>
      <c r="O14" s="94">
        <f>'86 AEC 100MW'!C29/SUP_H2!I14</f>
        <v>977.4436090225563</v>
      </c>
      <c r="P14" s="94">
        <f>0.02*O14</f>
        <v>19.548872180451127</v>
      </c>
      <c r="Q14" s="94"/>
      <c r="R14" s="94">
        <v>0.33</v>
      </c>
      <c r="T14" s="33" t="s">
        <v>60</v>
      </c>
      <c r="U14" s="33" t="s">
        <v>158</v>
      </c>
      <c r="V14" s="33" t="s">
        <v>159</v>
      </c>
      <c r="W14" s="33" t="s">
        <v>45</v>
      </c>
      <c r="X14" s="110" t="s">
        <v>62</v>
      </c>
      <c r="Y14" s="33" t="s">
        <v>224</v>
      </c>
      <c r="Z14" s="33" t="s">
        <v>156</v>
      </c>
      <c r="AA14" s="33" t="s">
        <v>244</v>
      </c>
    </row>
    <row r="15" spans="2:27" x14ac:dyDescent="0.25">
      <c r="B15" s="93"/>
      <c r="C15" s="93"/>
      <c r="D15" s="93"/>
      <c r="E15" s="93"/>
      <c r="F15" s="93" t="s">
        <v>160</v>
      </c>
      <c r="G15" s="93"/>
      <c r="H15" s="93"/>
      <c r="I15" s="132" t="s">
        <v>161</v>
      </c>
      <c r="J15" s="94">
        <v>0.18389138913891387</v>
      </c>
      <c r="K15" s="93"/>
      <c r="L15" s="93" t="s">
        <v>161</v>
      </c>
      <c r="M15" s="95"/>
      <c r="N15" s="96"/>
      <c r="O15" s="94"/>
      <c r="P15" s="94"/>
      <c r="Q15" s="93"/>
      <c r="R15" s="93"/>
      <c r="T15" t="s">
        <v>60</v>
      </c>
      <c r="U15" s="16" t="s">
        <v>365</v>
      </c>
      <c r="V15" s="16" t="s">
        <v>366</v>
      </c>
      <c r="W15" s="33" t="s">
        <v>45</v>
      </c>
      <c r="X15" s="110" t="s">
        <v>62</v>
      </c>
      <c r="Y15" s="33" t="s">
        <v>224</v>
      </c>
      <c r="Z15" s="33" t="s">
        <v>156</v>
      </c>
      <c r="AA15" s="33" t="s">
        <v>244</v>
      </c>
    </row>
    <row r="16" spans="2:27" x14ac:dyDescent="0.25">
      <c r="D16" s="93" t="s">
        <v>41</v>
      </c>
      <c r="E16" s="93" t="s">
        <v>156</v>
      </c>
      <c r="F16" s="93"/>
      <c r="G16">
        <v>2030</v>
      </c>
      <c r="I16" s="94">
        <f>'86 AEC 100MW'!D15/100</f>
        <v>0.68</v>
      </c>
      <c r="J16" s="12"/>
      <c r="K16">
        <v>0.98</v>
      </c>
      <c r="L16">
        <v>0.46</v>
      </c>
      <c r="M16">
        <v>30</v>
      </c>
      <c r="N16">
        <v>31.536000000000001</v>
      </c>
      <c r="O16" s="12">
        <f>'86 AEC 100MW'!D29/SUP_H2!I16</f>
        <v>661.76470588235293</v>
      </c>
      <c r="P16" s="94">
        <f t="shared" ref="P16:P20" si="0">0.02*O16</f>
        <v>13.235294117647058</v>
      </c>
      <c r="R16">
        <v>0.33</v>
      </c>
      <c r="T16" t="s">
        <v>60</v>
      </c>
      <c r="U16" s="93" t="s">
        <v>367</v>
      </c>
      <c r="V16" s="93" t="s">
        <v>368</v>
      </c>
      <c r="W16" s="33" t="s">
        <v>45</v>
      </c>
      <c r="X16" s="110" t="s">
        <v>62</v>
      </c>
      <c r="Y16" s="33" t="s">
        <v>224</v>
      </c>
      <c r="Z16" s="33" t="s">
        <v>156</v>
      </c>
      <c r="AA16" s="33" t="s">
        <v>244</v>
      </c>
    </row>
    <row r="17" spans="2:26" x14ac:dyDescent="0.25">
      <c r="D17" s="93"/>
      <c r="E17" s="93"/>
      <c r="F17" s="93" t="s">
        <v>160</v>
      </c>
      <c r="I17" s="94"/>
      <c r="J17" s="12">
        <v>0.16615961596159623</v>
      </c>
      <c r="L17" t="s">
        <v>161</v>
      </c>
      <c r="O17" s="12"/>
      <c r="P17" s="94"/>
    </row>
    <row r="18" spans="2:26" x14ac:dyDescent="0.25">
      <c r="D18" s="93" t="s">
        <v>41</v>
      </c>
      <c r="E18" s="93" t="s">
        <v>156</v>
      </c>
      <c r="F18" s="93"/>
      <c r="G18">
        <v>2040</v>
      </c>
      <c r="I18" s="94">
        <f>'86 AEC 100MW'!E15/100</f>
        <v>0.71499999999999997</v>
      </c>
      <c r="J18" s="12"/>
      <c r="K18">
        <v>0.98</v>
      </c>
      <c r="L18">
        <v>0.46</v>
      </c>
      <c r="M18">
        <v>32</v>
      </c>
      <c r="N18">
        <v>31.536000000000001</v>
      </c>
      <c r="O18" s="12">
        <f>'86 AEC 100MW'!E29/SUP_H2!I18</f>
        <v>419.58041958041957</v>
      </c>
      <c r="P18" s="94">
        <f t="shared" si="0"/>
        <v>8.3916083916083917</v>
      </c>
      <c r="R18">
        <v>0.33</v>
      </c>
      <c r="T18" s="93"/>
      <c r="U18" s="93"/>
      <c r="V18" s="93"/>
      <c r="W18" s="93"/>
    </row>
    <row r="19" spans="2:26" x14ac:dyDescent="0.25">
      <c r="D19" s="93"/>
      <c r="E19" s="93"/>
      <c r="F19" s="93" t="s">
        <v>160</v>
      </c>
      <c r="I19" s="94"/>
      <c r="J19" s="12">
        <v>0.12478547854785489</v>
      </c>
      <c r="L19" t="s">
        <v>161</v>
      </c>
      <c r="O19" s="12"/>
      <c r="P19" s="94"/>
      <c r="U19" s="93"/>
      <c r="V19" s="93"/>
      <c r="W19" s="93"/>
      <c r="X19" s="93"/>
      <c r="Y19" s="93"/>
      <c r="Z19" s="93"/>
    </row>
    <row r="20" spans="2:26" x14ac:dyDescent="0.25">
      <c r="D20" s="93" t="s">
        <v>41</v>
      </c>
      <c r="E20" s="93" t="s">
        <v>156</v>
      </c>
      <c r="F20" s="93"/>
      <c r="G20">
        <v>2050</v>
      </c>
      <c r="I20" s="94">
        <f>'86 AEC 100MW'!F15/100</f>
        <v>0.75</v>
      </c>
      <c r="J20" s="12"/>
      <c r="K20">
        <v>0.98</v>
      </c>
      <c r="L20">
        <v>0.46</v>
      </c>
      <c r="M20">
        <v>35</v>
      </c>
      <c r="N20">
        <v>31.536000000000001</v>
      </c>
      <c r="O20" s="12">
        <f>'86 AEC 100MW'!F29/SUP_H2!I20</f>
        <v>333.33333333333331</v>
      </c>
      <c r="P20" s="94">
        <f t="shared" si="0"/>
        <v>6.6666666666666661</v>
      </c>
      <c r="R20">
        <v>0.33</v>
      </c>
      <c r="U20" s="93"/>
      <c r="V20" s="93"/>
      <c r="W20" s="93"/>
      <c r="X20" s="93"/>
      <c r="Y20" s="93"/>
      <c r="Z20" s="93"/>
    </row>
    <row r="21" spans="2:26" ht="13.8" thickBot="1" x14ac:dyDescent="0.3">
      <c r="B21" s="16"/>
      <c r="C21" s="16"/>
      <c r="D21" s="93"/>
      <c r="E21" s="93"/>
      <c r="F21" s="93" t="s">
        <v>160</v>
      </c>
      <c r="G21" s="16"/>
      <c r="H21" s="16"/>
      <c r="I21" s="94"/>
      <c r="J21" s="26">
        <v>8.3411341134113429E-2</v>
      </c>
      <c r="K21" s="16"/>
      <c r="L21" s="16" t="s">
        <v>161</v>
      </c>
      <c r="M21" s="16"/>
      <c r="N21" s="16"/>
      <c r="O21" s="16"/>
      <c r="P21" s="16"/>
      <c r="Q21" s="16"/>
      <c r="R21" s="16"/>
      <c r="T21" s="16"/>
      <c r="U21" s="16"/>
      <c r="V21" s="16"/>
      <c r="W21" s="16"/>
      <c r="X21" s="93"/>
      <c r="Y21" s="93"/>
      <c r="Z21" s="93"/>
    </row>
    <row r="22" spans="2:26" x14ac:dyDescent="0.25">
      <c r="B22" s="180" t="s">
        <v>365</v>
      </c>
      <c r="C22" s="180" t="s">
        <v>366</v>
      </c>
      <c r="D22" s="106" t="s">
        <v>41</v>
      </c>
      <c r="E22" s="180" t="s">
        <v>156</v>
      </c>
      <c r="F22" s="180"/>
      <c r="G22" s="106">
        <v>2020</v>
      </c>
      <c r="H22" s="106">
        <v>2030</v>
      </c>
      <c r="I22" s="181">
        <f>'86 PEMEC 100MW'!E15/100</f>
        <v>0.57999999999999996</v>
      </c>
      <c r="J22" s="181"/>
      <c r="K22" s="180">
        <v>0.98</v>
      </c>
      <c r="L22" s="180">
        <v>0.46</v>
      </c>
      <c r="M22" s="180">
        <v>20</v>
      </c>
      <c r="N22" s="180">
        <v>31.536000000000001</v>
      </c>
      <c r="O22" s="181">
        <f>'86 PEMEC 100MW'!E29/SUP_H2!I22</f>
        <v>1594.8275862068967</v>
      </c>
      <c r="P22" s="181">
        <f>O22*0.04</f>
        <v>63.793103448275872</v>
      </c>
      <c r="Q22" s="180"/>
      <c r="R22" s="180">
        <v>0.33</v>
      </c>
      <c r="T22" s="16"/>
      <c r="U22" s="16"/>
      <c r="V22" s="16"/>
      <c r="W22" s="16"/>
      <c r="X22" s="93"/>
      <c r="Y22" s="93"/>
      <c r="Z22" s="93"/>
    </row>
    <row r="23" spans="2:26" x14ac:dyDescent="0.25">
      <c r="B23" s="16"/>
      <c r="C23" s="16"/>
      <c r="D23" s="16"/>
      <c r="E23" s="16"/>
      <c r="F23" s="16" t="s">
        <v>160</v>
      </c>
      <c r="G23" s="93"/>
      <c r="H23" s="93"/>
      <c r="I23" s="26"/>
      <c r="J23" s="26">
        <v>0.28437143714371443</v>
      </c>
      <c r="K23" s="16"/>
      <c r="L23" s="16" t="s">
        <v>161</v>
      </c>
      <c r="M23" s="16"/>
      <c r="N23" s="96"/>
      <c r="O23" s="26"/>
      <c r="P23" s="26"/>
      <c r="Q23" s="16"/>
      <c r="R23" s="16"/>
      <c r="T23" s="16"/>
      <c r="U23" s="16"/>
      <c r="V23" s="16"/>
      <c r="W23" s="16"/>
      <c r="X23" s="93"/>
      <c r="Y23" s="93"/>
      <c r="Z23" s="93"/>
    </row>
    <row r="24" spans="2:26" x14ac:dyDescent="0.25">
      <c r="B24" s="16"/>
      <c r="C24" s="16"/>
      <c r="D24" s="93" t="s">
        <v>41</v>
      </c>
      <c r="E24" s="16" t="s">
        <v>156</v>
      </c>
      <c r="F24" s="16"/>
      <c r="G24">
        <v>2030</v>
      </c>
      <c r="I24" s="26">
        <f>'86 PEMEC 100MW'!F15/100</f>
        <v>0.65500000000000003</v>
      </c>
      <c r="J24" s="26"/>
      <c r="K24" s="16">
        <v>0.98</v>
      </c>
      <c r="L24" s="16">
        <v>0.46</v>
      </c>
      <c r="M24" s="16">
        <v>25</v>
      </c>
      <c r="N24">
        <v>31.536000000000001</v>
      </c>
      <c r="O24" s="26">
        <f>'86 PEMEC 100MW'!F29/SUP_H2!I24</f>
        <v>992.36641221374043</v>
      </c>
      <c r="P24" s="26">
        <f t="shared" ref="P24:P28" si="1">O24*0.04</f>
        <v>39.694656488549619</v>
      </c>
      <c r="Q24" s="16"/>
      <c r="R24" s="16">
        <v>0.33</v>
      </c>
      <c r="T24" s="16"/>
      <c r="U24" s="16"/>
      <c r="V24" s="16"/>
      <c r="W24" s="16"/>
      <c r="X24" s="93"/>
      <c r="Y24" s="93"/>
      <c r="Z24" s="93"/>
    </row>
    <row r="25" spans="2:26" x14ac:dyDescent="0.25">
      <c r="B25" s="16"/>
      <c r="C25" s="16"/>
      <c r="D25" s="16"/>
      <c r="E25" s="16"/>
      <c r="F25" s="16" t="s">
        <v>160</v>
      </c>
      <c r="I25" s="26"/>
      <c r="J25" s="26">
        <v>0.19571257125712563</v>
      </c>
      <c r="K25" s="16"/>
      <c r="L25" s="16" t="s">
        <v>161</v>
      </c>
      <c r="M25" s="16"/>
      <c r="O25" s="26"/>
      <c r="P25" s="26"/>
      <c r="Q25" s="16"/>
      <c r="R25" s="16"/>
      <c r="T25" s="16"/>
      <c r="U25" s="16"/>
      <c r="V25" s="16"/>
      <c r="W25" s="16"/>
      <c r="X25" s="93"/>
      <c r="Y25" s="93"/>
      <c r="Z25" s="93"/>
    </row>
    <row r="26" spans="2:26" x14ac:dyDescent="0.25">
      <c r="B26" s="16"/>
      <c r="C26" s="16"/>
      <c r="D26" s="93" t="s">
        <v>41</v>
      </c>
      <c r="E26" s="16" t="s">
        <v>156</v>
      </c>
      <c r="F26" s="16"/>
      <c r="G26">
        <v>2040</v>
      </c>
      <c r="I26" s="26">
        <f>'86 PEMEC 100MW'!G15/100</f>
        <v>0.68</v>
      </c>
      <c r="J26" s="26"/>
      <c r="K26" s="16">
        <v>0.98</v>
      </c>
      <c r="L26" s="16">
        <v>0.46</v>
      </c>
      <c r="M26" s="16">
        <v>28</v>
      </c>
      <c r="N26">
        <v>31.536000000000001</v>
      </c>
      <c r="O26" s="26">
        <f>'86 PEMEC 100MW'!G29/SUP_H2!I26</f>
        <v>661.76470588235293</v>
      </c>
      <c r="P26" s="26">
        <f t="shared" si="1"/>
        <v>26.470588235294116</v>
      </c>
      <c r="Q26" s="16"/>
      <c r="R26" s="16">
        <v>0.33</v>
      </c>
      <c r="T26" s="16"/>
      <c r="U26" s="16"/>
      <c r="V26" s="16"/>
      <c r="W26" s="16"/>
      <c r="X26" s="93"/>
      <c r="Y26" s="93"/>
      <c r="Z26" s="93"/>
    </row>
    <row r="27" spans="2:26" x14ac:dyDescent="0.25">
      <c r="B27" s="16"/>
      <c r="C27" s="16"/>
      <c r="D27" s="16"/>
      <c r="E27" s="16"/>
      <c r="F27" s="16" t="s">
        <v>160</v>
      </c>
      <c r="I27" s="26"/>
      <c r="J27" s="26">
        <v>0.16615961596159623</v>
      </c>
      <c r="K27" s="16"/>
      <c r="L27" s="16" t="s">
        <v>161</v>
      </c>
      <c r="M27" s="16"/>
      <c r="O27" s="26"/>
      <c r="P27" s="26"/>
      <c r="Q27" s="16"/>
      <c r="R27" s="16"/>
      <c r="T27" s="16"/>
      <c r="U27" s="16"/>
      <c r="V27" s="16"/>
      <c r="W27" s="16"/>
    </row>
    <row r="28" spans="2:26" x14ac:dyDescent="0.25">
      <c r="B28" s="16"/>
      <c r="C28" s="16"/>
      <c r="D28" s="93" t="s">
        <v>41</v>
      </c>
      <c r="E28" s="16" t="s">
        <v>156</v>
      </c>
      <c r="F28" s="16"/>
      <c r="G28">
        <v>2050</v>
      </c>
      <c r="I28" s="26">
        <f>'86 PEMEC 100MW'!H15/100</f>
        <v>0.70499999999999996</v>
      </c>
      <c r="J28" s="26"/>
      <c r="K28" s="16">
        <v>0.98</v>
      </c>
      <c r="L28" s="16">
        <v>0.46</v>
      </c>
      <c r="M28" s="16">
        <v>30</v>
      </c>
      <c r="N28">
        <v>31.536000000000001</v>
      </c>
      <c r="O28" s="26">
        <f>'86 PEMEC 100MW'!H29/SUP_H2!I28</f>
        <v>567.3758865248227</v>
      </c>
      <c r="P28" s="26">
        <f t="shared" si="1"/>
        <v>22.695035460992909</v>
      </c>
      <c r="Q28" s="16"/>
      <c r="R28" s="16">
        <v>0.33</v>
      </c>
      <c r="T28" s="16"/>
      <c r="U28" s="16"/>
      <c r="V28" s="16"/>
      <c r="W28" s="16"/>
    </row>
    <row r="29" spans="2:26" ht="13.8" thickBot="1" x14ac:dyDescent="0.3">
      <c r="B29" s="16"/>
      <c r="C29" s="16"/>
      <c r="D29" s="16"/>
      <c r="E29" s="16"/>
      <c r="F29" s="16" t="s">
        <v>160</v>
      </c>
      <c r="G29" s="16"/>
      <c r="H29" s="16"/>
      <c r="I29" s="26"/>
      <c r="J29" s="26">
        <v>0.1366066606660668</v>
      </c>
      <c r="K29" s="16"/>
      <c r="L29" s="16" t="s">
        <v>161</v>
      </c>
      <c r="M29" s="16"/>
      <c r="N29" s="16"/>
      <c r="O29" s="16"/>
      <c r="P29" s="16"/>
      <c r="Q29" s="16"/>
      <c r="R29" s="16"/>
      <c r="T29" s="16"/>
      <c r="U29" s="16"/>
      <c r="V29" s="16"/>
      <c r="W29" s="16"/>
    </row>
    <row r="30" spans="2:26" x14ac:dyDescent="0.25">
      <c r="B30" s="106" t="s">
        <v>367</v>
      </c>
      <c r="C30" s="106" t="s">
        <v>368</v>
      </c>
      <c r="D30" s="106" t="s">
        <v>41</v>
      </c>
      <c r="E30" s="180" t="s">
        <v>156</v>
      </c>
      <c r="F30" s="106"/>
      <c r="G30" s="106">
        <v>2020</v>
      </c>
      <c r="H30" s="180">
        <v>2040</v>
      </c>
      <c r="I30" s="181">
        <v>0.77500000000000002</v>
      </c>
      <c r="J30" s="181"/>
      <c r="K30" s="180">
        <v>0.98599999999999999</v>
      </c>
      <c r="L30" s="180">
        <v>0.46</v>
      </c>
      <c r="M30" s="180">
        <v>10</v>
      </c>
      <c r="N30" s="180">
        <v>31.536000000000001</v>
      </c>
      <c r="O30" s="181">
        <f>'86 SOEC 1MW'!D27/SUP_H2!I30</f>
        <v>5794.2787583688369</v>
      </c>
      <c r="P30" s="181">
        <f>0.12*O30</f>
        <v>695.3134510042604</v>
      </c>
      <c r="Q30" s="180"/>
      <c r="R30" s="180">
        <v>0.33</v>
      </c>
      <c r="T30" s="16"/>
      <c r="U30" s="16"/>
      <c r="V30" s="16"/>
      <c r="W30" s="16"/>
    </row>
    <row r="31" spans="2:26" x14ac:dyDescent="0.25">
      <c r="B31" s="93"/>
      <c r="C31" s="93"/>
      <c r="D31" s="16"/>
      <c r="E31" s="16"/>
      <c r="F31" s="93" t="s">
        <v>160</v>
      </c>
      <c r="G31" s="93"/>
      <c r="H31" s="16"/>
      <c r="I31" s="16" t="s">
        <v>161</v>
      </c>
      <c r="J31" s="16">
        <v>0.20499999999999999</v>
      </c>
      <c r="K31" s="16"/>
      <c r="L31" s="16" t="s">
        <v>161</v>
      </c>
      <c r="M31" s="16"/>
      <c r="N31" s="96"/>
      <c r="O31" s="26"/>
      <c r="P31" s="26"/>
      <c r="Q31" s="16"/>
      <c r="R31" s="16"/>
      <c r="T31" s="16"/>
      <c r="U31" s="16"/>
      <c r="V31" s="16"/>
      <c r="W31" s="16"/>
    </row>
    <row r="32" spans="2:26" x14ac:dyDescent="0.25">
      <c r="B32" s="93"/>
      <c r="C32" s="93"/>
      <c r="D32" s="93" t="s">
        <v>41</v>
      </c>
      <c r="E32" s="16" t="s">
        <v>156</v>
      </c>
      <c r="F32" s="93"/>
      <c r="G32">
        <v>2030</v>
      </c>
      <c r="H32" s="16"/>
      <c r="I32" s="16">
        <v>0.80500000000000005</v>
      </c>
      <c r="J32" s="16"/>
      <c r="K32" s="16">
        <v>0.98599999999999999</v>
      </c>
      <c r="L32" s="16">
        <v>0.46</v>
      </c>
      <c r="M32" s="16">
        <v>20</v>
      </c>
      <c r="N32">
        <v>31.536000000000001</v>
      </c>
      <c r="O32" s="26">
        <f>'86 SOEC 1MW'!E27/SUP_H2!I32</f>
        <v>2361.0200223756797</v>
      </c>
      <c r="P32" s="26">
        <f t="shared" ref="P32:P36" si="2">0.12*O32</f>
        <v>283.32240268508156</v>
      </c>
      <c r="Q32" s="16"/>
      <c r="R32" s="16">
        <v>0.33</v>
      </c>
      <c r="T32" s="16"/>
      <c r="U32" s="16"/>
      <c r="V32" s="16"/>
      <c r="W32" s="16"/>
    </row>
    <row r="33" spans="2:23" x14ac:dyDescent="0.25">
      <c r="B33" s="93"/>
      <c r="C33" s="93"/>
      <c r="D33" s="16"/>
      <c r="E33" s="16"/>
      <c r="F33" s="93" t="s">
        <v>160</v>
      </c>
      <c r="H33" s="16"/>
      <c r="I33" s="16"/>
      <c r="J33" s="16">
        <v>0.19500000000000001</v>
      </c>
      <c r="K33" s="16"/>
      <c r="L33" s="16" t="s">
        <v>161</v>
      </c>
      <c r="M33" s="16"/>
      <c r="O33" s="26"/>
      <c r="P33" s="26"/>
      <c r="Q33" s="16"/>
      <c r="R33" s="16"/>
      <c r="T33" s="16"/>
      <c r="U33" s="16"/>
      <c r="V33" s="16"/>
      <c r="W33" s="16"/>
    </row>
    <row r="34" spans="2:23" x14ac:dyDescent="0.25">
      <c r="B34" s="93"/>
      <c r="C34" s="93"/>
      <c r="D34" s="93" t="s">
        <v>41</v>
      </c>
      <c r="E34" s="16" t="s">
        <v>156</v>
      </c>
      <c r="F34" s="93"/>
      <c r="G34">
        <v>2040</v>
      </c>
      <c r="H34" s="16"/>
      <c r="I34" s="16">
        <v>0.82</v>
      </c>
      <c r="J34" s="16"/>
      <c r="K34" s="16">
        <v>0.98599999999999999</v>
      </c>
      <c r="L34" s="16">
        <v>0.46</v>
      </c>
      <c r="M34" s="16">
        <v>20</v>
      </c>
      <c r="N34">
        <v>31.536000000000001</v>
      </c>
      <c r="O34" s="26">
        <f>'86 SOEC 1MW'!F27/SUP_H2!I34</f>
        <v>1636.4577141353388</v>
      </c>
      <c r="P34" s="26">
        <f t="shared" si="2"/>
        <v>196.37492569624067</v>
      </c>
      <c r="Q34" s="16"/>
      <c r="R34" s="16">
        <v>0.33</v>
      </c>
      <c r="T34" s="16"/>
      <c r="U34" s="16"/>
      <c r="V34" s="16"/>
      <c r="W34" s="16"/>
    </row>
    <row r="35" spans="2:23" x14ac:dyDescent="0.25">
      <c r="B35" s="93"/>
      <c r="C35" s="93"/>
      <c r="D35" s="16"/>
      <c r="E35" s="16"/>
      <c r="F35" s="93" t="s">
        <v>160</v>
      </c>
      <c r="H35" s="16"/>
      <c r="I35" s="16"/>
      <c r="J35" s="16">
        <v>0.18599999999999994</v>
      </c>
      <c r="K35" s="16"/>
      <c r="L35" s="16" t="s">
        <v>161</v>
      </c>
      <c r="M35" s="16"/>
      <c r="O35" s="26"/>
      <c r="P35" s="26"/>
      <c r="Q35" s="16"/>
      <c r="R35" s="16"/>
      <c r="T35" s="16"/>
      <c r="U35" s="16"/>
      <c r="V35" s="16"/>
      <c r="W35" s="16"/>
    </row>
    <row r="36" spans="2:23" x14ac:dyDescent="0.25">
      <c r="B36" s="93"/>
      <c r="C36" s="93"/>
      <c r="D36" s="93" t="s">
        <v>41</v>
      </c>
      <c r="E36" s="16" t="s">
        <v>156</v>
      </c>
      <c r="F36" s="93"/>
      <c r="G36">
        <v>2050</v>
      </c>
      <c r="H36" s="16"/>
      <c r="I36" s="16">
        <v>0.83499999999999996</v>
      </c>
      <c r="J36" s="16"/>
      <c r="K36" s="16">
        <v>0.98599999999999999</v>
      </c>
      <c r="L36" s="16">
        <v>0.46</v>
      </c>
      <c r="M36" s="16">
        <v>20</v>
      </c>
      <c r="N36">
        <v>31.536000000000001</v>
      </c>
      <c r="O36" s="26">
        <f>'86 SOEC 1MW'!G27/SUP_H2!I36</f>
        <v>937.92758463417147</v>
      </c>
      <c r="P36" s="26">
        <f t="shared" si="2"/>
        <v>112.55131015610057</v>
      </c>
      <c r="Q36" s="16"/>
      <c r="R36" s="16">
        <v>0.33</v>
      </c>
      <c r="T36" s="16"/>
      <c r="U36" s="16"/>
      <c r="V36" s="16"/>
      <c r="W36" s="16"/>
    </row>
    <row r="37" spans="2:23" ht="13.8" thickBot="1" x14ac:dyDescent="0.3">
      <c r="B37" s="93"/>
      <c r="C37" s="93"/>
      <c r="D37" s="93"/>
      <c r="E37" s="93"/>
      <c r="F37" s="93" t="s">
        <v>160</v>
      </c>
      <c r="G37" s="16"/>
      <c r="H37" s="16"/>
      <c r="I37" s="16"/>
      <c r="J37" s="16">
        <v>0.18599999999999994</v>
      </c>
      <c r="K37" s="16"/>
      <c r="L37" s="16"/>
      <c r="M37" s="16" t="s">
        <v>161</v>
      </c>
      <c r="N37" s="16"/>
      <c r="O37" s="16"/>
      <c r="P37" s="16"/>
      <c r="Q37" s="16"/>
      <c r="R37" s="16"/>
      <c r="T37" s="16"/>
      <c r="U37" s="16"/>
      <c r="V37" s="16"/>
      <c r="W37" s="16"/>
    </row>
    <row r="38" spans="2:23" x14ac:dyDescent="0.25">
      <c r="B38" s="182"/>
      <c r="C38" s="182"/>
      <c r="D38" s="182"/>
      <c r="E38" s="182"/>
      <c r="F38" s="182"/>
      <c r="G38" s="182"/>
      <c r="H38" s="182"/>
      <c r="I38" s="182"/>
      <c r="J38" s="182"/>
      <c r="K38" s="182"/>
      <c r="L38" s="182"/>
      <c r="M38" s="182"/>
      <c r="N38" s="182"/>
      <c r="O38" s="182"/>
      <c r="P38" s="182"/>
      <c r="Q38" s="182"/>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E38144-6FFD-46EA-9759-CF2AC7BDBF1C}">
  <dimension ref="A1:U14"/>
  <sheetViews>
    <sheetView zoomScale="73" workbookViewId="0">
      <selection activeCell="K14" sqref="K14"/>
    </sheetView>
  </sheetViews>
  <sheetFormatPr defaultRowHeight="13.2" x14ac:dyDescent="0.25"/>
  <cols>
    <col min="1" max="1" width="3" style="16" customWidth="1"/>
    <col min="2" max="2" width="15.109375" bestFit="1" customWidth="1"/>
    <col min="3" max="3" width="35" bestFit="1" customWidth="1"/>
    <col min="4" max="4" width="14.6640625" bestFit="1" customWidth="1"/>
    <col min="5" max="5" width="16" bestFit="1" customWidth="1"/>
    <col min="6" max="6" width="8.109375" bestFit="1" customWidth="1"/>
    <col min="7" max="7" width="14.44140625" bestFit="1" customWidth="1"/>
    <col min="8" max="8" width="14.88671875" bestFit="1" customWidth="1"/>
    <col min="9" max="9" width="15.5546875" bestFit="1" customWidth="1"/>
    <col min="10" max="10" width="15.109375" bestFit="1" customWidth="1"/>
    <col min="11" max="11" width="13.88671875" bestFit="1" customWidth="1"/>
    <col min="12" max="12" width="14.109375" bestFit="1" customWidth="1"/>
    <col min="13" max="13" width="3" style="16" customWidth="1"/>
    <col min="14" max="14" width="16.88671875" bestFit="1" customWidth="1"/>
    <col min="15" max="15" width="14.33203125" bestFit="1" customWidth="1"/>
    <col min="16" max="16" width="78.88671875" bestFit="1" customWidth="1"/>
    <col min="18" max="18" width="16.109375" customWidth="1"/>
    <col min="19" max="19" width="15.5546875" customWidth="1"/>
  </cols>
  <sheetData>
    <row r="1" spans="2:21" x14ac:dyDescent="0.25">
      <c r="N1" s="28" t="s">
        <v>14</v>
      </c>
      <c r="O1" s="29"/>
      <c r="P1" s="29"/>
      <c r="Q1" s="29"/>
      <c r="R1" s="29"/>
      <c r="S1" s="29"/>
      <c r="T1" s="29"/>
      <c r="U1" s="29"/>
    </row>
    <row r="2" spans="2:21" x14ac:dyDescent="0.25">
      <c r="N2" s="30" t="s">
        <v>7</v>
      </c>
      <c r="O2" s="30" t="s">
        <v>0</v>
      </c>
      <c r="P2" s="30" t="s">
        <v>3</v>
      </c>
      <c r="Q2" s="30" t="s">
        <v>4</v>
      </c>
      <c r="R2" s="30" t="s">
        <v>8</v>
      </c>
      <c r="S2" s="30" t="s">
        <v>9</v>
      </c>
      <c r="T2" s="30" t="s">
        <v>10</v>
      </c>
      <c r="U2" s="30" t="s">
        <v>12</v>
      </c>
    </row>
    <row r="3" spans="2:21" ht="21.6" thickBot="1" x14ac:dyDescent="0.3">
      <c r="N3" s="32" t="s">
        <v>34</v>
      </c>
      <c r="O3" s="32" t="s">
        <v>26</v>
      </c>
      <c r="P3" s="32" t="s">
        <v>27</v>
      </c>
      <c r="Q3" s="32" t="s">
        <v>4</v>
      </c>
      <c r="R3" s="32" t="s">
        <v>37</v>
      </c>
      <c r="S3" s="32" t="s">
        <v>38</v>
      </c>
      <c r="T3" s="32" t="s">
        <v>28</v>
      </c>
      <c r="U3" s="32" t="s">
        <v>29</v>
      </c>
    </row>
    <row r="4" spans="2:21" x14ac:dyDescent="0.25">
      <c r="N4" s="29" t="s">
        <v>44</v>
      </c>
      <c r="O4" t="s">
        <v>180</v>
      </c>
      <c r="P4" t="s">
        <v>181</v>
      </c>
      <c r="Q4" t="s">
        <v>45</v>
      </c>
      <c r="R4" s="29"/>
      <c r="S4" s="110" t="s">
        <v>224</v>
      </c>
      <c r="T4" s="29"/>
      <c r="U4" s="29"/>
    </row>
    <row r="10" spans="2:21" x14ac:dyDescent="0.25">
      <c r="B10" s="28" t="s">
        <v>13</v>
      </c>
      <c r="N10" s="28" t="s">
        <v>15</v>
      </c>
      <c r="O10" s="29"/>
      <c r="P10" s="29"/>
      <c r="Q10" s="29"/>
      <c r="R10" s="29"/>
      <c r="S10" s="29"/>
      <c r="T10" s="29"/>
      <c r="U10" s="29"/>
    </row>
    <row r="11" spans="2:21" x14ac:dyDescent="0.25">
      <c r="B11" s="30" t="s">
        <v>1</v>
      </c>
      <c r="C11" s="30" t="s">
        <v>2</v>
      </c>
      <c r="D11" s="30" t="s">
        <v>5</v>
      </c>
      <c r="E11" s="30" t="s">
        <v>6</v>
      </c>
      <c r="F11" s="30" t="s">
        <v>50</v>
      </c>
      <c r="G11" s="30" t="s">
        <v>57</v>
      </c>
      <c r="H11" s="30" t="s">
        <v>166</v>
      </c>
      <c r="I11" s="30" t="s">
        <v>70</v>
      </c>
      <c r="J11" s="30" t="s">
        <v>48</v>
      </c>
      <c r="K11" s="30" t="s">
        <v>49</v>
      </c>
      <c r="L11" s="30" t="s">
        <v>64</v>
      </c>
      <c r="N11" s="30" t="s">
        <v>11</v>
      </c>
      <c r="O11" s="30" t="s">
        <v>1</v>
      </c>
      <c r="P11" s="30" t="s">
        <v>2</v>
      </c>
      <c r="Q11" s="30" t="s">
        <v>16</v>
      </c>
      <c r="R11" s="30" t="s">
        <v>17</v>
      </c>
      <c r="S11" s="30" t="s">
        <v>18</v>
      </c>
      <c r="T11" s="30" t="s">
        <v>19</v>
      </c>
      <c r="U11" s="30" t="s">
        <v>20</v>
      </c>
    </row>
    <row r="12" spans="2:21" ht="31.8" thickBot="1" x14ac:dyDescent="0.3">
      <c r="B12" s="32" t="s">
        <v>167</v>
      </c>
      <c r="C12" s="32" t="s">
        <v>22</v>
      </c>
      <c r="D12" s="32" t="s">
        <v>32</v>
      </c>
      <c r="E12" s="32" t="s">
        <v>33</v>
      </c>
      <c r="F12" s="32" t="s">
        <v>52</v>
      </c>
      <c r="G12" s="32" t="s">
        <v>171</v>
      </c>
      <c r="H12" s="32" t="s">
        <v>172</v>
      </c>
      <c r="I12" s="32" t="s">
        <v>66</v>
      </c>
      <c r="J12" s="32" t="s">
        <v>173</v>
      </c>
      <c r="K12" s="32" t="s">
        <v>55</v>
      </c>
      <c r="L12" s="32" t="s">
        <v>65</v>
      </c>
      <c r="N12" s="32" t="s">
        <v>35</v>
      </c>
      <c r="O12" s="32" t="s">
        <v>21</v>
      </c>
      <c r="P12" s="32" t="s">
        <v>22</v>
      </c>
      <c r="Q12" s="32" t="s">
        <v>23</v>
      </c>
      <c r="R12" s="32" t="s">
        <v>24</v>
      </c>
      <c r="S12" s="32" t="s">
        <v>40</v>
      </c>
      <c r="T12" s="32" t="s">
        <v>39</v>
      </c>
      <c r="U12" s="32" t="s">
        <v>25</v>
      </c>
    </row>
    <row r="13" spans="2:21" ht="21.6" thickBot="1" x14ac:dyDescent="0.3">
      <c r="B13" s="32" t="s">
        <v>174</v>
      </c>
      <c r="C13" s="32"/>
      <c r="D13" s="32"/>
      <c r="E13" s="32"/>
      <c r="F13" s="32" t="s">
        <v>175</v>
      </c>
      <c r="G13" s="32"/>
      <c r="H13" s="32" t="s">
        <v>177</v>
      </c>
      <c r="I13" s="32"/>
      <c r="J13" s="32" t="s">
        <v>222</v>
      </c>
      <c r="K13" s="32" t="s">
        <v>222</v>
      </c>
      <c r="L13" s="32" t="s">
        <v>223</v>
      </c>
      <c r="N13" s="32" t="s">
        <v>47</v>
      </c>
      <c r="O13" s="32"/>
      <c r="P13" s="32"/>
      <c r="Q13" s="32"/>
      <c r="R13" s="32"/>
      <c r="S13" s="32"/>
      <c r="T13" s="32"/>
      <c r="U13" s="32"/>
    </row>
    <row r="14" spans="2:21" x14ac:dyDescent="0.25">
      <c r="B14" s="93" t="s">
        <v>178</v>
      </c>
      <c r="C14" s="93" t="s">
        <v>182</v>
      </c>
      <c r="D14" s="93" t="s">
        <v>156</v>
      </c>
      <c r="E14" s="93" t="s">
        <v>180</v>
      </c>
      <c r="F14" s="93">
        <v>1</v>
      </c>
      <c r="G14" s="98">
        <v>0.75</v>
      </c>
      <c r="H14" s="93">
        <v>20</v>
      </c>
      <c r="I14" s="93">
        <v>1</v>
      </c>
      <c r="J14" s="93">
        <f>45.79</f>
        <v>45.79</v>
      </c>
      <c r="K14" s="93">
        <f>1.9</f>
        <v>1.9</v>
      </c>
      <c r="L14" s="93">
        <f>0.24</f>
        <v>0.24</v>
      </c>
      <c r="N14" s="33" t="s">
        <v>60</v>
      </c>
      <c r="O14" s="93" t="s">
        <v>178</v>
      </c>
      <c r="P14" s="93" t="s">
        <v>179</v>
      </c>
      <c r="Q14" s="93" t="s">
        <v>45</v>
      </c>
      <c r="R14" s="93" t="s">
        <v>237</v>
      </c>
      <c r="S14" s="93" t="s">
        <v>224</v>
      </c>
      <c r="T14" s="93"/>
      <c r="U14" s="93" t="s">
        <v>244</v>
      </c>
    </row>
  </sheetData>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84244A-CC67-473B-8C74-2375AA9B644D}">
  <dimension ref="A1:AB30"/>
  <sheetViews>
    <sheetView topLeftCell="C1" zoomScale="85" zoomScaleNormal="80" workbookViewId="0">
      <selection activeCell="P16" sqref="P16"/>
    </sheetView>
  </sheetViews>
  <sheetFormatPr defaultRowHeight="13.2" x14ac:dyDescent="0.25"/>
  <cols>
    <col min="1" max="1" width="3" style="16" customWidth="1"/>
    <col min="2" max="2" width="14.44140625" bestFit="1" customWidth="1"/>
    <col min="3" max="3" width="47.6640625" bestFit="1" customWidth="1"/>
    <col min="4" max="4" width="12.44140625" bestFit="1" customWidth="1"/>
    <col min="5" max="5" width="10.33203125" bestFit="1" customWidth="1"/>
    <col min="6" max="6" width="12.44140625" bestFit="1" customWidth="1"/>
    <col min="7" max="7" width="14.88671875" bestFit="1" customWidth="1"/>
    <col min="15" max="15" width="10.5546875" bestFit="1" customWidth="1"/>
    <col min="16" max="16" width="9.88671875" bestFit="1" customWidth="1"/>
    <col min="17" max="17" width="9.44140625" bestFit="1" customWidth="1"/>
    <col min="22" max="22" width="14.44140625" bestFit="1" customWidth="1"/>
    <col min="23" max="23" width="47.6640625" bestFit="1" customWidth="1"/>
    <col min="25" max="25" width="12.88671875" customWidth="1"/>
    <col min="26" max="26" width="16.33203125" customWidth="1"/>
    <col min="27" max="27" width="18" customWidth="1"/>
    <col min="28" max="28" width="8.6640625" bestFit="1" customWidth="1"/>
  </cols>
  <sheetData>
    <row r="1" spans="2:28" x14ac:dyDescent="0.25">
      <c r="U1" s="28" t="s">
        <v>14</v>
      </c>
      <c r="V1" s="29"/>
      <c r="W1" s="29"/>
      <c r="X1" s="29"/>
      <c r="Y1" s="29"/>
      <c r="Z1" s="29"/>
      <c r="AA1" s="29"/>
      <c r="AB1" s="29"/>
    </row>
    <row r="2" spans="2:28" x14ac:dyDescent="0.25">
      <c r="U2" s="30" t="s">
        <v>7</v>
      </c>
      <c r="V2" s="30" t="s">
        <v>0</v>
      </c>
      <c r="W2" s="30" t="s">
        <v>3</v>
      </c>
      <c r="X2" s="30" t="s">
        <v>4</v>
      </c>
      <c r="Y2" s="30" t="s">
        <v>8</v>
      </c>
      <c r="Z2" s="30" t="s">
        <v>9</v>
      </c>
      <c r="AA2" s="30" t="s">
        <v>10</v>
      </c>
      <c r="AB2" s="30" t="s">
        <v>12</v>
      </c>
    </row>
    <row r="3" spans="2:28" ht="31.8" thickBot="1" x14ac:dyDescent="0.3">
      <c r="U3" s="32" t="s">
        <v>34</v>
      </c>
      <c r="V3" s="32" t="s">
        <v>26</v>
      </c>
      <c r="W3" s="32" t="s">
        <v>27</v>
      </c>
      <c r="X3" s="32" t="s">
        <v>4</v>
      </c>
      <c r="Y3" s="32" t="s">
        <v>37</v>
      </c>
      <c r="Z3" s="32" t="s">
        <v>38</v>
      </c>
      <c r="AA3" s="32" t="s">
        <v>28</v>
      </c>
      <c r="AB3" s="32" t="s">
        <v>29</v>
      </c>
    </row>
    <row r="4" spans="2:28" x14ac:dyDescent="0.25">
      <c r="U4" s="29" t="s">
        <v>44</v>
      </c>
      <c r="V4" t="s">
        <v>212</v>
      </c>
      <c r="W4" t="s">
        <v>213</v>
      </c>
      <c r="X4" t="s">
        <v>45</v>
      </c>
      <c r="Y4" s="29"/>
      <c r="Z4" s="110" t="s">
        <v>224</v>
      </c>
      <c r="AA4" s="29"/>
      <c r="AB4" s="29"/>
    </row>
    <row r="10" spans="2:28" x14ac:dyDescent="0.25">
      <c r="B10" s="97" t="s">
        <v>13</v>
      </c>
      <c r="C10" s="93"/>
      <c r="D10" s="93"/>
      <c r="E10" s="93"/>
      <c r="F10" s="97"/>
      <c r="G10" s="97"/>
      <c r="H10" s="97"/>
      <c r="I10" s="97"/>
      <c r="J10" s="97"/>
      <c r="K10" s="97"/>
      <c r="L10" s="93"/>
      <c r="M10" s="93"/>
      <c r="N10" s="93"/>
      <c r="O10" s="93"/>
      <c r="P10" s="93"/>
      <c r="Q10" s="93"/>
      <c r="R10" s="93"/>
      <c r="S10" s="93"/>
      <c r="U10" s="28" t="s">
        <v>15</v>
      </c>
      <c r="V10" s="29"/>
      <c r="W10" s="29"/>
      <c r="X10" s="29"/>
      <c r="Y10" s="29"/>
      <c r="Z10" s="29"/>
      <c r="AA10" s="29"/>
      <c r="AB10" s="29"/>
    </row>
    <row r="11" spans="2:28" x14ac:dyDescent="0.25">
      <c r="B11" s="30" t="s">
        <v>1</v>
      </c>
      <c r="C11" s="30" t="s">
        <v>2</v>
      </c>
      <c r="D11" s="30" t="s">
        <v>216</v>
      </c>
      <c r="E11" s="30" t="s">
        <v>5</v>
      </c>
      <c r="F11" s="30" t="s">
        <v>6</v>
      </c>
      <c r="G11" s="30" t="s">
        <v>162</v>
      </c>
      <c r="H11" s="30" t="s">
        <v>61</v>
      </c>
      <c r="I11" s="30" t="s">
        <v>68</v>
      </c>
      <c r="J11" s="30" t="s">
        <v>50</v>
      </c>
      <c r="K11" s="30" t="s">
        <v>163</v>
      </c>
      <c r="L11" s="30" t="s">
        <v>164</v>
      </c>
      <c r="M11" s="30" t="s">
        <v>57</v>
      </c>
      <c r="N11" s="30" t="s">
        <v>166</v>
      </c>
      <c r="O11" s="30" t="s">
        <v>70</v>
      </c>
      <c r="P11" s="30" t="s">
        <v>48</v>
      </c>
      <c r="Q11" s="30" t="s">
        <v>49</v>
      </c>
      <c r="R11" s="30" t="s">
        <v>64</v>
      </c>
      <c r="S11" s="30" t="s">
        <v>470</v>
      </c>
      <c r="U11" s="30" t="s">
        <v>11</v>
      </c>
      <c r="V11" s="30" t="s">
        <v>1</v>
      </c>
      <c r="W11" s="30" t="s">
        <v>2</v>
      </c>
      <c r="X11" s="30" t="s">
        <v>16</v>
      </c>
      <c r="Y11" s="30" t="s">
        <v>17</v>
      </c>
      <c r="Z11" s="30" t="s">
        <v>18</v>
      </c>
      <c r="AA11" s="30" t="s">
        <v>19</v>
      </c>
      <c r="AB11" s="30" t="s">
        <v>20</v>
      </c>
    </row>
    <row r="12" spans="2:28" ht="31.8" thickBot="1" x14ac:dyDescent="0.3">
      <c r="B12" s="32" t="s">
        <v>167</v>
      </c>
      <c r="C12" s="32" t="s">
        <v>22</v>
      </c>
      <c r="D12" s="32" t="s">
        <v>217</v>
      </c>
      <c r="E12" s="32" t="s">
        <v>32</v>
      </c>
      <c r="F12" s="32" t="s">
        <v>33</v>
      </c>
      <c r="G12" s="32" t="s">
        <v>168</v>
      </c>
      <c r="H12" s="32"/>
      <c r="I12" s="32"/>
      <c r="J12" s="32" t="s">
        <v>218</v>
      </c>
      <c r="K12" s="32" t="s">
        <v>169</v>
      </c>
      <c r="L12" s="32" t="s">
        <v>170</v>
      </c>
      <c r="M12" s="32" t="s">
        <v>171</v>
      </c>
      <c r="N12" s="32" t="s">
        <v>172</v>
      </c>
      <c r="O12" s="32" t="s">
        <v>66</v>
      </c>
      <c r="P12" s="32" t="s">
        <v>173</v>
      </c>
      <c r="Q12" s="32" t="s">
        <v>55</v>
      </c>
      <c r="R12" s="32" t="s">
        <v>65</v>
      </c>
      <c r="S12" s="32" t="s">
        <v>471</v>
      </c>
      <c r="U12" s="32" t="s">
        <v>35</v>
      </c>
      <c r="V12" s="32" t="s">
        <v>21</v>
      </c>
      <c r="W12" s="32" t="s">
        <v>22</v>
      </c>
      <c r="X12" s="32" t="s">
        <v>23</v>
      </c>
      <c r="Y12" s="32" t="s">
        <v>24</v>
      </c>
      <c r="Z12" s="32" t="s">
        <v>40</v>
      </c>
      <c r="AA12" s="32" t="s">
        <v>39</v>
      </c>
      <c r="AB12" s="32" t="s">
        <v>25</v>
      </c>
    </row>
    <row r="13" spans="2:28" ht="13.8" thickBot="1" x14ac:dyDescent="0.3">
      <c r="B13" s="32" t="s">
        <v>174</v>
      </c>
      <c r="C13" s="32"/>
      <c r="D13" s="32"/>
      <c r="E13" s="32"/>
      <c r="F13" s="32"/>
      <c r="G13" s="32"/>
      <c r="H13" s="32"/>
      <c r="I13" s="32"/>
      <c r="J13" s="32" t="s">
        <v>219</v>
      </c>
      <c r="K13" s="32" t="s">
        <v>220</v>
      </c>
      <c r="L13" s="32" t="s">
        <v>220</v>
      </c>
      <c r="M13" s="32" t="s">
        <v>221</v>
      </c>
      <c r="N13" s="32" t="s">
        <v>177</v>
      </c>
      <c r="O13" s="32" t="s">
        <v>231</v>
      </c>
      <c r="P13" s="184" t="s">
        <v>235</v>
      </c>
      <c r="Q13" s="184" t="s">
        <v>235</v>
      </c>
      <c r="R13" s="32" t="s">
        <v>236</v>
      </c>
      <c r="S13" s="184" t="s">
        <v>177</v>
      </c>
      <c r="U13" s="32" t="s">
        <v>47</v>
      </c>
      <c r="V13" s="32"/>
      <c r="W13" s="32"/>
      <c r="X13" s="32"/>
      <c r="Y13" s="32"/>
      <c r="Z13" s="32"/>
      <c r="AA13" s="32"/>
      <c r="AB13" s="32"/>
    </row>
    <row r="14" spans="2:28" x14ac:dyDescent="0.25">
      <c r="B14" s="106" t="s">
        <v>214</v>
      </c>
      <c r="C14" s="106" t="s">
        <v>215</v>
      </c>
      <c r="D14" s="106"/>
      <c r="E14" s="106" t="s">
        <v>180</v>
      </c>
      <c r="F14" s="106" t="s">
        <v>212</v>
      </c>
      <c r="G14" s="106"/>
      <c r="H14" s="106">
        <v>2020</v>
      </c>
      <c r="I14" s="106">
        <v>2030</v>
      </c>
      <c r="J14" s="107">
        <f>ROUND('103 Hydrogen to Ammonia'!C15/'103 Hydrogen to Ammonia'!C12,3)</f>
        <v>0.86899999999999999</v>
      </c>
      <c r="K14" s="96"/>
      <c r="L14" s="96"/>
      <c r="M14" s="108">
        <f>1-SUM('103 Hydrogen to Ammonia'!$C$19:$C$20)</f>
        <v>0.92</v>
      </c>
      <c r="N14" s="109">
        <v>30</v>
      </c>
      <c r="O14" s="16">
        <v>31.536000000000001</v>
      </c>
      <c r="P14" s="181">
        <f>'103 Hydrogen to Ammonia'!C25*1000</f>
        <v>1686.8595874547716</v>
      </c>
      <c r="Q14" s="26">
        <f>'103 Hydrogen to Ammonia'!C28</f>
        <v>50.605787623643153</v>
      </c>
      <c r="R14" s="26">
        <f>'103 Hydrogen to Ammonia'!C29/(0.0000036*1000000)</f>
        <v>5.9077777777777783E-3</v>
      </c>
      <c r="S14" s="26">
        <v>2</v>
      </c>
      <c r="U14" s="33" t="s">
        <v>60</v>
      </c>
      <c r="V14" s="92" t="s">
        <v>214</v>
      </c>
      <c r="W14" s="92" t="s">
        <v>215</v>
      </c>
      <c r="X14" s="92" t="s">
        <v>45</v>
      </c>
      <c r="Y14" s="92" t="s">
        <v>62</v>
      </c>
      <c r="Z14" s="93" t="s">
        <v>224</v>
      </c>
      <c r="AA14" s="93" t="s">
        <v>212</v>
      </c>
      <c r="AB14" s="92" t="s">
        <v>244</v>
      </c>
    </row>
    <row r="15" spans="2:28" x14ac:dyDescent="0.25">
      <c r="D15" s="93" t="s">
        <v>41</v>
      </c>
      <c r="E15" s="93"/>
      <c r="F15" s="93"/>
      <c r="G15" s="93" t="s">
        <v>160</v>
      </c>
      <c r="H15" s="93"/>
      <c r="I15" s="93"/>
      <c r="J15" s="96"/>
      <c r="K15" s="96">
        <f>'103 Hydrogen to Ammonia'!C13/'103 Hydrogen to Ammonia'!C15*'103 Hydrogen to Ammonia'!C32</f>
        <v>7.0194410692588111E-2</v>
      </c>
      <c r="L15" s="96">
        <f>ROUND(SUM('103 Hydrogen to Ammonia'!C16:C17)/'103 Hydrogen to Ammonia'!C15,3)</f>
        <v>0.17699999999999999</v>
      </c>
      <c r="M15" s="94"/>
      <c r="N15" s="95"/>
      <c r="O15" s="16"/>
      <c r="P15" s="94"/>
      <c r="Q15" s="26"/>
      <c r="R15" s="26"/>
      <c r="S15" s="26"/>
    </row>
    <row r="16" spans="2:28" x14ac:dyDescent="0.25">
      <c r="D16" s="93"/>
      <c r="E16" s="93" t="s">
        <v>180</v>
      </c>
      <c r="F16" s="93" t="s">
        <v>212</v>
      </c>
      <c r="G16" s="93"/>
      <c r="H16" s="93">
        <v>2030</v>
      </c>
      <c r="J16" s="183">
        <f>J14</f>
        <v>0.86899999999999999</v>
      </c>
      <c r="K16" s="96"/>
      <c r="L16" s="96"/>
      <c r="M16" s="94">
        <f>1-SUM('103 Hydrogen to Ammonia'!$D$19:$D$20)</f>
        <v>0.94</v>
      </c>
      <c r="N16" s="95">
        <f>N14</f>
        <v>30</v>
      </c>
      <c r="O16" s="16">
        <v>31.536000000000001</v>
      </c>
      <c r="P16" s="94">
        <f>'103 Hydrogen to Ammonia'!D25*1000</f>
        <v>1379.6859290771877</v>
      </c>
      <c r="Q16" s="26">
        <f>'103 Hydrogen to Ammonia'!D28</f>
        <v>41.390577872315625</v>
      </c>
      <c r="R16" s="26">
        <f>'103 Hydrogen to Ammonia'!D29/(0.0000036*1000000)</f>
        <v>5.9077777777777783E-3</v>
      </c>
      <c r="S16" s="26">
        <v>2</v>
      </c>
    </row>
    <row r="17" spans="2:27" x14ac:dyDescent="0.25">
      <c r="D17" s="93" t="s">
        <v>41</v>
      </c>
      <c r="E17" s="93"/>
      <c r="F17" s="93"/>
      <c r="G17" s="93" t="s">
        <v>160</v>
      </c>
      <c r="H17" s="93"/>
      <c r="J17" s="183"/>
      <c r="K17" s="183">
        <f>K15</f>
        <v>7.0194410692588111E-2</v>
      </c>
      <c r="L17" s="183">
        <f>L15</f>
        <v>0.17699999999999999</v>
      </c>
      <c r="M17" s="94"/>
      <c r="N17" s="95"/>
      <c r="O17" s="16"/>
      <c r="P17" s="94"/>
      <c r="Q17" s="26"/>
      <c r="R17" s="26"/>
      <c r="S17" s="26"/>
      <c r="V17" s="104"/>
      <c r="W17" s="104"/>
    </row>
    <row r="18" spans="2:27" x14ac:dyDescent="0.25">
      <c r="D18" s="93"/>
      <c r="E18" s="93" t="str">
        <f>E16</f>
        <v>H2</v>
      </c>
      <c r="F18" s="93" t="str">
        <f>F16</f>
        <v>AMM</v>
      </c>
      <c r="G18" s="93"/>
      <c r="H18" s="93">
        <v>2040</v>
      </c>
      <c r="J18" s="183">
        <f>J16</f>
        <v>0.86899999999999999</v>
      </c>
      <c r="K18" s="96"/>
      <c r="L18" s="96"/>
      <c r="M18" s="94">
        <f>1-SUM('103 Hydrogen to Ammonia'!$E$19:$E$20)</f>
        <v>0.94</v>
      </c>
      <c r="N18" s="95">
        <f>N16</f>
        <v>30</v>
      </c>
      <c r="O18" s="16">
        <v>31.536000000000001</v>
      </c>
      <c r="P18" s="94">
        <f>'103 Hydrogen to Ammonia'!E25*1000</f>
        <v>1128.4479615554369</v>
      </c>
      <c r="Q18" s="26">
        <f>'103 Hydrogen to Ammonia'!E28</f>
        <v>33.853438846663103</v>
      </c>
      <c r="R18" s="26">
        <f>'103 Hydrogen to Ammonia'!E29/(0.0000036*1000000)</f>
        <v>5.9077777777777783E-3</v>
      </c>
      <c r="S18" s="26">
        <v>2</v>
      </c>
      <c r="V18" s="104"/>
      <c r="W18" s="104"/>
    </row>
    <row r="19" spans="2:27" x14ac:dyDescent="0.25">
      <c r="D19" s="93" t="s">
        <v>41</v>
      </c>
      <c r="E19" s="93"/>
      <c r="F19" s="93"/>
      <c r="G19" s="93" t="s">
        <v>160</v>
      </c>
      <c r="H19" s="93"/>
      <c r="J19" s="183"/>
      <c r="K19" s="183">
        <f>K17</f>
        <v>7.0194410692588111E-2</v>
      </c>
      <c r="L19" s="183">
        <f>L17</f>
        <v>0.17699999999999999</v>
      </c>
      <c r="M19" s="94"/>
      <c r="N19" s="95"/>
      <c r="O19" s="16"/>
      <c r="P19" s="94"/>
      <c r="Q19" s="26"/>
      <c r="R19" s="26"/>
      <c r="S19" s="26"/>
      <c r="U19" s="93"/>
      <c r="V19" s="104"/>
      <c r="W19" s="104"/>
    </row>
    <row r="20" spans="2:27" x14ac:dyDescent="0.25">
      <c r="D20" s="93"/>
      <c r="E20" s="93" t="str">
        <f>E18</f>
        <v>H2</v>
      </c>
      <c r="F20" s="93" t="str">
        <f>F18</f>
        <v>AMM</v>
      </c>
      <c r="G20" s="93"/>
      <c r="H20" s="93">
        <v>2050</v>
      </c>
      <c r="J20" s="183">
        <f>J18</f>
        <v>0.86899999999999999</v>
      </c>
      <c r="K20" s="96"/>
      <c r="L20" s="96"/>
      <c r="M20" s="94">
        <f>1-SUM('103 Hydrogen to Ammonia'!$F$19:$F$20)</f>
        <v>0.95</v>
      </c>
      <c r="N20" s="95">
        <f>N18</f>
        <v>30</v>
      </c>
      <c r="O20" s="16">
        <v>31.536000000000001</v>
      </c>
      <c r="P20" s="94">
        <f>'103 Hydrogen to Ammonia'!F25*1000</f>
        <v>865.12514262115735</v>
      </c>
      <c r="Q20" s="26">
        <f>'103 Hydrogen to Ammonia'!F28</f>
        <v>25.953754278634719</v>
      </c>
      <c r="R20" s="26">
        <f>'103 Hydrogen to Ammonia'!F29/(0.0000036*1000000)</f>
        <v>5.9077777777777783E-3</v>
      </c>
      <c r="S20" s="26">
        <v>2</v>
      </c>
      <c r="U20" s="93"/>
      <c r="V20" s="104"/>
      <c r="W20" s="104"/>
    </row>
    <row r="21" spans="2:27" ht="13.8" thickBot="1" x14ac:dyDescent="0.3">
      <c r="D21" s="93" t="s">
        <v>41</v>
      </c>
      <c r="E21" s="93"/>
      <c r="F21" s="93"/>
      <c r="G21" s="93" t="s">
        <v>160</v>
      </c>
      <c r="J21" s="183"/>
      <c r="K21" s="183">
        <f>K19</f>
        <v>7.0194410692588111E-2</v>
      </c>
      <c r="L21" s="183">
        <f>L19</f>
        <v>0.17699999999999999</v>
      </c>
      <c r="M21" s="94"/>
      <c r="N21" s="96"/>
      <c r="U21" s="93"/>
      <c r="V21" s="104"/>
      <c r="W21" s="104"/>
    </row>
    <row r="22" spans="2:27" x14ac:dyDescent="0.25">
      <c r="M22" s="109"/>
      <c r="U22" s="93"/>
      <c r="V22" s="105"/>
      <c r="W22" s="105"/>
    </row>
    <row r="23" spans="2:27" x14ac:dyDescent="0.25">
      <c r="U23" s="93"/>
      <c r="V23" s="104"/>
      <c r="W23" s="104"/>
    </row>
    <row r="24" spans="2:27" x14ac:dyDescent="0.25">
      <c r="B24" s="93"/>
      <c r="C24" s="93"/>
      <c r="M24" s="94"/>
      <c r="N24" s="95"/>
      <c r="O24" s="96"/>
      <c r="P24" s="94"/>
      <c r="Q24" s="94"/>
      <c r="R24" s="112"/>
      <c r="S24" s="112"/>
      <c r="U24" s="93"/>
      <c r="V24" s="104"/>
      <c r="W24" s="104"/>
    </row>
    <row r="25" spans="2:27" x14ac:dyDescent="0.25">
      <c r="B25" s="93"/>
      <c r="C25" s="93"/>
      <c r="D25" s="93"/>
      <c r="E25" s="93"/>
      <c r="F25" s="93"/>
      <c r="G25" s="93"/>
      <c r="H25" s="93"/>
      <c r="I25" s="93"/>
      <c r="J25" s="93"/>
      <c r="K25" s="93"/>
      <c r="L25" s="93"/>
      <c r="M25" s="93"/>
      <c r="N25" s="93"/>
      <c r="O25" s="93"/>
      <c r="P25" s="93"/>
      <c r="Q25" s="93"/>
      <c r="R25" s="93"/>
      <c r="S25" s="93"/>
      <c r="U25" s="93"/>
      <c r="V25" s="93"/>
      <c r="W25" s="93"/>
      <c r="X25" s="93"/>
      <c r="Y25" s="93"/>
      <c r="Z25" s="93"/>
      <c r="AA25" s="93"/>
    </row>
    <row r="26" spans="2:27" x14ac:dyDescent="0.25">
      <c r="B26" s="93"/>
      <c r="C26" s="93"/>
      <c r="D26" s="93"/>
      <c r="E26" s="93"/>
      <c r="F26" s="93"/>
      <c r="G26" s="93"/>
      <c r="H26" s="93"/>
      <c r="I26" s="93"/>
      <c r="J26" s="93"/>
      <c r="K26" s="93"/>
      <c r="L26" s="93"/>
      <c r="M26" s="93"/>
      <c r="N26" s="93"/>
      <c r="O26" s="93"/>
      <c r="P26" s="93"/>
      <c r="Q26" s="93"/>
      <c r="R26" s="93"/>
      <c r="S26" s="93"/>
      <c r="U26" s="93"/>
      <c r="V26" s="93"/>
      <c r="W26" s="93"/>
      <c r="X26" s="93"/>
      <c r="Y26" s="93"/>
      <c r="Z26" s="93"/>
      <c r="AA26" s="93"/>
    </row>
    <row r="27" spans="2:27" x14ac:dyDescent="0.25">
      <c r="B27" s="93"/>
      <c r="C27" s="93"/>
      <c r="D27" s="93"/>
      <c r="E27" s="93"/>
      <c r="F27" s="93"/>
      <c r="G27" s="93"/>
      <c r="H27" s="93"/>
      <c r="I27" s="93"/>
      <c r="J27" s="93"/>
      <c r="K27" s="93"/>
      <c r="L27" s="93"/>
      <c r="M27" s="93"/>
      <c r="N27" s="93"/>
      <c r="O27" s="93"/>
      <c r="P27" s="93"/>
      <c r="Q27" s="93"/>
      <c r="R27" s="93"/>
      <c r="S27" s="93"/>
      <c r="U27" s="93"/>
      <c r="V27" s="93"/>
      <c r="W27" s="93"/>
      <c r="X27" s="93"/>
      <c r="Y27" s="93"/>
      <c r="Z27" s="93"/>
      <c r="AA27" s="93"/>
    </row>
    <row r="28" spans="2:27" x14ac:dyDescent="0.25">
      <c r="B28" s="93"/>
      <c r="C28" s="93"/>
      <c r="D28" s="93"/>
      <c r="E28" s="93"/>
      <c r="F28" s="93"/>
      <c r="G28" s="93"/>
      <c r="H28" s="93"/>
      <c r="I28" s="93"/>
      <c r="J28" s="93"/>
      <c r="K28" s="93"/>
      <c r="L28" s="93"/>
      <c r="M28" s="93"/>
      <c r="N28" s="93"/>
      <c r="O28" s="93"/>
      <c r="P28" s="93"/>
      <c r="Q28" s="93"/>
      <c r="R28" s="93"/>
      <c r="S28" s="93"/>
      <c r="U28" s="93"/>
      <c r="V28" s="93"/>
      <c r="W28" s="93"/>
      <c r="X28" s="93"/>
      <c r="Y28" s="93"/>
      <c r="Z28" s="93"/>
      <c r="AA28" s="93"/>
    </row>
    <row r="29" spans="2:27" x14ac:dyDescent="0.25">
      <c r="B29" s="93"/>
      <c r="C29" s="93"/>
      <c r="D29" s="93"/>
      <c r="E29" s="93"/>
      <c r="F29" s="93"/>
      <c r="G29" s="93"/>
      <c r="H29" s="93"/>
      <c r="I29" s="93"/>
      <c r="J29" s="93"/>
      <c r="K29" s="93"/>
      <c r="L29" s="93"/>
      <c r="M29" s="93"/>
      <c r="N29" s="93"/>
      <c r="O29" s="93"/>
      <c r="P29" s="93"/>
      <c r="Q29" s="93"/>
      <c r="R29" s="93"/>
      <c r="S29" s="93"/>
      <c r="U29" s="93"/>
      <c r="V29" s="93"/>
      <c r="W29" s="93"/>
      <c r="X29" s="93"/>
      <c r="Y29" s="93"/>
      <c r="Z29" s="93"/>
      <c r="AA29" s="93"/>
    </row>
    <row r="30" spans="2:27" x14ac:dyDescent="0.25">
      <c r="B30" s="93"/>
      <c r="C30" s="93"/>
      <c r="D30" s="93"/>
      <c r="E30" s="93"/>
      <c r="F30" s="93"/>
      <c r="G30" s="93"/>
      <c r="H30" s="93"/>
      <c r="I30" s="93"/>
      <c r="J30" s="93"/>
      <c r="K30" s="93"/>
      <c r="L30" s="93"/>
      <c r="M30" s="93"/>
      <c r="N30" s="93"/>
      <c r="O30" s="93"/>
      <c r="P30" s="93"/>
      <c r="Q30" s="93"/>
      <c r="R30" s="93"/>
      <c r="S30" s="93"/>
      <c r="U30" s="93"/>
      <c r="V30" s="93"/>
      <c r="W30" s="93"/>
      <c r="X30" s="93"/>
      <c r="Y30" s="93"/>
      <c r="Z30" s="93"/>
      <c r="AA30" s="93"/>
    </row>
  </sheetData>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69A0A5-97B0-4B60-A940-361621C66501}">
  <dimension ref="D5:AG20"/>
  <sheetViews>
    <sheetView topLeftCell="E3" zoomScale="84" zoomScaleNormal="84" workbookViewId="0">
      <selection activeCell="K13" sqref="K13"/>
    </sheetView>
  </sheetViews>
  <sheetFormatPr defaultRowHeight="13.2" x14ac:dyDescent="0.25"/>
  <cols>
    <col min="4" max="4" width="10.109375" bestFit="1" customWidth="1"/>
    <col min="5" max="5" width="20.33203125" bestFit="1" customWidth="1"/>
    <col min="6" max="6" width="10.88671875" bestFit="1" customWidth="1"/>
    <col min="7" max="7" width="9" bestFit="1" customWidth="1"/>
    <col min="8" max="8" width="11.109375" bestFit="1" customWidth="1"/>
    <col min="9" max="9" width="13.109375" bestFit="1" customWidth="1"/>
    <col min="13" max="13" width="23.6640625" bestFit="1" customWidth="1"/>
    <col min="18" max="18" width="11" bestFit="1" customWidth="1"/>
    <col min="27" max="27" width="11.44140625" bestFit="1" customWidth="1"/>
    <col min="28" max="28" width="25.44140625" bestFit="1" customWidth="1"/>
  </cols>
  <sheetData>
    <row r="5" spans="4:33" x14ac:dyDescent="0.25">
      <c r="Z5" s="28" t="s">
        <v>14</v>
      </c>
      <c r="AA5" s="29"/>
      <c r="AB5" s="29"/>
      <c r="AC5" s="29"/>
      <c r="AD5" s="29"/>
      <c r="AE5" s="29"/>
      <c r="AF5" s="29"/>
      <c r="AG5" s="29"/>
    </row>
    <row r="6" spans="4:33" x14ac:dyDescent="0.25">
      <c r="Z6" s="30" t="s">
        <v>7</v>
      </c>
      <c r="AA6" s="30" t="s">
        <v>0</v>
      </c>
      <c r="AB6" s="30" t="s">
        <v>3</v>
      </c>
      <c r="AC6" s="30" t="s">
        <v>4</v>
      </c>
      <c r="AD6" s="30" t="s">
        <v>8</v>
      </c>
      <c r="AE6" s="30" t="s">
        <v>9</v>
      </c>
      <c r="AF6" s="30" t="s">
        <v>10</v>
      </c>
      <c r="AG6" s="30" t="s">
        <v>12</v>
      </c>
    </row>
    <row r="7" spans="4:33" ht="31.8" thickBot="1" x14ac:dyDescent="0.3">
      <c r="Z7" s="32" t="s">
        <v>34</v>
      </c>
      <c r="AA7" s="32" t="s">
        <v>26</v>
      </c>
      <c r="AB7" s="32" t="s">
        <v>27</v>
      </c>
      <c r="AC7" s="32" t="s">
        <v>4</v>
      </c>
      <c r="AD7" s="32" t="s">
        <v>37</v>
      </c>
      <c r="AE7" s="32" t="s">
        <v>38</v>
      </c>
      <c r="AF7" s="32" t="s">
        <v>28</v>
      </c>
      <c r="AG7" s="32" t="s">
        <v>29</v>
      </c>
    </row>
    <row r="8" spans="4:33" x14ac:dyDescent="0.25">
      <c r="Z8" s="29" t="s">
        <v>44</v>
      </c>
      <c r="AA8" t="s">
        <v>509</v>
      </c>
      <c r="AB8" t="s">
        <v>510</v>
      </c>
      <c r="AC8" t="s">
        <v>514</v>
      </c>
      <c r="AD8" s="29"/>
      <c r="AE8" s="110" t="s">
        <v>224</v>
      </c>
    </row>
    <row r="9" spans="4:33" x14ac:dyDescent="0.25">
      <c r="D9" s="97" t="s">
        <v>13</v>
      </c>
      <c r="E9" s="93"/>
      <c r="F9" s="93"/>
      <c r="G9" s="93"/>
      <c r="H9" s="97"/>
      <c r="I9" s="97"/>
      <c r="J9" s="97"/>
      <c r="K9" s="97"/>
      <c r="L9" s="97"/>
      <c r="M9" s="97"/>
      <c r="N9" s="93"/>
      <c r="O9" s="93"/>
      <c r="P9" s="93"/>
      <c r="Q9" s="93"/>
      <c r="R9" s="93"/>
      <c r="S9" s="93"/>
      <c r="T9" s="93"/>
      <c r="U9" s="93"/>
      <c r="Z9" t="s">
        <v>44</v>
      </c>
      <c r="AA9" s="93" t="s">
        <v>522</v>
      </c>
      <c r="AB9" t="s">
        <v>523</v>
      </c>
      <c r="AC9" t="s">
        <v>45</v>
      </c>
      <c r="AE9" t="s">
        <v>224</v>
      </c>
    </row>
    <row r="10" spans="4:33" x14ac:dyDescent="0.25">
      <c r="D10" s="30" t="s">
        <v>1</v>
      </c>
      <c r="E10" s="30" t="s">
        <v>2</v>
      </c>
      <c r="F10" s="30" t="s">
        <v>216</v>
      </c>
      <c r="G10" s="30" t="s">
        <v>5</v>
      </c>
      <c r="H10" s="30" t="s">
        <v>6</v>
      </c>
      <c r="I10" s="30" t="s">
        <v>162</v>
      </c>
      <c r="J10" s="30" t="s">
        <v>61</v>
      </c>
      <c r="K10" s="30" t="s">
        <v>68</v>
      </c>
      <c r="L10" s="30" t="s">
        <v>50</v>
      </c>
      <c r="M10" s="30" t="s">
        <v>163</v>
      </c>
      <c r="N10" s="30" t="s">
        <v>164</v>
      </c>
      <c r="O10" s="30" t="s">
        <v>57</v>
      </c>
      <c r="P10" s="30" t="s">
        <v>166</v>
      </c>
      <c r="Q10" s="30" t="s">
        <v>70</v>
      </c>
      <c r="R10" s="30" t="s">
        <v>48</v>
      </c>
      <c r="S10" s="30" t="s">
        <v>49</v>
      </c>
      <c r="T10" s="30" t="s">
        <v>64</v>
      </c>
      <c r="U10" s="30" t="s">
        <v>470</v>
      </c>
    </row>
    <row r="11" spans="4:33" ht="31.8" thickBot="1" x14ac:dyDescent="0.3">
      <c r="D11" s="32" t="s">
        <v>167</v>
      </c>
      <c r="E11" s="32" t="s">
        <v>22</v>
      </c>
      <c r="F11" s="32" t="s">
        <v>217</v>
      </c>
      <c r="G11" s="32" t="s">
        <v>32</v>
      </c>
      <c r="H11" s="32" t="s">
        <v>33</v>
      </c>
      <c r="I11" s="32" t="s">
        <v>168</v>
      </c>
      <c r="J11" s="32"/>
      <c r="K11" s="32"/>
      <c r="L11" s="32" t="s">
        <v>218</v>
      </c>
      <c r="M11" s="32" t="s">
        <v>169</v>
      </c>
      <c r="N11" s="32" t="s">
        <v>170</v>
      </c>
      <c r="O11" s="32" t="s">
        <v>171</v>
      </c>
      <c r="P11" s="32" t="s">
        <v>172</v>
      </c>
      <c r="Q11" s="32" t="s">
        <v>66</v>
      </c>
      <c r="R11" s="32" t="s">
        <v>173</v>
      </c>
      <c r="S11" s="32" t="s">
        <v>55</v>
      </c>
      <c r="T11" s="32" t="s">
        <v>65</v>
      </c>
      <c r="U11" s="32" t="s">
        <v>471</v>
      </c>
    </row>
    <row r="12" spans="4:33" ht="13.8" thickBot="1" x14ac:dyDescent="0.3">
      <c r="D12" s="32" t="s">
        <v>174</v>
      </c>
      <c r="E12" s="32"/>
      <c r="F12" s="32"/>
      <c r="G12" s="32"/>
      <c r="H12" s="32"/>
      <c r="I12" s="32"/>
      <c r="J12" s="32"/>
      <c r="K12" s="32"/>
      <c r="L12" s="32" t="s">
        <v>219</v>
      </c>
      <c r="M12" s="32" t="s">
        <v>593</v>
      </c>
      <c r="N12" s="32" t="s">
        <v>220</v>
      </c>
      <c r="O12" s="32" t="s">
        <v>221</v>
      </c>
      <c r="P12" s="32" t="s">
        <v>177</v>
      </c>
      <c r="Q12" s="32" t="s">
        <v>231</v>
      </c>
      <c r="R12" s="184" t="s">
        <v>524</v>
      </c>
      <c r="S12" s="184" t="s">
        <v>524</v>
      </c>
      <c r="T12" s="32" t="s">
        <v>236</v>
      </c>
      <c r="U12" s="184" t="s">
        <v>177</v>
      </c>
    </row>
    <row r="13" spans="4:33" x14ac:dyDescent="0.25">
      <c r="D13" t="s">
        <v>511</v>
      </c>
      <c r="E13" t="s">
        <v>512</v>
      </c>
      <c r="G13" t="s">
        <v>41</v>
      </c>
      <c r="H13" t="s">
        <v>509</v>
      </c>
      <c r="J13" s="106">
        <v>2025</v>
      </c>
      <c r="K13" s="106">
        <v>2030</v>
      </c>
      <c r="M13" s="248">
        <f>'403.b Solid Direct air capture'!C12*0.0000036*1000</f>
        <v>8.9999999999999998E-4</v>
      </c>
      <c r="O13">
        <f>1-0.057-0.05</f>
        <v>0.8929999999999999</v>
      </c>
      <c r="P13" s="109">
        <v>25</v>
      </c>
      <c r="Q13">
        <v>1</v>
      </c>
      <c r="R13">
        <f>'403.b Solid Direct air capture'!C26*1000/8760</f>
        <v>0.54794520547945202</v>
      </c>
      <c r="S13">
        <f>'403.b Solid Direct air capture'!C27*1000/8760</f>
        <v>3.8812785388127852E-2</v>
      </c>
      <c r="U13" s="26">
        <v>2</v>
      </c>
      <c r="Z13" s="28" t="s">
        <v>15</v>
      </c>
      <c r="AA13" s="29"/>
      <c r="AB13" s="29"/>
      <c r="AC13" s="29"/>
      <c r="AD13" s="29"/>
      <c r="AE13" s="29"/>
      <c r="AF13" s="29"/>
      <c r="AG13" s="29"/>
    </row>
    <row r="14" spans="4:33" x14ac:dyDescent="0.25">
      <c r="F14" s="93" t="s">
        <v>160</v>
      </c>
      <c r="I14" s="93" t="s">
        <v>522</v>
      </c>
      <c r="J14" s="93"/>
      <c r="K14" s="93"/>
      <c r="M14">
        <f>'403.b Solid Direct air capture'!C10*1000*0.0000036</f>
        <v>5.3999999999999994E-3</v>
      </c>
      <c r="N14">
        <f>'403.b Solid Direct air capture'!C18*1000*0.0000036</f>
        <v>4.4999999999999997E-3</v>
      </c>
      <c r="P14" s="95"/>
      <c r="U14" s="26"/>
      <c r="Z14" s="30" t="s">
        <v>11</v>
      </c>
      <c r="AA14" s="30" t="s">
        <v>1</v>
      </c>
      <c r="AB14" s="30" t="s">
        <v>2</v>
      </c>
      <c r="AC14" s="30" t="s">
        <v>16</v>
      </c>
      <c r="AD14" s="30" t="s">
        <v>17</v>
      </c>
      <c r="AE14" s="30" t="s">
        <v>18</v>
      </c>
      <c r="AF14" s="30" t="s">
        <v>19</v>
      </c>
      <c r="AG14" s="30" t="s">
        <v>20</v>
      </c>
    </row>
    <row r="15" spans="4:33" ht="42" thickBot="1" x14ac:dyDescent="0.3">
      <c r="G15" t="s">
        <v>41</v>
      </c>
      <c r="H15" t="s">
        <v>509</v>
      </c>
      <c r="J15" s="93">
        <v>2030</v>
      </c>
      <c r="M15" s="248">
        <f>'403.b Solid Direct air capture'!D12*0.0000036*1000</f>
        <v>8.0999999999999996E-4</v>
      </c>
      <c r="O15">
        <f>1-0.057-0.03</f>
        <v>0.91299999999999992</v>
      </c>
      <c r="P15" s="95">
        <v>25</v>
      </c>
      <c r="Q15">
        <v>1</v>
      </c>
      <c r="R15">
        <f>'403.b Solid Direct air capture'!D26*1000/8760</f>
        <v>0.34246575342465752</v>
      </c>
      <c r="S15">
        <f>'403.b Solid Direct air capture'!D27*1000/8760</f>
        <v>3.8812785388127852E-2</v>
      </c>
      <c r="U15" s="26">
        <v>2</v>
      </c>
      <c r="Z15" s="32" t="s">
        <v>35</v>
      </c>
      <c r="AA15" s="32" t="s">
        <v>21</v>
      </c>
      <c r="AB15" s="32" t="s">
        <v>22</v>
      </c>
      <c r="AC15" s="32" t="s">
        <v>23</v>
      </c>
      <c r="AD15" s="32" t="s">
        <v>24</v>
      </c>
      <c r="AE15" s="32" t="s">
        <v>40</v>
      </c>
      <c r="AF15" s="32" t="s">
        <v>39</v>
      </c>
      <c r="AG15" s="32" t="s">
        <v>25</v>
      </c>
    </row>
    <row r="16" spans="4:33" ht="13.8" thickBot="1" x14ac:dyDescent="0.3">
      <c r="F16" s="93" t="s">
        <v>160</v>
      </c>
      <c r="I16" s="93" t="s">
        <v>522</v>
      </c>
      <c r="J16" s="93"/>
      <c r="M16">
        <f>'403.b Solid Direct air capture'!D10*1000*0.0000036</f>
        <v>5.3999999999999994E-3</v>
      </c>
      <c r="N16">
        <f>'403.b Solid Direct air capture'!D18*1000*0.0000036</f>
        <v>3.5999999999999999E-3</v>
      </c>
      <c r="P16" s="95"/>
      <c r="U16" s="26"/>
      <c r="Z16" s="32" t="s">
        <v>47</v>
      </c>
      <c r="AA16" s="32"/>
      <c r="AB16" s="32"/>
      <c r="AC16" s="32"/>
      <c r="AD16" s="32"/>
      <c r="AE16" s="32"/>
      <c r="AF16" s="32"/>
      <c r="AG16" s="32"/>
    </row>
    <row r="17" spans="6:33" x14ac:dyDescent="0.25">
      <c r="G17" t="s">
        <v>41</v>
      </c>
      <c r="H17" t="s">
        <v>509</v>
      </c>
      <c r="J17" s="93">
        <v>2040</v>
      </c>
      <c r="M17" s="248">
        <f>'403.b Solid Direct air capture'!E12*0.0000036*1000</f>
        <v>7.3080000000000009E-4</v>
      </c>
      <c r="O17">
        <f>1-0.057-0.03</f>
        <v>0.91299999999999992</v>
      </c>
      <c r="P17" s="95">
        <v>30</v>
      </c>
      <c r="Q17">
        <v>1</v>
      </c>
      <c r="R17">
        <f>'403.b Solid Direct air capture'!E26*1000/8760</f>
        <v>0.23972602739726026</v>
      </c>
      <c r="S17">
        <f>'403.b Solid Direct air capture'!E27*1000/8760</f>
        <v>3.8812785388127852E-2</v>
      </c>
      <c r="U17" s="26">
        <v>2.5</v>
      </c>
      <c r="Z17" t="s">
        <v>60</v>
      </c>
      <c r="AA17" t="s">
        <v>511</v>
      </c>
      <c r="AB17" t="s">
        <v>512</v>
      </c>
      <c r="AC17" s="92" t="s">
        <v>514</v>
      </c>
      <c r="AD17" s="92" t="s">
        <v>520</v>
      </c>
      <c r="AE17" s="93" t="s">
        <v>224</v>
      </c>
      <c r="AF17" t="s">
        <v>509</v>
      </c>
      <c r="AG17" s="92" t="s">
        <v>244</v>
      </c>
    </row>
    <row r="18" spans="6:33" x14ac:dyDescent="0.25">
      <c r="F18" s="93" t="s">
        <v>160</v>
      </c>
      <c r="I18" s="93" t="s">
        <v>522</v>
      </c>
      <c r="J18" s="93"/>
      <c r="M18">
        <f>'403.b Solid Direct air capture'!E10*1000*0.0000036</f>
        <v>4.6296000000000002E-3</v>
      </c>
      <c r="N18">
        <f>'403.b Solid Direct air capture'!E18*1000*0.0000036</f>
        <v>2.6999999999999997E-3</v>
      </c>
      <c r="P18" s="95"/>
      <c r="U18" s="26"/>
    </row>
    <row r="19" spans="6:33" x14ac:dyDescent="0.25">
      <c r="G19" t="s">
        <v>41</v>
      </c>
      <c r="H19" t="s">
        <v>509</v>
      </c>
      <c r="J19" s="93">
        <v>2050</v>
      </c>
      <c r="M19" s="248">
        <f>'403.b Solid Direct air capture'!F12*0.0000036*1000</f>
        <v>6.5519999999999999E-4</v>
      </c>
      <c r="O19">
        <f>1-0.057-0.03</f>
        <v>0.91299999999999992</v>
      </c>
      <c r="P19" s="95">
        <v>30</v>
      </c>
      <c r="Q19">
        <v>1</v>
      </c>
      <c r="R19">
        <f>'403.b Solid Direct air capture'!F26*1000/8760</f>
        <v>0.20547945205479451</v>
      </c>
      <c r="S19">
        <f>'403.b Solid Direct air capture'!F27*1000/8760</f>
        <v>3.8812785388127852E-2</v>
      </c>
      <c r="U19" s="26">
        <v>2.5</v>
      </c>
    </row>
    <row r="20" spans="6:33" x14ac:dyDescent="0.25">
      <c r="F20" s="93" t="s">
        <v>160</v>
      </c>
      <c r="I20" s="93" t="s">
        <v>522</v>
      </c>
      <c r="M20">
        <f>'403.b Solid Direct air capture'!F10*1000*0.0000036</f>
        <v>3.9671999999999997E-3</v>
      </c>
      <c r="N20">
        <f>'403.b Solid Direct air capture'!F18*1000*0.0000036</f>
        <v>2.6999999999999997E-3</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Pri_RNW</vt:lpstr>
      <vt:lpstr>FuelTechs</vt:lpstr>
      <vt:lpstr>ELC</vt:lpstr>
      <vt:lpstr>21 Offshore turbines</vt:lpstr>
      <vt:lpstr>21 Near shore turbines</vt:lpstr>
      <vt:lpstr>SUP_H2</vt:lpstr>
      <vt:lpstr>SUP_H2_Delivery</vt:lpstr>
      <vt:lpstr>SUP_Ammonia</vt:lpstr>
      <vt:lpstr>SUP_CO2</vt:lpstr>
      <vt:lpstr>SUP_Methanol</vt:lpstr>
      <vt:lpstr>SUP_Jetfuel</vt:lpstr>
      <vt:lpstr>BOILER</vt:lpstr>
      <vt:lpstr>EXP</vt:lpstr>
      <vt:lpstr>DUMMYCOSTS</vt:lpstr>
      <vt:lpstr>86 AEC 100MW</vt:lpstr>
      <vt:lpstr>86 PEMEC 100MW</vt:lpstr>
      <vt:lpstr>86 SOEC 1MW</vt:lpstr>
      <vt:lpstr>103 Hydrogen to Ammonia</vt:lpstr>
      <vt:lpstr>98 Methanol from Hydrogen</vt:lpstr>
      <vt:lpstr>102 Hydrogen to Jet</vt:lpstr>
      <vt:lpstr>403.b Solid Direct air capture</vt:lpstr>
      <vt:lpstr>310.1b Electric boiler steam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Amit Kanudia</dc:creator>
  <cp:lastModifiedBy>pancho gonzalez</cp:lastModifiedBy>
  <cp:lastPrinted>2004-11-16T14:57:57Z</cp:lastPrinted>
  <dcterms:created xsi:type="dcterms:W3CDTF">2000-12-13T15:53:11Z</dcterms:created>
  <dcterms:modified xsi:type="dcterms:W3CDTF">2024-02-02T12:40:44Z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79692065715789</vt:r8>
  </property>
</Properties>
</file>