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rankgentile/Documents/Nooice-Analytics/"/>
    </mc:Choice>
  </mc:AlternateContent>
  <xr:revisionPtr revIDLastSave="0" documentId="13_ncr:1_{D196A505-C512-7344-95DE-15CC5EEC5C60}" xr6:coauthVersionLast="47" xr6:coauthVersionMax="47" xr10:uidLastSave="{00000000-0000-0000-0000-000000000000}"/>
  <bookViews>
    <workbookView xWindow="33060" yWindow="-38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0" i="1" l="1"/>
  <c r="A290" i="1"/>
  <c r="A200" i="1"/>
  <c r="A136" i="1"/>
  <c r="A32" i="1"/>
  <c r="A21" i="1"/>
  <c r="A530" i="1"/>
  <c r="A513" i="1"/>
  <c r="A512" i="1"/>
  <c r="A494" i="1"/>
  <c r="A424" i="1"/>
  <c r="A330" i="1"/>
  <c r="A329" i="1"/>
  <c r="A144" i="1"/>
  <c r="A493" i="1"/>
  <c r="A425" i="1"/>
  <c r="A411" i="1"/>
  <c r="A410" i="1"/>
  <c r="A391" i="1"/>
  <c r="A364" i="1"/>
  <c r="A297" i="1"/>
  <c r="A249" i="1"/>
  <c r="A95" i="1"/>
  <c r="A93" i="1"/>
  <c r="A76" i="1"/>
  <c r="A75" i="1"/>
  <c r="A74" i="1"/>
  <c r="K541" i="1"/>
  <c r="J541" i="1"/>
  <c r="I541" i="1"/>
  <c r="H541" i="1"/>
  <c r="G541" i="1"/>
  <c r="F541" i="1"/>
  <c r="E541" i="1"/>
  <c r="D541" i="1"/>
  <c r="C541" i="1"/>
  <c r="B541" i="1"/>
  <c r="A541" i="1"/>
  <c r="K540" i="1"/>
  <c r="J540" i="1"/>
  <c r="I540" i="1"/>
  <c r="H540" i="1"/>
  <c r="G540" i="1"/>
  <c r="F540" i="1"/>
  <c r="E540" i="1"/>
  <c r="D540" i="1"/>
  <c r="C540" i="1"/>
  <c r="B540" i="1"/>
  <c r="A540" i="1"/>
  <c r="K539" i="1"/>
  <c r="J539" i="1"/>
  <c r="I539" i="1"/>
  <c r="H539" i="1"/>
  <c r="G539" i="1"/>
  <c r="F539" i="1"/>
  <c r="E539" i="1"/>
  <c r="D539" i="1"/>
  <c r="C539" i="1"/>
  <c r="B539" i="1"/>
  <c r="A539" i="1"/>
  <c r="K538" i="1"/>
  <c r="J538" i="1"/>
  <c r="I538" i="1"/>
  <c r="H538" i="1"/>
  <c r="G538" i="1"/>
  <c r="F538" i="1"/>
  <c r="E538" i="1"/>
  <c r="D538" i="1"/>
  <c r="C538" i="1"/>
  <c r="B538" i="1"/>
  <c r="A538" i="1"/>
  <c r="K537" i="1"/>
  <c r="J537" i="1"/>
  <c r="I537" i="1"/>
  <c r="H537" i="1"/>
  <c r="G537" i="1"/>
  <c r="F537" i="1"/>
  <c r="E537" i="1"/>
  <c r="D537" i="1"/>
  <c r="C537" i="1"/>
  <c r="B537" i="1"/>
  <c r="A537" i="1"/>
  <c r="K536" i="1"/>
  <c r="J536" i="1"/>
  <c r="I536" i="1"/>
  <c r="H536" i="1"/>
  <c r="G536" i="1"/>
  <c r="F536" i="1"/>
  <c r="E536" i="1"/>
  <c r="D536" i="1"/>
  <c r="C536" i="1"/>
  <c r="B536" i="1"/>
  <c r="A536" i="1"/>
  <c r="K535" i="1"/>
  <c r="J535" i="1"/>
  <c r="I535" i="1"/>
  <c r="H535" i="1"/>
  <c r="G535" i="1"/>
  <c r="F535" i="1"/>
  <c r="E535" i="1"/>
  <c r="D535" i="1"/>
  <c r="C535" i="1"/>
  <c r="B535" i="1"/>
  <c r="A535" i="1"/>
  <c r="K534" i="1"/>
  <c r="J534" i="1"/>
  <c r="I534" i="1"/>
  <c r="H534" i="1"/>
  <c r="G534" i="1"/>
  <c r="F534" i="1"/>
  <c r="E534" i="1"/>
  <c r="D534" i="1"/>
  <c r="C534" i="1"/>
  <c r="B534" i="1"/>
  <c r="A534" i="1"/>
  <c r="K533" i="1"/>
  <c r="J533" i="1"/>
  <c r="I533" i="1"/>
  <c r="H533" i="1"/>
  <c r="G533" i="1"/>
  <c r="F533" i="1"/>
  <c r="E533" i="1"/>
  <c r="D533" i="1"/>
  <c r="C533" i="1"/>
  <c r="B533" i="1"/>
  <c r="A533" i="1"/>
  <c r="K532" i="1"/>
  <c r="J532" i="1"/>
  <c r="I532" i="1"/>
  <c r="H532" i="1"/>
  <c r="G532" i="1"/>
  <c r="F532" i="1"/>
  <c r="E532" i="1"/>
  <c r="D532" i="1"/>
  <c r="C532" i="1"/>
  <c r="B532" i="1"/>
  <c r="A532" i="1"/>
  <c r="K531" i="1"/>
  <c r="J531" i="1"/>
  <c r="I531" i="1"/>
  <c r="H531" i="1"/>
  <c r="G531" i="1"/>
  <c r="F531" i="1"/>
  <c r="E531" i="1"/>
  <c r="D531" i="1"/>
  <c r="C531" i="1"/>
  <c r="B531" i="1"/>
  <c r="A531" i="1"/>
  <c r="K530" i="1"/>
  <c r="J530" i="1"/>
  <c r="I530" i="1"/>
  <c r="H530" i="1"/>
  <c r="G530" i="1"/>
  <c r="F530" i="1"/>
  <c r="E530" i="1"/>
  <c r="D530" i="1"/>
  <c r="C530" i="1"/>
  <c r="B530" i="1"/>
  <c r="K529" i="1"/>
  <c r="J529" i="1"/>
  <c r="I529" i="1"/>
  <c r="H529" i="1"/>
  <c r="G529" i="1"/>
  <c r="F529" i="1"/>
  <c r="E529" i="1"/>
  <c r="D529" i="1"/>
  <c r="C529" i="1"/>
  <c r="B529" i="1"/>
  <c r="A529" i="1"/>
  <c r="K528" i="1"/>
  <c r="J528" i="1"/>
  <c r="I528" i="1"/>
  <c r="H528" i="1"/>
  <c r="G528" i="1"/>
  <c r="F528" i="1"/>
  <c r="E528" i="1"/>
  <c r="D528" i="1"/>
  <c r="C528" i="1"/>
  <c r="B528" i="1"/>
  <c r="A528" i="1"/>
  <c r="K527" i="1"/>
  <c r="J527" i="1"/>
  <c r="I527" i="1"/>
  <c r="H527" i="1"/>
  <c r="G527" i="1"/>
  <c r="F527" i="1"/>
  <c r="E527" i="1"/>
  <c r="D527" i="1"/>
  <c r="C527" i="1"/>
  <c r="B527" i="1"/>
  <c r="A527" i="1"/>
  <c r="K526" i="1"/>
  <c r="J526" i="1"/>
  <c r="I526" i="1"/>
  <c r="H526" i="1"/>
  <c r="G526" i="1"/>
  <c r="F526" i="1"/>
  <c r="E526" i="1"/>
  <c r="D526" i="1"/>
  <c r="C526" i="1"/>
  <c r="B526" i="1"/>
  <c r="A526" i="1"/>
  <c r="K525" i="1"/>
  <c r="J525" i="1"/>
  <c r="I525" i="1"/>
  <c r="H525" i="1"/>
  <c r="G525" i="1"/>
  <c r="F525" i="1"/>
  <c r="E525" i="1"/>
  <c r="D525" i="1"/>
  <c r="C525" i="1"/>
  <c r="B525" i="1"/>
  <c r="A525" i="1"/>
  <c r="K524" i="1"/>
  <c r="J524" i="1"/>
  <c r="I524" i="1"/>
  <c r="H524" i="1"/>
  <c r="G524" i="1"/>
  <c r="F524" i="1"/>
  <c r="E524" i="1"/>
  <c r="D524" i="1"/>
  <c r="C524" i="1"/>
  <c r="B524" i="1"/>
  <c r="A524" i="1"/>
  <c r="K523" i="1"/>
  <c r="J523" i="1"/>
  <c r="I523" i="1"/>
  <c r="H523" i="1"/>
  <c r="G523" i="1"/>
  <c r="F523" i="1"/>
  <c r="E523" i="1"/>
  <c r="D523" i="1"/>
  <c r="C523" i="1"/>
  <c r="B523" i="1"/>
  <c r="A523" i="1"/>
  <c r="K522" i="1"/>
  <c r="J522" i="1"/>
  <c r="I522" i="1"/>
  <c r="H522" i="1"/>
  <c r="G522" i="1"/>
  <c r="F522" i="1"/>
  <c r="E522" i="1"/>
  <c r="D522" i="1"/>
  <c r="C522" i="1"/>
  <c r="B522" i="1"/>
  <c r="A522" i="1"/>
  <c r="K521" i="1"/>
  <c r="J521" i="1"/>
  <c r="I521" i="1"/>
  <c r="H521" i="1"/>
  <c r="G521" i="1"/>
  <c r="F521" i="1"/>
  <c r="E521" i="1"/>
  <c r="D521" i="1"/>
  <c r="C521" i="1"/>
  <c r="B521" i="1"/>
  <c r="A521" i="1"/>
  <c r="K520" i="1"/>
  <c r="J520" i="1"/>
  <c r="I520" i="1"/>
  <c r="H520" i="1"/>
  <c r="G520" i="1"/>
  <c r="F520" i="1"/>
  <c r="E520" i="1"/>
  <c r="D520" i="1"/>
  <c r="C520" i="1"/>
  <c r="B520" i="1"/>
  <c r="A520" i="1"/>
  <c r="K519" i="1"/>
  <c r="J519" i="1"/>
  <c r="I519" i="1"/>
  <c r="H519" i="1"/>
  <c r="G519" i="1"/>
  <c r="F519" i="1"/>
  <c r="E519" i="1"/>
  <c r="D519" i="1"/>
  <c r="C519" i="1"/>
  <c r="B519" i="1"/>
  <c r="A519" i="1"/>
  <c r="K518" i="1"/>
  <c r="J518" i="1"/>
  <c r="I518" i="1"/>
  <c r="H518" i="1"/>
  <c r="G518" i="1"/>
  <c r="F518" i="1"/>
  <c r="E518" i="1"/>
  <c r="D518" i="1"/>
  <c r="C518" i="1"/>
  <c r="B518" i="1"/>
  <c r="A518" i="1"/>
  <c r="K517" i="1"/>
  <c r="J517" i="1"/>
  <c r="I517" i="1"/>
  <c r="H517" i="1"/>
  <c r="G517" i="1"/>
  <c r="F517" i="1"/>
  <c r="E517" i="1"/>
  <c r="D517" i="1"/>
  <c r="C517" i="1"/>
  <c r="B517" i="1"/>
  <c r="A517" i="1"/>
  <c r="K516" i="1"/>
  <c r="J516" i="1"/>
  <c r="I516" i="1"/>
  <c r="H516" i="1"/>
  <c r="G516" i="1"/>
  <c r="F516" i="1"/>
  <c r="E516" i="1"/>
  <c r="D516" i="1"/>
  <c r="C516" i="1"/>
  <c r="B516" i="1"/>
  <c r="A516" i="1"/>
  <c r="K515" i="1"/>
  <c r="J515" i="1"/>
  <c r="I515" i="1"/>
  <c r="H515" i="1"/>
  <c r="G515" i="1"/>
  <c r="F515" i="1"/>
  <c r="E515" i="1"/>
  <c r="D515" i="1"/>
  <c r="C515" i="1"/>
  <c r="B515" i="1"/>
  <c r="A515" i="1"/>
  <c r="K514" i="1"/>
  <c r="J514" i="1"/>
  <c r="I514" i="1"/>
  <c r="H514" i="1"/>
  <c r="G514" i="1"/>
  <c r="F514" i="1"/>
  <c r="E514" i="1"/>
  <c r="D514" i="1"/>
  <c r="C514" i="1"/>
  <c r="B514" i="1"/>
  <c r="A514" i="1"/>
  <c r="K513" i="1"/>
  <c r="J513" i="1"/>
  <c r="I513" i="1"/>
  <c r="H513" i="1"/>
  <c r="G513" i="1"/>
  <c r="F513" i="1"/>
  <c r="E513" i="1"/>
  <c r="D513" i="1"/>
  <c r="C513" i="1"/>
  <c r="B513" i="1"/>
  <c r="K512" i="1"/>
  <c r="J512" i="1"/>
  <c r="I512" i="1"/>
  <c r="H512" i="1"/>
  <c r="G512" i="1"/>
  <c r="F512" i="1"/>
  <c r="E512" i="1"/>
  <c r="D512" i="1"/>
  <c r="C512" i="1"/>
  <c r="B512" i="1"/>
  <c r="K511" i="1"/>
  <c r="J511" i="1"/>
  <c r="I511" i="1"/>
  <c r="H511" i="1"/>
  <c r="G511" i="1"/>
  <c r="F511" i="1"/>
  <c r="E511" i="1"/>
  <c r="D511" i="1"/>
  <c r="C511" i="1"/>
  <c r="B511" i="1"/>
  <c r="A511" i="1"/>
  <c r="K510" i="1"/>
  <c r="J510" i="1"/>
  <c r="I510" i="1"/>
  <c r="H510" i="1"/>
  <c r="G510" i="1"/>
  <c r="F510" i="1"/>
  <c r="E510" i="1"/>
  <c r="D510" i="1"/>
  <c r="C510" i="1"/>
  <c r="B510" i="1"/>
  <c r="A510" i="1"/>
  <c r="K509" i="1"/>
  <c r="J509" i="1"/>
  <c r="I509" i="1"/>
  <c r="H509" i="1"/>
  <c r="G509" i="1"/>
  <c r="F509" i="1"/>
  <c r="E509" i="1"/>
  <c r="D509" i="1"/>
  <c r="C509" i="1"/>
  <c r="B509" i="1"/>
  <c r="A509" i="1"/>
  <c r="K508" i="1"/>
  <c r="J508" i="1"/>
  <c r="I508" i="1"/>
  <c r="H508" i="1"/>
  <c r="G508" i="1"/>
  <c r="F508" i="1"/>
  <c r="E508" i="1"/>
  <c r="D508" i="1"/>
  <c r="C508" i="1"/>
  <c r="B508" i="1"/>
  <c r="A508" i="1"/>
  <c r="K507" i="1"/>
  <c r="J507" i="1"/>
  <c r="I507" i="1"/>
  <c r="H507" i="1"/>
  <c r="G507" i="1"/>
  <c r="F507" i="1"/>
  <c r="E507" i="1"/>
  <c r="D507" i="1"/>
  <c r="C507" i="1"/>
  <c r="B507" i="1"/>
  <c r="A507" i="1"/>
  <c r="K506" i="1"/>
  <c r="J506" i="1"/>
  <c r="I506" i="1"/>
  <c r="H506" i="1"/>
  <c r="G506" i="1"/>
  <c r="F506" i="1"/>
  <c r="E506" i="1"/>
  <c r="D506" i="1"/>
  <c r="C506" i="1"/>
  <c r="B506" i="1"/>
  <c r="A506" i="1"/>
  <c r="K505" i="1"/>
  <c r="J505" i="1"/>
  <c r="I505" i="1"/>
  <c r="H505" i="1"/>
  <c r="G505" i="1"/>
  <c r="F505" i="1"/>
  <c r="E505" i="1"/>
  <c r="D505" i="1"/>
  <c r="C505" i="1"/>
  <c r="B505" i="1"/>
  <c r="A505" i="1"/>
  <c r="K504" i="1"/>
  <c r="J504" i="1"/>
  <c r="I504" i="1"/>
  <c r="H504" i="1"/>
  <c r="G504" i="1"/>
  <c r="F504" i="1"/>
  <c r="E504" i="1"/>
  <c r="D504" i="1"/>
  <c r="C504" i="1"/>
  <c r="B504" i="1"/>
  <c r="A504" i="1"/>
  <c r="K503" i="1"/>
  <c r="J503" i="1"/>
  <c r="I503" i="1"/>
  <c r="H503" i="1"/>
  <c r="G503" i="1"/>
  <c r="F503" i="1"/>
  <c r="E503" i="1"/>
  <c r="D503" i="1"/>
  <c r="C503" i="1"/>
  <c r="B503" i="1"/>
  <c r="A503" i="1"/>
  <c r="K502" i="1"/>
  <c r="J502" i="1"/>
  <c r="I502" i="1"/>
  <c r="H502" i="1"/>
  <c r="G502" i="1"/>
  <c r="F502" i="1"/>
  <c r="E502" i="1"/>
  <c r="D502" i="1"/>
  <c r="C502" i="1"/>
  <c r="B502" i="1"/>
  <c r="A502" i="1"/>
  <c r="K501" i="1"/>
  <c r="J501" i="1"/>
  <c r="I501" i="1"/>
  <c r="H501" i="1"/>
  <c r="G501" i="1"/>
  <c r="F501" i="1"/>
  <c r="E501" i="1"/>
  <c r="D501" i="1"/>
  <c r="C501" i="1"/>
  <c r="B501" i="1"/>
  <c r="A501" i="1"/>
  <c r="K500" i="1"/>
  <c r="J500" i="1"/>
  <c r="I500" i="1"/>
  <c r="H500" i="1"/>
  <c r="G500" i="1"/>
  <c r="F500" i="1"/>
  <c r="E500" i="1"/>
  <c r="D500" i="1"/>
  <c r="C500" i="1"/>
  <c r="B500" i="1"/>
  <c r="A500" i="1"/>
  <c r="K499" i="1"/>
  <c r="J499" i="1"/>
  <c r="I499" i="1"/>
  <c r="H499" i="1"/>
  <c r="G499" i="1"/>
  <c r="F499" i="1"/>
  <c r="E499" i="1"/>
  <c r="D499" i="1"/>
  <c r="C499" i="1"/>
  <c r="B499" i="1"/>
  <c r="A499" i="1"/>
  <c r="K498" i="1"/>
  <c r="J498" i="1"/>
  <c r="I498" i="1"/>
  <c r="H498" i="1"/>
  <c r="G498" i="1"/>
  <c r="F498" i="1"/>
  <c r="E498" i="1"/>
  <c r="D498" i="1"/>
  <c r="C498" i="1"/>
  <c r="B498" i="1"/>
  <c r="A498" i="1"/>
  <c r="K497" i="1"/>
  <c r="J497" i="1"/>
  <c r="I497" i="1"/>
  <c r="H497" i="1"/>
  <c r="G497" i="1"/>
  <c r="F497" i="1"/>
  <c r="E497" i="1"/>
  <c r="D497" i="1"/>
  <c r="C497" i="1"/>
  <c r="B497" i="1"/>
  <c r="A497" i="1"/>
  <c r="K496" i="1"/>
  <c r="J496" i="1"/>
  <c r="I496" i="1"/>
  <c r="H496" i="1"/>
  <c r="G496" i="1"/>
  <c r="F496" i="1"/>
  <c r="E496" i="1"/>
  <c r="D496" i="1"/>
  <c r="C496" i="1"/>
  <c r="B496" i="1"/>
  <c r="A496" i="1"/>
  <c r="K495" i="1"/>
  <c r="J495" i="1"/>
  <c r="I495" i="1"/>
  <c r="H495" i="1"/>
  <c r="G495" i="1"/>
  <c r="F495" i="1"/>
  <c r="E495" i="1"/>
  <c r="D495" i="1"/>
  <c r="C495" i="1"/>
  <c r="B495" i="1"/>
  <c r="A495" i="1"/>
  <c r="K494" i="1"/>
  <c r="J494" i="1"/>
  <c r="I494" i="1"/>
  <c r="H494" i="1"/>
  <c r="G494" i="1"/>
  <c r="F494" i="1"/>
  <c r="E494" i="1"/>
  <c r="D494" i="1"/>
  <c r="C494" i="1"/>
  <c r="B494" i="1"/>
  <c r="K493" i="1"/>
  <c r="J493" i="1"/>
  <c r="I493" i="1"/>
  <c r="H493" i="1"/>
  <c r="G493" i="1"/>
  <c r="F493" i="1"/>
  <c r="E493" i="1"/>
  <c r="D493" i="1"/>
  <c r="C493" i="1"/>
  <c r="B493" i="1"/>
  <c r="K492" i="1"/>
  <c r="J492" i="1"/>
  <c r="I492" i="1"/>
  <c r="H492" i="1"/>
  <c r="G492" i="1"/>
  <c r="F492" i="1"/>
  <c r="E492" i="1"/>
  <c r="D492" i="1"/>
  <c r="C492" i="1"/>
  <c r="B492" i="1"/>
  <c r="A492" i="1"/>
  <c r="K491" i="1"/>
  <c r="J491" i="1"/>
  <c r="I491" i="1"/>
  <c r="H491" i="1"/>
  <c r="G491" i="1"/>
  <c r="F491" i="1"/>
  <c r="E491" i="1"/>
  <c r="D491" i="1"/>
  <c r="C491" i="1"/>
  <c r="B491" i="1"/>
  <c r="A491" i="1"/>
  <c r="K490" i="1"/>
  <c r="J490" i="1"/>
  <c r="I490" i="1"/>
  <c r="H490" i="1"/>
  <c r="G490" i="1"/>
  <c r="F490" i="1"/>
  <c r="E490" i="1"/>
  <c r="D490" i="1"/>
  <c r="C490" i="1"/>
  <c r="B490" i="1"/>
  <c r="A490" i="1"/>
  <c r="K489" i="1"/>
  <c r="J489" i="1"/>
  <c r="I489" i="1"/>
  <c r="H489" i="1"/>
  <c r="G489" i="1"/>
  <c r="F489" i="1"/>
  <c r="E489" i="1"/>
  <c r="D489" i="1"/>
  <c r="C489" i="1"/>
  <c r="B489" i="1"/>
  <c r="A489" i="1"/>
  <c r="K488" i="1"/>
  <c r="J488" i="1"/>
  <c r="I488" i="1"/>
  <c r="H488" i="1"/>
  <c r="G488" i="1"/>
  <c r="F488" i="1"/>
  <c r="E488" i="1"/>
  <c r="D488" i="1"/>
  <c r="C488" i="1"/>
  <c r="B488" i="1"/>
  <c r="A488" i="1"/>
  <c r="K487" i="1"/>
  <c r="J487" i="1"/>
  <c r="I487" i="1"/>
  <c r="H487" i="1"/>
  <c r="G487" i="1"/>
  <c r="F487" i="1"/>
  <c r="E487" i="1"/>
  <c r="D487" i="1"/>
  <c r="C487" i="1"/>
  <c r="B487" i="1"/>
  <c r="A487" i="1"/>
  <c r="K486" i="1"/>
  <c r="J486" i="1"/>
  <c r="I486" i="1"/>
  <c r="H486" i="1"/>
  <c r="G486" i="1"/>
  <c r="F486" i="1"/>
  <c r="E486" i="1"/>
  <c r="D486" i="1"/>
  <c r="C486" i="1"/>
  <c r="B486" i="1"/>
  <c r="A486" i="1"/>
  <c r="K485" i="1"/>
  <c r="J485" i="1"/>
  <c r="I485" i="1"/>
  <c r="H485" i="1"/>
  <c r="G485" i="1"/>
  <c r="F485" i="1"/>
  <c r="E485" i="1"/>
  <c r="D485" i="1"/>
  <c r="C485" i="1"/>
  <c r="B485" i="1"/>
  <c r="A485" i="1"/>
  <c r="K484" i="1"/>
  <c r="J484" i="1"/>
  <c r="I484" i="1"/>
  <c r="H484" i="1"/>
  <c r="G484" i="1"/>
  <c r="F484" i="1"/>
  <c r="E484" i="1"/>
  <c r="D484" i="1"/>
  <c r="C484" i="1"/>
  <c r="B484" i="1"/>
  <c r="A484" i="1"/>
  <c r="K483" i="1"/>
  <c r="J483" i="1"/>
  <c r="I483" i="1"/>
  <c r="H483" i="1"/>
  <c r="G483" i="1"/>
  <c r="F483" i="1"/>
  <c r="E483" i="1"/>
  <c r="D483" i="1"/>
  <c r="C483" i="1"/>
  <c r="B483" i="1"/>
  <c r="A483" i="1"/>
  <c r="K482" i="1"/>
  <c r="J482" i="1"/>
  <c r="I482" i="1"/>
  <c r="H482" i="1"/>
  <c r="G482" i="1"/>
  <c r="F482" i="1"/>
  <c r="E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C481" i="1"/>
  <c r="B481" i="1"/>
  <c r="A481" i="1"/>
  <c r="K480" i="1"/>
  <c r="J480" i="1"/>
  <c r="I480" i="1"/>
  <c r="H480" i="1"/>
  <c r="G480" i="1"/>
  <c r="F480" i="1"/>
  <c r="E480" i="1"/>
  <c r="D480" i="1"/>
  <c r="C480" i="1"/>
  <c r="B480" i="1"/>
  <c r="A480" i="1"/>
  <c r="K479" i="1"/>
  <c r="J479" i="1"/>
  <c r="I479" i="1"/>
  <c r="H479" i="1"/>
  <c r="G479" i="1"/>
  <c r="F479" i="1"/>
  <c r="E479" i="1"/>
  <c r="D479" i="1"/>
  <c r="C479" i="1"/>
  <c r="B479" i="1"/>
  <c r="A479" i="1"/>
  <c r="K478" i="1"/>
  <c r="J478" i="1"/>
  <c r="I478" i="1"/>
  <c r="H478" i="1"/>
  <c r="G478" i="1"/>
  <c r="F478" i="1"/>
  <c r="E478" i="1"/>
  <c r="D478" i="1"/>
  <c r="C478" i="1"/>
  <c r="B478" i="1"/>
  <c r="A478" i="1"/>
  <c r="K477" i="1"/>
  <c r="J477" i="1"/>
  <c r="I477" i="1"/>
  <c r="H477" i="1"/>
  <c r="G477" i="1"/>
  <c r="F477" i="1"/>
  <c r="E477" i="1"/>
  <c r="D477" i="1"/>
  <c r="C477" i="1"/>
  <c r="B477" i="1"/>
  <c r="A477" i="1"/>
  <c r="K476" i="1"/>
  <c r="J476" i="1"/>
  <c r="I476" i="1"/>
  <c r="H476" i="1"/>
  <c r="G476" i="1"/>
  <c r="F476" i="1"/>
  <c r="E476" i="1"/>
  <c r="D476" i="1"/>
  <c r="C476" i="1"/>
  <c r="B476" i="1"/>
  <c r="A476" i="1"/>
  <c r="K475" i="1"/>
  <c r="J475" i="1"/>
  <c r="I475" i="1"/>
  <c r="H475" i="1"/>
  <c r="G475" i="1"/>
  <c r="F475" i="1"/>
  <c r="E475" i="1"/>
  <c r="D475" i="1"/>
  <c r="C475" i="1"/>
  <c r="B475" i="1"/>
  <c r="A475" i="1"/>
  <c r="K474" i="1"/>
  <c r="J474" i="1"/>
  <c r="I474" i="1"/>
  <c r="H474" i="1"/>
  <c r="G474" i="1"/>
  <c r="F474" i="1"/>
  <c r="E474" i="1"/>
  <c r="D474" i="1"/>
  <c r="C474" i="1"/>
  <c r="B474" i="1"/>
  <c r="A474" i="1"/>
  <c r="K473" i="1"/>
  <c r="J473" i="1"/>
  <c r="I473" i="1"/>
  <c r="H473" i="1"/>
  <c r="G473" i="1"/>
  <c r="F473" i="1"/>
  <c r="E473" i="1"/>
  <c r="D473" i="1"/>
  <c r="C473" i="1"/>
  <c r="B473" i="1"/>
  <c r="A473" i="1"/>
  <c r="K472" i="1"/>
  <c r="J472" i="1"/>
  <c r="I472" i="1"/>
  <c r="H472" i="1"/>
  <c r="G472" i="1"/>
  <c r="F472" i="1"/>
  <c r="E472" i="1"/>
  <c r="D472" i="1"/>
  <c r="C472" i="1"/>
  <c r="B472" i="1"/>
  <c r="A472" i="1"/>
  <c r="K471" i="1"/>
  <c r="J471" i="1"/>
  <c r="I471" i="1"/>
  <c r="H471" i="1"/>
  <c r="G471" i="1"/>
  <c r="F471" i="1"/>
  <c r="E471" i="1"/>
  <c r="D471" i="1"/>
  <c r="C471" i="1"/>
  <c r="B471" i="1"/>
  <c r="A471" i="1"/>
  <c r="K470" i="1"/>
  <c r="J470" i="1"/>
  <c r="I470" i="1"/>
  <c r="H470" i="1"/>
  <c r="G470" i="1"/>
  <c r="F470" i="1"/>
  <c r="E470" i="1"/>
  <c r="D470" i="1"/>
  <c r="C470" i="1"/>
  <c r="B470" i="1"/>
  <c r="A470" i="1"/>
  <c r="K469" i="1"/>
  <c r="J469" i="1"/>
  <c r="I469" i="1"/>
  <c r="H469" i="1"/>
  <c r="G469" i="1"/>
  <c r="F469" i="1"/>
  <c r="E469" i="1"/>
  <c r="D469" i="1"/>
  <c r="C469" i="1"/>
  <c r="B469" i="1"/>
  <c r="A469" i="1"/>
  <c r="K468" i="1"/>
  <c r="J468" i="1"/>
  <c r="I468" i="1"/>
  <c r="H468" i="1"/>
  <c r="G468" i="1"/>
  <c r="F468" i="1"/>
  <c r="E468" i="1"/>
  <c r="D468" i="1"/>
  <c r="C468" i="1"/>
  <c r="B468" i="1"/>
  <c r="A468" i="1"/>
  <c r="K467" i="1"/>
  <c r="J467" i="1"/>
  <c r="I467" i="1"/>
  <c r="H467" i="1"/>
  <c r="G467" i="1"/>
  <c r="F467" i="1"/>
  <c r="E467" i="1"/>
  <c r="D467" i="1"/>
  <c r="C467" i="1"/>
  <c r="B467" i="1"/>
  <c r="A467" i="1"/>
  <c r="K466" i="1"/>
  <c r="J466" i="1"/>
  <c r="I466" i="1"/>
  <c r="H466" i="1"/>
  <c r="G466" i="1"/>
  <c r="F466" i="1"/>
  <c r="E466" i="1"/>
  <c r="D466" i="1"/>
  <c r="C466" i="1"/>
  <c r="B466" i="1"/>
  <c r="A466" i="1"/>
  <c r="K465" i="1"/>
  <c r="J465" i="1"/>
  <c r="I465" i="1"/>
  <c r="H465" i="1"/>
  <c r="G465" i="1"/>
  <c r="F465" i="1"/>
  <c r="E465" i="1"/>
  <c r="D465" i="1"/>
  <c r="C465" i="1"/>
  <c r="B465" i="1"/>
  <c r="A465" i="1"/>
  <c r="K464" i="1"/>
  <c r="J464" i="1"/>
  <c r="I464" i="1"/>
  <c r="H464" i="1"/>
  <c r="G464" i="1"/>
  <c r="F464" i="1"/>
  <c r="E464" i="1"/>
  <c r="D464" i="1"/>
  <c r="C464" i="1"/>
  <c r="B464" i="1"/>
  <c r="A464" i="1"/>
  <c r="K463" i="1"/>
  <c r="J463" i="1"/>
  <c r="I463" i="1"/>
  <c r="H463" i="1"/>
  <c r="G463" i="1"/>
  <c r="F463" i="1"/>
  <c r="E463" i="1"/>
  <c r="D463" i="1"/>
  <c r="C463" i="1"/>
  <c r="B463" i="1"/>
  <c r="A463" i="1"/>
  <c r="K462" i="1"/>
  <c r="J462" i="1"/>
  <c r="I462" i="1"/>
  <c r="H462" i="1"/>
  <c r="G462" i="1"/>
  <c r="F462" i="1"/>
  <c r="E462" i="1"/>
  <c r="D462" i="1"/>
  <c r="C462" i="1"/>
  <c r="B462" i="1"/>
  <c r="A462" i="1"/>
  <c r="K461" i="1"/>
  <c r="J461" i="1"/>
  <c r="I461" i="1"/>
  <c r="H461" i="1"/>
  <c r="G461" i="1"/>
  <c r="F461" i="1"/>
  <c r="E461" i="1"/>
  <c r="D461" i="1"/>
  <c r="C461" i="1"/>
  <c r="B461" i="1"/>
  <c r="A461" i="1"/>
  <c r="K460" i="1"/>
  <c r="J460" i="1"/>
  <c r="I460" i="1"/>
  <c r="H460" i="1"/>
  <c r="G460" i="1"/>
  <c r="F460" i="1"/>
  <c r="E460" i="1"/>
  <c r="D460" i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K458" i="1"/>
  <c r="J458" i="1"/>
  <c r="I458" i="1"/>
  <c r="H458" i="1"/>
  <c r="G458" i="1"/>
  <c r="F458" i="1"/>
  <c r="E458" i="1"/>
  <c r="D458" i="1"/>
  <c r="C458" i="1"/>
  <c r="B458" i="1"/>
  <c r="A458" i="1"/>
  <c r="K457" i="1"/>
  <c r="J457" i="1"/>
  <c r="I457" i="1"/>
  <c r="H457" i="1"/>
  <c r="G457" i="1"/>
  <c r="F457" i="1"/>
  <c r="E457" i="1"/>
  <c r="D457" i="1"/>
  <c r="C457" i="1"/>
  <c r="B457" i="1"/>
  <c r="A457" i="1"/>
  <c r="K456" i="1"/>
  <c r="J456" i="1"/>
  <c r="I456" i="1"/>
  <c r="H456" i="1"/>
  <c r="G456" i="1"/>
  <c r="F456" i="1"/>
  <c r="E456" i="1"/>
  <c r="D456" i="1"/>
  <c r="C456" i="1"/>
  <c r="B456" i="1"/>
  <c r="A456" i="1"/>
  <c r="K455" i="1"/>
  <c r="J455" i="1"/>
  <c r="I455" i="1"/>
  <c r="H455" i="1"/>
  <c r="G455" i="1"/>
  <c r="F455" i="1"/>
  <c r="E455" i="1"/>
  <c r="D455" i="1"/>
  <c r="C455" i="1"/>
  <c r="B455" i="1"/>
  <c r="A455" i="1"/>
  <c r="K454" i="1"/>
  <c r="J454" i="1"/>
  <c r="I454" i="1"/>
  <c r="H454" i="1"/>
  <c r="G454" i="1"/>
  <c r="F454" i="1"/>
  <c r="E454" i="1"/>
  <c r="D454" i="1"/>
  <c r="C454" i="1"/>
  <c r="B454" i="1"/>
  <c r="A454" i="1"/>
  <c r="K453" i="1"/>
  <c r="J453" i="1"/>
  <c r="I453" i="1"/>
  <c r="H453" i="1"/>
  <c r="G453" i="1"/>
  <c r="F453" i="1"/>
  <c r="E453" i="1"/>
  <c r="D453" i="1"/>
  <c r="C453" i="1"/>
  <c r="B453" i="1"/>
  <c r="A453" i="1"/>
  <c r="K452" i="1"/>
  <c r="J452" i="1"/>
  <c r="I452" i="1"/>
  <c r="H452" i="1"/>
  <c r="G452" i="1"/>
  <c r="F452" i="1"/>
  <c r="E452" i="1"/>
  <c r="D452" i="1"/>
  <c r="C452" i="1"/>
  <c r="B452" i="1"/>
  <c r="A452" i="1"/>
  <c r="K451" i="1"/>
  <c r="J451" i="1"/>
  <c r="I451" i="1"/>
  <c r="H451" i="1"/>
  <c r="G451" i="1"/>
  <c r="F451" i="1"/>
  <c r="E451" i="1"/>
  <c r="D451" i="1"/>
  <c r="C451" i="1"/>
  <c r="B451" i="1"/>
  <c r="A451" i="1"/>
  <c r="K450" i="1"/>
  <c r="J450" i="1"/>
  <c r="I450" i="1"/>
  <c r="H450" i="1"/>
  <c r="G450" i="1"/>
  <c r="F450" i="1"/>
  <c r="E450" i="1"/>
  <c r="D450" i="1"/>
  <c r="C450" i="1"/>
  <c r="B450" i="1"/>
  <c r="A450" i="1"/>
  <c r="K449" i="1"/>
  <c r="J449" i="1"/>
  <c r="I449" i="1"/>
  <c r="H449" i="1"/>
  <c r="G449" i="1"/>
  <c r="F449" i="1"/>
  <c r="E449" i="1"/>
  <c r="D449" i="1"/>
  <c r="C449" i="1"/>
  <c r="B449" i="1"/>
  <c r="A449" i="1"/>
  <c r="K448" i="1"/>
  <c r="J448" i="1"/>
  <c r="I448" i="1"/>
  <c r="H448" i="1"/>
  <c r="G448" i="1"/>
  <c r="F448" i="1"/>
  <c r="E448" i="1"/>
  <c r="D448" i="1"/>
  <c r="C448" i="1"/>
  <c r="B448" i="1"/>
  <c r="A448" i="1"/>
  <c r="K447" i="1"/>
  <c r="J447" i="1"/>
  <c r="I447" i="1"/>
  <c r="H447" i="1"/>
  <c r="G447" i="1"/>
  <c r="F447" i="1"/>
  <c r="E447" i="1"/>
  <c r="D447" i="1"/>
  <c r="C447" i="1"/>
  <c r="B447" i="1"/>
  <c r="A447" i="1"/>
  <c r="K446" i="1"/>
  <c r="J446" i="1"/>
  <c r="I446" i="1"/>
  <c r="H446" i="1"/>
  <c r="G446" i="1"/>
  <c r="F446" i="1"/>
  <c r="E446" i="1"/>
  <c r="D446" i="1"/>
  <c r="C446" i="1"/>
  <c r="B446" i="1"/>
  <c r="A446" i="1"/>
  <c r="K445" i="1"/>
  <c r="J445" i="1"/>
  <c r="I445" i="1"/>
  <c r="H445" i="1"/>
  <c r="G445" i="1"/>
  <c r="F445" i="1"/>
  <c r="E445" i="1"/>
  <c r="D445" i="1"/>
  <c r="C445" i="1"/>
  <c r="B445" i="1"/>
  <c r="A445" i="1"/>
  <c r="K444" i="1"/>
  <c r="J444" i="1"/>
  <c r="I444" i="1"/>
  <c r="H444" i="1"/>
  <c r="G444" i="1"/>
  <c r="F444" i="1"/>
  <c r="E444" i="1"/>
  <c r="D444" i="1"/>
  <c r="C444" i="1"/>
  <c r="B444" i="1"/>
  <c r="A444" i="1"/>
  <c r="K443" i="1"/>
  <c r="J443" i="1"/>
  <c r="I443" i="1"/>
  <c r="H443" i="1"/>
  <c r="G443" i="1"/>
  <c r="F443" i="1"/>
  <c r="E443" i="1"/>
  <c r="D443" i="1"/>
  <c r="C443" i="1"/>
  <c r="B443" i="1"/>
  <c r="A443" i="1"/>
  <c r="K442" i="1"/>
  <c r="J442" i="1"/>
  <c r="I442" i="1"/>
  <c r="H442" i="1"/>
  <c r="G442" i="1"/>
  <c r="F442" i="1"/>
  <c r="E442" i="1"/>
  <c r="D442" i="1"/>
  <c r="C442" i="1"/>
  <c r="B442" i="1"/>
  <c r="A442" i="1"/>
  <c r="K441" i="1"/>
  <c r="J441" i="1"/>
  <c r="I441" i="1"/>
  <c r="H441" i="1"/>
  <c r="G441" i="1"/>
  <c r="F441" i="1"/>
  <c r="E441" i="1"/>
  <c r="D441" i="1"/>
  <c r="C441" i="1"/>
  <c r="B441" i="1"/>
  <c r="A441" i="1"/>
  <c r="K440" i="1"/>
  <c r="J440" i="1"/>
  <c r="I440" i="1"/>
  <c r="H440" i="1"/>
  <c r="G440" i="1"/>
  <c r="F440" i="1"/>
  <c r="E440" i="1"/>
  <c r="D440" i="1"/>
  <c r="C440" i="1"/>
  <c r="B440" i="1"/>
  <c r="A440" i="1"/>
  <c r="K439" i="1"/>
  <c r="J439" i="1"/>
  <c r="I439" i="1"/>
  <c r="H439" i="1"/>
  <c r="G439" i="1"/>
  <c r="F439" i="1"/>
  <c r="E439" i="1"/>
  <c r="D439" i="1"/>
  <c r="C439" i="1"/>
  <c r="B439" i="1"/>
  <c r="A439" i="1"/>
  <c r="K438" i="1"/>
  <c r="J438" i="1"/>
  <c r="I438" i="1"/>
  <c r="H438" i="1"/>
  <c r="G438" i="1"/>
  <c r="F438" i="1"/>
  <c r="E438" i="1"/>
  <c r="D438" i="1"/>
  <c r="C438" i="1"/>
  <c r="B438" i="1"/>
  <c r="A438" i="1"/>
  <c r="K437" i="1"/>
  <c r="J437" i="1"/>
  <c r="H437" i="1"/>
  <c r="G437" i="1"/>
  <c r="F437" i="1"/>
  <c r="E437" i="1"/>
  <c r="D437" i="1"/>
  <c r="C437" i="1"/>
  <c r="B437" i="1"/>
  <c r="A437" i="1"/>
  <c r="K436" i="1"/>
  <c r="J436" i="1"/>
  <c r="I436" i="1"/>
  <c r="H436" i="1"/>
  <c r="G436" i="1"/>
  <c r="F436" i="1"/>
  <c r="E436" i="1"/>
  <c r="D436" i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K434" i="1"/>
  <c r="J434" i="1"/>
  <c r="I434" i="1"/>
  <c r="H434" i="1"/>
  <c r="G434" i="1"/>
  <c r="F434" i="1"/>
  <c r="E434" i="1"/>
  <c r="D434" i="1"/>
  <c r="C434" i="1"/>
  <c r="B434" i="1"/>
  <c r="A434" i="1"/>
  <c r="K433" i="1"/>
  <c r="J433" i="1"/>
  <c r="I433" i="1"/>
  <c r="H433" i="1"/>
  <c r="G433" i="1"/>
  <c r="F433" i="1"/>
  <c r="E433" i="1"/>
  <c r="D433" i="1"/>
  <c r="C433" i="1"/>
  <c r="B433" i="1"/>
  <c r="A433" i="1"/>
  <c r="K432" i="1"/>
  <c r="J432" i="1"/>
  <c r="I432" i="1"/>
  <c r="H432" i="1"/>
  <c r="G432" i="1"/>
  <c r="F432" i="1"/>
  <c r="E432" i="1"/>
  <c r="D432" i="1"/>
  <c r="C432" i="1"/>
  <c r="B432" i="1"/>
  <c r="A432" i="1"/>
  <c r="K431" i="1"/>
  <c r="J431" i="1"/>
  <c r="I431" i="1"/>
  <c r="H431" i="1"/>
  <c r="G431" i="1"/>
  <c r="F431" i="1"/>
  <c r="E431" i="1"/>
  <c r="D431" i="1"/>
  <c r="C431" i="1"/>
  <c r="B431" i="1"/>
  <c r="A431" i="1"/>
  <c r="K430" i="1"/>
  <c r="J430" i="1"/>
  <c r="I430" i="1"/>
  <c r="H430" i="1"/>
  <c r="G430" i="1"/>
  <c r="F430" i="1"/>
  <c r="E430" i="1"/>
  <c r="D430" i="1"/>
  <c r="C430" i="1"/>
  <c r="B430" i="1"/>
  <c r="A430" i="1"/>
  <c r="K429" i="1"/>
  <c r="J429" i="1"/>
  <c r="I429" i="1"/>
  <c r="H429" i="1"/>
  <c r="G429" i="1"/>
  <c r="F429" i="1"/>
  <c r="E429" i="1"/>
  <c r="D429" i="1"/>
  <c r="C429" i="1"/>
  <c r="B429" i="1"/>
  <c r="A429" i="1"/>
  <c r="K428" i="1"/>
  <c r="J428" i="1"/>
  <c r="I428" i="1"/>
  <c r="H428" i="1"/>
  <c r="G428" i="1"/>
  <c r="F428" i="1"/>
  <c r="E428" i="1"/>
  <c r="D428" i="1"/>
  <c r="C428" i="1"/>
  <c r="B428" i="1"/>
  <c r="A428" i="1"/>
  <c r="K427" i="1"/>
  <c r="J427" i="1"/>
  <c r="I427" i="1"/>
  <c r="H427" i="1"/>
  <c r="G427" i="1"/>
  <c r="F427" i="1"/>
  <c r="E427" i="1"/>
  <c r="D427" i="1"/>
  <c r="C427" i="1"/>
  <c r="B427" i="1"/>
  <c r="A427" i="1"/>
  <c r="K426" i="1"/>
  <c r="J426" i="1"/>
  <c r="I426" i="1"/>
  <c r="H426" i="1"/>
  <c r="G426" i="1"/>
  <c r="F426" i="1"/>
  <c r="E426" i="1"/>
  <c r="D426" i="1"/>
  <c r="C426" i="1"/>
  <c r="B426" i="1"/>
  <c r="A426" i="1"/>
  <c r="K425" i="1"/>
  <c r="J425" i="1"/>
  <c r="I425" i="1"/>
  <c r="H425" i="1"/>
  <c r="G425" i="1"/>
  <c r="F425" i="1"/>
  <c r="E425" i="1"/>
  <c r="D425" i="1"/>
  <c r="C425" i="1"/>
  <c r="B425" i="1"/>
  <c r="K424" i="1"/>
  <c r="J424" i="1"/>
  <c r="I424" i="1"/>
  <c r="H424" i="1"/>
  <c r="G424" i="1"/>
  <c r="F424" i="1"/>
  <c r="E424" i="1"/>
  <c r="D424" i="1"/>
  <c r="C424" i="1"/>
  <c r="B424" i="1"/>
  <c r="K423" i="1"/>
  <c r="J423" i="1"/>
  <c r="I423" i="1"/>
  <c r="H423" i="1"/>
  <c r="G423" i="1"/>
  <c r="F423" i="1"/>
  <c r="E423" i="1"/>
  <c r="D423" i="1"/>
  <c r="C423" i="1"/>
  <c r="B423" i="1"/>
  <c r="A423" i="1"/>
  <c r="K422" i="1"/>
  <c r="J422" i="1"/>
  <c r="I422" i="1"/>
  <c r="H422" i="1"/>
  <c r="G422" i="1"/>
  <c r="F422" i="1"/>
  <c r="E422" i="1"/>
  <c r="D422" i="1"/>
  <c r="C422" i="1"/>
  <c r="B422" i="1"/>
  <c r="A422" i="1"/>
  <c r="K421" i="1"/>
  <c r="J421" i="1"/>
  <c r="I421" i="1"/>
  <c r="H421" i="1"/>
  <c r="G421" i="1"/>
  <c r="F421" i="1"/>
  <c r="E421" i="1"/>
  <c r="D421" i="1"/>
  <c r="C421" i="1"/>
  <c r="B421" i="1"/>
  <c r="A421" i="1"/>
  <c r="K420" i="1"/>
  <c r="J420" i="1"/>
  <c r="I420" i="1"/>
  <c r="H420" i="1"/>
  <c r="G420" i="1"/>
  <c r="F420" i="1"/>
  <c r="E420" i="1"/>
  <c r="D420" i="1"/>
  <c r="C420" i="1"/>
  <c r="B420" i="1"/>
  <c r="A420" i="1"/>
  <c r="K419" i="1"/>
  <c r="J419" i="1"/>
  <c r="I419" i="1"/>
  <c r="H419" i="1"/>
  <c r="G419" i="1"/>
  <c r="F419" i="1"/>
  <c r="E419" i="1"/>
  <c r="D419" i="1"/>
  <c r="C419" i="1"/>
  <c r="B419" i="1"/>
  <c r="A419" i="1"/>
  <c r="K418" i="1"/>
  <c r="J418" i="1"/>
  <c r="I418" i="1"/>
  <c r="H418" i="1"/>
  <c r="G418" i="1"/>
  <c r="F418" i="1"/>
  <c r="E418" i="1"/>
  <c r="D418" i="1"/>
  <c r="C418" i="1"/>
  <c r="B418" i="1"/>
  <c r="A418" i="1"/>
  <c r="K417" i="1"/>
  <c r="J417" i="1"/>
  <c r="I417" i="1"/>
  <c r="H417" i="1"/>
  <c r="G417" i="1"/>
  <c r="F417" i="1"/>
  <c r="E417" i="1"/>
  <c r="D417" i="1"/>
  <c r="C417" i="1"/>
  <c r="B417" i="1"/>
  <c r="A417" i="1"/>
  <c r="K416" i="1"/>
  <c r="J416" i="1"/>
  <c r="I416" i="1"/>
  <c r="H416" i="1"/>
  <c r="G416" i="1"/>
  <c r="F416" i="1"/>
  <c r="E416" i="1"/>
  <c r="D416" i="1"/>
  <c r="C416" i="1"/>
  <c r="B416" i="1"/>
  <c r="A416" i="1"/>
  <c r="K415" i="1"/>
  <c r="J415" i="1"/>
  <c r="I415" i="1"/>
  <c r="H415" i="1"/>
  <c r="G415" i="1"/>
  <c r="F415" i="1"/>
  <c r="E415" i="1"/>
  <c r="D415" i="1"/>
  <c r="C415" i="1"/>
  <c r="B415" i="1"/>
  <c r="A415" i="1"/>
  <c r="K414" i="1"/>
  <c r="J414" i="1"/>
  <c r="I414" i="1"/>
  <c r="H414" i="1"/>
  <c r="G414" i="1"/>
  <c r="F414" i="1"/>
  <c r="E414" i="1"/>
  <c r="D414" i="1"/>
  <c r="C414" i="1"/>
  <c r="B414" i="1"/>
  <c r="A414" i="1"/>
  <c r="K413" i="1"/>
  <c r="J413" i="1"/>
  <c r="I413" i="1"/>
  <c r="H413" i="1"/>
  <c r="G413" i="1"/>
  <c r="F413" i="1"/>
  <c r="E413" i="1"/>
  <c r="D413" i="1"/>
  <c r="C413" i="1"/>
  <c r="B413" i="1"/>
  <c r="A413" i="1"/>
  <c r="K412" i="1"/>
  <c r="J412" i="1"/>
  <c r="I412" i="1"/>
  <c r="H412" i="1"/>
  <c r="G412" i="1"/>
  <c r="F412" i="1"/>
  <c r="E412" i="1"/>
  <c r="D412" i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K410" i="1"/>
  <c r="J410" i="1"/>
  <c r="I410" i="1"/>
  <c r="H410" i="1"/>
  <c r="G410" i="1"/>
  <c r="F410" i="1"/>
  <c r="E410" i="1"/>
  <c r="D410" i="1"/>
  <c r="C410" i="1"/>
  <c r="B410" i="1"/>
  <c r="K409" i="1"/>
  <c r="J409" i="1"/>
  <c r="I409" i="1"/>
  <c r="H409" i="1"/>
  <c r="G409" i="1"/>
  <c r="F409" i="1"/>
  <c r="E409" i="1"/>
  <c r="D409" i="1"/>
  <c r="C409" i="1"/>
  <c r="B409" i="1"/>
  <c r="A409" i="1"/>
  <c r="K408" i="1"/>
  <c r="J408" i="1"/>
  <c r="I408" i="1"/>
  <c r="H408" i="1"/>
  <c r="G408" i="1"/>
  <c r="F408" i="1"/>
  <c r="E408" i="1"/>
  <c r="D408" i="1"/>
  <c r="C408" i="1"/>
  <c r="B408" i="1"/>
  <c r="A408" i="1"/>
  <c r="K407" i="1"/>
  <c r="J407" i="1"/>
  <c r="I407" i="1"/>
  <c r="H407" i="1"/>
  <c r="G407" i="1"/>
  <c r="F407" i="1"/>
  <c r="E407" i="1"/>
  <c r="D407" i="1"/>
  <c r="C407" i="1"/>
  <c r="B407" i="1"/>
  <c r="A407" i="1"/>
  <c r="K406" i="1"/>
  <c r="J406" i="1"/>
  <c r="H406" i="1"/>
  <c r="G406" i="1"/>
  <c r="F406" i="1"/>
  <c r="E406" i="1"/>
  <c r="D406" i="1"/>
  <c r="C406" i="1"/>
  <c r="B406" i="1"/>
  <c r="A406" i="1"/>
  <c r="K405" i="1"/>
  <c r="J405" i="1"/>
  <c r="I405" i="1"/>
  <c r="H405" i="1"/>
  <c r="G405" i="1"/>
  <c r="F405" i="1"/>
  <c r="E405" i="1"/>
  <c r="D405" i="1"/>
  <c r="C405" i="1"/>
  <c r="B405" i="1"/>
  <c r="A405" i="1"/>
  <c r="K404" i="1"/>
  <c r="J404" i="1"/>
  <c r="I404" i="1"/>
  <c r="H404" i="1"/>
  <c r="G404" i="1"/>
  <c r="F404" i="1"/>
  <c r="E404" i="1"/>
  <c r="D404" i="1"/>
  <c r="C404" i="1"/>
  <c r="B404" i="1"/>
  <c r="A404" i="1"/>
  <c r="K403" i="1"/>
  <c r="J403" i="1"/>
  <c r="I403" i="1"/>
  <c r="H403" i="1"/>
  <c r="G403" i="1"/>
  <c r="F403" i="1"/>
  <c r="E403" i="1"/>
  <c r="D403" i="1"/>
  <c r="C403" i="1"/>
  <c r="B403" i="1"/>
  <c r="A403" i="1"/>
  <c r="K402" i="1"/>
  <c r="J402" i="1"/>
  <c r="I402" i="1"/>
  <c r="H402" i="1"/>
  <c r="G402" i="1"/>
  <c r="F402" i="1"/>
  <c r="E402" i="1"/>
  <c r="D402" i="1"/>
  <c r="C402" i="1"/>
  <c r="B402" i="1"/>
  <c r="A402" i="1"/>
  <c r="K401" i="1"/>
  <c r="J401" i="1"/>
  <c r="I401" i="1"/>
  <c r="H401" i="1"/>
  <c r="G401" i="1"/>
  <c r="F401" i="1"/>
  <c r="E401" i="1"/>
  <c r="D401" i="1"/>
  <c r="C401" i="1"/>
  <c r="B401" i="1"/>
  <c r="A401" i="1"/>
  <c r="K400" i="1"/>
  <c r="J400" i="1"/>
  <c r="I400" i="1"/>
  <c r="H400" i="1"/>
  <c r="G400" i="1"/>
  <c r="F400" i="1"/>
  <c r="E400" i="1"/>
  <c r="D400" i="1"/>
  <c r="C400" i="1"/>
  <c r="B400" i="1"/>
  <c r="A400" i="1"/>
  <c r="K399" i="1"/>
  <c r="J399" i="1"/>
  <c r="I399" i="1"/>
  <c r="H399" i="1"/>
  <c r="G399" i="1"/>
  <c r="F399" i="1"/>
  <c r="E399" i="1"/>
  <c r="D399" i="1"/>
  <c r="C399" i="1"/>
  <c r="B399" i="1"/>
  <c r="A399" i="1"/>
  <c r="K398" i="1"/>
  <c r="J398" i="1"/>
  <c r="I398" i="1"/>
  <c r="H398" i="1"/>
  <c r="G398" i="1"/>
  <c r="F398" i="1"/>
  <c r="E398" i="1"/>
  <c r="D398" i="1"/>
  <c r="C398" i="1"/>
  <c r="B398" i="1"/>
  <c r="A398" i="1"/>
  <c r="K397" i="1"/>
  <c r="J397" i="1"/>
  <c r="I397" i="1"/>
  <c r="H397" i="1"/>
  <c r="G397" i="1"/>
  <c r="F397" i="1"/>
  <c r="E397" i="1"/>
  <c r="D397" i="1"/>
  <c r="C397" i="1"/>
  <c r="B397" i="1"/>
  <c r="A397" i="1"/>
  <c r="K396" i="1"/>
  <c r="J396" i="1"/>
  <c r="I396" i="1"/>
  <c r="H396" i="1"/>
  <c r="G396" i="1"/>
  <c r="F396" i="1"/>
  <c r="E396" i="1"/>
  <c r="D396" i="1"/>
  <c r="C396" i="1"/>
  <c r="B396" i="1"/>
  <c r="A396" i="1"/>
  <c r="K395" i="1"/>
  <c r="J395" i="1"/>
  <c r="I395" i="1"/>
  <c r="H395" i="1"/>
  <c r="G395" i="1"/>
  <c r="F395" i="1"/>
  <c r="E395" i="1"/>
  <c r="D395" i="1"/>
  <c r="C395" i="1"/>
  <c r="B395" i="1"/>
  <c r="A395" i="1"/>
  <c r="K394" i="1"/>
  <c r="J394" i="1"/>
  <c r="I394" i="1"/>
  <c r="H394" i="1"/>
  <c r="G394" i="1"/>
  <c r="F394" i="1"/>
  <c r="E394" i="1"/>
  <c r="D394" i="1"/>
  <c r="C394" i="1"/>
  <c r="B394" i="1"/>
  <c r="A394" i="1"/>
  <c r="K393" i="1"/>
  <c r="J393" i="1"/>
  <c r="I393" i="1"/>
  <c r="H393" i="1"/>
  <c r="G393" i="1"/>
  <c r="F393" i="1"/>
  <c r="E393" i="1"/>
  <c r="D393" i="1"/>
  <c r="C393" i="1"/>
  <c r="B393" i="1"/>
  <c r="A393" i="1"/>
  <c r="K392" i="1"/>
  <c r="J392" i="1"/>
  <c r="I392" i="1"/>
  <c r="H392" i="1"/>
  <c r="G392" i="1"/>
  <c r="F392" i="1"/>
  <c r="E392" i="1"/>
  <c r="D392" i="1"/>
  <c r="C392" i="1"/>
  <c r="B392" i="1"/>
  <c r="A392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A390" i="1"/>
  <c r="K389" i="1"/>
  <c r="J389" i="1"/>
  <c r="I389" i="1"/>
  <c r="H389" i="1"/>
  <c r="G389" i="1"/>
  <c r="F389" i="1"/>
  <c r="E389" i="1"/>
  <c r="D389" i="1"/>
  <c r="C389" i="1"/>
  <c r="B389" i="1"/>
  <c r="A389" i="1"/>
  <c r="K388" i="1"/>
  <c r="J388" i="1"/>
  <c r="I388" i="1"/>
  <c r="H388" i="1"/>
  <c r="G388" i="1"/>
  <c r="F388" i="1"/>
  <c r="E388" i="1"/>
  <c r="D388" i="1"/>
  <c r="C388" i="1"/>
  <c r="B388" i="1"/>
  <c r="A388" i="1"/>
  <c r="K387" i="1"/>
  <c r="J387" i="1"/>
  <c r="I387" i="1"/>
  <c r="H387" i="1"/>
  <c r="G387" i="1"/>
  <c r="F387" i="1"/>
  <c r="E387" i="1"/>
  <c r="D387" i="1"/>
  <c r="C387" i="1"/>
  <c r="B387" i="1"/>
  <c r="A387" i="1"/>
  <c r="K386" i="1"/>
  <c r="J386" i="1"/>
  <c r="I386" i="1"/>
  <c r="H386" i="1"/>
  <c r="G386" i="1"/>
  <c r="F386" i="1"/>
  <c r="E386" i="1"/>
  <c r="D386" i="1"/>
  <c r="C386" i="1"/>
  <c r="B386" i="1"/>
  <c r="A386" i="1"/>
  <c r="K385" i="1"/>
  <c r="J385" i="1"/>
  <c r="I385" i="1"/>
  <c r="H385" i="1"/>
  <c r="G385" i="1"/>
  <c r="F385" i="1"/>
  <c r="E385" i="1"/>
  <c r="D385" i="1"/>
  <c r="C385" i="1"/>
  <c r="B385" i="1"/>
  <c r="A385" i="1"/>
  <c r="K384" i="1"/>
  <c r="J384" i="1"/>
  <c r="I384" i="1"/>
  <c r="H384" i="1"/>
  <c r="G384" i="1"/>
  <c r="F384" i="1"/>
  <c r="E384" i="1"/>
  <c r="D384" i="1"/>
  <c r="C384" i="1"/>
  <c r="B384" i="1"/>
  <c r="A384" i="1"/>
  <c r="K383" i="1"/>
  <c r="J383" i="1"/>
  <c r="I383" i="1"/>
  <c r="H383" i="1"/>
  <c r="G383" i="1"/>
  <c r="F383" i="1"/>
  <c r="E383" i="1"/>
  <c r="D383" i="1"/>
  <c r="C383" i="1"/>
  <c r="B383" i="1"/>
  <c r="A383" i="1"/>
  <c r="K382" i="1"/>
  <c r="J382" i="1"/>
  <c r="I382" i="1"/>
  <c r="H382" i="1"/>
  <c r="G382" i="1"/>
  <c r="F382" i="1"/>
  <c r="E382" i="1"/>
  <c r="D382" i="1"/>
  <c r="C382" i="1"/>
  <c r="B382" i="1"/>
  <c r="A382" i="1"/>
  <c r="K381" i="1"/>
  <c r="J381" i="1"/>
  <c r="I381" i="1"/>
  <c r="H381" i="1"/>
  <c r="G381" i="1"/>
  <c r="F381" i="1"/>
  <c r="E381" i="1"/>
  <c r="D381" i="1"/>
  <c r="C381" i="1"/>
  <c r="B381" i="1"/>
  <c r="A381" i="1"/>
  <c r="K380" i="1"/>
  <c r="J380" i="1"/>
  <c r="I380" i="1"/>
  <c r="H380" i="1"/>
  <c r="G380" i="1"/>
  <c r="F380" i="1"/>
  <c r="E380" i="1"/>
  <c r="D380" i="1"/>
  <c r="C380" i="1"/>
  <c r="B380" i="1"/>
  <c r="A380" i="1"/>
  <c r="K379" i="1"/>
  <c r="J379" i="1"/>
  <c r="I379" i="1"/>
  <c r="H379" i="1"/>
  <c r="G379" i="1"/>
  <c r="F379" i="1"/>
  <c r="E379" i="1"/>
  <c r="D379" i="1"/>
  <c r="C379" i="1"/>
  <c r="B379" i="1"/>
  <c r="A379" i="1"/>
  <c r="K378" i="1"/>
  <c r="J378" i="1"/>
  <c r="I378" i="1"/>
  <c r="H378" i="1"/>
  <c r="G378" i="1"/>
  <c r="F378" i="1"/>
  <c r="E378" i="1"/>
  <c r="D378" i="1"/>
  <c r="C378" i="1"/>
  <c r="B378" i="1"/>
  <c r="A378" i="1"/>
  <c r="K377" i="1"/>
  <c r="J377" i="1"/>
  <c r="I377" i="1"/>
  <c r="H377" i="1"/>
  <c r="G377" i="1"/>
  <c r="F377" i="1"/>
  <c r="E377" i="1"/>
  <c r="D377" i="1"/>
  <c r="C377" i="1"/>
  <c r="B377" i="1"/>
  <c r="A377" i="1"/>
  <c r="K376" i="1"/>
  <c r="J376" i="1"/>
  <c r="I376" i="1"/>
  <c r="H376" i="1"/>
  <c r="G376" i="1"/>
  <c r="F376" i="1"/>
  <c r="E376" i="1"/>
  <c r="D376" i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K374" i="1"/>
  <c r="J374" i="1"/>
  <c r="I374" i="1"/>
  <c r="H374" i="1"/>
  <c r="G374" i="1"/>
  <c r="F374" i="1"/>
  <c r="E374" i="1"/>
  <c r="D374" i="1"/>
  <c r="C374" i="1"/>
  <c r="B374" i="1"/>
  <c r="A374" i="1"/>
  <c r="K373" i="1"/>
  <c r="J373" i="1"/>
  <c r="I373" i="1"/>
  <c r="H373" i="1"/>
  <c r="G373" i="1"/>
  <c r="F373" i="1"/>
  <c r="E373" i="1"/>
  <c r="D373" i="1"/>
  <c r="C373" i="1"/>
  <c r="B373" i="1"/>
  <c r="A373" i="1"/>
  <c r="K372" i="1"/>
  <c r="J372" i="1"/>
  <c r="I372" i="1"/>
  <c r="H372" i="1"/>
  <c r="G372" i="1"/>
  <c r="F372" i="1"/>
  <c r="E372" i="1"/>
  <c r="D372" i="1"/>
  <c r="C372" i="1"/>
  <c r="B372" i="1"/>
  <c r="A372" i="1"/>
  <c r="K371" i="1"/>
  <c r="J371" i="1"/>
  <c r="I371" i="1"/>
  <c r="H371" i="1"/>
  <c r="G371" i="1"/>
  <c r="F371" i="1"/>
  <c r="E371" i="1"/>
  <c r="D371" i="1"/>
  <c r="C371" i="1"/>
  <c r="B371" i="1"/>
  <c r="A371" i="1"/>
  <c r="K370" i="1"/>
  <c r="J370" i="1"/>
  <c r="I370" i="1"/>
  <c r="H370" i="1"/>
  <c r="G370" i="1"/>
  <c r="F370" i="1"/>
  <c r="E370" i="1"/>
  <c r="D370" i="1"/>
  <c r="C370" i="1"/>
  <c r="B370" i="1"/>
  <c r="A370" i="1"/>
  <c r="K369" i="1"/>
  <c r="J369" i="1"/>
  <c r="I369" i="1"/>
  <c r="H369" i="1"/>
  <c r="G369" i="1"/>
  <c r="F369" i="1"/>
  <c r="E369" i="1"/>
  <c r="D369" i="1"/>
  <c r="C369" i="1"/>
  <c r="B369" i="1"/>
  <c r="A369" i="1"/>
  <c r="K368" i="1"/>
  <c r="J368" i="1"/>
  <c r="I368" i="1"/>
  <c r="H368" i="1"/>
  <c r="G368" i="1"/>
  <c r="F368" i="1"/>
  <c r="E368" i="1"/>
  <c r="D368" i="1"/>
  <c r="C368" i="1"/>
  <c r="B368" i="1"/>
  <c r="A368" i="1"/>
  <c r="K367" i="1"/>
  <c r="J367" i="1"/>
  <c r="I367" i="1"/>
  <c r="H367" i="1"/>
  <c r="G367" i="1"/>
  <c r="F367" i="1"/>
  <c r="E367" i="1"/>
  <c r="D367" i="1"/>
  <c r="C367" i="1"/>
  <c r="B367" i="1"/>
  <c r="A367" i="1"/>
  <c r="K366" i="1"/>
  <c r="J366" i="1"/>
  <c r="I366" i="1"/>
  <c r="H366" i="1"/>
  <c r="G366" i="1"/>
  <c r="F366" i="1"/>
  <c r="E366" i="1"/>
  <c r="D366" i="1"/>
  <c r="C366" i="1"/>
  <c r="B366" i="1"/>
  <c r="A366" i="1"/>
  <c r="K365" i="1"/>
  <c r="J365" i="1"/>
  <c r="I365" i="1"/>
  <c r="H365" i="1"/>
  <c r="G365" i="1"/>
  <c r="F365" i="1"/>
  <c r="E365" i="1"/>
  <c r="D365" i="1"/>
  <c r="C365" i="1"/>
  <c r="B365" i="1"/>
  <c r="A365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A363" i="1"/>
  <c r="K362" i="1"/>
  <c r="J362" i="1"/>
  <c r="I362" i="1"/>
  <c r="H362" i="1"/>
  <c r="G362" i="1"/>
  <c r="F362" i="1"/>
  <c r="E362" i="1"/>
  <c r="D362" i="1"/>
  <c r="C362" i="1"/>
  <c r="B362" i="1"/>
  <c r="A362" i="1"/>
  <c r="K361" i="1"/>
  <c r="J361" i="1"/>
  <c r="I361" i="1"/>
  <c r="H361" i="1"/>
  <c r="G361" i="1"/>
  <c r="F361" i="1"/>
  <c r="E361" i="1"/>
  <c r="D361" i="1"/>
  <c r="C361" i="1"/>
  <c r="B361" i="1"/>
  <c r="A361" i="1"/>
  <c r="K360" i="1"/>
  <c r="J360" i="1"/>
  <c r="I360" i="1"/>
  <c r="H360" i="1"/>
  <c r="G360" i="1"/>
  <c r="F360" i="1"/>
  <c r="E360" i="1"/>
  <c r="D360" i="1"/>
  <c r="C360" i="1"/>
  <c r="B360" i="1"/>
  <c r="A360" i="1"/>
  <c r="K359" i="1"/>
  <c r="J359" i="1"/>
  <c r="I359" i="1"/>
  <c r="H359" i="1"/>
  <c r="G359" i="1"/>
  <c r="F359" i="1"/>
  <c r="E359" i="1"/>
  <c r="D359" i="1"/>
  <c r="C359" i="1"/>
  <c r="B359" i="1"/>
  <c r="A359" i="1"/>
  <c r="K358" i="1"/>
  <c r="J358" i="1"/>
  <c r="I358" i="1"/>
  <c r="H358" i="1"/>
  <c r="G358" i="1"/>
  <c r="F358" i="1"/>
  <c r="E358" i="1"/>
  <c r="D358" i="1"/>
  <c r="C358" i="1"/>
  <c r="B358" i="1"/>
  <c r="A358" i="1"/>
  <c r="K357" i="1"/>
  <c r="J357" i="1"/>
  <c r="I357" i="1"/>
  <c r="H357" i="1"/>
  <c r="G357" i="1"/>
  <c r="F357" i="1"/>
  <c r="E357" i="1"/>
  <c r="D357" i="1"/>
  <c r="C357" i="1"/>
  <c r="B357" i="1"/>
  <c r="A357" i="1"/>
  <c r="K356" i="1"/>
  <c r="J356" i="1"/>
  <c r="I356" i="1"/>
  <c r="H356" i="1"/>
  <c r="G356" i="1"/>
  <c r="F356" i="1"/>
  <c r="E356" i="1"/>
  <c r="D356" i="1"/>
  <c r="C356" i="1"/>
  <c r="B356" i="1"/>
  <c r="A356" i="1"/>
  <c r="K355" i="1"/>
  <c r="J355" i="1"/>
  <c r="I355" i="1"/>
  <c r="H355" i="1"/>
  <c r="G355" i="1"/>
  <c r="F355" i="1"/>
  <c r="E355" i="1"/>
  <c r="D355" i="1"/>
  <c r="C355" i="1"/>
  <c r="B355" i="1"/>
  <c r="A355" i="1"/>
  <c r="K354" i="1"/>
  <c r="J354" i="1"/>
  <c r="I354" i="1"/>
  <c r="H354" i="1"/>
  <c r="G354" i="1"/>
  <c r="F354" i="1"/>
  <c r="E354" i="1"/>
  <c r="D354" i="1"/>
  <c r="C354" i="1"/>
  <c r="B354" i="1"/>
  <c r="A354" i="1"/>
  <c r="K353" i="1"/>
  <c r="J353" i="1"/>
  <c r="I353" i="1"/>
  <c r="H353" i="1"/>
  <c r="G353" i="1"/>
  <c r="F353" i="1"/>
  <c r="E353" i="1"/>
  <c r="D353" i="1"/>
  <c r="C353" i="1"/>
  <c r="B353" i="1"/>
  <c r="A353" i="1"/>
  <c r="K352" i="1"/>
  <c r="J352" i="1"/>
  <c r="I352" i="1"/>
  <c r="H352" i="1"/>
  <c r="G352" i="1"/>
  <c r="F352" i="1"/>
  <c r="E352" i="1"/>
  <c r="D352" i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K350" i="1"/>
  <c r="J350" i="1"/>
  <c r="I350" i="1"/>
  <c r="H350" i="1"/>
  <c r="G350" i="1"/>
  <c r="F350" i="1"/>
  <c r="E350" i="1"/>
  <c r="D350" i="1"/>
  <c r="C350" i="1"/>
  <c r="B350" i="1"/>
  <c r="A350" i="1"/>
  <c r="K349" i="1"/>
  <c r="J349" i="1"/>
  <c r="I349" i="1"/>
  <c r="H349" i="1"/>
  <c r="G349" i="1"/>
  <c r="F349" i="1"/>
  <c r="E349" i="1"/>
  <c r="D349" i="1"/>
  <c r="C349" i="1"/>
  <c r="B349" i="1"/>
  <c r="A349" i="1"/>
  <c r="K348" i="1"/>
  <c r="J348" i="1"/>
  <c r="I348" i="1"/>
  <c r="H348" i="1"/>
  <c r="G348" i="1"/>
  <c r="F348" i="1"/>
  <c r="E348" i="1"/>
  <c r="D348" i="1"/>
  <c r="C348" i="1"/>
  <c r="B348" i="1"/>
  <c r="A348" i="1"/>
  <c r="K347" i="1"/>
  <c r="J347" i="1"/>
  <c r="I347" i="1"/>
  <c r="H347" i="1"/>
  <c r="G347" i="1"/>
  <c r="F347" i="1"/>
  <c r="E347" i="1"/>
  <c r="D347" i="1"/>
  <c r="C347" i="1"/>
  <c r="B347" i="1"/>
  <c r="A347" i="1"/>
  <c r="K346" i="1"/>
  <c r="J346" i="1"/>
  <c r="I346" i="1"/>
  <c r="H346" i="1"/>
  <c r="G346" i="1"/>
  <c r="F346" i="1"/>
  <c r="E346" i="1"/>
  <c r="D346" i="1"/>
  <c r="C346" i="1"/>
  <c r="B346" i="1"/>
  <c r="A346" i="1"/>
  <c r="K345" i="1"/>
  <c r="J345" i="1"/>
  <c r="I345" i="1"/>
  <c r="H345" i="1"/>
  <c r="G345" i="1"/>
  <c r="F345" i="1"/>
  <c r="E345" i="1"/>
  <c r="D345" i="1"/>
  <c r="C345" i="1"/>
  <c r="B345" i="1"/>
  <c r="A345" i="1"/>
  <c r="K344" i="1"/>
  <c r="J344" i="1"/>
  <c r="I344" i="1"/>
  <c r="H344" i="1"/>
  <c r="G344" i="1"/>
  <c r="F344" i="1"/>
  <c r="E344" i="1"/>
  <c r="D344" i="1"/>
  <c r="C344" i="1"/>
  <c r="B344" i="1"/>
  <c r="A344" i="1"/>
  <c r="K343" i="1"/>
  <c r="J343" i="1"/>
  <c r="I343" i="1"/>
  <c r="H343" i="1"/>
  <c r="G343" i="1"/>
  <c r="F343" i="1"/>
  <c r="E343" i="1"/>
  <c r="D343" i="1"/>
  <c r="C343" i="1"/>
  <c r="B343" i="1"/>
  <c r="A343" i="1"/>
  <c r="K342" i="1"/>
  <c r="J342" i="1"/>
  <c r="I342" i="1"/>
  <c r="H342" i="1"/>
  <c r="G342" i="1"/>
  <c r="F342" i="1"/>
  <c r="E342" i="1"/>
  <c r="D342" i="1"/>
  <c r="C342" i="1"/>
  <c r="B342" i="1"/>
  <c r="A342" i="1"/>
  <c r="K341" i="1"/>
  <c r="J341" i="1"/>
  <c r="I341" i="1"/>
  <c r="H341" i="1"/>
  <c r="G341" i="1"/>
  <c r="F341" i="1"/>
  <c r="E341" i="1"/>
  <c r="D341" i="1"/>
  <c r="C341" i="1"/>
  <c r="B341" i="1"/>
  <c r="A341" i="1"/>
  <c r="K340" i="1"/>
  <c r="J340" i="1"/>
  <c r="I340" i="1"/>
  <c r="H340" i="1"/>
  <c r="G340" i="1"/>
  <c r="F340" i="1"/>
  <c r="E340" i="1"/>
  <c r="D340" i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K338" i="1"/>
  <c r="J338" i="1"/>
  <c r="I338" i="1"/>
  <c r="H338" i="1"/>
  <c r="G338" i="1"/>
  <c r="F338" i="1"/>
  <c r="E338" i="1"/>
  <c r="D338" i="1"/>
  <c r="C338" i="1"/>
  <c r="B338" i="1"/>
  <c r="A338" i="1"/>
  <c r="K337" i="1"/>
  <c r="J337" i="1"/>
  <c r="I337" i="1"/>
  <c r="H337" i="1"/>
  <c r="G337" i="1"/>
  <c r="F337" i="1"/>
  <c r="E337" i="1"/>
  <c r="D337" i="1"/>
  <c r="C337" i="1"/>
  <c r="B337" i="1"/>
  <c r="A337" i="1"/>
  <c r="K336" i="1"/>
  <c r="J336" i="1"/>
  <c r="I336" i="1"/>
  <c r="H336" i="1"/>
  <c r="G336" i="1"/>
  <c r="F336" i="1"/>
  <c r="E336" i="1"/>
  <c r="D336" i="1"/>
  <c r="C336" i="1"/>
  <c r="B336" i="1"/>
  <c r="A336" i="1"/>
  <c r="K335" i="1"/>
  <c r="J335" i="1"/>
  <c r="I335" i="1"/>
  <c r="H335" i="1"/>
  <c r="G335" i="1"/>
  <c r="F335" i="1"/>
  <c r="E335" i="1"/>
  <c r="D335" i="1"/>
  <c r="C335" i="1"/>
  <c r="B335" i="1"/>
  <c r="A335" i="1"/>
  <c r="K334" i="1"/>
  <c r="J334" i="1"/>
  <c r="I334" i="1"/>
  <c r="H334" i="1"/>
  <c r="G334" i="1"/>
  <c r="F334" i="1"/>
  <c r="E334" i="1"/>
  <c r="D334" i="1"/>
  <c r="C334" i="1"/>
  <c r="B334" i="1"/>
  <c r="A334" i="1"/>
  <c r="K333" i="1"/>
  <c r="J333" i="1"/>
  <c r="I333" i="1"/>
  <c r="H333" i="1"/>
  <c r="G333" i="1"/>
  <c r="F333" i="1"/>
  <c r="E333" i="1"/>
  <c r="D333" i="1"/>
  <c r="C333" i="1"/>
  <c r="B333" i="1"/>
  <c r="A333" i="1"/>
  <c r="K332" i="1"/>
  <c r="J332" i="1"/>
  <c r="I332" i="1"/>
  <c r="H332" i="1"/>
  <c r="G332" i="1"/>
  <c r="F332" i="1"/>
  <c r="E332" i="1"/>
  <c r="D332" i="1"/>
  <c r="C332" i="1"/>
  <c r="B332" i="1"/>
  <c r="A332" i="1"/>
  <c r="K331" i="1"/>
  <c r="J331" i="1"/>
  <c r="I331" i="1"/>
  <c r="H331" i="1"/>
  <c r="G331" i="1"/>
  <c r="F331" i="1"/>
  <c r="E331" i="1"/>
  <c r="D331" i="1"/>
  <c r="C331" i="1"/>
  <c r="B331" i="1"/>
  <c r="A331" i="1"/>
  <c r="K330" i="1"/>
  <c r="J330" i="1"/>
  <c r="I330" i="1"/>
  <c r="H330" i="1"/>
  <c r="G330" i="1"/>
  <c r="F330" i="1"/>
  <c r="E330" i="1"/>
  <c r="D330" i="1"/>
  <c r="C330" i="1"/>
  <c r="B330" i="1"/>
  <c r="K329" i="1"/>
  <c r="J329" i="1"/>
  <c r="I329" i="1"/>
  <c r="H329" i="1"/>
  <c r="G329" i="1"/>
  <c r="F329" i="1"/>
  <c r="E329" i="1"/>
  <c r="D329" i="1"/>
  <c r="C329" i="1"/>
  <c r="B329" i="1"/>
  <c r="K328" i="1"/>
  <c r="J328" i="1"/>
  <c r="I328" i="1"/>
  <c r="H328" i="1"/>
  <c r="G328" i="1"/>
  <c r="F328" i="1"/>
  <c r="E328" i="1"/>
  <c r="D328" i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K326" i="1"/>
  <c r="J326" i="1"/>
  <c r="I326" i="1"/>
  <c r="H326" i="1"/>
  <c r="G326" i="1"/>
  <c r="F326" i="1"/>
  <c r="E326" i="1"/>
  <c r="D326" i="1"/>
  <c r="C326" i="1"/>
  <c r="B326" i="1"/>
  <c r="A326" i="1"/>
  <c r="K325" i="1"/>
  <c r="J325" i="1"/>
  <c r="I325" i="1"/>
  <c r="H325" i="1"/>
  <c r="G325" i="1"/>
  <c r="F325" i="1"/>
  <c r="E325" i="1"/>
  <c r="D325" i="1"/>
  <c r="C325" i="1"/>
  <c r="B325" i="1"/>
  <c r="A325" i="1"/>
  <c r="K324" i="1"/>
  <c r="J324" i="1"/>
  <c r="I324" i="1"/>
  <c r="H324" i="1"/>
  <c r="G324" i="1"/>
  <c r="F324" i="1"/>
  <c r="E324" i="1"/>
  <c r="D324" i="1"/>
  <c r="C324" i="1"/>
  <c r="B324" i="1"/>
  <c r="A324" i="1"/>
  <c r="K323" i="1"/>
  <c r="J323" i="1"/>
  <c r="I323" i="1"/>
  <c r="H323" i="1"/>
  <c r="G323" i="1"/>
  <c r="F323" i="1"/>
  <c r="E323" i="1"/>
  <c r="D323" i="1"/>
  <c r="C323" i="1"/>
  <c r="B323" i="1"/>
  <c r="A323" i="1"/>
  <c r="K322" i="1"/>
  <c r="J322" i="1"/>
  <c r="I322" i="1"/>
  <c r="H322" i="1"/>
  <c r="G322" i="1"/>
  <c r="F322" i="1"/>
  <c r="E322" i="1"/>
  <c r="D322" i="1"/>
  <c r="C322" i="1"/>
  <c r="B322" i="1"/>
  <c r="A322" i="1"/>
  <c r="K321" i="1"/>
  <c r="J321" i="1"/>
  <c r="I321" i="1"/>
  <c r="H321" i="1"/>
  <c r="G321" i="1"/>
  <c r="F321" i="1"/>
  <c r="E321" i="1"/>
  <c r="D321" i="1"/>
  <c r="C321" i="1"/>
  <c r="B321" i="1"/>
  <c r="A321" i="1"/>
  <c r="K320" i="1"/>
  <c r="J320" i="1"/>
  <c r="I320" i="1"/>
  <c r="H320" i="1"/>
  <c r="G320" i="1"/>
  <c r="F320" i="1"/>
  <c r="E320" i="1"/>
  <c r="D320" i="1"/>
  <c r="C320" i="1"/>
  <c r="B320" i="1"/>
  <c r="K319" i="1"/>
  <c r="J319" i="1"/>
  <c r="I319" i="1"/>
  <c r="H319" i="1"/>
  <c r="G319" i="1"/>
  <c r="F319" i="1"/>
  <c r="E319" i="1"/>
  <c r="D319" i="1"/>
  <c r="C319" i="1"/>
  <c r="B319" i="1"/>
  <c r="A319" i="1"/>
  <c r="K318" i="1"/>
  <c r="J318" i="1"/>
  <c r="I318" i="1"/>
  <c r="H318" i="1"/>
  <c r="G318" i="1"/>
  <c r="F318" i="1"/>
  <c r="E318" i="1"/>
  <c r="D318" i="1"/>
  <c r="C318" i="1"/>
  <c r="B318" i="1"/>
  <c r="A318" i="1"/>
  <c r="K317" i="1"/>
  <c r="J317" i="1"/>
  <c r="I317" i="1"/>
  <c r="H317" i="1"/>
  <c r="G317" i="1"/>
  <c r="F317" i="1"/>
  <c r="E317" i="1"/>
  <c r="D317" i="1"/>
  <c r="C317" i="1"/>
  <c r="B317" i="1"/>
  <c r="A317" i="1"/>
  <c r="K316" i="1"/>
  <c r="J316" i="1"/>
  <c r="I316" i="1"/>
  <c r="H316" i="1"/>
  <c r="G316" i="1"/>
  <c r="F316" i="1"/>
  <c r="E316" i="1"/>
  <c r="D316" i="1"/>
  <c r="C316" i="1"/>
  <c r="B316" i="1"/>
  <c r="A316" i="1"/>
  <c r="K315" i="1"/>
  <c r="J315" i="1"/>
  <c r="I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K313" i="1"/>
  <c r="J313" i="1"/>
  <c r="I313" i="1"/>
  <c r="H313" i="1"/>
  <c r="G313" i="1"/>
  <c r="F313" i="1"/>
  <c r="E313" i="1"/>
  <c r="D313" i="1"/>
  <c r="C313" i="1"/>
  <c r="B313" i="1"/>
  <c r="A313" i="1"/>
  <c r="K312" i="1"/>
  <c r="J312" i="1"/>
  <c r="I312" i="1"/>
  <c r="H312" i="1"/>
  <c r="G312" i="1"/>
  <c r="F312" i="1"/>
  <c r="E312" i="1"/>
  <c r="D312" i="1"/>
  <c r="C312" i="1"/>
  <c r="B312" i="1"/>
  <c r="A312" i="1"/>
  <c r="K311" i="1"/>
  <c r="J311" i="1"/>
  <c r="I311" i="1"/>
  <c r="H311" i="1"/>
  <c r="G311" i="1"/>
  <c r="F311" i="1"/>
  <c r="E311" i="1"/>
  <c r="D311" i="1"/>
  <c r="C311" i="1"/>
  <c r="B311" i="1"/>
  <c r="A311" i="1"/>
  <c r="K310" i="1"/>
  <c r="J310" i="1"/>
  <c r="I310" i="1"/>
  <c r="H310" i="1"/>
  <c r="G310" i="1"/>
  <c r="F310" i="1"/>
  <c r="E310" i="1"/>
  <c r="D310" i="1"/>
  <c r="C310" i="1"/>
  <c r="B310" i="1"/>
  <c r="A310" i="1"/>
  <c r="K309" i="1"/>
  <c r="J309" i="1"/>
  <c r="I309" i="1"/>
  <c r="H309" i="1"/>
  <c r="G309" i="1"/>
  <c r="F309" i="1"/>
  <c r="E309" i="1"/>
  <c r="D309" i="1"/>
  <c r="C309" i="1"/>
  <c r="B309" i="1"/>
  <c r="A309" i="1"/>
  <c r="K308" i="1"/>
  <c r="J308" i="1"/>
  <c r="I308" i="1"/>
  <c r="H308" i="1"/>
  <c r="G308" i="1"/>
  <c r="F308" i="1"/>
  <c r="E308" i="1"/>
  <c r="D308" i="1"/>
  <c r="C308" i="1"/>
  <c r="B308" i="1"/>
  <c r="A308" i="1"/>
  <c r="K307" i="1"/>
  <c r="J307" i="1"/>
  <c r="I307" i="1"/>
  <c r="H307" i="1"/>
  <c r="G307" i="1"/>
  <c r="F307" i="1"/>
  <c r="E307" i="1"/>
  <c r="D307" i="1"/>
  <c r="C307" i="1"/>
  <c r="B307" i="1"/>
  <c r="A307" i="1"/>
  <c r="K306" i="1"/>
  <c r="J306" i="1"/>
  <c r="I306" i="1"/>
  <c r="H306" i="1"/>
  <c r="G306" i="1"/>
  <c r="F306" i="1"/>
  <c r="E306" i="1"/>
  <c r="D306" i="1"/>
  <c r="C306" i="1"/>
  <c r="B306" i="1"/>
  <c r="A306" i="1"/>
  <c r="K305" i="1"/>
  <c r="J305" i="1"/>
  <c r="I305" i="1"/>
  <c r="H305" i="1"/>
  <c r="G305" i="1"/>
  <c r="F305" i="1"/>
  <c r="E305" i="1"/>
  <c r="D305" i="1"/>
  <c r="C305" i="1"/>
  <c r="B305" i="1"/>
  <c r="A305" i="1"/>
  <c r="K304" i="1"/>
  <c r="J304" i="1"/>
  <c r="I304" i="1"/>
  <c r="H304" i="1"/>
  <c r="G304" i="1"/>
  <c r="F304" i="1"/>
  <c r="E304" i="1"/>
  <c r="D304" i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B302" i="1"/>
  <c r="A302" i="1"/>
  <c r="K301" i="1"/>
  <c r="J301" i="1"/>
  <c r="I301" i="1"/>
  <c r="H301" i="1"/>
  <c r="G301" i="1"/>
  <c r="F301" i="1"/>
  <c r="E301" i="1"/>
  <c r="D301" i="1"/>
  <c r="C301" i="1"/>
  <c r="B301" i="1"/>
  <c r="A301" i="1"/>
  <c r="K300" i="1"/>
  <c r="J300" i="1"/>
  <c r="I300" i="1"/>
  <c r="H300" i="1"/>
  <c r="G300" i="1"/>
  <c r="F300" i="1"/>
  <c r="E300" i="1"/>
  <c r="D300" i="1"/>
  <c r="C300" i="1"/>
  <c r="B300" i="1"/>
  <c r="A300" i="1"/>
  <c r="K299" i="1"/>
  <c r="J299" i="1"/>
  <c r="I299" i="1"/>
  <c r="H299" i="1"/>
  <c r="G299" i="1"/>
  <c r="F299" i="1"/>
  <c r="E299" i="1"/>
  <c r="D299" i="1"/>
  <c r="C299" i="1"/>
  <c r="B299" i="1"/>
  <c r="A299" i="1"/>
  <c r="K298" i="1"/>
  <c r="J298" i="1"/>
  <c r="I298" i="1"/>
  <c r="H298" i="1"/>
  <c r="G298" i="1"/>
  <c r="F298" i="1"/>
  <c r="E298" i="1"/>
  <c r="D298" i="1"/>
  <c r="C298" i="1"/>
  <c r="B298" i="1"/>
  <c r="A298" i="1"/>
  <c r="K297" i="1"/>
  <c r="J297" i="1"/>
  <c r="I297" i="1"/>
  <c r="H297" i="1"/>
  <c r="G297" i="1"/>
  <c r="F297" i="1"/>
  <c r="E297" i="1"/>
  <c r="D297" i="1"/>
  <c r="C297" i="1"/>
  <c r="B297" i="1"/>
  <c r="K296" i="1"/>
  <c r="J296" i="1"/>
  <c r="I296" i="1"/>
  <c r="H296" i="1"/>
  <c r="G296" i="1"/>
  <c r="F296" i="1"/>
  <c r="E296" i="1"/>
  <c r="D296" i="1"/>
  <c r="C296" i="1"/>
  <c r="B296" i="1"/>
  <c r="A296" i="1"/>
  <c r="K295" i="1"/>
  <c r="J295" i="1"/>
  <c r="I295" i="1"/>
  <c r="H295" i="1"/>
  <c r="G295" i="1"/>
  <c r="F295" i="1"/>
  <c r="E295" i="1"/>
  <c r="D295" i="1"/>
  <c r="C295" i="1"/>
  <c r="B295" i="1"/>
  <c r="A295" i="1"/>
  <c r="K294" i="1"/>
  <c r="J294" i="1"/>
  <c r="I294" i="1"/>
  <c r="H294" i="1"/>
  <c r="G294" i="1"/>
  <c r="F294" i="1"/>
  <c r="E294" i="1"/>
  <c r="D294" i="1"/>
  <c r="C294" i="1"/>
  <c r="B294" i="1"/>
  <c r="A294" i="1"/>
  <c r="K293" i="1"/>
  <c r="J293" i="1"/>
  <c r="I293" i="1"/>
  <c r="H293" i="1"/>
  <c r="G293" i="1"/>
  <c r="F293" i="1"/>
  <c r="E293" i="1"/>
  <c r="D293" i="1"/>
  <c r="C293" i="1"/>
  <c r="B293" i="1"/>
  <c r="A293" i="1"/>
  <c r="K292" i="1"/>
  <c r="J292" i="1"/>
  <c r="I292" i="1"/>
  <c r="H292" i="1"/>
  <c r="G292" i="1"/>
  <c r="F292" i="1"/>
  <c r="E292" i="1"/>
  <c r="D292" i="1"/>
  <c r="C292" i="1"/>
  <c r="B292" i="1"/>
  <c r="A292" i="1"/>
  <c r="K291" i="1"/>
  <c r="J291" i="1"/>
  <c r="H291" i="1"/>
  <c r="G291" i="1"/>
  <c r="F291" i="1"/>
  <c r="E291" i="1"/>
  <c r="D291" i="1"/>
  <c r="C291" i="1"/>
  <c r="B291" i="1"/>
  <c r="A291" i="1"/>
  <c r="K290" i="1"/>
  <c r="J290" i="1"/>
  <c r="I290" i="1"/>
  <c r="H290" i="1"/>
  <c r="G290" i="1"/>
  <c r="F290" i="1"/>
  <c r="E290" i="1"/>
  <c r="D290" i="1"/>
  <c r="C290" i="1"/>
  <c r="B290" i="1"/>
  <c r="K289" i="1"/>
  <c r="J289" i="1"/>
  <c r="I289" i="1"/>
  <c r="H289" i="1"/>
  <c r="G289" i="1"/>
  <c r="F289" i="1"/>
  <c r="E289" i="1"/>
  <c r="D289" i="1"/>
  <c r="C289" i="1"/>
  <c r="B289" i="1"/>
  <c r="A289" i="1"/>
  <c r="K288" i="1"/>
  <c r="J288" i="1"/>
  <c r="I288" i="1"/>
  <c r="H288" i="1"/>
  <c r="G288" i="1"/>
  <c r="F288" i="1"/>
  <c r="E288" i="1"/>
  <c r="D288" i="1"/>
  <c r="C288" i="1"/>
  <c r="B288" i="1"/>
  <c r="A288" i="1"/>
  <c r="K287" i="1"/>
  <c r="J287" i="1"/>
  <c r="I287" i="1"/>
  <c r="H287" i="1"/>
  <c r="G287" i="1"/>
  <c r="F287" i="1"/>
  <c r="E287" i="1"/>
  <c r="D287" i="1"/>
  <c r="C287" i="1"/>
  <c r="B287" i="1"/>
  <c r="A287" i="1"/>
  <c r="K286" i="1"/>
  <c r="J286" i="1"/>
  <c r="I286" i="1"/>
  <c r="H286" i="1"/>
  <c r="G286" i="1"/>
  <c r="F286" i="1"/>
  <c r="E286" i="1"/>
  <c r="D286" i="1"/>
  <c r="C286" i="1"/>
  <c r="B286" i="1"/>
  <c r="A286" i="1"/>
  <c r="K285" i="1"/>
  <c r="J285" i="1"/>
  <c r="I285" i="1"/>
  <c r="H285" i="1"/>
  <c r="G285" i="1"/>
  <c r="F285" i="1"/>
  <c r="E285" i="1"/>
  <c r="D285" i="1"/>
  <c r="C285" i="1"/>
  <c r="B285" i="1"/>
  <c r="A285" i="1"/>
  <c r="K284" i="1"/>
  <c r="J284" i="1"/>
  <c r="I284" i="1"/>
  <c r="H284" i="1"/>
  <c r="G284" i="1"/>
  <c r="F284" i="1"/>
  <c r="E284" i="1"/>
  <c r="D284" i="1"/>
  <c r="C284" i="1"/>
  <c r="B284" i="1"/>
  <c r="A284" i="1"/>
  <c r="K283" i="1"/>
  <c r="J283" i="1"/>
  <c r="I283" i="1"/>
  <c r="H283" i="1"/>
  <c r="G283" i="1"/>
  <c r="F283" i="1"/>
  <c r="E283" i="1"/>
  <c r="D283" i="1"/>
  <c r="C283" i="1"/>
  <c r="B283" i="1"/>
  <c r="A283" i="1"/>
  <c r="K282" i="1"/>
  <c r="J282" i="1"/>
  <c r="I282" i="1"/>
  <c r="H282" i="1"/>
  <c r="G282" i="1"/>
  <c r="F282" i="1"/>
  <c r="E282" i="1"/>
  <c r="D282" i="1"/>
  <c r="C282" i="1"/>
  <c r="B282" i="1"/>
  <c r="A282" i="1"/>
  <c r="K281" i="1"/>
  <c r="J281" i="1"/>
  <c r="I281" i="1"/>
  <c r="H281" i="1"/>
  <c r="G281" i="1"/>
  <c r="F281" i="1"/>
  <c r="E281" i="1"/>
  <c r="D281" i="1"/>
  <c r="C281" i="1"/>
  <c r="B281" i="1"/>
  <c r="A281" i="1"/>
  <c r="K280" i="1"/>
  <c r="J280" i="1"/>
  <c r="I280" i="1"/>
  <c r="H280" i="1"/>
  <c r="G280" i="1"/>
  <c r="F280" i="1"/>
  <c r="E280" i="1"/>
  <c r="D280" i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K278" i="1"/>
  <c r="J278" i="1"/>
  <c r="I278" i="1"/>
  <c r="H278" i="1"/>
  <c r="G278" i="1"/>
  <c r="F278" i="1"/>
  <c r="E278" i="1"/>
  <c r="D278" i="1"/>
  <c r="C278" i="1"/>
  <c r="B278" i="1"/>
  <c r="A278" i="1"/>
  <c r="K277" i="1"/>
  <c r="J277" i="1"/>
  <c r="I277" i="1"/>
  <c r="H277" i="1"/>
  <c r="G277" i="1"/>
  <c r="F277" i="1"/>
  <c r="E277" i="1"/>
  <c r="D277" i="1"/>
  <c r="C277" i="1"/>
  <c r="B277" i="1"/>
  <c r="A277" i="1"/>
  <c r="K276" i="1"/>
  <c r="J276" i="1"/>
  <c r="I276" i="1"/>
  <c r="H276" i="1"/>
  <c r="G276" i="1"/>
  <c r="F276" i="1"/>
  <c r="E276" i="1"/>
  <c r="D276" i="1"/>
  <c r="C276" i="1"/>
  <c r="B276" i="1"/>
  <c r="A276" i="1"/>
  <c r="K275" i="1"/>
  <c r="J275" i="1"/>
  <c r="I275" i="1"/>
  <c r="H275" i="1"/>
  <c r="G275" i="1"/>
  <c r="F275" i="1"/>
  <c r="E275" i="1"/>
  <c r="D275" i="1"/>
  <c r="C275" i="1"/>
  <c r="B275" i="1"/>
  <c r="A275" i="1"/>
  <c r="K274" i="1"/>
  <c r="J274" i="1"/>
  <c r="I274" i="1"/>
  <c r="H274" i="1"/>
  <c r="G274" i="1"/>
  <c r="F274" i="1"/>
  <c r="E274" i="1"/>
  <c r="D274" i="1"/>
  <c r="C274" i="1"/>
  <c r="B274" i="1"/>
  <c r="A274" i="1"/>
  <c r="K273" i="1"/>
  <c r="J273" i="1"/>
  <c r="I273" i="1"/>
  <c r="H273" i="1"/>
  <c r="G273" i="1"/>
  <c r="F273" i="1"/>
  <c r="E273" i="1"/>
  <c r="D273" i="1"/>
  <c r="C273" i="1"/>
  <c r="B273" i="1"/>
  <c r="A273" i="1"/>
  <c r="K272" i="1"/>
  <c r="J272" i="1"/>
  <c r="I272" i="1"/>
  <c r="H272" i="1"/>
  <c r="G272" i="1"/>
  <c r="F272" i="1"/>
  <c r="E272" i="1"/>
  <c r="D272" i="1"/>
  <c r="C272" i="1"/>
  <c r="B272" i="1"/>
  <c r="A272" i="1"/>
  <c r="K271" i="1"/>
  <c r="J271" i="1"/>
  <c r="I271" i="1"/>
  <c r="H271" i="1"/>
  <c r="G271" i="1"/>
  <c r="F271" i="1"/>
  <c r="E271" i="1"/>
  <c r="D271" i="1"/>
  <c r="C271" i="1"/>
  <c r="B271" i="1"/>
  <c r="A271" i="1"/>
  <c r="K270" i="1"/>
  <c r="J270" i="1"/>
  <c r="I270" i="1"/>
  <c r="H270" i="1"/>
  <c r="G270" i="1"/>
  <c r="F270" i="1"/>
  <c r="E270" i="1"/>
  <c r="D270" i="1"/>
  <c r="C270" i="1"/>
  <c r="B270" i="1"/>
  <c r="A270" i="1"/>
  <c r="K269" i="1"/>
  <c r="J269" i="1"/>
  <c r="I269" i="1"/>
  <c r="H269" i="1"/>
  <c r="G269" i="1"/>
  <c r="F269" i="1"/>
  <c r="E269" i="1"/>
  <c r="D269" i="1"/>
  <c r="C269" i="1"/>
  <c r="B269" i="1"/>
  <c r="A269" i="1"/>
  <c r="K268" i="1"/>
  <c r="J268" i="1"/>
  <c r="I268" i="1"/>
  <c r="H268" i="1"/>
  <c r="G268" i="1"/>
  <c r="F268" i="1"/>
  <c r="E268" i="1"/>
  <c r="D268" i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K266" i="1"/>
  <c r="J266" i="1"/>
  <c r="I266" i="1"/>
  <c r="H266" i="1"/>
  <c r="G266" i="1"/>
  <c r="F266" i="1"/>
  <c r="E266" i="1"/>
  <c r="D266" i="1"/>
  <c r="C266" i="1"/>
  <c r="B266" i="1"/>
  <c r="A266" i="1"/>
  <c r="K265" i="1"/>
  <c r="J265" i="1"/>
  <c r="I265" i="1"/>
  <c r="H265" i="1"/>
  <c r="G265" i="1"/>
  <c r="F265" i="1"/>
  <c r="E265" i="1"/>
  <c r="D265" i="1"/>
  <c r="C265" i="1"/>
  <c r="B265" i="1"/>
  <c r="A265" i="1"/>
  <c r="K264" i="1"/>
  <c r="J264" i="1"/>
  <c r="I264" i="1"/>
  <c r="H264" i="1"/>
  <c r="G264" i="1"/>
  <c r="F264" i="1"/>
  <c r="E264" i="1"/>
  <c r="D264" i="1"/>
  <c r="C264" i="1"/>
  <c r="B264" i="1"/>
  <c r="A264" i="1"/>
  <c r="K263" i="1"/>
  <c r="J263" i="1"/>
  <c r="I263" i="1"/>
  <c r="H263" i="1"/>
  <c r="G263" i="1"/>
  <c r="F263" i="1"/>
  <c r="E263" i="1"/>
  <c r="D263" i="1"/>
  <c r="C263" i="1"/>
  <c r="B263" i="1"/>
  <c r="A263" i="1"/>
  <c r="K262" i="1"/>
  <c r="J262" i="1"/>
  <c r="I262" i="1"/>
  <c r="H262" i="1"/>
  <c r="G262" i="1"/>
  <c r="F262" i="1"/>
  <c r="E262" i="1"/>
  <c r="D262" i="1"/>
  <c r="C262" i="1"/>
  <c r="B262" i="1"/>
  <c r="A262" i="1"/>
  <c r="K261" i="1"/>
  <c r="J261" i="1"/>
  <c r="I261" i="1"/>
  <c r="H261" i="1"/>
  <c r="G261" i="1"/>
  <c r="F261" i="1"/>
  <c r="E261" i="1"/>
  <c r="D261" i="1"/>
  <c r="C261" i="1"/>
  <c r="B261" i="1"/>
  <c r="A261" i="1"/>
  <c r="K260" i="1"/>
  <c r="J260" i="1"/>
  <c r="I260" i="1"/>
  <c r="H260" i="1"/>
  <c r="G260" i="1"/>
  <c r="F260" i="1"/>
  <c r="E260" i="1"/>
  <c r="D260" i="1"/>
  <c r="C260" i="1"/>
  <c r="B260" i="1"/>
  <c r="A260" i="1"/>
  <c r="K259" i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B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B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B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B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B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B65" i="1"/>
  <c r="A65" i="1"/>
  <c r="K64" i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41"/>
  <sheetViews>
    <sheetView tabSelected="1" topLeftCell="A296" workbookViewId="0">
      <selection activeCell="M306" sqref="M306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" t="str">
        <f ca="1">IFERROR(__xludf.DUMMYFUNCTION("IMPORTHTML(""https://basketball.realgm.com/nba/players/2021"",""table"")"),"Player")</f>
        <v>Player</v>
      </c>
      <c r="B1" s="1" t="str">
        <f ca="1">IFERROR(__xludf.DUMMYFUNCTION("""COMPUTED_VALUE"""),"Pos")</f>
        <v>Pos</v>
      </c>
      <c r="C1" s="1" t="str">
        <f ca="1">IFERROR(__xludf.DUMMYFUNCTION("""COMPUTED_VALUE"""),"HT")</f>
        <v>HT</v>
      </c>
      <c r="D1" s="1" t="str">
        <f ca="1">IFERROR(__xludf.DUMMYFUNCTION("""COMPUTED_VALUE"""),"WT")</f>
        <v>WT</v>
      </c>
      <c r="E1" s="1" t="str">
        <f ca="1">IFERROR(__xludf.DUMMYFUNCTION("""COMPUTED_VALUE"""),"Age")</f>
        <v>Age</v>
      </c>
      <c r="F1" s="1" t="str">
        <f ca="1">IFERROR(__xludf.DUMMYFUNCTION("""COMPUTED_VALUE"""),"Teams")</f>
        <v>Teams</v>
      </c>
      <c r="G1" s="1" t="str">
        <f ca="1">IFERROR(__xludf.DUMMYFUNCTION("""COMPUTED_VALUE"""),"GP")</f>
        <v>GP</v>
      </c>
      <c r="H1" s="1" t="str">
        <f ca="1">IFERROR(__xludf.DUMMYFUNCTION("""COMPUTED_VALUE"""),"YOS")</f>
        <v>YOS</v>
      </c>
      <c r="I1" s="1" t="str">
        <f ca="1">IFERROR(__xludf.DUMMYFUNCTION("""COMPUTED_VALUE"""),"Pre-Draft Team")</f>
        <v>Pre-Draft Team</v>
      </c>
      <c r="J1" s="1" t="str">
        <f ca="1">IFERROR(__xludf.DUMMYFUNCTION("""COMPUTED_VALUE"""),"Draft Status")</f>
        <v>Draft Status</v>
      </c>
      <c r="K1" s="1" t="str">
        <f ca="1">IFERROR(__xludf.DUMMYFUNCTION("""COMPUTED_VALUE"""),"Nationality")</f>
        <v>Nationality</v>
      </c>
    </row>
    <row r="2" spans="1:11" ht="15.75" customHeight="1" x14ac:dyDescent="0.15">
      <c r="A2" s="1" t="str">
        <f ca="1">IFERROR(__xludf.DUMMYFUNCTION("""COMPUTED_VALUE"""),"Precious Achiuwa")</f>
        <v>Precious Achiuwa</v>
      </c>
      <c r="B2" s="1" t="str">
        <f ca="1">IFERROR(__xludf.DUMMYFUNCTION("""COMPUTED_VALUE"""),"SF")</f>
        <v>SF</v>
      </c>
      <c r="C2" s="2">
        <f ca="1">IFERROR(__xludf.DUMMYFUNCTION("""COMPUTED_VALUE"""),44720)</f>
        <v>44720</v>
      </c>
      <c r="D2" s="1">
        <f ca="1">IFERROR(__xludf.DUMMYFUNCTION("""COMPUTED_VALUE"""),235)</f>
        <v>235</v>
      </c>
      <c r="E2" s="1">
        <f ca="1">IFERROR(__xludf.DUMMYFUNCTION("""COMPUTED_VALUE"""),21)</f>
        <v>21</v>
      </c>
      <c r="F2" s="1" t="str">
        <f ca="1">IFERROR(__xludf.DUMMYFUNCTION("""COMPUTED_VALUE"""),"MIA")</f>
        <v>MIA</v>
      </c>
      <c r="G2" s="1">
        <f ca="1">IFERROR(__xludf.DUMMYFUNCTION("""COMPUTED_VALUE"""),61)</f>
        <v>61</v>
      </c>
      <c r="H2" s="1">
        <f ca="1">IFERROR(__xludf.DUMMYFUNCTION("""COMPUTED_VALUE"""),0)</f>
        <v>0</v>
      </c>
      <c r="I2" s="1" t="str">
        <f ca="1">IFERROR(__xludf.DUMMYFUNCTION("""COMPUTED_VALUE"""),"Memphis")</f>
        <v>Memphis</v>
      </c>
      <c r="J2" s="1" t="str">
        <f ca="1">IFERROR(__xludf.DUMMYFUNCTION("""COMPUTED_VALUE"""),"2020 Rnd 1 Pick 20")</f>
        <v>2020 Rnd 1 Pick 20</v>
      </c>
      <c r="K2" s="1" t="str">
        <f ca="1">IFERROR(__xludf.DUMMYFUNCTION("""COMPUTED_VALUE"""),"Nigeria")</f>
        <v>Nigeria</v>
      </c>
    </row>
    <row r="3" spans="1:11" ht="15.75" customHeight="1" x14ac:dyDescent="0.15">
      <c r="A3" s="1" t="str">
        <f ca="1">IFERROR(__xludf.DUMMYFUNCTION("""COMPUTED_VALUE"""),"Jaylen Adams")</f>
        <v>Jaylen Adams</v>
      </c>
      <c r="B3" s="1" t="str">
        <f ca="1">IFERROR(__xludf.DUMMYFUNCTION("""COMPUTED_VALUE"""),"PG")</f>
        <v>PG</v>
      </c>
      <c r="C3" s="1" t="str">
        <f ca="1">IFERROR(__xludf.DUMMYFUNCTION("""COMPUTED_VALUE"""),"6-0")</f>
        <v>6-0</v>
      </c>
      <c r="D3" s="1">
        <f ca="1">IFERROR(__xludf.DUMMYFUNCTION("""COMPUTED_VALUE"""),225)</f>
        <v>225</v>
      </c>
      <c r="E3" s="1">
        <f ca="1">IFERROR(__xludf.DUMMYFUNCTION("""COMPUTED_VALUE"""),24)</f>
        <v>24</v>
      </c>
      <c r="F3" s="1" t="str">
        <f ca="1">IFERROR(__xludf.DUMMYFUNCTION("""COMPUTED_VALUE"""),"MIL")</f>
        <v>MIL</v>
      </c>
      <c r="G3" s="1">
        <f ca="1">IFERROR(__xludf.DUMMYFUNCTION("""COMPUTED_VALUE"""),7)</f>
        <v>7</v>
      </c>
      <c r="H3" s="1">
        <f ca="1">IFERROR(__xludf.DUMMYFUNCTION("""COMPUTED_VALUE"""),1)</f>
        <v>1</v>
      </c>
      <c r="I3" s="1" t="str">
        <f ca="1">IFERROR(__xludf.DUMMYFUNCTION("""COMPUTED_VALUE"""),"St. Bonaventure")</f>
        <v>St. Bonaventure</v>
      </c>
      <c r="J3" s="1" t="str">
        <f ca="1">IFERROR(__xludf.DUMMYFUNCTION("""COMPUTED_VALUE"""),"2018 NBA Draft, Undrafted")</f>
        <v>2018 NBA Draft, Undrafted</v>
      </c>
      <c r="K3" s="1" t="str">
        <f ca="1">IFERROR(__xludf.DUMMYFUNCTION("""COMPUTED_VALUE"""),"United States")</f>
        <v>United States</v>
      </c>
    </row>
    <row r="4" spans="1:11" ht="15.75" customHeight="1" x14ac:dyDescent="0.15">
      <c r="A4" s="1" t="str">
        <f ca="1">IFERROR(__xludf.DUMMYFUNCTION("""COMPUTED_VALUE"""),"Steven Adams")</f>
        <v>Steven Adams</v>
      </c>
      <c r="B4" s="1" t="str">
        <f ca="1">IFERROR(__xludf.DUMMYFUNCTION("""COMPUTED_VALUE"""),"C")</f>
        <v>C</v>
      </c>
      <c r="C4" s="2">
        <f ca="1">IFERROR(__xludf.DUMMYFUNCTION("""COMPUTED_VALUE"""),44723)</f>
        <v>44723</v>
      </c>
      <c r="D4" s="1">
        <f ca="1">IFERROR(__xludf.DUMMYFUNCTION("""COMPUTED_VALUE"""),265)</f>
        <v>265</v>
      </c>
      <c r="E4" s="1">
        <f ca="1">IFERROR(__xludf.DUMMYFUNCTION("""COMPUTED_VALUE"""),27)</f>
        <v>27</v>
      </c>
      <c r="F4" s="1" t="str">
        <f ca="1">IFERROR(__xludf.DUMMYFUNCTION("""COMPUTED_VALUE"""),"NOP")</f>
        <v>NOP</v>
      </c>
      <c r="G4" s="1">
        <f ca="1">IFERROR(__xludf.DUMMYFUNCTION("""COMPUTED_VALUE"""),58)</f>
        <v>58</v>
      </c>
      <c r="H4" s="1">
        <f ca="1">IFERROR(__xludf.DUMMYFUNCTION("""COMPUTED_VALUE"""),7)</f>
        <v>7</v>
      </c>
      <c r="I4" s="1" t="str">
        <f ca="1">IFERROR(__xludf.DUMMYFUNCTION("""COMPUTED_VALUE"""),"Pittsburgh")</f>
        <v>Pittsburgh</v>
      </c>
      <c r="J4" s="1" t="str">
        <f ca="1">IFERROR(__xludf.DUMMYFUNCTION("""COMPUTED_VALUE"""),"2013 Rnd 1 Pick 12")</f>
        <v>2013 Rnd 1 Pick 12</v>
      </c>
      <c r="K4" s="1" t="str">
        <f ca="1">IFERROR(__xludf.DUMMYFUNCTION("""COMPUTED_VALUE"""),"New Zealand")</f>
        <v>New Zealand</v>
      </c>
    </row>
    <row r="5" spans="1:11" ht="15.75" customHeight="1" x14ac:dyDescent="0.15">
      <c r="A5" s="1" t="str">
        <f ca="1">IFERROR(__xludf.DUMMYFUNCTION("""COMPUTED_VALUE"""),"Bam Adebayo")</f>
        <v>Bam Adebayo</v>
      </c>
      <c r="B5" s="1" t="str">
        <f ca="1">IFERROR(__xludf.DUMMYFUNCTION("""COMPUTED_VALUE"""),"C")</f>
        <v>C</v>
      </c>
      <c r="C5" s="2">
        <f ca="1">IFERROR(__xludf.DUMMYFUNCTION("""COMPUTED_VALUE"""),44722)</f>
        <v>44722</v>
      </c>
      <c r="D5" s="1">
        <f ca="1">IFERROR(__xludf.DUMMYFUNCTION("""COMPUTED_VALUE"""),255)</f>
        <v>255</v>
      </c>
      <c r="E5" s="1">
        <f ca="1">IFERROR(__xludf.DUMMYFUNCTION("""COMPUTED_VALUE"""),23)</f>
        <v>23</v>
      </c>
      <c r="F5" s="1" t="str">
        <f ca="1">IFERROR(__xludf.DUMMYFUNCTION("""COMPUTED_VALUE"""),"MIA")</f>
        <v>MIA</v>
      </c>
      <c r="G5" s="1">
        <f ca="1">IFERROR(__xludf.DUMMYFUNCTION("""COMPUTED_VALUE"""),64)</f>
        <v>64</v>
      </c>
      <c r="H5" s="1">
        <f ca="1">IFERROR(__xludf.DUMMYFUNCTION("""COMPUTED_VALUE"""),3)</f>
        <v>3</v>
      </c>
      <c r="I5" s="1" t="str">
        <f ca="1">IFERROR(__xludf.DUMMYFUNCTION("""COMPUTED_VALUE"""),"Kentucky")</f>
        <v>Kentucky</v>
      </c>
      <c r="J5" s="1" t="str">
        <f ca="1">IFERROR(__xludf.DUMMYFUNCTION("""COMPUTED_VALUE"""),"2017 Rnd 1 Pick 14")</f>
        <v>2017 Rnd 1 Pick 14</v>
      </c>
      <c r="K5" s="1" t="str">
        <f ca="1">IFERROR(__xludf.DUMMYFUNCTION("""COMPUTED_VALUE"""),"United States")</f>
        <v>United States</v>
      </c>
    </row>
    <row r="6" spans="1:11" ht="15.75" customHeight="1" x14ac:dyDescent="0.15">
      <c r="A6" s="1" t="str">
        <f ca="1">IFERROR(__xludf.DUMMYFUNCTION("""COMPUTED_VALUE"""),"LaMarcus Aldridge")</f>
        <v>LaMarcus Aldridge</v>
      </c>
      <c r="B6" s="1" t="str">
        <f ca="1">IFERROR(__xludf.DUMMYFUNCTION("""COMPUTED_VALUE"""),"FC")</f>
        <v>FC</v>
      </c>
      <c r="C6" s="2">
        <f ca="1">IFERROR(__xludf.DUMMYFUNCTION("""COMPUTED_VALUE"""),44723)</f>
        <v>44723</v>
      </c>
      <c r="D6" s="1">
        <f ca="1">IFERROR(__xludf.DUMMYFUNCTION("""COMPUTED_VALUE"""),265)</f>
        <v>265</v>
      </c>
      <c r="E6" s="1">
        <f ca="1">IFERROR(__xludf.DUMMYFUNCTION("""COMPUTED_VALUE"""),35)</f>
        <v>35</v>
      </c>
      <c r="F6" s="1" t="str">
        <f ca="1">IFERROR(__xludf.DUMMYFUNCTION("""COMPUTED_VALUE"""),"BRK, SAN")</f>
        <v>BRK, SAN</v>
      </c>
      <c r="G6" s="1">
        <f ca="1">IFERROR(__xludf.DUMMYFUNCTION("""COMPUTED_VALUE"""),26)</f>
        <v>26</v>
      </c>
      <c r="H6" s="1">
        <f ca="1">IFERROR(__xludf.DUMMYFUNCTION("""COMPUTED_VALUE"""),14)</f>
        <v>14</v>
      </c>
      <c r="I6" s="1" t="str">
        <f ca="1">IFERROR(__xludf.DUMMYFUNCTION("""COMPUTED_VALUE"""),"Texas")</f>
        <v>Texas</v>
      </c>
      <c r="J6" s="1" t="str">
        <f ca="1">IFERROR(__xludf.DUMMYFUNCTION("""COMPUTED_VALUE"""),"2006 Rnd 1 Pick 2")</f>
        <v>2006 Rnd 1 Pick 2</v>
      </c>
      <c r="K6" s="1" t="str">
        <f ca="1">IFERROR(__xludf.DUMMYFUNCTION("""COMPUTED_VALUE"""),"United States")</f>
        <v>United States</v>
      </c>
    </row>
    <row r="7" spans="1:11" ht="15.75" customHeight="1" x14ac:dyDescent="0.15">
      <c r="A7" s="1" t="str">
        <f ca="1">IFERROR(__xludf.DUMMYFUNCTION("""COMPUTED_VALUE"""),"Ty-Shon Alexander")</f>
        <v>Ty-Shon Alexander</v>
      </c>
      <c r="B7" s="1" t="str">
        <f ca="1">IFERROR(__xludf.DUMMYFUNCTION("""COMPUTED_VALUE"""),"SG")</f>
        <v>SG</v>
      </c>
      <c r="C7" s="2">
        <f ca="1">IFERROR(__xludf.DUMMYFUNCTION("""COMPUTED_VALUE"""),44715)</f>
        <v>44715</v>
      </c>
      <c r="D7" s="1">
        <f ca="1">IFERROR(__xludf.DUMMYFUNCTION("""COMPUTED_VALUE"""),195)</f>
        <v>195</v>
      </c>
      <c r="E7" s="1">
        <f ca="1">IFERROR(__xludf.DUMMYFUNCTION("""COMPUTED_VALUE"""),22)</f>
        <v>22</v>
      </c>
      <c r="F7" s="1" t="str">
        <f ca="1">IFERROR(__xludf.DUMMYFUNCTION("""COMPUTED_VALUE"""),"PHX")</f>
        <v>PHX</v>
      </c>
      <c r="G7" s="1">
        <f ca="1">IFERROR(__xludf.DUMMYFUNCTION("""COMPUTED_VALUE"""),15)</f>
        <v>15</v>
      </c>
      <c r="H7" s="1">
        <f ca="1">IFERROR(__xludf.DUMMYFUNCTION("""COMPUTED_VALUE"""),0)</f>
        <v>0</v>
      </c>
      <c r="I7" s="1" t="str">
        <f ca="1">IFERROR(__xludf.DUMMYFUNCTION("""COMPUTED_VALUE"""),"Creighton")</f>
        <v>Creighton</v>
      </c>
      <c r="J7" s="1" t="str">
        <f ca="1">IFERROR(__xludf.DUMMYFUNCTION("""COMPUTED_VALUE"""),"2020 NBA Draft, Undrafted")</f>
        <v>2020 NBA Draft, Undrafted</v>
      </c>
      <c r="K7" s="1" t="str">
        <f ca="1">IFERROR(__xludf.DUMMYFUNCTION("""COMPUTED_VALUE"""),"United States")</f>
        <v>United States</v>
      </c>
    </row>
    <row r="8" spans="1:11" ht="15.75" customHeight="1" x14ac:dyDescent="0.15">
      <c r="A8" s="1" t="str">
        <f ca="1">IFERROR(__xludf.DUMMYFUNCTION("""COMPUTED_VALUE"""),"Nickeil Alexander-Walker")</f>
        <v>Nickeil Alexander-Walker</v>
      </c>
      <c r="B8" s="1" t="str">
        <f ca="1">IFERROR(__xludf.DUMMYFUNCTION("""COMPUTED_VALUE"""),"SG")</f>
        <v>SG</v>
      </c>
      <c r="C8" s="2">
        <f ca="1">IFERROR(__xludf.DUMMYFUNCTION("""COMPUTED_VALUE"""),44717)</f>
        <v>44717</v>
      </c>
      <c r="D8" s="1">
        <f ca="1">IFERROR(__xludf.DUMMYFUNCTION("""COMPUTED_VALUE"""),205)</f>
        <v>205</v>
      </c>
      <c r="E8" s="1">
        <f ca="1">IFERROR(__xludf.DUMMYFUNCTION("""COMPUTED_VALUE"""),22)</f>
        <v>22</v>
      </c>
      <c r="F8" s="1" t="str">
        <f ca="1">IFERROR(__xludf.DUMMYFUNCTION("""COMPUTED_VALUE"""),"NOP")</f>
        <v>NOP</v>
      </c>
      <c r="G8" s="1">
        <f ca="1">IFERROR(__xludf.DUMMYFUNCTION("""COMPUTED_VALUE"""),46)</f>
        <v>46</v>
      </c>
      <c r="H8" s="1">
        <f ca="1">IFERROR(__xludf.DUMMYFUNCTION("""COMPUTED_VALUE"""),1)</f>
        <v>1</v>
      </c>
      <c r="I8" s="1" t="str">
        <f ca="1">IFERROR(__xludf.DUMMYFUNCTION("""COMPUTED_VALUE"""),"Virginia Tech")</f>
        <v>Virginia Tech</v>
      </c>
      <c r="J8" s="1" t="str">
        <f ca="1">IFERROR(__xludf.DUMMYFUNCTION("""COMPUTED_VALUE"""),"2019 Rnd 1 Pick 17")</f>
        <v>2019 Rnd 1 Pick 17</v>
      </c>
      <c r="K8" s="1" t="str">
        <f ca="1">IFERROR(__xludf.DUMMYFUNCTION("""COMPUTED_VALUE"""),"Canada")</f>
        <v>Canada</v>
      </c>
    </row>
    <row r="9" spans="1:11" ht="15.75" customHeight="1" x14ac:dyDescent="0.15">
      <c r="A9" s="1" t="str">
        <f ca="1">IFERROR(__xludf.DUMMYFUNCTION("""COMPUTED_VALUE"""),"Grayson Allen")</f>
        <v>Grayson Allen</v>
      </c>
      <c r="B9" s="1" t="str">
        <f ca="1">IFERROR(__xludf.DUMMYFUNCTION("""COMPUTED_VALUE"""),"SG")</f>
        <v>SG</v>
      </c>
      <c r="C9" s="2">
        <f ca="1">IFERROR(__xludf.DUMMYFUNCTION("""COMPUTED_VALUE"""),44716)</f>
        <v>44716</v>
      </c>
      <c r="D9" s="1">
        <f ca="1">IFERROR(__xludf.DUMMYFUNCTION("""COMPUTED_VALUE"""),198)</f>
        <v>198</v>
      </c>
      <c r="E9" s="1">
        <f ca="1">IFERROR(__xludf.DUMMYFUNCTION("""COMPUTED_VALUE"""),25)</f>
        <v>25</v>
      </c>
      <c r="F9" s="1" t="str">
        <f ca="1">IFERROR(__xludf.DUMMYFUNCTION("""COMPUTED_VALUE"""),"MEM")</f>
        <v>MEM</v>
      </c>
      <c r="G9" s="1">
        <f ca="1">IFERROR(__xludf.DUMMYFUNCTION("""COMPUTED_VALUE"""),50)</f>
        <v>50</v>
      </c>
      <c r="H9" s="1">
        <f ca="1">IFERROR(__xludf.DUMMYFUNCTION("""COMPUTED_VALUE"""),2)</f>
        <v>2</v>
      </c>
      <c r="I9" s="1" t="str">
        <f ca="1">IFERROR(__xludf.DUMMYFUNCTION("""COMPUTED_VALUE"""),"Duke")</f>
        <v>Duke</v>
      </c>
      <c r="J9" s="1" t="str">
        <f ca="1">IFERROR(__xludf.DUMMYFUNCTION("""COMPUTED_VALUE"""),"2018 Rnd 1 Pick 21")</f>
        <v>2018 Rnd 1 Pick 21</v>
      </c>
      <c r="K9" s="1" t="str">
        <f ca="1">IFERROR(__xludf.DUMMYFUNCTION("""COMPUTED_VALUE"""),"United States")</f>
        <v>United States</v>
      </c>
    </row>
    <row r="10" spans="1:11" ht="15.75" customHeight="1" x14ac:dyDescent="0.15">
      <c r="A10" s="1" t="str">
        <f ca="1">IFERROR(__xludf.DUMMYFUNCTION("""COMPUTED_VALUE"""),"Jarrett Allen")</f>
        <v>Jarrett Allen</v>
      </c>
      <c r="B10" s="1" t="str">
        <f ca="1">IFERROR(__xludf.DUMMYFUNCTION("""COMPUTED_VALUE"""),"C")</f>
        <v>C</v>
      </c>
      <c r="C10" s="2">
        <f ca="1">IFERROR(__xludf.DUMMYFUNCTION("""COMPUTED_VALUE"""),44723)</f>
        <v>44723</v>
      </c>
      <c r="D10" s="1">
        <f ca="1">IFERROR(__xludf.DUMMYFUNCTION("""COMPUTED_VALUE"""),248)</f>
        <v>248</v>
      </c>
      <c r="E10" s="1">
        <f ca="1">IFERROR(__xludf.DUMMYFUNCTION("""COMPUTED_VALUE"""),22)</f>
        <v>22</v>
      </c>
      <c r="F10" s="1" t="str">
        <f ca="1">IFERROR(__xludf.DUMMYFUNCTION("""COMPUTED_VALUE"""),"BRK, CLE")</f>
        <v>BRK, CLE</v>
      </c>
      <c r="G10" s="1">
        <f ca="1">IFERROR(__xludf.DUMMYFUNCTION("""COMPUTED_VALUE"""),63)</f>
        <v>63</v>
      </c>
      <c r="H10" s="1">
        <f ca="1">IFERROR(__xludf.DUMMYFUNCTION("""COMPUTED_VALUE"""),3)</f>
        <v>3</v>
      </c>
      <c r="I10" s="1" t="str">
        <f ca="1">IFERROR(__xludf.DUMMYFUNCTION("""COMPUTED_VALUE"""),"Texas")</f>
        <v>Texas</v>
      </c>
      <c r="J10" s="1" t="str">
        <f ca="1">IFERROR(__xludf.DUMMYFUNCTION("""COMPUTED_VALUE"""),"2017 Rnd 1 Pick 22")</f>
        <v>2017 Rnd 1 Pick 22</v>
      </c>
      <c r="K10" s="1" t="str">
        <f ca="1">IFERROR(__xludf.DUMMYFUNCTION("""COMPUTED_VALUE"""),"United States")</f>
        <v>United States</v>
      </c>
    </row>
    <row r="11" spans="1:11" ht="15.75" customHeight="1" x14ac:dyDescent="0.15">
      <c r="A11" s="1" t="str">
        <f ca="1">IFERROR(__xludf.DUMMYFUNCTION("""COMPUTED_VALUE"""),"Al-Farouq Aminu")</f>
        <v>Al-Farouq Aminu</v>
      </c>
      <c r="B11" s="1" t="str">
        <f ca="1">IFERROR(__xludf.DUMMYFUNCTION("""COMPUTED_VALUE"""),"F")</f>
        <v>F</v>
      </c>
      <c r="C11" s="2">
        <f ca="1">IFERROR(__xludf.DUMMYFUNCTION("""COMPUTED_VALUE"""),44721)</f>
        <v>44721</v>
      </c>
      <c r="D11" s="1">
        <f ca="1">IFERROR(__xludf.DUMMYFUNCTION("""COMPUTED_VALUE"""),220)</f>
        <v>220</v>
      </c>
      <c r="E11" s="1">
        <f ca="1">IFERROR(__xludf.DUMMYFUNCTION("""COMPUTED_VALUE"""),30)</f>
        <v>30</v>
      </c>
      <c r="F11" s="1" t="str">
        <f ca="1">IFERROR(__xludf.DUMMYFUNCTION("""COMPUTED_VALUE"""),"CHI, ORL")</f>
        <v>CHI, ORL</v>
      </c>
      <c r="G11" s="1">
        <f ca="1">IFERROR(__xludf.DUMMYFUNCTION("""COMPUTED_VALUE"""),23)</f>
        <v>23</v>
      </c>
      <c r="H11" s="1">
        <f ca="1">IFERROR(__xludf.DUMMYFUNCTION("""COMPUTED_VALUE"""),10)</f>
        <v>10</v>
      </c>
      <c r="I11" s="1" t="str">
        <f ca="1">IFERROR(__xludf.DUMMYFUNCTION("""COMPUTED_VALUE"""),"Wake Forest")</f>
        <v>Wake Forest</v>
      </c>
      <c r="J11" s="1" t="str">
        <f ca="1">IFERROR(__xludf.DUMMYFUNCTION("""COMPUTED_VALUE"""),"2010 Rnd 1 Pick 8")</f>
        <v>2010 Rnd 1 Pick 8</v>
      </c>
      <c r="K11" s="1" t="str">
        <f ca="1">IFERROR(__xludf.DUMMYFUNCTION("""COMPUTED_VALUE"""),"United States
Nigeria")</f>
        <v>United States
Nigeria</v>
      </c>
    </row>
    <row r="12" spans="1:11" ht="15.75" customHeight="1" x14ac:dyDescent="0.15">
      <c r="A12" s="1" t="str">
        <f ca="1">IFERROR(__xludf.DUMMYFUNCTION("""COMPUTED_VALUE"""),"Kyle Anderson")</f>
        <v>Kyle Anderson</v>
      </c>
      <c r="B12" s="1" t="str">
        <f ca="1">IFERROR(__xludf.DUMMYFUNCTION("""COMPUTED_VALUE"""),"PF")</f>
        <v>PF</v>
      </c>
      <c r="C12" s="2">
        <f ca="1">IFERROR(__xludf.DUMMYFUNCTION("""COMPUTED_VALUE"""),44720)</f>
        <v>44720</v>
      </c>
      <c r="D12" s="1">
        <f ca="1">IFERROR(__xludf.DUMMYFUNCTION("""COMPUTED_VALUE"""),230)</f>
        <v>230</v>
      </c>
      <c r="E12" s="1">
        <f ca="1">IFERROR(__xludf.DUMMYFUNCTION("""COMPUTED_VALUE"""),27)</f>
        <v>27</v>
      </c>
      <c r="F12" s="1" t="str">
        <f ca="1">IFERROR(__xludf.DUMMYFUNCTION("""COMPUTED_VALUE"""),"MEM")</f>
        <v>MEM</v>
      </c>
      <c r="G12" s="1">
        <f ca="1">IFERROR(__xludf.DUMMYFUNCTION("""COMPUTED_VALUE"""),69)</f>
        <v>69</v>
      </c>
      <c r="H12" s="1">
        <f ca="1">IFERROR(__xludf.DUMMYFUNCTION("""COMPUTED_VALUE"""),6)</f>
        <v>6</v>
      </c>
      <c r="I12" s="1" t="str">
        <f ca="1">IFERROR(__xludf.DUMMYFUNCTION("""COMPUTED_VALUE"""),"UCLA")</f>
        <v>UCLA</v>
      </c>
      <c r="J12" s="1" t="str">
        <f ca="1">IFERROR(__xludf.DUMMYFUNCTION("""COMPUTED_VALUE"""),"2014 Rnd 1 Pick 30")</f>
        <v>2014 Rnd 1 Pick 30</v>
      </c>
      <c r="K12" s="1" t="str">
        <f ca="1">IFERROR(__xludf.DUMMYFUNCTION("""COMPUTED_VALUE"""),"United States")</f>
        <v>United States</v>
      </c>
    </row>
    <row r="13" spans="1:11" ht="15.75" customHeight="1" x14ac:dyDescent="0.15">
      <c r="A13" s="1" t="str">
        <f ca="1">IFERROR(__xludf.DUMMYFUNCTION("""COMPUTED_VALUE"""),"Giannis Antetokounmpo")</f>
        <v>Giannis Antetokounmpo</v>
      </c>
      <c r="B13" s="1" t="str">
        <f ca="1">IFERROR(__xludf.DUMMYFUNCTION("""COMPUTED_VALUE"""),"F")</f>
        <v>F</v>
      </c>
      <c r="C13" s="2">
        <f ca="1">IFERROR(__xludf.DUMMYFUNCTION("""COMPUTED_VALUE"""),44723)</f>
        <v>44723</v>
      </c>
      <c r="D13" s="1">
        <f ca="1">IFERROR(__xludf.DUMMYFUNCTION("""COMPUTED_VALUE"""),242)</f>
        <v>242</v>
      </c>
      <c r="E13" s="1">
        <f ca="1">IFERROR(__xludf.DUMMYFUNCTION("""COMPUTED_VALUE"""),26)</f>
        <v>26</v>
      </c>
      <c r="F13" s="1" t="str">
        <f ca="1">IFERROR(__xludf.DUMMYFUNCTION("""COMPUTED_VALUE"""),"MIL")</f>
        <v>MIL</v>
      </c>
      <c r="G13" s="1">
        <f ca="1">IFERROR(__xludf.DUMMYFUNCTION("""COMPUTED_VALUE"""),61)</f>
        <v>61</v>
      </c>
      <c r="H13" s="1">
        <f ca="1">IFERROR(__xludf.DUMMYFUNCTION("""COMPUTED_VALUE"""),7)</f>
        <v>7</v>
      </c>
      <c r="I13" s="1" t="str">
        <f ca="1">IFERROR(__xludf.DUMMYFUNCTION("""COMPUTED_VALUE"""),"Filathlitikos Div II Greece (Greece)")</f>
        <v>Filathlitikos Div II Greece (Greece)</v>
      </c>
      <c r="J13" s="1" t="str">
        <f ca="1">IFERROR(__xludf.DUMMYFUNCTION("""COMPUTED_VALUE"""),"2013 Rnd 1 Pick 15")</f>
        <v>2013 Rnd 1 Pick 15</v>
      </c>
      <c r="K13" s="1" t="str">
        <f ca="1">IFERROR(__xludf.DUMMYFUNCTION("""COMPUTED_VALUE"""),"Greece
Nigeria")</f>
        <v>Greece
Nigeria</v>
      </c>
    </row>
    <row r="14" spans="1:11" ht="15.75" customHeight="1" x14ac:dyDescent="0.15">
      <c r="A14" s="1" t="str">
        <f ca="1">IFERROR(__xludf.DUMMYFUNCTION("""COMPUTED_VALUE"""),"Kostas Antetokounmpo")</f>
        <v>Kostas Antetokounmpo</v>
      </c>
      <c r="B14" s="1" t="str">
        <f ca="1">IFERROR(__xludf.DUMMYFUNCTION("""COMPUTED_VALUE"""),"PF")</f>
        <v>PF</v>
      </c>
      <c r="C14" s="2">
        <f ca="1">IFERROR(__xludf.DUMMYFUNCTION("""COMPUTED_VALUE"""),44722)</f>
        <v>44722</v>
      </c>
      <c r="D14" s="1">
        <f ca="1">IFERROR(__xludf.DUMMYFUNCTION("""COMPUTED_VALUE"""),200)</f>
        <v>200</v>
      </c>
      <c r="E14" s="1">
        <f ca="1">IFERROR(__xludf.DUMMYFUNCTION("""COMPUTED_VALUE"""),23)</f>
        <v>23</v>
      </c>
      <c r="F14" s="1" t="str">
        <f ca="1">IFERROR(__xludf.DUMMYFUNCTION("""COMPUTED_VALUE"""),"LAL")</f>
        <v>LAL</v>
      </c>
      <c r="G14" s="1">
        <f ca="1">IFERROR(__xludf.DUMMYFUNCTION("""COMPUTED_VALUE"""),15)</f>
        <v>15</v>
      </c>
      <c r="H14" s="1">
        <f ca="1">IFERROR(__xludf.DUMMYFUNCTION("""COMPUTED_VALUE"""),2)</f>
        <v>2</v>
      </c>
      <c r="I14" s="1" t="str">
        <f ca="1">IFERROR(__xludf.DUMMYFUNCTION("""COMPUTED_VALUE"""),"Dayton")</f>
        <v>Dayton</v>
      </c>
      <c r="J14" s="1" t="str">
        <f ca="1">IFERROR(__xludf.DUMMYFUNCTION("""COMPUTED_VALUE"""),"2018 Rnd 2 Pick 30")</f>
        <v>2018 Rnd 2 Pick 30</v>
      </c>
      <c r="K14" s="1" t="str">
        <f ca="1">IFERROR(__xludf.DUMMYFUNCTION("""COMPUTED_VALUE"""),"Greece
United States")</f>
        <v>Greece
United States</v>
      </c>
    </row>
    <row r="15" spans="1:11" ht="15.75" customHeight="1" x14ac:dyDescent="0.15">
      <c r="A15" s="1" t="str">
        <f ca="1">IFERROR(__xludf.DUMMYFUNCTION("""COMPUTED_VALUE"""),"Thanasis Antetokounmpo")</f>
        <v>Thanasis Antetokounmpo</v>
      </c>
      <c r="B15" s="1" t="str">
        <f ca="1">IFERROR(__xludf.DUMMYFUNCTION("""COMPUTED_VALUE"""),"SF")</f>
        <v>SF</v>
      </c>
      <c r="C15" s="2">
        <f ca="1">IFERROR(__xludf.DUMMYFUNCTION("""COMPUTED_VALUE"""),44719)</f>
        <v>44719</v>
      </c>
      <c r="D15" s="1">
        <f ca="1">IFERROR(__xludf.DUMMYFUNCTION("""COMPUTED_VALUE"""),215)</f>
        <v>215</v>
      </c>
      <c r="E15" s="1">
        <f ca="1">IFERROR(__xludf.DUMMYFUNCTION("""COMPUTED_VALUE"""),28)</f>
        <v>28</v>
      </c>
      <c r="F15" s="1" t="str">
        <f ca="1">IFERROR(__xludf.DUMMYFUNCTION("""COMPUTED_VALUE"""),"MIL")</f>
        <v>MIL</v>
      </c>
      <c r="G15" s="1">
        <f ca="1">IFERROR(__xludf.DUMMYFUNCTION("""COMPUTED_VALUE"""),57)</f>
        <v>57</v>
      </c>
      <c r="H15" s="1">
        <f ca="1">IFERROR(__xludf.DUMMYFUNCTION("""COMPUTED_VALUE"""),2)</f>
        <v>2</v>
      </c>
      <c r="I15" s="1" t="str">
        <f ca="1">IFERROR(__xludf.DUMMYFUNCTION("""COMPUTED_VALUE"""),"Delaware 87ers")</f>
        <v>Delaware 87ers</v>
      </c>
      <c r="J15" s="1" t="str">
        <f ca="1">IFERROR(__xludf.DUMMYFUNCTION("""COMPUTED_VALUE"""),"2014 Rnd 2 Pick 21")</f>
        <v>2014 Rnd 2 Pick 21</v>
      </c>
      <c r="K15" s="1" t="str">
        <f ca="1">IFERROR(__xludf.DUMMYFUNCTION("""COMPUTED_VALUE"""),"Greece
Nigeria")</f>
        <v>Greece
Nigeria</v>
      </c>
    </row>
    <row r="16" spans="1:11" ht="15.75" customHeight="1" x14ac:dyDescent="0.15">
      <c r="A16" s="1" t="str">
        <f ca="1">IFERROR(__xludf.DUMMYFUNCTION("""COMPUTED_VALUE"""),"Carmelo Anthony")</f>
        <v>Carmelo Anthony</v>
      </c>
      <c r="B16" s="1" t="str">
        <f ca="1">IFERROR(__xludf.DUMMYFUNCTION("""COMPUTED_VALUE"""),"F")</f>
        <v>F</v>
      </c>
      <c r="C16" s="2">
        <f ca="1">IFERROR(__xludf.DUMMYFUNCTION("""COMPUTED_VALUE"""),44720)</f>
        <v>44720</v>
      </c>
      <c r="D16" s="1">
        <f ca="1">IFERROR(__xludf.DUMMYFUNCTION("""COMPUTED_VALUE"""),240)</f>
        <v>240</v>
      </c>
      <c r="E16" s="1">
        <f ca="1">IFERROR(__xludf.DUMMYFUNCTION("""COMPUTED_VALUE"""),36)</f>
        <v>36</v>
      </c>
      <c r="F16" s="1" t="str">
        <f ca="1">IFERROR(__xludf.DUMMYFUNCTION("""COMPUTED_VALUE"""),"POR")</f>
        <v>POR</v>
      </c>
      <c r="G16" s="1">
        <f ca="1">IFERROR(__xludf.DUMMYFUNCTION("""COMPUTED_VALUE"""),69)</f>
        <v>69</v>
      </c>
      <c r="H16" s="1">
        <f ca="1">IFERROR(__xludf.DUMMYFUNCTION("""COMPUTED_VALUE"""),17)</f>
        <v>17</v>
      </c>
      <c r="I16" s="1" t="str">
        <f ca="1">IFERROR(__xludf.DUMMYFUNCTION("""COMPUTED_VALUE"""),"Syracuse")</f>
        <v>Syracuse</v>
      </c>
      <c r="J16" s="1" t="str">
        <f ca="1">IFERROR(__xludf.DUMMYFUNCTION("""COMPUTED_VALUE"""),"2003 Rnd 1 Pick 3")</f>
        <v>2003 Rnd 1 Pick 3</v>
      </c>
      <c r="K16" s="1" t="str">
        <f ca="1">IFERROR(__xludf.DUMMYFUNCTION("""COMPUTED_VALUE"""),"United States")</f>
        <v>United States</v>
      </c>
    </row>
    <row r="17" spans="1:11" ht="15.75" customHeight="1" x14ac:dyDescent="0.15">
      <c r="A17" s="1" t="str">
        <f ca="1">IFERROR(__xludf.DUMMYFUNCTION("""COMPUTED_VALUE"""),"Cole Anthony")</f>
        <v>Cole Anthony</v>
      </c>
      <c r="B17" s="1" t="str">
        <f ca="1">IFERROR(__xludf.DUMMYFUNCTION("""COMPUTED_VALUE"""),"PG")</f>
        <v>PG</v>
      </c>
      <c r="C17" s="2">
        <f ca="1">IFERROR(__xludf.DUMMYFUNCTION("""COMPUTED_VALUE"""),44715)</f>
        <v>44715</v>
      </c>
      <c r="D17" s="1">
        <f ca="1">IFERROR(__xludf.DUMMYFUNCTION("""COMPUTED_VALUE"""),190)</f>
        <v>190</v>
      </c>
      <c r="E17" s="1">
        <f ca="1">IFERROR(__xludf.DUMMYFUNCTION("""COMPUTED_VALUE"""),20)</f>
        <v>20</v>
      </c>
      <c r="F17" s="1" t="str">
        <f ca="1">IFERROR(__xludf.DUMMYFUNCTION("""COMPUTED_VALUE"""),"ORL")</f>
        <v>ORL</v>
      </c>
      <c r="G17" s="1">
        <f ca="1">IFERROR(__xludf.DUMMYFUNCTION("""COMPUTED_VALUE"""),47)</f>
        <v>47</v>
      </c>
      <c r="H17" s="1">
        <f ca="1">IFERROR(__xludf.DUMMYFUNCTION("""COMPUTED_VALUE"""),0)</f>
        <v>0</v>
      </c>
      <c r="I17" s="1" t="str">
        <f ca="1">IFERROR(__xludf.DUMMYFUNCTION("""COMPUTED_VALUE"""),"North Carolina")</f>
        <v>North Carolina</v>
      </c>
      <c r="J17" s="1" t="str">
        <f ca="1">IFERROR(__xludf.DUMMYFUNCTION("""COMPUTED_VALUE"""),"2020 Rnd 1 Pick 15")</f>
        <v>2020 Rnd 1 Pick 15</v>
      </c>
      <c r="K17" s="1" t="str">
        <f ca="1">IFERROR(__xludf.DUMMYFUNCTION("""COMPUTED_VALUE"""),"United States")</f>
        <v>United States</v>
      </c>
    </row>
    <row r="18" spans="1:11" ht="15.75" customHeight="1" x14ac:dyDescent="0.15">
      <c r="A18" s="1" t="str">
        <f ca="1">IFERROR(__xludf.DUMMYFUNCTION("""COMPUTED_VALUE"""),"OG Anunoby")</f>
        <v>OG Anunoby</v>
      </c>
      <c r="B18" s="1" t="str">
        <f ca="1">IFERROR(__xludf.DUMMYFUNCTION("""COMPUTED_VALUE"""),"SF")</f>
        <v>SF</v>
      </c>
      <c r="C18" s="2">
        <f ca="1">IFERROR(__xludf.DUMMYFUNCTION("""COMPUTED_VALUE"""),44720)</f>
        <v>44720</v>
      </c>
      <c r="D18" s="1">
        <f ca="1">IFERROR(__xludf.DUMMYFUNCTION("""COMPUTED_VALUE"""),232)</f>
        <v>232</v>
      </c>
      <c r="E18" s="1">
        <f ca="1">IFERROR(__xludf.DUMMYFUNCTION("""COMPUTED_VALUE"""),23)</f>
        <v>23</v>
      </c>
      <c r="F18" s="1" t="str">
        <f ca="1">IFERROR(__xludf.DUMMYFUNCTION("""COMPUTED_VALUE"""),"TOR")</f>
        <v>TOR</v>
      </c>
      <c r="G18" s="1">
        <f ca="1">IFERROR(__xludf.DUMMYFUNCTION("""COMPUTED_VALUE"""),43)</f>
        <v>43</v>
      </c>
      <c r="H18" s="1">
        <f ca="1">IFERROR(__xludf.DUMMYFUNCTION("""COMPUTED_VALUE"""),3)</f>
        <v>3</v>
      </c>
      <c r="I18" s="1" t="str">
        <f ca="1">IFERROR(__xludf.DUMMYFUNCTION("""COMPUTED_VALUE"""),"Indiana")</f>
        <v>Indiana</v>
      </c>
      <c r="J18" s="1" t="str">
        <f ca="1">IFERROR(__xludf.DUMMYFUNCTION("""COMPUTED_VALUE"""),"2017 Rnd 1 Pick 23")</f>
        <v>2017 Rnd 1 Pick 23</v>
      </c>
      <c r="K18" s="1" t="str">
        <f ca="1">IFERROR(__xludf.DUMMYFUNCTION("""COMPUTED_VALUE"""),"England
United States")</f>
        <v>England
United States</v>
      </c>
    </row>
    <row r="19" spans="1:11" ht="15.75" customHeight="1" x14ac:dyDescent="0.15">
      <c r="A19" s="1" t="str">
        <f ca="1">IFERROR(__xludf.DUMMYFUNCTION("""COMPUTED_VALUE"""),"Ryan Arcidiacono")</f>
        <v>Ryan Arcidiacono</v>
      </c>
      <c r="B19" s="1" t="str">
        <f ca="1">IFERROR(__xludf.DUMMYFUNCTION("""COMPUTED_VALUE"""),"G")</f>
        <v>G</v>
      </c>
      <c r="C19" s="2">
        <f ca="1">IFERROR(__xludf.DUMMYFUNCTION("""COMPUTED_VALUE"""),44715)</f>
        <v>44715</v>
      </c>
      <c r="D19" s="1">
        <f ca="1">IFERROR(__xludf.DUMMYFUNCTION("""COMPUTED_VALUE"""),195)</f>
        <v>195</v>
      </c>
      <c r="E19" s="1">
        <f ca="1">IFERROR(__xludf.DUMMYFUNCTION("""COMPUTED_VALUE"""),26)</f>
        <v>26</v>
      </c>
      <c r="F19" s="1" t="str">
        <f ca="1">IFERROR(__xludf.DUMMYFUNCTION("""COMPUTED_VALUE"""),"CHI")</f>
        <v>CHI</v>
      </c>
      <c r="G19" s="1">
        <f ca="1">IFERROR(__xludf.DUMMYFUNCTION("""COMPUTED_VALUE"""),44)</f>
        <v>44</v>
      </c>
      <c r="H19" s="1">
        <f ca="1">IFERROR(__xludf.DUMMYFUNCTION("""COMPUTED_VALUE"""),3)</f>
        <v>3</v>
      </c>
      <c r="I19" s="1" t="str">
        <f ca="1">IFERROR(__xludf.DUMMYFUNCTION("""COMPUTED_VALUE"""),"Villanova")</f>
        <v>Villanova</v>
      </c>
      <c r="J19" s="1" t="str">
        <f ca="1">IFERROR(__xludf.DUMMYFUNCTION("""COMPUTED_VALUE"""),"2016 NBA Draft, Undrafted")</f>
        <v>2016 NBA Draft, Undrafted</v>
      </c>
      <c r="K19" s="1" t="str">
        <f ca="1">IFERROR(__xludf.DUMMYFUNCTION("""COMPUTED_VALUE"""),"United States")</f>
        <v>United States</v>
      </c>
    </row>
    <row r="20" spans="1:11" ht="15.75" customHeight="1" x14ac:dyDescent="0.15">
      <c r="A20" s="1" t="str">
        <f ca="1">IFERROR(__xludf.DUMMYFUNCTION("""COMPUTED_VALUE"""),"Trevor Ariza")</f>
        <v>Trevor Ariza</v>
      </c>
      <c r="B20" s="1" t="str">
        <f ca="1">IFERROR(__xludf.DUMMYFUNCTION("""COMPUTED_VALUE"""),"SF")</f>
        <v>SF</v>
      </c>
      <c r="C20" s="2">
        <f ca="1">IFERROR(__xludf.DUMMYFUNCTION("""COMPUTED_VALUE"""),44720)</f>
        <v>44720</v>
      </c>
      <c r="D20" s="1">
        <f ca="1">IFERROR(__xludf.DUMMYFUNCTION("""COMPUTED_VALUE"""),215)</f>
        <v>215</v>
      </c>
      <c r="E20" s="1">
        <f ca="1">IFERROR(__xludf.DUMMYFUNCTION("""COMPUTED_VALUE"""),35)</f>
        <v>35</v>
      </c>
      <c r="F20" s="1" t="str">
        <f ca="1">IFERROR(__xludf.DUMMYFUNCTION("""COMPUTED_VALUE"""),"MIA")</f>
        <v>MIA</v>
      </c>
      <c r="G20" s="1">
        <f ca="1">IFERROR(__xludf.DUMMYFUNCTION("""COMPUTED_VALUE"""),30)</f>
        <v>30</v>
      </c>
      <c r="H20" s="1">
        <f ca="1">IFERROR(__xludf.DUMMYFUNCTION("""COMPUTED_VALUE"""),16)</f>
        <v>16</v>
      </c>
      <c r="I20" s="1" t="str">
        <f ca="1">IFERROR(__xludf.DUMMYFUNCTION("""COMPUTED_VALUE"""),"UCLA")</f>
        <v>UCLA</v>
      </c>
      <c r="J20" s="1" t="str">
        <f ca="1">IFERROR(__xludf.DUMMYFUNCTION("""COMPUTED_VALUE"""),"2004 Rnd 2 Pick 14")</f>
        <v>2004 Rnd 2 Pick 14</v>
      </c>
      <c r="K20" s="1" t="str">
        <f ca="1">IFERROR(__xludf.DUMMYFUNCTION("""COMPUTED_VALUE"""),"United States")</f>
        <v>United States</v>
      </c>
    </row>
    <row r="21" spans="1:11" ht="15.75" customHeight="1" x14ac:dyDescent="0.15">
      <c r="A21" s="1" t="str">
        <f ca="1">IFERROR(__xludf.DUMMYFUNCTION("""COMPUTED_VALUE"""),"DJ Augustin")</f>
        <v>DJ Augustin</v>
      </c>
      <c r="B21" s="1" t="str">
        <f ca="1">IFERROR(__xludf.DUMMYFUNCTION("""COMPUTED_VALUE"""),"G")</f>
        <v>G</v>
      </c>
      <c r="C21" s="1" t="str">
        <f ca="1">IFERROR(__xludf.DUMMYFUNCTION("""COMPUTED_VALUE"""),"6-0")</f>
        <v>6-0</v>
      </c>
      <c r="D21" s="1">
        <f ca="1">IFERROR(__xludf.DUMMYFUNCTION("""COMPUTED_VALUE"""),183)</f>
        <v>183</v>
      </c>
      <c r="E21" s="1">
        <f ca="1">IFERROR(__xludf.DUMMYFUNCTION("""COMPUTED_VALUE"""),33)</f>
        <v>33</v>
      </c>
      <c r="F21" s="1" t="str">
        <f ca="1">IFERROR(__xludf.DUMMYFUNCTION("""COMPUTED_VALUE"""),"HOU, MIL")</f>
        <v>HOU, MIL</v>
      </c>
      <c r="G21" s="1">
        <f ca="1">IFERROR(__xludf.DUMMYFUNCTION("""COMPUTED_VALUE"""),57)</f>
        <v>57</v>
      </c>
      <c r="H21" s="1">
        <f ca="1">IFERROR(__xludf.DUMMYFUNCTION("""COMPUTED_VALUE"""),12)</f>
        <v>12</v>
      </c>
      <c r="I21" s="1" t="str">
        <f ca="1">IFERROR(__xludf.DUMMYFUNCTION("""COMPUTED_VALUE"""),"Texas")</f>
        <v>Texas</v>
      </c>
      <c r="J21" s="1" t="str">
        <f ca="1">IFERROR(__xludf.DUMMYFUNCTION("""COMPUTED_VALUE"""),"2008 Rnd 1 Pick 9")</f>
        <v>2008 Rnd 1 Pick 9</v>
      </c>
      <c r="K21" s="1" t="str">
        <f ca="1">IFERROR(__xludf.DUMMYFUNCTION("""COMPUTED_VALUE"""),"United States")</f>
        <v>United States</v>
      </c>
    </row>
    <row r="22" spans="1:11" ht="15.75" customHeight="1" x14ac:dyDescent="0.15">
      <c r="A22" s="1" t="str">
        <f ca="1">IFERROR(__xludf.DUMMYFUNCTION("""COMPUTED_VALUE"""),"Deni Avdija")</f>
        <v>Deni Avdija</v>
      </c>
      <c r="B22" s="1" t="str">
        <f ca="1">IFERROR(__xludf.DUMMYFUNCTION("""COMPUTED_VALUE"""),"SG")</f>
        <v>SG</v>
      </c>
      <c r="C22" s="2">
        <f ca="1">IFERROR(__xludf.DUMMYFUNCTION("""COMPUTED_VALUE"""),44721)</f>
        <v>44721</v>
      </c>
      <c r="D22" s="1">
        <f ca="1">IFERROR(__xludf.DUMMYFUNCTION("""COMPUTED_VALUE"""),210)</f>
        <v>210</v>
      </c>
      <c r="E22" s="1">
        <f ca="1">IFERROR(__xludf.DUMMYFUNCTION("""COMPUTED_VALUE"""),20)</f>
        <v>20</v>
      </c>
      <c r="F22" s="1" t="str">
        <f ca="1">IFERROR(__xludf.DUMMYFUNCTION("""COMPUTED_VALUE"""),"WAS")</f>
        <v>WAS</v>
      </c>
      <c r="G22" s="1">
        <f ca="1">IFERROR(__xludf.DUMMYFUNCTION("""COMPUTED_VALUE"""),54)</f>
        <v>54</v>
      </c>
      <c r="H22" s="1">
        <f ca="1">IFERROR(__xludf.DUMMYFUNCTION("""COMPUTED_VALUE"""),0)</f>
        <v>0</v>
      </c>
      <c r="I22" s="1" t="str">
        <f ca="1">IFERROR(__xludf.DUMMYFUNCTION("""COMPUTED_VALUE"""),"Maccabi Tel Aviv U18 (Israel)")</f>
        <v>Maccabi Tel Aviv U18 (Israel)</v>
      </c>
      <c r="J22" s="1" t="str">
        <f ca="1">IFERROR(__xludf.DUMMYFUNCTION("""COMPUTED_VALUE"""),"2020 Rnd 1 Pick 9")</f>
        <v>2020 Rnd 1 Pick 9</v>
      </c>
      <c r="K22" s="1" t="str">
        <f ca="1">IFERROR(__xludf.DUMMYFUNCTION("""COMPUTED_VALUE"""),"Israel")</f>
        <v>Israel</v>
      </c>
    </row>
    <row r="23" spans="1:11" ht="15.75" customHeight="1" x14ac:dyDescent="0.15">
      <c r="A23" s="1" t="str">
        <f ca="1">IFERROR(__xludf.DUMMYFUNCTION("""COMPUTED_VALUE"""),"Deandre Ayton")</f>
        <v>Deandre Ayton</v>
      </c>
      <c r="B23" s="1" t="str">
        <f ca="1">IFERROR(__xludf.DUMMYFUNCTION("""COMPUTED_VALUE"""),"C")</f>
        <v>C</v>
      </c>
      <c r="C23" s="2">
        <f ca="1">IFERROR(__xludf.DUMMYFUNCTION("""COMPUTED_VALUE"""),44743)</f>
        <v>44743</v>
      </c>
      <c r="D23" s="1">
        <f ca="1">IFERROR(__xludf.DUMMYFUNCTION("""COMPUTED_VALUE"""),250)</f>
        <v>250</v>
      </c>
      <c r="E23" s="1">
        <f ca="1">IFERROR(__xludf.DUMMYFUNCTION("""COMPUTED_VALUE"""),22)</f>
        <v>22</v>
      </c>
      <c r="F23" s="1" t="str">
        <f ca="1">IFERROR(__xludf.DUMMYFUNCTION("""COMPUTED_VALUE"""),"PHX")</f>
        <v>PHX</v>
      </c>
      <c r="G23" s="1">
        <f ca="1">IFERROR(__xludf.DUMMYFUNCTION("""COMPUTED_VALUE"""),69)</f>
        <v>69</v>
      </c>
      <c r="H23" s="1">
        <f ca="1">IFERROR(__xludf.DUMMYFUNCTION("""COMPUTED_VALUE"""),2)</f>
        <v>2</v>
      </c>
      <c r="I23" s="1" t="str">
        <f ca="1">IFERROR(__xludf.DUMMYFUNCTION("""COMPUTED_VALUE"""),"Arizona")</f>
        <v>Arizona</v>
      </c>
      <c r="J23" s="1" t="str">
        <f ca="1">IFERROR(__xludf.DUMMYFUNCTION("""COMPUTED_VALUE"""),"2018 Rnd 1 Pick 1")</f>
        <v>2018 Rnd 1 Pick 1</v>
      </c>
      <c r="K23" s="1" t="str">
        <f ca="1">IFERROR(__xludf.DUMMYFUNCTION("""COMPUTED_VALUE"""),"Bahamas")</f>
        <v>Bahamas</v>
      </c>
    </row>
    <row r="24" spans="1:11" ht="15.75" customHeight="1" x14ac:dyDescent="0.15">
      <c r="A24" s="1" t="str">
        <f ca="1">IFERROR(__xludf.DUMMYFUNCTION("""COMPUTED_VALUE"""),"Udoka Azubuike")</f>
        <v>Udoka Azubuike</v>
      </c>
      <c r="B24" s="1" t="str">
        <f ca="1">IFERROR(__xludf.DUMMYFUNCTION("""COMPUTED_VALUE"""),"C")</f>
        <v>C</v>
      </c>
      <c r="C24" s="1" t="str">
        <f ca="1">IFERROR(__xludf.DUMMYFUNCTION("""COMPUTED_VALUE"""),"7-0")</f>
        <v>7-0</v>
      </c>
      <c r="D24" s="1">
        <f ca="1">IFERROR(__xludf.DUMMYFUNCTION("""COMPUTED_VALUE"""),270)</f>
        <v>270</v>
      </c>
      <c r="E24" s="1">
        <f ca="1">IFERROR(__xludf.DUMMYFUNCTION("""COMPUTED_VALUE"""),21)</f>
        <v>21</v>
      </c>
      <c r="F24" s="1" t="str">
        <f ca="1">IFERROR(__xludf.DUMMYFUNCTION("""COMPUTED_VALUE"""),"UTA")</f>
        <v>UTA</v>
      </c>
      <c r="G24" s="1">
        <f ca="1">IFERROR(__xludf.DUMMYFUNCTION("""COMPUTED_VALUE"""),15)</f>
        <v>15</v>
      </c>
      <c r="H24" s="1">
        <f ca="1">IFERROR(__xludf.DUMMYFUNCTION("""COMPUTED_VALUE"""),0)</f>
        <v>0</v>
      </c>
      <c r="I24" s="1" t="str">
        <f ca="1">IFERROR(__xludf.DUMMYFUNCTION("""COMPUTED_VALUE"""),"Kansas")</f>
        <v>Kansas</v>
      </c>
      <c r="J24" s="1" t="str">
        <f ca="1">IFERROR(__xludf.DUMMYFUNCTION("""COMPUTED_VALUE"""),"2020 Rnd 1 Pick 27")</f>
        <v>2020 Rnd 1 Pick 27</v>
      </c>
      <c r="K24" s="1" t="str">
        <f ca="1">IFERROR(__xludf.DUMMYFUNCTION("""COMPUTED_VALUE"""),"Nigeria")</f>
        <v>Nigeria</v>
      </c>
    </row>
    <row r="25" spans="1:11" ht="15.75" customHeight="1" x14ac:dyDescent="0.15">
      <c r="A25" s="1" t="str">
        <f ca="1">IFERROR(__xludf.DUMMYFUNCTION("""COMPUTED_VALUE"""),"Dwayne Bacon")</f>
        <v>Dwayne Bacon</v>
      </c>
      <c r="B25" s="1" t="str">
        <f ca="1">IFERROR(__xludf.DUMMYFUNCTION("""COMPUTED_VALUE"""),"SF")</f>
        <v>SF</v>
      </c>
      <c r="C25" s="2">
        <f ca="1">IFERROR(__xludf.DUMMYFUNCTION("""COMPUTED_VALUE"""),44718)</f>
        <v>44718</v>
      </c>
      <c r="D25" s="1">
        <f ca="1">IFERROR(__xludf.DUMMYFUNCTION("""COMPUTED_VALUE"""),221)</f>
        <v>221</v>
      </c>
      <c r="E25" s="1">
        <f ca="1">IFERROR(__xludf.DUMMYFUNCTION("""COMPUTED_VALUE"""),25)</f>
        <v>25</v>
      </c>
      <c r="F25" s="1" t="str">
        <f ca="1">IFERROR(__xludf.DUMMYFUNCTION("""COMPUTED_VALUE"""),"ORL")</f>
        <v>ORL</v>
      </c>
      <c r="G25" s="1">
        <f ca="1">IFERROR(__xludf.DUMMYFUNCTION("""COMPUTED_VALUE"""),72)</f>
        <v>72</v>
      </c>
      <c r="H25" s="1">
        <f ca="1">IFERROR(__xludf.DUMMYFUNCTION("""COMPUTED_VALUE"""),3)</f>
        <v>3</v>
      </c>
      <c r="I25" s="1" t="str">
        <f ca="1">IFERROR(__xludf.DUMMYFUNCTION("""COMPUTED_VALUE"""),"Florida State")</f>
        <v>Florida State</v>
      </c>
      <c r="J25" s="1" t="str">
        <f ca="1">IFERROR(__xludf.DUMMYFUNCTION("""COMPUTED_VALUE"""),"2017 Rnd 2 Pick 10")</f>
        <v>2017 Rnd 2 Pick 10</v>
      </c>
      <c r="K25" s="1" t="str">
        <f ca="1">IFERROR(__xludf.DUMMYFUNCTION("""COMPUTED_VALUE"""),"United States")</f>
        <v>United States</v>
      </c>
    </row>
    <row r="26" spans="1:11" ht="15.75" customHeight="1" x14ac:dyDescent="0.15">
      <c r="A26" s="1" t="str">
        <f ca="1">IFERROR(__xludf.DUMMYFUNCTION("""COMPUTED_VALUE"""),"Marvin Bagley III")</f>
        <v>Marvin Bagley III</v>
      </c>
      <c r="B26" s="1" t="str">
        <f ca="1">IFERROR(__xludf.DUMMYFUNCTION("""COMPUTED_VALUE"""),"PF")</f>
        <v>PF</v>
      </c>
      <c r="C26" s="2">
        <f ca="1">IFERROR(__xludf.DUMMYFUNCTION("""COMPUTED_VALUE"""),44723)</f>
        <v>44723</v>
      </c>
      <c r="D26" s="1">
        <f ca="1">IFERROR(__xludf.DUMMYFUNCTION("""COMPUTED_VALUE"""),240)</f>
        <v>240</v>
      </c>
      <c r="E26" s="1">
        <f ca="1">IFERROR(__xludf.DUMMYFUNCTION("""COMPUTED_VALUE"""),21)</f>
        <v>21</v>
      </c>
      <c r="F26" s="1" t="str">
        <f ca="1">IFERROR(__xludf.DUMMYFUNCTION("""COMPUTED_VALUE"""),"SAC")</f>
        <v>SAC</v>
      </c>
      <c r="G26" s="1">
        <f ca="1">IFERROR(__xludf.DUMMYFUNCTION("""COMPUTED_VALUE"""),43)</f>
        <v>43</v>
      </c>
      <c r="H26" s="1">
        <f ca="1">IFERROR(__xludf.DUMMYFUNCTION("""COMPUTED_VALUE"""),2)</f>
        <v>2</v>
      </c>
      <c r="I26" s="1" t="str">
        <f ca="1">IFERROR(__xludf.DUMMYFUNCTION("""COMPUTED_VALUE"""),"Duke")</f>
        <v>Duke</v>
      </c>
      <c r="J26" s="1" t="str">
        <f ca="1">IFERROR(__xludf.DUMMYFUNCTION("""COMPUTED_VALUE"""),"2018 Rnd 1 Pick 2")</f>
        <v>2018 Rnd 1 Pick 2</v>
      </c>
      <c r="K26" s="1" t="str">
        <f ca="1">IFERROR(__xludf.DUMMYFUNCTION("""COMPUTED_VALUE"""),"United States")</f>
        <v>United States</v>
      </c>
    </row>
    <row r="27" spans="1:11" ht="15.75" customHeight="1" x14ac:dyDescent="0.15">
      <c r="A27" s="1" t="str">
        <f ca="1">IFERROR(__xludf.DUMMYFUNCTION("""COMPUTED_VALUE"""),"LaMelo Ball")</f>
        <v>LaMelo Ball</v>
      </c>
      <c r="B27" s="1" t="str">
        <f ca="1">IFERROR(__xludf.DUMMYFUNCTION("""COMPUTED_VALUE"""),"G")</f>
        <v>G</v>
      </c>
      <c r="C27" s="2">
        <f ca="1">IFERROR(__xludf.DUMMYFUNCTION("""COMPUTED_VALUE"""),44719)</f>
        <v>44719</v>
      </c>
      <c r="D27" s="1">
        <f ca="1">IFERROR(__xludf.DUMMYFUNCTION("""COMPUTED_VALUE"""),185)</f>
        <v>185</v>
      </c>
      <c r="E27" s="1">
        <f ca="1">IFERROR(__xludf.DUMMYFUNCTION("""COMPUTED_VALUE"""),19)</f>
        <v>19</v>
      </c>
      <c r="F27" s="1" t="str">
        <f ca="1">IFERROR(__xludf.DUMMYFUNCTION("""COMPUTED_VALUE"""),"CHA")</f>
        <v>CHA</v>
      </c>
      <c r="G27" s="1">
        <f ca="1">IFERROR(__xludf.DUMMYFUNCTION("""COMPUTED_VALUE"""),51)</f>
        <v>51</v>
      </c>
      <c r="H27" s="1">
        <f ca="1">IFERROR(__xludf.DUMMYFUNCTION("""COMPUTED_VALUE"""),0)</f>
        <v>0</v>
      </c>
      <c r="I27" s="1" t="str">
        <f ca="1">IFERROR(__xludf.DUMMYFUNCTION("""COMPUTED_VALUE"""),"Illawarra (Australia)")</f>
        <v>Illawarra (Australia)</v>
      </c>
      <c r="J27" s="1" t="str">
        <f ca="1">IFERROR(__xludf.DUMMYFUNCTION("""COMPUTED_VALUE"""),"2020 Rnd 1 Pick 3")</f>
        <v>2020 Rnd 1 Pick 3</v>
      </c>
      <c r="K27" s="1" t="str">
        <f ca="1">IFERROR(__xludf.DUMMYFUNCTION("""COMPUTED_VALUE"""),"United States")</f>
        <v>United States</v>
      </c>
    </row>
    <row r="28" spans="1:11" ht="15.75" customHeight="1" x14ac:dyDescent="0.15">
      <c r="A28" s="1" t="str">
        <f ca="1">IFERROR(__xludf.DUMMYFUNCTION("""COMPUTED_VALUE"""),"Lonzo Ball")</f>
        <v>Lonzo Ball</v>
      </c>
      <c r="B28" s="1" t="str">
        <f ca="1">IFERROR(__xludf.DUMMYFUNCTION("""COMPUTED_VALUE"""),"PG")</f>
        <v>PG</v>
      </c>
      <c r="C28" s="2">
        <f ca="1">IFERROR(__xludf.DUMMYFUNCTION("""COMPUTED_VALUE"""),44718)</f>
        <v>44718</v>
      </c>
      <c r="D28" s="1">
        <f ca="1">IFERROR(__xludf.DUMMYFUNCTION("""COMPUTED_VALUE"""),190)</f>
        <v>190</v>
      </c>
      <c r="E28" s="1">
        <f ca="1">IFERROR(__xludf.DUMMYFUNCTION("""COMPUTED_VALUE"""),23)</f>
        <v>23</v>
      </c>
      <c r="F28" s="1" t="str">
        <f ca="1">IFERROR(__xludf.DUMMYFUNCTION("""COMPUTED_VALUE"""),"NOP")</f>
        <v>NOP</v>
      </c>
      <c r="G28" s="1">
        <f ca="1">IFERROR(__xludf.DUMMYFUNCTION("""COMPUTED_VALUE"""),55)</f>
        <v>55</v>
      </c>
      <c r="H28" s="1">
        <f ca="1">IFERROR(__xludf.DUMMYFUNCTION("""COMPUTED_VALUE"""),3)</f>
        <v>3</v>
      </c>
      <c r="I28" s="1" t="str">
        <f ca="1">IFERROR(__xludf.DUMMYFUNCTION("""COMPUTED_VALUE"""),"UCLA")</f>
        <v>UCLA</v>
      </c>
      <c r="J28" s="1" t="str">
        <f ca="1">IFERROR(__xludf.DUMMYFUNCTION("""COMPUTED_VALUE"""),"2017 Rnd 1 Pick 2")</f>
        <v>2017 Rnd 1 Pick 2</v>
      </c>
      <c r="K28" s="1" t="str">
        <f ca="1">IFERROR(__xludf.DUMMYFUNCTION("""COMPUTED_VALUE"""),"United States")</f>
        <v>United States</v>
      </c>
    </row>
    <row r="29" spans="1:11" ht="15.75" customHeight="1" x14ac:dyDescent="0.15">
      <c r="A29" s="1" t="str">
        <f ca="1">IFERROR(__xludf.DUMMYFUNCTION("""COMPUTED_VALUE"""),"Mohamed Bamba")</f>
        <v>Mohamed Bamba</v>
      </c>
      <c r="B29" s="1" t="str">
        <f ca="1">IFERROR(__xludf.DUMMYFUNCTION("""COMPUTED_VALUE"""),"C")</f>
        <v>C</v>
      </c>
      <c r="C29" s="1" t="str">
        <f ca="1">IFERROR(__xludf.DUMMYFUNCTION("""COMPUTED_VALUE"""),"7-0")</f>
        <v>7-0</v>
      </c>
      <c r="D29" s="1">
        <f ca="1">IFERROR(__xludf.DUMMYFUNCTION("""COMPUTED_VALUE"""),250)</f>
        <v>250</v>
      </c>
      <c r="E29" s="1">
        <f ca="1">IFERROR(__xludf.DUMMYFUNCTION("""COMPUTED_VALUE"""),22)</f>
        <v>22</v>
      </c>
      <c r="F29" s="1" t="str">
        <f ca="1">IFERROR(__xludf.DUMMYFUNCTION("""COMPUTED_VALUE"""),"ORL")</f>
        <v>ORL</v>
      </c>
      <c r="G29" s="1">
        <f ca="1">IFERROR(__xludf.DUMMYFUNCTION("""COMPUTED_VALUE"""),46)</f>
        <v>46</v>
      </c>
      <c r="H29" s="1">
        <f ca="1">IFERROR(__xludf.DUMMYFUNCTION("""COMPUTED_VALUE"""),2)</f>
        <v>2</v>
      </c>
      <c r="I29" s="1" t="str">
        <f ca="1">IFERROR(__xludf.DUMMYFUNCTION("""COMPUTED_VALUE"""),"Texas")</f>
        <v>Texas</v>
      </c>
      <c r="J29" s="1" t="str">
        <f ca="1">IFERROR(__xludf.DUMMYFUNCTION("""COMPUTED_VALUE"""),"2018 Rnd 1 Pick 6")</f>
        <v>2018 Rnd 1 Pick 6</v>
      </c>
      <c r="K29" s="1" t="str">
        <f ca="1">IFERROR(__xludf.DUMMYFUNCTION("""COMPUTED_VALUE"""),"United States")</f>
        <v>United States</v>
      </c>
    </row>
    <row r="30" spans="1:11" ht="15.75" customHeight="1" x14ac:dyDescent="0.15">
      <c r="A30" s="1" t="str">
        <f ca="1">IFERROR(__xludf.DUMMYFUNCTION("""COMPUTED_VALUE"""),"Desmond Bane")</f>
        <v>Desmond Bane</v>
      </c>
      <c r="B30" s="1" t="str">
        <f ca="1">IFERROR(__xludf.DUMMYFUNCTION("""COMPUTED_VALUE"""),"SG")</f>
        <v>SG</v>
      </c>
      <c r="C30" s="2">
        <f ca="1">IFERROR(__xludf.DUMMYFUNCTION("""COMPUTED_VALUE"""),44718)</f>
        <v>44718</v>
      </c>
      <c r="D30" s="1">
        <f ca="1">IFERROR(__xludf.DUMMYFUNCTION("""COMPUTED_VALUE"""),215)</f>
        <v>215</v>
      </c>
      <c r="E30" s="1">
        <f ca="1">IFERROR(__xludf.DUMMYFUNCTION("""COMPUTED_VALUE"""),22)</f>
        <v>22</v>
      </c>
      <c r="F30" s="1" t="str">
        <f ca="1">IFERROR(__xludf.DUMMYFUNCTION("""COMPUTED_VALUE"""),"MEM")</f>
        <v>MEM</v>
      </c>
      <c r="G30" s="1">
        <f ca="1">IFERROR(__xludf.DUMMYFUNCTION("""COMPUTED_VALUE"""),68)</f>
        <v>68</v>
      </c>
      <c r="H30" s="1">
        <f ca="1">IFERROR(__xludf.DUMMYFUNCTION("""COMPUTED_VALUE"""),0)</f>
        <v>0</v>
      </c>
      <c r="I30" s="1" t="str">
        <f ca="1">IFERROR(__xludf.DUMMYFUNCTION("""COMPUTED_VALUE"""),"Texas Christian")</f>
        <v>Texas Christian</v>
      </c>
      <c r="J30" s="1" t="str">
        <f ca="1">IFERROR(__xludf.DUMMYFUNCTION("""COMPUTED_VALUE"""),"2020 Rnd 1 Pick 30")</f>
        <v>2020 Rnd 1 Pick 30</v>
      </c>
      <c r="K30" s="1" t="str">
        <f ca="1">IFERROR(__xludf.DUMMYFUNCTION("""COMPUTED_VALUE"""),"United States")</f>
        <v>United States</v>
      </c>
    </row>
    <row r="31" spans="1:11" ht="15.75" customHeight="1" x14ac:dyDescent="0.15">
      <c r="A31" s="1" t="str">
        <f ca="1">IFERROR(__xludf.DUMMYFUNCTION("""COMPUTED_VALUE"""),"Harrison Barnes")</f>
        <v>Harrison Barnes</v>
      </c>
      <c r="B31" s="1" t="str">
        <f ca="1">IFERROR(__xludf.DUMMYFUNCTION("""COMPUTED_VALUE"""),"SF")</f>
        <v>SF</v>
      </c>
      <c r="C31" s="2">
        <f ca="1">IFERROR(__xludf.DUMMYFUNCTION("""COMPUTED_VALUE"""),44720)</f>
        <v>44720</v>
      </c>
      <c r="D31" s="1">
        <f ca="1">IFERROR(__xludf.DUMMYFUNCTION("""COMPUTED_VALUE"""),225)</f>
        <v>225</v>
      </c>
      <c r="E31" s="1">
        <f ca="1">IFERROR(__xludf.DUMMYFUNCTION("""COMPUTED_VALUE"""),28)</f>
        <v>28</v>
      </c>
      <c r="F31" s="1" t="str">
        <f ca="1">IFERROR(__xludf.DUMMYFUNCTION("""COMPUTED_VALUE"""),"SAC")</f>
        <v>SAC</v>
      </c>
      <c r="G31" s="1">
        <f ca="1">IFERROR(__xludf.DUMMYFUNCTION("""COMPUTED_VALUE"""),58)</f>
        <v>58</v>
      </c>
      <c r="H31" s="1">
        <f ca="1">IFERROR(__xludf.DUMMYFUNCTION("""COMPUTED_VALUE"""),8)</f>
        <v>8</v>
      </c>
      <c r="I31" s="1" t="str">
        <f ca="1">IFERROR(__xludf.DUMMYFUNCTION("""COMPUTED_VALUE"""),"North Carolina")</f>
        <v>North Carolina</v>
      </c>
      <c r="J31" s="1" t="str">
        <f ca="1">IFERROR(__xludf.DUMMYFUNCTION("""COMPUTED_VALUE"""),"2012 Rnd 1 Pick 7")</f>
        <v>2012 Rnd 1 Pick 7</v>
      </c>
      <c r="K31" s="1" t="str">
        <f ca="1">IFERROR(__xludf.DUMMYFUNCTION("""COMPUTED_VALUE"""),"United States")</f>
        <v>United States</v>
      </c>
    </row>
    <row r="32" spans="1:11" ht="15.75" customHeight="1" x14ac:dyDescent="0.15">
      <c r="A32" s="1" t="str">
        <f ca="1">IFERROR(__xludf.DUMMYFUNCTION("""COMPUTED_VALUE"""),"RJ Barrett")</f>
        <v>RJ Barrett</v>
      </c>
      <c r="B32" s="1" t="str">
        <f ca="1">IFERROR(__xludf.DUMMYFUNCTION("""COMPUTED_VALUE"""),"SG")</f>
        <v>SG</v>
      </c>
      <c r="C32" s="2">
        <f ca="1">IFERROR(__xludf.DUMMYFUNCTION("""COMPUTED_VALUE"""),44719)</f>
        <v>44719</v>
      </c>
      <c r="D32" s="1">
        <f ca="1">IFERROR(__xludf.DUMMYFUNCTION("""COMPUTED_VALUE"""),202)</f>
        <v>202</v>
      </c>
      <c r="E32" s="1">
        <f ca="1">IFERROR(__xludf.DUMMYFUNCTION("""COMPUTED_VALUE"""),20)</f>
        <v>20</v>
      </c>
      <c r="F32" s="1" t="str">
        <f ca="1">IFERROR(__xludf.DUMMYFUNCTION("""COMPUTED_VALUE"""),"NYK")</f>
        <v>NYK</v>
      </c>
      <c r="G32" s="1">
        <f ca="1">IFERROR(__xludf.DUMMYFUNCTION("""COMPUTED_VALUE"""),72)</f>
        <v>72</v>
      </c>
      <c r="H32" s="1">
        <f ca="1">IFERROR(__xludf.DUMMYFUNCTION("""COMPUTED_VALUE"""),1)</f>
        <v>1</v>
      </c>
      <c r="I32" s="1" t="str">
        <f ca="1">IFERROR(__xludf.DUMMYFUNCTION("""COMPUTED_VALUE"""),"Duke")</f>
        <v>Duke</v>
      </c>
      <c r="J32" s="1" t="str">
        <f ca="1">IFERROR(__xludf.DUMMYFUNCTION("""COMPUTED_VALUE"""),"2019 Rnd 1 Pick 3")</f>
        <v>2019 Rnd 1 Pick 3</v>
      </c>
      <c r="K32" s="1" t="str">
        <f ca="1">IFERROR(__xludf.DUMMYFUNCTION("""COMPUTED_VALUE"""),"Canada")</f>
        <v>Canada</v>
      </c>
    </row>
    <row r="33" spans="1:11" ht="15.75" customHeight="1" x14ac:dyDescent="0.15">
      <c r="A33" s="1" t="str">
        <f ca="1">IFERROR(__xludf.DUMMYFUNCTION("""COMPUTED_VALUE"""),"Will Barton")</f>
        <v>Will Barton</v>
      </c>
      <c r="B33" s="1" t="str">
        <f ca="1">IFERROR(__xludf.DUMMYFUNCTION("""COMPUTED_VALUE"""),"GF")</f>
        <v>GF</v>
      </c>
      <c r="C33" s="2">
        <f ca="1">IFERROR(__xludf.DUMMYFUNCTION("""COMPUTED_VALUE"""),44717)</f>
        <v>44717</v>
      </c>
      <c r="D33" s="1">
        <f ca="1">IFERROR(__xludf.DUMMYFUNCTION("""COMPUTED_VALUE"""),181)</f>
        <v>181</v>
      </c>
      <c r="E33" s="1">
        <f ca="1">IFERROR(__xludf.DUMMYFUNCTION("""COMPUTED_VALUE"""),30)</f>
        <v>30</v>
      </c>
      <c r="F33" s="1" t="str">
        <f ca="1">IFERROR(__xludf.DUMMYFUNCTION("""COMPUTED_VALUE"""),"DEN")</f>
        <v>DEN</v>
      </c>
      <c r="G33" s="1">
        <f ca="1">IFERROR(__xludf.DUMMYFUNCTION("""COMPUTED_VALUE"""),56)</f>
        <v>56</v>
      </c>
      <c r="H33" s="1">
        <f ca="1">IFERROR(__xludf.DUMMYFUNCTION("""COMPUTED_VALUE"""),8)</f>
        <v>8</v>
      </c>
      <c r="I33" s="1" t="str">
        <f ca="1">IFERROR(__xludf.DUMMYFUNCTION("""COMPUTED_VALUE"""),"Memphis")</f>
        <v>Memphis</v>
      </c>
      <c r="J33" s="1" t="str">
        <f ca="1">IFERROR(__xludf.DUMMYFUNCTION("""COMPUTED_VALUE"""),"2012 Rnd 2 Pick 10")</f>
        <v>2012 Rnd 2 Pick 10</v>
      </c>
      <c r="K33" s="1" t="str">
        <f ca="1">IFERROR(__xludf.DUMMYFUNCTION("""COMPUTED_VALUE"""),"United States")</f>
        <v>United States</v>
      </c>
    </row>
    <row r="34" spans="1:11" ht="15.75" customHeight="1" x14ac:dyDescent="0.15">
      <c r="A34" s="1" t="str">
        <f ca="1">IFERROR(__xludf.DUMMYFUNCTION("""COMPUTED_VALUE"""),"Keita Bates-Diop")</f>
        <v>Keita Bates-Diop</v>
      </c>
      <c r="B34" s="1" t="str">
        <f ca="1">IFERROR(__xludf.DUMMYFUNCTION("""COMPUTED_VALUE"""),"SF")</f>
        <v>SF</v>
      </c>
      <c r="C34" s="2">
        <f ca="1">IFERROR(__xludf.DUMMYFUNCTION("""COMPUTED_VALUE"""),44720)</f>
        <v>44720</v>
      </c>
      <c r="D34" s="1">
        <f ca="1">IFERROR(__xludf.DUMMYFUNCTION("""COMPUTED_VALUE"""),230)</f>
        <v>230</v>
      </c>
      <c r="E34" s="1">
        <f ca="1">IFERROR(__xludf.DUMMYFUNCTION("""COMPUTED_VALUE"""),25)</f>
        <v>25</v>
      </c>
      <c r="F34" s="1" t="str">
        <f ca="1">IFERROR(__xludf.DUMMYFUNCTION("""COMPUTED_VALUE"""),"SAS")</f>
        <v>SAS</v>
      </c>
      <c r="G34" s="1">
        <f ca="1">IFERROR(__xludf.DUMMYFUNCTION("""COMPUTED_VALUE"""),30)</f>
        <v>30</v>
      </c>
      <c r="H34" s="1">
        <f ca="1">IFERROR(__xludf.DUMMYFUNCTION("""COMPUTED_VALUE"""),2)</f>
        <v>2</v>
      </c>
      <c r="I34" s="1" t="str">
        <f ca="1">IFERROR(__xludf.DUMMYFUNCTION("""COMPUTED_VALUE"""),"Ohio State")</f>
        <v>Ohio State</v>
      </c>
      <c r="J34" s="1" t="str">
        <f ca="1">IFERROR(__xludf.DUMMYFUNCTION("""COMPUTED_VALUE"""),"2018 Rnd 2 Pick 18")</f>
        <v>2018 Rnd 2 Pick 18</v>
      </c>
      <c r="K34" s="1" t="str">
        <f ca="1">IFERROR(__xludf.DUMMYFUNCTION("""COMPUTED_VALUE"""),"United States")</f>
        <v>United States</v>
      </c>
    </row>
    <row r="35" spans="1:11" ht="15.75" customHeight="1" x14ac:dyDescent="0.15">
      <c r="A35" s="1" t="str">
        <f ca="1">IFERROR(__xludf.DUMMYFUNCTION("""COMPUTED_VALUE"""),"Nicolas Batum")</f>
        <v>Nicolas Batum</v>
      </c>
      <c r="B35" s="1" t="str">
        <f ca="1">IFERROR(__xludf.DUMMYFUNCTION("""COMPUTED_VALUE"""),"F")</f>
        <v>F</v>
      </c>
      <c r="C35" s="2">
        <f ca="1">IFERROR(__xludf.DUMMYFUNCTION("""COMPUTED_VALUE"""),44720)</f>
        <v>44720</v>
      </c>
      <c r="D35" s="1">
        <f ca="1">IFERROR(__xludf.DUMMYFUNCTION("""COMPUTED_VALUE"""),230)</f>
        <v>230</v>
      </c>
      <c r="E35" s="1">
        <f ca="1">IFERROR(__xludf.DUMMYFUNCTION("""COMPUTED_VALUE"""),32)</f>
        <v>32</v>
      </c>
      <c r="F35" s="1" t="str">
        <f ca="1">IFERROR(__xludf.DUMMYFUNCTION("""COMPUTED_VALUE"""),"LAC")</f>
        <v>LAC</v>
      </c>
      <c r="G35" s="1">
        <f ca="1">IFERROR(__xludf.DUMMYFUNCTION("""COMPUTED_VALUE"""),67)</f>
        <v>67</v>
      </c>
      <c r="H35" s="1">
        <f ca="1">IFERROR(__xludf.DUMMYFUNCTION("""COMPUTED_VALUE"""),12)</f>
        <v>12</v>
      </c>
      <c r="I35" s="1" t="str">
        <f ca="1">IFERROR(__xludf.DUMMYFUNCTION("""COMPUTED_VALUE"""),"Le Mans Sarthe Basket (France)")</f>
        <v>Le Mans Sarthe Basket (France)</v>
      </c>
      <c r="J35" s="1" t="str">
        <f ca="1">IFERROR(__xludf.DUMMYFUNCTION("""COMPUTED_VALUE"""),"2008 Rnd 1 Pick 25")</f>
        <v>2008 Rnd 1 Pick 25</v>
      </c>
      <c r="K35" s="1" t="str">
        <f ca="1">IFERROR(__xludf.DUMMYFUNCTION("""COMPUTED_VALUE"""),"France")</f>
        <v>France</v>
      </c>
    </row>
    <row r="36" spans="1:11" ht="15.75" customHeight="1" x14ac:dyDescent="0.15">
      <c r="A36" s="1" t="str">
        <f ca="1">IFERROR(__xludf.DUMMYFUNCTION("""COMPUTED_VALUE"""),"Aron Baynes")</f>
        <v>Aron Baynes</v>
      </c>
      <c r="B36" s="1" t="str">
        <f ca="1">IFERROR(__xludf.DUMMYFUNCTION("""COMPUTED_VALUE"""),"C")</f>
        <v>C</v>
      </c>
      <c r="C36" s="2">
        <f ca="1">IFERROR(__xludf.DUMMYFUNCTION("""COMPUTED_VALUE"""),44722)</f>
        <v>44722</v>
      </c>
      <c r="D36" s="1">
        <f ca="1">IFERROR(__xludf.DUMMYFUNCTION("""COMPUTED_VALUE"""),260)</f>
        <v>260</v>
      </c>
      <c r="E36" s="1">
        <f ca="1">IFERROR(__xludf.DUMMYFUNCTION("""COMPUTED_VALUE"""),34)</f>
        <v>34</v>
      </c>
      <c r="F36" s="1" t="str">
        <f ca="1">IFERROR(__xludf.DUMMYFUNCTION("""COMPUTED_VALUE"""),"TOR")</f>
        <v>TOR</v>
      </c>
      <c r="G36" s="1">
        <f ca="1">IFERROR(__xludf.DUMMYFUNCTION("""COMPUTED_VALUE"""),53)</f>
        <v>53</v>
      </c>
      <c r="H36" s="1">
        <f ca="1">IFERROR(__xludf.DUMMYFUNCTION("""COMPUTED_VALUE"""),8)</f>
        <v>8</v>
      </c>
      <c r="I36" s="1" t="str">
        <f ca="1">IFERROR(__xludf.DUMMYFUNCTION("""COMPUTED_VALUE"""),"Washington State")</f>
        <v>Washington State</v>
      </c>
      <c r="J36" s="1" t="str">
        <f ca="1">IFERROR(__xludf.DUMMYFUNCTION("""COMPUTED_VALUE"""),"2009 NBA Draft, Undrafted")</f>
        <v>2009 NBA Draft, Undrafted</v>
      </c>
      <c r="K36" s="1" t="str">
        <f ca="1">IFERROR(__xludf.DUMMYFUNCTION("""COMPUTED_VALUE"""),"New Zealand
Australia")</f>
        <v>New Zealand
Australia</v>
      </c>
    </row>
    <row r="37" spans="1:11" ht="15.75" customHeight="1" x14ac:dyDescent="0.15">
      <c r="A37" s="1" t="str">
        <f ca="1">IFERROR(__xludf.DUMMYFUNCTION("""COMPUTED_VALUE"""),"Kent Bazemore")</f>
        <v>Kent Bazemore</v>
      </c>
      <c r="B37" s="1" t="str">
        <f ca="1">IFERROR(__xludf.DUMMYFUNCTION("""COMPUTED_VALUE"""),"GF")</f>
        <v>GF</v>
      </c>
      <c r="C37" s="2">
        <f ca="1">IFERROR(__xludf.DUMMYFUNCTION("""COMPUTED_VALUE"""),44716)</f>
        <v>44716</v>
      </c>
      <c r="D37" s="1">
        <f ca="1">IFERROR(__xludf.DUMMYFUNCTION("""COMPUTED_VALUE"""),195)</f>
        <v>195</v>
      </c>
      <c r="E37" s="1">
        <f ca="1">IFERROR(__xludf.DUMMYFUNCTION("""COMPUTED_VALUE"""),31)</f>
        <v>31</v>
      </c>
      <c r="F37" s="1" t="str">
        <f ca="1">IFERROR(__xludf.DUMMYFUNCTION("""COMPUTED_VALUE"""),"GSW")</f>
        <v>GSW</v>
      </c>
      <c r="G37" s="1">
        <f ca="1">IFERROR(__xludf.DUMMYFUNCTION("""COMPUTED_VALUE"""),67)</f>
        <v>67</v>
      </c>
      <c r="H37" s="1">
        <f ca="1">IFERROR(__xludf.DUMMYFUNCTION("""COMPUTED_VALUE"""),8)</f>
        <v>8</v>
      </c>
      <c r="I37" s="1" t="str">
        <f ca="1">IFERROR(__xludf.DUMMYFUNCTION("""COMPUTED_VALUE"""),"Old Dominion")</f>
        <v>Old Dominion</v>
      </c>
      <c r="J37" s="1" t="str">
        <f ca="1">IFERROR(__xludf.DUMMYFUNCTION("""COMPUTED_VALUE"""),"2012 NBA Draft, Undrafted")</f>
        <v>2012 NBA Draft, Undrafted</v>
      </c>
      <c r="K37" s="1" t="str">
        <f ca="1">IFERROR(__xludf.DUMMYFUNCTION("""COMPUTED_VALUE"""),"United States")</f>
        <v>United States</v>
      </c>
    </row>
    <row r="38" spans="1:11" ht="15.75" customHeight="1" x14ac:dyDescent="0.15">
      <c r="A38" s="1" t="str">
        <f ca="1">IFERROR(__xludf.DUMMYFUNCTION("""COMPUTED_VALUE"""),"Darius Bazley")</f>
        <v>Darius Bazley</v>
      </c>
      <c r="B38" s="1" t="str">
        <f ca="1">IFERROR(__xludf.DUMMYFUNCTION("""COMPUTED_VALUE"""),"PF")</f>
        <v>PF</v>
      </c>
      <c r="C38" s="2">
        <f ca="1">IFERROR(__xludf.DUMMYFUNCTION("""COMPUTED_VALUE"""),44720)</f>
        <v>44720</v>
      </c>
      <c r="D38" s="1">
        <f ca="1">IFERROR(__xludf.DUMMYFUNCTION("""COMPUTED_VALUE"""),208)</f>
        <v>208</v>
      </c>
      <c r="E38" s="1">
        <f ca="1">IFERROR(__xludf.DUMMYFUNCTION("""COMPUTED_VALUE"""),20)</f>
        <v>20</v>
      </c>
      <c r="F38" s="1" t="str">
        <f ca="1">IFERROR(__xludf.DUMMYFUNCTION("""COMPUTED_VALUE"""),"OKC")</f>
        <v>OKC</v>
      </c>
      <c r="G38" s="1">
        <f ca="1">IFERROR(__xludf.DUMMYFUNCTION("""COMPUTED_VALUE"""),55)</f>
        <v>55</v>
      </c>
      <c r="H38" s="1">
        <f ca="1">IFERROR(__xludf.DUMMYFUNCTION("""COMPUTED_VALUE"""),1)</f>
        <v>1</v>
      </c>
      <c r="I38" s="1"/>
      <c r="J38" s="1" t="str">
        <f ca="1">IFERROR(__xludf.DUMMYFUNCTION("""COMPUTED_VALUE"""),"2019 Rnd 1 Pick 23")</f>
        <v>2019 Rnd 1 Pick 23</v>
      </c>
      <c r="K38" s="1" t="str">
        <f ca="1">IFERROR(__xludf.DUMMYFUNCTION("""COMPUTED_VALUE"""),"United States")</f>
        <v>United States</v>
      </c>
    </row>
    <row r="39" spans="1:11" ht="15.75" customHeight="1" x14ac:dyDescent="0.15">
      <c r="A39" s="1" t="str">
        <f ca="1">IFERROR(__xludf.DUMMYFUNCTION("""COMPUTED_VALUE"""),"Bradley Beal")</f>
        <v>Bradley Beal</v>
      </c>
      <c r="B39" s="1" t="str">
        <f ca="1">IFERROR(__xludf.DUMMYFUNCTION("""COMPUTED_VALUE"""),"SG")</f>
        <v>SG</v>
      </c>
      <c r="C39" s="2">
        <f ca="1">IFERROR(__xludf.DUMMYFUNCTION("""COMPUTED_VALUE"""),44715)</f>
        <v>44715</v>
      </c>
      <c r="D39" s="1">
        <f ca="1">IFERROR(__xludf.DUMMYFUNCTION("""COMPUTED_VALUE"""),207)</f>
        <v>207</v>
      </c>
      <c r="E39" s="1">
        <f ca="1">IFERROR(__xludf.DUMMYFUNCTION("""COMPUTED_VALUE"""),27)</f>
        <v>27</v>
      </c>
      <c r="F39" s="1" t="str">
        <f ca="1">IFERROR(__xludf.DUMMYFUNCTION("""COMPUTED_VALUE"""),"WAS")</f>
        <v>WAS</v>
      </c>
      <c r="G39" s="1">
        <f ca="1">IFERROR(__xludf.DUMMYFUNCTION("""COMPUTED_VALUE"""),60)</f>
        <v>60</v>
      </c>
      <c r="H39" s="1">
        <f ca="1">IFERROR(__xludf.DUMMYFUNCTION("""COMPUTED_VALUE"""),8)</f>
        <v>8</v>
      </c>
      <c r="I39" s="1" t="str">
        <f ca="1">IFERROR(__xludf.DUMMYFUNCTION("""COMPUTED_VALUE"""),"Florida")</f>
        <v>Florida</v>
      </c>
      <c r="J39" s="1" t="str">
        <f ca="1">IFERROR(__xludf.DUMMYFUNCTION("""COMPUTED_VALUE"""),"2012 Rnd 1 Pick 3")</f>
        <v>2012 Rnd 1 Pick 3</v>
      </c>
      <c r="K39" s="1" t="str">
        <f ca="1">IFERROR(__xludf.DUMMYFUNCTION("""COMPUTED_VALUE"""),"United States")</f>
        <v>United States</v>
      </c>
    </row>
    <row r="40" spans="1:11" ht="15.75" customHeight="1" x14ac:dyDescent="0.15">
      <c r="A40" s="1" t="str">
        <f ca="1">IFERROR(__xludf.DUMMYFUNCTION("""COMPUTED_VALUE"""),"Malik Beasley")</f>
        <v>Malik Beasley</v>
      </c>
      <c r="B40" s="1" t="str">
        <f ca="1">IFERROR(__xludf.DUMMYFUNCTION("""COMPUTED_VALUE"""),"SG")</f>
        <v>SG</v>
      </c>
      <c r="C40" s="2">
        <f ca="1">IFERROR(__xludf.DUMMYFUNCTION("""COMPUTED_VALUE"""),44716)</f>
        <v>44716</v>
      </c>
      <c r="D40" s="1">
        <f ca="1">IFERROR(__xludf.DUMMYFUNCTION("""COMPUTED_VALUE"""),196)</f>
        <v>196</v>
      </c>
      <c r="E40" s="1">
        <f ca="1">IFERROR(__xludf.DUMMYFUNCTION("""COMPUTED_VALUE"""),24)</f>
        <v>24</v>
      </c>
      <c r="F40" s="1" t="str">
        <f ca="1">IFERROR(__xludf.DUMMYFUNCTION("""COMPUTED_VALUE"""),"MIN")</f>
        <v>MIN</v>
      </c>
      <c r="G40" s="1">
        <f ca="1">IFERROR(__xludf.DUMMYFUNCTION("""COMPUTED_VALUE"""),37)</f>
        <v>37</v>
      </c>
      <c r="H40" s="1">
        <f ca="1">IFERROR(__xludf.DUMMYFUNCTION("""COMPUTED_VALUE"""),4)</f>
        <v>4</v>
      </c>
      <c r="I40" s="1" t="str">
        <f ca="1">IFERROR(__xludf.DUMMYFUNCTION("""COMPUTED_VALUE"""),"Florida State")</f>
        <v>Florida State</v>
      </c>
      <c r="J40" s="1" t="str">
        <f ca="1">IFERROR(__xludf.DUMMYFUNCTION("""COMPUTED_VALUE"""),"2016 Rnd 1 Pick 19")</f>
        <v>2016 Rnd 1 Pick 19</v>
      </c>
      <c r="K40" s="1" t="str">
        <f ca="1">IFERROR(__xludf.DUMMYFUNCTION("""COMPUTED_VALUE"""),"United States")</f>
        <v>United States</v>
      </c>
    </row>
    <row r="41" spans="1:11" ht="15.75" customHeight="1" x14ac:dyDescent="0.15">
      <c r="A41" s="1" t="str">
        <f ca="1">IFERROR(__xludf.DUMMYFUNCTION("""COMPUTED_VALUE"""),"Jordan Bell")</f>
        <v>Jordan Bell</v>
      </c>
      <c r="B41" s="1" t="str">
        <f ca="1">IFERROR(__xludf.DUMMYFUNCTION("""COMPUTED_VALUE"""),"PF")</f>
        <v>PF</v>
      </c>
      <c r="C41" s="2">
        <f ca="1">IFERROR(__xludf.DUMMYFUNCTION("""COMPUTED_VALUE"""),44720)</f>
        <v>44720</v>
      </c>
      <c r="D41" s="1">
        <f ca="1">IFERROR(__xludf.DUMMYFUNCTION("""COMPUTED_VALUE"""),216)</f>
        <v>216</v>
      </c>
      <c r="E41" s="1">
        <f ca="1">IFERROR(__xludf.DUMMYFUNCTION("""COMPUTED_VALUE"""),26)</f>
        <v>26</v>
      </c>
      <c r="F41" s="1" t="str">
        <f ca="1">IFERROR(__xludf.DUMMYFUNCTION("""COMPUTED_VALUE"""),"GOS, WAS")</f>
        <v>GOS, WAS</v>
      </c>
      <c r="G41" s="1">
        <f ca="1">IFERROR(__xludf.DUMMYFUNCTION("""COMPUTED_VALUE"""),6)</f>
        <v>6</v>
      </c>
      <c r="H41" s="1">
        <f ca="1">IFERROR(__xludf.DUMMYFUNCTION("""COMPUTED_VALUE"""),3)</f>
        <v>3</v>
      </c>
      <c r="I41" s="1" t="str">
        <f ca="1">IFERROR(__xludf.DUMMYFUNCTION("""COMPUTED_VALUE"""),"Oregon")</f>
        <v>Oregon</v>
      </c>
      <c r="J41" s="1" t="str">
        <f ca="1">IFERROR(__xludf.DUMMYFUNCTION("""COMPUTED_VALUE"""),"2017 Rnd 2 Pick 8")</f>
        <v>2017 Rnd 2 Pick 8</v>
      </c>
      <c r="K41" s="1" t="str">
        <f ca="1">IFERROR(__xludf.DUMMYFUNCTION("""COMPUTED_VALUE"""),"United States")</f>
        <v>United States</v>
      </c>
    </row>
    <row r="42" spans="1:11" ht="15.75" customHeight="1" x14ac:dyDescent="0.15">
      <c r="A42" s="1" t="str">
        <f ca="1">IFERROR(__xludf.DUMMYFUNCTION("""COMPUTED_VALUE"""),"DeAndre' Bembry")</f>
        <v>DeAndre' Bembry</v>
      </c>
      <c r="B42" s="1" t="str">
        <f ca="1">IFERROR(__xludf.DUMMYFUNCTION("""COMPUTED_VALUE"""),"GF")</f>
        <v>GF</v>
      </c>
      <c r="C42" s="2">
        <f ca="1">IFERROR(__xludf.DUMMYFUNCTION("""COMPUTED_VALUE"""),44717)</f>
        <v>44717</v>
      </c>
      <c r="D42" s="1">
        <f ca="1">IFERROR(__xludf.DUMMYFUNCTION("""COMPUTED_VALUE"""),210)</f>
        <v>210</v>
      </c>
      <c r="E42" s="1">
        <f ca="1">IFERROR(__xludf.DUMMYFUNCTION("""COMPUTED_VALUE"""),26)</f>
        <v>26</v>
      </c>
      <c r="F42" s="1" t="str">
        <f ca="1">IFERROR(__xludf.DUMMYFUNCTION("""COMPUTED_VALUE"""),"TOR")</f>
        <v>TOR</v>
      </c>
      <c r="G42" s="1">
        <f ca="1">IFERROR(__xludf.DUMMYFUNCTION("""COMPUTED_VALUE"""),51)</f>
        <v>51</v>
      </c>
      <c r="H42" s="1">
        <f ca="1">IFERROR(__xludf.DUMMYFUNCTION("""COMPUTED_VALUE"""),4)</f>
        <v>4</v>
      </c>
      <c r="I42" s="1" t="str">
        <f ca="1">IFERROR(__xludf.DUMMYFUNCTION("""COMPUTED_VALUE"""),"Saint Joseph's")</f>
        <v>Saint Joseph's</v>
      </c>
      <c r="J42" s="1" t="str">
        <f ca="1">IFERROR(__xludf.DUMMYFUNCTION("""COMPUTED_VALUE"""),"2016 Rnd 1 Pick 21")</f>
        <v>2016 Rnd 1 Pick 21</v>
      </c>
      <c r="K42" s="1" t="str">
        <f ca="1">IFERROR(__xludf.DUMMYFUNCTION("""COMPUTED_VALUE"""),"United States")</f>
        <v>United States</v>
      </c>
    </row>
    <row r="43" spans="1:11" ht="15.75" customHeight="1" x14ac:dyDescent="0.15">
      <c r="A43" s="1" t="str">
        <f ca="1">IFERROR(__xludf.DUMMYFUNCTION("""COMPUTED_VALUE"""),"Davis Bertans")</f>
        <v>Davis Bertans</v>
      </c>
      <c r="B43" s="1" t="str">
        <f ca="1">IFERROR(__xludf.DUMMYFUNCTION("""COMPUTED_VALUE"""),"SF")</f>
        <v>SF</v>
      </c>
      <c r="C43" s="2">
        <f ca="1">IFERROR(__xludf.DUMMYFUNCTION("""COMPUTED_VALUE"""),44722)</f>
        <v>44722</v>
      </c>
      <c r="D43" s="1">
        <f ca="1">IFERROR(__xludf.DUMMYFUNCTION("""COMPUTED_VALUE"""),225)</f>
        <v>225</v>
      </c>
      <c r="E43" s="1">
        <f ca="1">IFERROR(__xludf.DUMMYFUNCTION("""COMPUTED_VALUE"""),28)</f>
        <v>28</v>
      </c>
      <c r="F43" s="1" t="str">
        <f ca="1">IFERROR(__xludf.DUMMYFUNCTION("""COMPUTED_VALUE"""),"WAS")</f>
        <v>WAS</v>
      </c>
      <c r="G43" s="1">
        <f ca="1">IFERROR(__xludf.DUMMYFUNCTION("""COMPUTED_VALUE"""),57)</f>
        <v>57</v>
      </c>
      <c r="H43" s="1">
        <f ca="1">IFERROR(__xludf.DUMMYFUNCTION("""COMPUTED_VALUE"""),4)</f>
        <v>4</v>
      </c>
      <c r="I43" s="1" t="str">
        <f ca="1">IFERROR(__xludf.DUMMYFUNCTION("""COMPUTED_VALUE"""),"Union Olimpija (Slovenia)")</f>
        <v>Union Olimpija (Slovenia)</v>
      </c>
      <c r="J43" s="1" t="str">
        <f ca="1">IFERROR(__xludf.DUMMYFUNCTION("""COMPUTED_VALUE"""),"2011 Rnd 2 Pick 12")</f>
        <v>2011 Rnd 2 Pick 12</v>
      </c>
      <c r="K43" s="1" t="str">
        <f ca="1">IFERROR(__xludf.DUMMYFUNCTION("""COMPUTED_VALUE"""),"Latvia")</f>
        <v>Latvia</v>
      </c>
    </row>
    <row r="44" spans="1:11" ht="15.75" customHeight="1" x14ac:dyDescent="0.15">
      <c r="A44" s="1" t="str">
        <f ca="1">IFERROR(__xludf.DUMMYFUNCTION("""COMPUTED_VALUE"""),"Patrick Beverley")</f>
        <v>Patrick Beverley</v>
      </c>
      <c r="B44" s="1" t="str">
        <f ca="1">IFERROR(__xludf.DUMMYFUNCTION("""COMPUTED_VALUE"""),"PG")</f>
        <v>PG</v>
      </c>
      <c r="C44" s="2">
        <f ca="1">IFERROR(__xludf.DUMMYFUNCTION("""COMPUTED_VALUE"""),44713)</f>
        <v>44713</v>
      </c>
      <c r="D44" s="1">
        <f ca="1">IFERROR(__xludf.DUMMYFUNCTION("""COMPUTED_VALUE"""),180)</f>
        <v>180</v>
      </c>
      <c r="E44" s="1">
        <f ca="1">IFERROR(__xludf.DUMMYFUNCTION("""COMPUTED_VALUE"""),32)</f>
        <v>32</v>
      </c>
      <c r="F44" s="1" t="str">
        <f ca="1">IFERROR(__xludf.DUMMYFUNCTION("""COMPUTED_VALUE"""),"LAC")</f>
        <v>LAC</v>
      </c>
      <c r="G44" s="1">
        <f ca="1">IFERROR(__xludf.DUMMYFUNCTION("""COMPUTED_VALUE"""),37)</f>
        <v>37</v>
      </c>
      <c r="H44" s="1">
        <f ca="1">IFERROR(__xludf.DUMMYFUNCTION("""COMPUTED_VALUE"""),8)</f>
        <v>8</v>
      </c>
      <c r="I44" s="1" t="str">
        <f ca="1">IFERROR(__xludf.DUMMYFUNCTION("""COMPUTED_VALUE"""),"Dnipro Dnipropetrovsk (Ukraine)")</f>
        <v>Dnipro Dnipropetrovsk (Ukraine)</v>
      </c>
      <c r="J44" s="1" t="str">
        <f ca="1">IFERROR(__xludf.DUMMYFUNCTION("""COMPUTED_VALUE"""),"2009 Rnd 2 Pick 12")</f>
        <v>2009 Rnd 2 Pick 12</v>
      </c>
      <c r="K44" s="1" t="str">
        <f ca="1">IFERROR(__xludf.DUMMYFUNCTION("""COMPUTED_VALUE"""),"United States")</f>
        <v>United States</v>
      </c>
    </row>
    <row r="45" spans="1:11" ht="15.75" customHeight="1" x14ac:dyDescent="0.15">
      <c r="A45" s="1" t="str">
        <f ca="1">IFERROR(__xludf.DUMMYFUNCTION("""COMPUTED_VALUE"""),"Saddiq Bey")</f>
        <v>Saddiq Bey</v>
      </c>
      <c r="B45" s="1" t="str">
        <f ca="1">IFERROR(__xludf.DUMMYFUNCTION("""COMPUTED_VALUE"""),"F")</f>
        <v>F</v>
      </c>
      <c r="C45" s="2">
        <f ca="1">IFERROR(__xludf.DUMMYFUNCTION("""COMPUTED_VALUE"""),44720)</f>
        <v>44720</v>
      </c>
      <c r="D45" s="1">
        <f ca="1">IFERROR(__xludf.DUMMYFUNCTION("""COMPUTED_VALUE"""),215)</f>
        <v>215</v>
      </c>
      <c r="E45" s="1">
        <f ca="1">IFERROR(__xludf.DUMMYFUNCTION("""COMPUTED_VALUE"""),21)</f>
        <v>21</v>
      </c>
      <c r="F45" s="1" t="str">
        <f ca="1">IFERROR(__xludf.DUMMYFUNCTION("""COMPUTED_VALUE"""),"DET")</f>
        <v>DET</v>
      </c>
      <c r="G45" s="1">
        <f ca="1">IFERROR(__xludf.DUMMYFUNCTION("""COMPUTED_VALUE"""),70)</f>
        <v>70</v>
      </c>
      <c r="H45" s="1">
        <f ca="1">IFERROR(__xludf.DUMMYFUNCTION("""COMPUTED_VALUE"""),0)</f>
        <v>0</v>
      </c>
      <c r="I45" s="1" t="str">
        <f ca="1">IFERROR(__xludf.DUMMYFUNCTION("""COMPUTED_VALUE"""),"Villanova")</f>
        <v>Villanova</v>
      </c>
      <c r="J45" s="1" t="str">
        <f ca="1">IFERROR(__xludf.DUMMYFUNCTION("""COMPUTED_VALUE"""),"2020 Rnd 1 Pick 19")</f>
        <v>2020 Rnd 1 Pick 19</v>
      </c>
      <c r="K45" s="1" t="str">
        <f ca="1">IFERROR(__xludf.DUMMYFUNCTION("""COMPUTED_VALUE"""),"United States")</f>
        <v>United States</v>
      </c>
    </row>
    <row r="46" spans="1:11" ht="15.75" customHeight="1" x14ac:dyDescent="0.15">
      <c r="A46" s="1" t="str">
        <f ca="1">IFERROR(__xludf.DUMMYFUNCTION("""COMPUTED_VALUE"""),"Tyler Bey")</f>
        <v>Tyler Bey</v>
      </c>
      <c r="B46" s="1" t="str">
        <f ca="1">IFERROR(__xludf.DUMMYFUNCTION("""COMPUTED_VALUE"""),"PF")</f>
        <v>PF</v>
      </c>
      <c r="C46" s="2">
        <f ca="1">IFERROR(__xludf.DUMMYFUNCTION("""COMPUTED_VALUE"""),44719)</f>
        <v>44719</v>
      </c>
      <c r="D46" s="1">
        <f ca="1">IFERROR(__xludf.DUMMYFUNCTION("""COMPUTED_VALUE"""),215)</f>
        <v>215</v>
      </c>
      <c r="E46" s="1">
        <f ca="1">IFERROR(__xludf.DUMMYFUNCTION("""COMPUTED_VALUE"""),23)</f>
        <v>23</v>
      </c>
      <c r="F46" s="1" t="str">
        <f ca="1">IFERROR(__xludf.DUMMYFUNCTION("""COMPUTED_VALUE"""),"DAL")</f>
        <v>DAL</v>
      </c>
      <c r="G46" s="1">
        <f ca="1">IFERROR(__xludf.DUMMYFUNCTION("""COMPUTED_VALUE"""),18)</f>
        <v>18</v>
      </c>
      <c r="H46" s="1">
        <f ca="1">IFERROR(__xludf.DUMMYFUNCTION("""COMPUTED_VALUE"""),0)</f>
        <v>0</v>
      </c>
      <c r="I46" s="1" t="str">
        <f ca="1">IFERROR(__xludf.DUMMYFUNCTION("""COMPUTED_VALUE"""),"Colorado")</f>
        <v>Colorado</v>
      </c>
      <c r="J46" s="1" t="str">
        <f ca="1">IFERROR(__xludf.DUMMYFUNCTION("""COMPUTED_VALUE"""),"2020 Rnd 2 Pick 6")</f>
        <v>2020 Rnd 2 Pick 6</v>
      </c>
      <c r="K46" s="1" t="str">
        <f ca="1">IFERROR(__xludf.DUMMYFUNCTION("""COMPUTED_VALUE"""),"United States")</f>
        <v>United States</v>
      </c>
    </row>
    <row r="47" spans="1:11" ht="15.75" customHeight="1" x14ac:dyDescent="0.15">
      <c r="A47" s="1" t="str">
        <f ca="1">IFERROR(__xludf.DUMMYFUNCTION("""COMPUTED_VALUE"""),"Khem Birch")</f>
        <v>Khem Birch</v>
      </c>
      <c r="B47" s="1" t="str">
        <f ca="1">IFERROR(__xludf.DUMMYFUNCTION("""COMPUTED_VALUE"""),"PF")</f>
        <v>PF</v>
      </c>
      <c r="C47" s="2">
        <f ca="1">IFERROR(__xludf.DUMMYFUNCTION("""COMPUTED_VALUE"""),44721)</f>
        <v>44721</v>
      </c>
      <c r="D47" s="1">
        <f ca="1">IFERROR(__xludf.DUMMYFUNCTION("""COMPUTED_VALUE"""),230)</f>
        <v>230</v>
      </c>
      <c r="E47" s="1">
        <f ca="1">IFERROR(__xludf.DUMMYFUNCTION("""COMPUTED_VALUE"""),28)</f>
        <v>28</v>
      </c>
      <c r="F47" s="1" t="str">
        <f ca="1">IFERROR(__xludf.DUMMYFUNCTION("""COMPUTED_VALUE"""),"ORL, TOR")</f>
        <v>ORL, TOR</v>
      </c>
      <c r="G47" s="1">
        <f ca="1">IFERROR(__xludf.DUMMYFUNCTION("""COMPUTED_VALUE"""),67)</f>
        <v>67</v>
      </c>
      <c r="H47" s="1">
        <f ca="1">IFERROR(__xludf.DUMMYFUNCTION("""COMPUTED_VALUE"""),3)</f>
        <v>3</v>
      </c>
      <c r="I47" s="1" t="str">
        <f ca="1">IFERROR(__xludf.DUMMYFUNCTION("""COMPUTED_VALUE"""),"UNLV")</f>
        <v>UNLV</v>
      </c>
      <c r="J47" s="1" t="str">
        <f ca="1">IFERROR(__xludf.DUMMYFUNCTION("""COMPUTED_VALUE"""),"2014 NBA Draft, Undrafted")</f>
        <v>2014 NBA Draft, Undrafted</v>
      </c>
      <c r="K47" s="1" t="str">
        <f ca="1">IFERROR(__xludf.DUMMYFUNCTION("""COMPUTED_VALUE"""),"Canada")</f>
        <v>Canada</v>
      </c>
    </row>
    <row r="48" spans="1:11" ht="15.75" customHeight="1" x14ac:dyDescent="0.15">
      <c r="A48" s="1" t="str">
        <f ca="1">IFERROR(__xludf.DUMMYFUNCTION("""COMPUTED_VALUE"""),"Goga Bitadze")</f>
        <v>Goga Bitadze</v>
      </c>
      <c r="B48" s="1" t="str">
        <f ca="1">IFERROR(__xludf.DUMMYFUNCTION("""COMPUTED_VALUE"""),"C")</f>
        <v>C</v>
      </c>
      <c r="C48" s="2">
        <f ca="1">IFERROR(__xludf.DUMMYFUNCTION("""COMPUTED_VALUE"""),44723)</f>
        <v>44723</v>
      </c>
      <c r="D48" s="1">
        <f ca="1">IFERROR(__xludf.DUMMYFUNCTION("""COMPUTED_VALUE"""),245)</f>
        <v>245</v>
      </c>
      <c r="E48" s="1">
        <f ca="1">IFERROR(__xludf.DUMMYFUNCTION("""COMPUTED_VALUE"""),21)</f>
        <v>21</v>
      </c>
      <c r="F48" s="1" t="str">
        <f ca="1">IFERROR(__xludf.DUMMYFUNCTION("""COMPUTED_VALUE"""),"IND")</f>
        <v>IND</v>
      </c>
      <c r="G48" s="1">
        <f ca="1">IFERROR(__xludf.DUMMYFUNCTION("""COMPUTED_VALUE"""),45)</f>
        <v>45</v>
      </c>
      <c r="H48" s="1">
        <f ca="1">IFERROR(__xludf.DUMMYFUNCTION("""COMPUTED_VALUE"""),1)</f>
        <v>1</v>
      </c>
      <c r="I48" s="1" t="str">
        <f ca="1">IFERROR(__xludf.DUMMYFUNCTION("""COMPUTED_VALUE"""),"KK Mega Bemax (Serbia)")</f>
        <v>KK Mega Bemax (Serbia)</v>
      </c>
      <c r="J48" s="1" t="str">
        <f ca="1">IFERROR(__xludf.DUMMYFUNCTION("""COMPUTED_VALUE"""),"2019 Rnd 1 Pick 18")</f>
        <v>2019 Rnd 1 Pick 18</v>
      </c>
      <c r="K48" s="1" t="str">
        <f ca="1">IFERROR(__xludf.DUMMYFUNCTION("""COMPUTED_VALUE"""),"Georgia")</f>
        <v>Georgia</v>
      </c>
    </row>
    <row r="49" spans="1:11" ht="15.75" customHeight="1" x14ac:dyDescent="0.15">
      <c r="A49" s="1" t="str">
        <f ca="1">IFERROR(__xludf.DUMMYFUNCTION("""COMPUTED_VALUE"""),"Bismack Biyombo")</f>
        <v>Bismack Biyombo</v>
      </c>
      <c r="B49" s="1" t="str">
        <f ca="1">IFERROR(__xludf.DUMMYFUNCTION("""COMPUTED_VALUE"""),"PF")</f>
        <v>PF</v>
      </c>
      <c r="C49" s="2">
        <f ca="1">IFERROR(__xludf.DUMMYFUNCTION("""COMPUTED_VALUE"""),44721)</f>
        <v>44721</v>
      </c>
      <c r="D49" s="1">
        <f ca="1">IFERROR(__xludf.DUMMYFUNCTION("""COMPUTED_VALUE"""),255)</f>
        <v>255</v>
      </c>
      <c r="E49" s="1">
        <f ca="1">IFERROR(__xludf.DUMMYFUNCTION("""COMPUTED_VALUE"""),28)</f>
        <v>28</v>
      </c>
      <c r="F49" s="1" t="str">
        <f ca="1">IFERROR(__xludf.DUMMYFUNCTION("""COMPUTED_VALUE"""),"CHA")</f>
        <v>CHA</v>
      </c>
      <c r="G49" s="1">
        <f ca="1">IFERROR(__xludf.DUMMYFUNCTION("""COMPUTED_VALUE"""),66)</f>
        <v>66</v>
      </c>
      <c r="H49" s="1">
        <f ca="1">IFERROR(__xludf.DUMMYFUNCTION("""COMPUTED_VALUE"""),9)</f>
        <v>9</v>
      </c>
      <c r="I49" s="1" t="str">
        <f ca="1">IFERROR(__xludf.DUMMYFUNCTION("""COMPUTED_VALUE"""),"Urbas Fuenlabrada (Spain)")</f>
        <v>Urbas Fuenlabrada (Spain)</v>
      </c>
      <c r="J49" s="1" t="str">
        <f ca="1">IFERROR(__xludf.DUMMYFUNCTION("""COMPUTED_VALUE"""),"2011 Rnd 1 Pick 7")</f>
        <v>2011 Rnd 1 Pick 7</v>
      </c>
      <c r="K49" s="1" t="str">
        <f ca="1">IFERROR(__xludf.DUMMYFUNCTION("""COMPUTED_VALUE"""),"Democratic Republic of the Congo")</f>
        <v>Democratic Republic of the Congo</v>
      </c>
    </row>
    <row r="50" spans="1:11" ht="15.75" customHeight="1" x14ac:dyDescent="0.15">
      <c r="A50" s="1" t="str">
        <f ca="1">IFERROR(__xludf.DUMMYFUNCTION("""COMPUTED_VALUE"""),"Nemanja Bjelica")</f>
        <v>Nemanja Bjelica</v>
      </c>
      <c r="B50" s="1" t="str">
        <f ca="1">IFERROR(__xludf.DUMMYFUNCTION("""COMPUTED_VALUE"""),"PF")</f>
        <v>PF</v>
      </c>
      <c r="C50" s="2">
        <f ca="1">IFERROR(__xludf.DUMMYFUNCTION("""COMPUTED_VALUE"""),44722)</f>
        <v>44722</v>
      </c>
      <c r="D50" s="1">
        <f ca="1">IFERROR(__xludf.DUMMYFUNCTION("""COMPUTED_VALUE"""),235)</f>
        <v>235</v>
      </c>
      <c r="E50" s="1">
        <f ca="1">IFERROR(__xludf.DUMMYFUNCTION("""COMPUTED_VALUE"""),32)</f>
        <v>32</v>
      </c>
      <c r="F50" s="1" t="str">
        <f ca="1">IFERROR(__xludf.DUMMYFUNCTION("""COMPUTED_VALUE"""),"MIA, SAC")</f>
        <v>MIA, SAC</v>
      </c>
      <c r="G50" s="1">
        <f ca="1">IFERROR(__xludf.DUMMYFUNCTION("""COMPUTED_VALUE"""),37)</f>
        <v>37</v>
      </c>
      <c r="H50" s="1">
        <f ca="1">IFERROR(__xludf.DUMMYFUNCTION("""COMPUTED_VALUE"""),5)</f>
        <v>5</v>
      </c>
      <c r="I50" s="1" t="str">
        <f ca="1">IFERROR(__xludf.DUMMYFUNCTION("""COMPUTED_VALUE"""),"KK Crvena Zvezda (Serbia)")</f>
        <v>KK Crvena Zvezda (Serbia)</v>
      </c>
      <c r="J50" s="1" t="str">
        <f ca="1">IFERROR(__xludf.DUMMYFUNCTION("""COMPUTED_VALUE"""),"2010 Rnd 2 Pick 5")</f>
        <v>2010 Rnd 2 Pick 5</v>
      </c>
      <c r="K50" s="1" t="str">
        <f ca="1">IFERROR(__xludf.DUMMYFUNCTION("""COMPUTED_VALUE"""),"Serbia")</f>
        <v>Serbia</v>
      </c>
    </row>
    <row r="51" spans="1:11" ht="13" x14ac:dyDescent="0.15">
      <c r="A51" s="1" t="str">
        <f ca="1">IFERROR(__xludf.DUMMYFUNCTION("""COMPUTED_VALUE"""),"Eric Bledsoe")</f>
        <v>Eric Bledsoe</v>
      </c>
      <c r="B51" s="1" t="str">
        <f ca="1">IFERROR(__xludf.DUMMYFUNCTION("""COMPUTED_VALUE"""),"PG")</f>
        <v>PG</v>
      </c>
      <c r="C51" s="2">
        <f ca="1">IFERROR(__xludf.DUMMYFUNCTION("""COMPUTED_VALUE"""),44713)</f>
        <v>44713</v>
      </c>
      <c r="D51" s="1">
        <f ca="1">IFERROR(__xludf.DUMMYFUNCTION("""COMPUTED_VALUE"""),214)</f>
        <v>214</v>
      </c>
      <c r="E51" s="1">
        <f ca="1">IFERROR(__xludf.DUMMYFUNCTION("""COMPUTED_VALUE"""),31)</f>
        <v>31</v>
      </c>
      <c r="F51" s="1" t="str">
        <f ca="1">IFERROR(__xludf.DUMMYFUNCTION("""COMPUTED_VALUE"""),"NOP")</f>
        <v>NOP</v>
      </c>
      <c r="G51" s="1">
        <f ca="1">IFERROR(__xludf.DUMMYFUNCTION("""COMPUTED_VALUE"""),71)</f>
        <v>71</v>
      </c>
      <c r="H51" s="1">
        <f ca="1">IFERROR(__xludf.DUMMYFUNCTION("""COMPUTED_VALUE"""),10)</f>
        <v>10</v>
      </c>
      <c r="I51" s="1" t="str">
        <f ca="1">IFERROR(__xludf.DUMMYFUNCTION("""COMPUTED_VALUE"""),"Kentucky")</f>
        <v>Kentucky</v>
      </c>
      <c r="J51" s="1" t="str">
        <f ca="1">IFERROR(__xludf.DUMMYFUNCTION("""COMPUTED_VALUE"""),"2010 Rnd 1 Pick 18")</f>
        <v>2010 Rnd 1 Pick 18</v>
      </c>
      <c r="K51" s="1" t="str">
        <f ca="1">IFERROR(__xludf.DUMMYFUNCTION("""COMPUTED_VALUE"""),"United States")</f>
        <v>United States</v>
      </c>
    </row>
    <row r="52" spans="1:11" ht="13" x14ac:dyDescent="0.15">
      <c r="A52" s="1" t="str">
        <f ca="1">IFERROR(__xludf.DUMMYFUNCTION("""COMPUTED_VALUE"""),"Keljin Blevins")</f>
        <v>Keljin Blevins</v>
      </c>
      <c r="B52" s="1" t="str">
        <f ca="1">IFERROR(__xludf.DUMMYFUNCTION("""COMPUTED_VALUE"""),"G")</f>
        <v>G</v>
      </c>
      <c r="C52" s="2">
        <f ca="1">IFERROR(__xludf.DUMMYFUNCTION("""COMPUTED_VALUE"""),44716)</f>
        <v>44716</v>
      </c>
      <c r="D52" s="1">
        <f ca="1">IFERROR(__xludf.DUMMYFUNCTION("""COMPUTED_VALUE"""),200)</f>
        <v>200</v>
      </c>
      <c r="E52" s="1">
        <f ca="1">IFERROR(__xludf.DUMMYFUNCTION("""COMPUTED_VALUE"""),25)</f>
        <v>25</v>
      </c>
      <c r="F52" s="1" t="str">
        <f ca="1">IFERROR(__xludf.DUMMYFUNCTION("""COMPUTED_VALUE"""),"POR")</f>
        <v>POR</v>
      </c>
      <c r="G52" s="1">
        <f ca="1">IFERROR(__xludf.DUMMYFUNCTION("""COMPUTED_VALUE"""),17)</f>
        <v>17</v>
      </c>
      <c r="H52" s="1">
        <f ca="1">IFERROR(__xludf.DUMMYFUNCTION("""COMPUTED_VALUE"""),0)</f>
        <v>0</v>
      </c>
      <c r="I52" s="1" t="str">
        <f ca="1">IFERROR(__xludf.DUMMYFUNCTION("""COMPUTED_VALUE"""),"Montana State")</f>
        <v>Montana State</v>
      </c>
      <c r="J52" s="1" t="str">
        <f ca="1">IFERROR(__xludf.DUMMYFUNCTION("""COMPUTED_VALUE"""),"2019 NBA Draft, Undrafted")</f>
        <v>2019 NBA Draft, Undrafted</v>
      </c>
      <c r="K52" s="1" t="str">
        <f ca="1">IFERROR(__xludf.DUMMYFUNCTION("""COMPUTED_VALUE"""),"United States")</f>
        <v>United States</v>
      </c>
    </row>
    <row r="53" spans="1:11" ht="13" x14ac:dyDescent="0.15">
      <c r="A53" s="1" t="str">
        <f ca="1">IFERROR(__xludf.DUMMYFUNCTION("""COMPUTED_VALUE"""),"Bogdan Bogdanovic")</f>
        <v>Bogdan Bogdanovic</v>
      </c>
      <c r="B53" s="1" t="str">
        <f ca="1">IFERROR(__xludf.DUMMYFUNCTION("""COMPUTED_VALUE"""),"SG")</f>
        <v>SG</v>
      </c>
      <c r="C53" s="2">
        <f ca="1">IFERROR(__xludf.DUMMYFUNCTION("""COMPUTED_VALUE"""),44718)</f>
        <v>44718</v>
      </c>
      <c r="D53" s="1">
        <f ca="1">IFERROR(__xludf.DUMMYFUNCTION("""COMPUTED_VALUE"""),220)</f>
        <v>220</v>
      </c>
      <c r="E53" s="1">
        <f ca="1">IFERROR(__xludf.DUMMYFUNCTION("""COMPUTED_VALUE"""),28)</f>
        <v>28</v>
      </c>
      <c r="F53" s="1" t="str">
        <f ca="1">IFERROR(__xludf.DUMMYFUNCTION("""COMPUTED_VALUE"""),"ATL")</f>
        <v>ATL</v>
      </c>
      <c r="G53" s="1">
        <f ca="1">IFERROR(__xludf.DUMMYFUNCTION("""COMPUTED_VALUE"""),44)</f>
        <v>44</v>
      </c>
      <c r="H53" s="1">
        <f ca="1">IFERROR(__xludf.DUMMYFUNCTION("""COMPUTED_VALUE"""),3)</f>
        <v>3</v>
      </c>
      <c r="I53" s="1" t="str">
        <f ca="1">IFERROR(__xludf.DUMMYFUNCTION("""COMPUTED_VALUE"""),"KK Partizan (Serbia)")</f>
        <v>KK Partizan (Serbia)</v>
      </c>
      <c r="J53" s="1" t="str">
        <f ca="1">IFERROR(__xludf.DUMMYFUNCTION("""COMPUTED_VALUE"""),"2014 Rnd 1 Pick 27")</f>
        <v>2014 Rnd 1 Pick 27</v>
      </c>
      <c r="K53" s="1" t="str">
        <f ca="1">IFERROR(__xludf.DUMMYFUNCTION("""COMPUTED_VALUE"""),"Serbia")</f>
        <v>Serbia</v>
      </c>
    </row>
    <row r="54" spans="1:11" ht="13" x14ac:dyDescent="0.15">
      <c r="A54" s="1" t="str">
        <f ca="1">IFERROR(__xludf.DUMMYFUNCTION("""COMPUTED_VALUE"""),"Bojan Bogdanovic")</f>
        <v>Bojan Bogdanovic</v>
      </c>
      <c r="B54" s="1" t="str">
        <f ca="1">IFERROR(__xludf.DUMMYFUNCTION("""COMPUTED_VALUE"""),"F")</f>
        <v>F</v>
      </c>
      <c r="C54" s="2">
        <f ca="1">IFERROR(__xludf.DUMMYFUNCTION("""COMPUTED_VALUE"""),44720)</f>
        <v>44720</v>
      </c>
      <c r="D54" s="1">
        <f ca="1">IFERROR(__xludf.DUMMYFUNCTION("""COMPUTED_VALUE"""),216)</f>
        <v>216</v>
      </c>
      <c r="E54" s="1">
        <f ca="1">IFERROR(__xludf.DUMMYFUNCTION("""COMPUTED_VALUE"""),31)</f>
        <v>31</v>
      </c>
      <c r="F54" s="1" t="str">
        <f ca="1">IFERROR(__xludf.DUMMYFUNCTION("""COMPUTED_VALUE"""),"UTA")</f>
        <v>UTA</v>
      </c>
      <c r="G54" s="1">
        <f ca="1">IFERROR(__xludf.DUMMYFUNCTION("""COMPUTED_VALUE"""),72)</f>
        <v>72</v>
      </c>
      <c r="H54" s="1">
        <f ca="1">IFERROR(__xludf.DUMMYFUNCTION("""COMPUTED_VALUE"""),6)</f>
        <v>6</v>
      </c>
      <c r="I54" s="1" t="str">
        <f ca="1">IFERROR(__xludf.DUMMYFUNCTION("""COMPUTED_VALUE"""),"KK Cibona (Croatia)")</f>
        <v>KK Cibona (Croatia)</v>
      </c>
      <c r="J54" s="1" t="str">
        <f ca="1">IFERROR(__xludf.DUMMYFUNCTION("""COMPUTED_VALUE"""),"2011 Rnd 2 Pick 1")</f>
        <v>2011 Rnd 2 Pick 1</v>
      </c>
      <c r="K54" s="1" t="str">
        <f ca="1">IFERROR(__xludf.DUMMYFUNCTION("""COMPUTED_VALUE"""),"Bosnia and Herzegovina
Croatia")</f>
        <v>Bosnia and Herzegovina
Croatia</v>
      </c>
    </row>
    <row r="55" spans="1:11" ht="13" x14ac:dyDescent="0.15">
      <c r="A55" s="1" t="str">
        <f ca="1">IFERROR(__xludf.DUMMYFUNCTION("""COMPUTED_VALUE"""),"Bol Bol")</f>
        <v>Bol Bol</v>
      </c>
      <c r="B55" s="1" t="str">
        <f ca="1">IFERROR(__xludf.DUMMYFUNCTION("""COMPUTED_VALUE"""),"C")</f>
        <v>C</v>
      </c>
      <c r="C55" s="2">
        <f ca="1">IFERROR(__xludf.DUMMYFUNCTION("""COMPUTED_VALUE"""),44744)</f>
        <v>44744</v>
      </c>
      <c r="D55" s="1">
        <f ca="1">IFERROR(__xludf.DUMMYFUNCTION("""COMPUTED_VALUE"""),209)</f>
        <v>209</v>
      </c>
      <c r="E55" s="1">
        <f ca="1">IFERROR(__xludf.DUMMYFUNCTION("""COMPUTED_VALUE"""),21)</f>
        <v>21</v>
      </c>
      <c r="F55" s="1" t="str">
        <f ca="1">IFERROR(__xludf.DUMMYFUNCTION("""COMPUTED_VALUE"""),"DEN")</f>
        <v>DEN</v>
      </c>
      <c r="G55" s="1">
        <f ca="1">IFERROR(__xludf.DUMMYFUNCTION("""COMPUTED_VALUE"""),32)</f>
        <v>32</v>
      </c>
      <c r="H55" s="1">
        <f ca="1">IFERROR(__xludf.DUMMYFUNCTION("""COMPUTED_VALUE"""),1)</f>
        <v>1</v>
      </c>
      <c r="I55" s="1" t="str">
        <f ca="1">IFERROR(__xludf.DUMMYFUNCTION("""COMPUTED_VALUE"""),"Oregon")</f>
        <v>Oregon</v>
      </c>
      <c r="J55" s="1" t="str">
        <f ca="1">IFERROR(__xludf.DUMMYFUNCTION("""COMPUTED_VALUE"""),"2019 Rnd 2 Pick 14")</f>
        <v>2019 Rnd 2 Pick 14</v>
      </c>
      <c r="K55" s="1" t="str">
        <f ca="1">IFERROR(__xludf.DUMMYFUNCTION("""COMPUTED_VALUE"""),"United States")</f>
        <v>United States</v>
      </c>
    </row>
    <row r="56" spans="1:11" ht="13" x14ac:dyDescent="0.15">
      <c r="A56" s="1" t="str">
        <f ca="1">IFERROR(__xludf.DUMMYFUNCTION("""COMPUTED_VALUE"""),"Marques Bolden")</f>
        <v>Marques Bolden</v>
      </c>
      <c r="B56" s="1" t="str">
        <f ca="1">IFERROR(__xludf.DUMMYFUNCTION("""COMPUTED_VALUE"""),"C")</f>
        <v>C</v>
      </c>
      <c r="C56" s="2">
        <f ca="1">IFERROR(__xludf.DUMMYFUNCTION("""COMPUTED_VALUE"""),44722)</f>
        <v>44722</v>
      </c>
      <c r="D56" s="1">
        <f ca="1">IFERROR(__xludf.DUMMYFUNCTION("""COMPUTED_VALUE"""),249)</f>
        <v>249</v>
      </c>
      <c r="E56" s="1">
        <f ca="1">IFERROR(__xludf.DUMMYFUNCTION("""COMPUTED_VALUE"""),22)</f>
        <v>22</v>
      </c>
      <c r="F56" s="1" t="str">
        <f ca="1">IFERROR(__xludf.DUMMYFUNCTION("""COMPUTED_VALUE"""),"CLE")</f>
        <v>CLE</v>
      </c>
      <c r="G56" s="1">
        <f ca="1">IFERROR(__xludf.DUMMYFUNCTION("""COMPUTED_VALUE"""),6)</f>
        <v>6</v>
      </c>
      <c r="H56" s="1">
        <f ca="1">IFERROR(__xludf.DUMMYFUNCTION("""COMPUTED_VALUE"""),1)</f>
        <v>1</v>
      </c>
      <c r="I56" s="1" t="str">
        <f ca="1">IFERROR(__xludf.DUMMYFUNCTION("""COMPUTED_VALUE"""),"Duke")</f>
        <v>Duke</v>
      </c>
      <c r="J56" s="1" t="str">
        <f ca="1">IFERROR(__xludf.DUMMYFUNCTION("""COMPUTED_VALUE"""),"2019 NBA Draft, Undrafted")</f>
        <v>2019 NBA Draft, Undrafted</v>
      </c>
      <c r="K56" s="1" t="str">
        <f ca="1">IFERROR(__xludf.DUMMYFUNCTION("""COMPUTED_VALUE"""),"United States
Indonesia")</f>
        <v>United States
Indonesia</v>
      </c>
    </row>
    <row r="57" spans="1:11" ht="13" x14ac:dyDescent="0.15">
      <c r="A57" s="1" t="str">
        <f ca="1">IFERROR(__xludf.DUMMYFUNCTION("""COMPUTED_VALUE"""),"Jordan Bone")</f>
        <v>Jordan Bone</v>
      </c>
      <c r="B57" s="1" t="str">
        <f ca="1">IFERROR(__xludf.DUMMYFUNCTION("""COMPUTED_VALUE"""),"SG")</f>
        <v>SG</v>
      </c>
      <c r="C57" s="2">
        <f ca="1">IFERROR(__xludf.DUMMYFUNCTION("""COMPUTED_VALUE"""),44714)</f>
        <v>44714</v>
      </c>
      <c r="D57" s="1">
        <f ca="1">IFERROR(__xludf.DUMMYFUNCTION("""COMPUTED_VALUE"""),180)</f>
        <v>180</v>
      </c>
      <c r="E57" s="1">
        <f ca="1">IFERROR(__xludf.DUMMYFUNCTION("""COMPUTED_VALUE"""),23)</f>
        <v>23</v>
      </c>
      <c r="F57" s="1" t="str">
        <f ca="1">IFERROR(__xludf.DUMMYFUNCTION("""COMPUTED_VALUE"""),"ORL")</f>
        <v>ORL</v>
      </c>
      <c r="G57" s="1">
        <f ca="1">IFERROR(__xludf.DUMMYFUNCTION("""COMPUTED_VALUE"""),14)</f>
        <v>14</v>
      </c>
      <c r="H57" s="1">
        <f ca="1">IFERROR(__xludf.DUMMYFUNCTION("""COMPUTED_VALUE"""),1)</f>
        <v>1</v>
      </c>
      <c r="I57" s="1" t="str">
        <f ca="1">IFERROR(__xludf.DUMMYFUNCTION("""COMPUTED_VALUE"""),"Tennessee")</f>
        <v>Tennessee</v>
      </c>
      <c r="J57" s="1" t="str">
        <f ca="1">IFERROR(__xludf.DUMMYFUNCTION("""COMPUTED_VALUE"""),"2019 Rnd 2 Pick 27")</f>
        <v>2019 Rnd 2 Pick 27</v>
      </c>
      <c r="K57" s="1" t="str">
        <f ca="1">IFERROR(__xludf.DUMMYFUNCTION("""COMPUTED_VALUE"""),"United States")</f>
        <v>United States</v>
      </c>
    </row>
    <row r="58" spans="1:11" ht="13" x14ac:dyDescent="0.15">
      <c r="A58" s="1" t="str">
        <f ca="1">IFERROR(__xludf.DUMMYFUNCTION("""COMPUTED_VALUE"""),"Isaac Bonga")</f>
        <v>Isaac Bonga</v>
      </c>
      <c r="B58" s="1" t="str">
        <f ca="1">IFERROR(__xludf.DUMMYFUNCTION("""COMPUTED_VALUE"""),"SG")</f>
        <v>SG</v>
      </c>
      <c r="C58" s="2">
        <f ca="1">IFERROR(__xludf.DUMMYFUNCTION("""COMPUTED_VALUE"""),44720)</f>
        <v>44720</v>
      </c>
      <c r="D58" s="1">
        <f ca="1">IFERROR(__xludf.DUMMYFUNCTION("""COMPUTED_VALUE"""),180)</f>
        <v>180</v>
      </c>
      <c r="E58" s="1">
        <f ca="1">IFERROR(__xludf.DUMMYFUNCTION("""COMPUTED_VALUE"""),21)</f>
        <v>21</v>
      </c>
      <c r="F58" s="1" t="str">
        <f ca="1">IFERROR(__xludf.DUMMYFUNCTION("""COMPUTED_VALUE"""),"WAS")</f>
        <v>WAS</v>
      </c>
      <c r="G58" s="1">
        <f ca="1">IFERROR(__xludf.DUMMYFUNCTION("""COMPUTED_VALUE"""),40)</f>
        <v>40</v>
      </c>
      <c r="H58" s="1">
        <f ca="1">IFERROR(__xludf.DUMMYFUNCTION("""COMPUTED_VALUE"""),2)</f>
        <v>2</v>
      </c>
      <c r="I58" s="1" t="str">
        <f ca="1">IFERROR(__xludf.DUMMYFUNCTION("""COMPUTED_VALUE"""),"Fraport Skyliners (Germany)")</f>
        <v>Fraport Skyliners (Germany)</v>
      </c>
      <c r="J58" s="1" t="str">
        <f ca="1">IFERROR(__xludf.DUMMYFUNCTION("""COMPUTED_VALUE"""),"2018 Rnd 2 Pick 9")</f>
        <v>2018 Rnd 2 Pick 9</v>
      </c>
      <c r="K58" s="1" t="str">
        <f ca="1">IFERROR(__xludf.DUMMYFUNCTION("""COMPUTED_VALUE"""),"Germany")</f>
        <v>Germany</v>
      </c>
    </row>
    <row r="59" spans="1:11" ht="13" x14ac:dyDescent="0.15">
      <c r="A59" s="1" t="str">
        <f ca="1">IFERROR(__xludf.DUMMYFUNCTION("""COMPUTED_VALUE"""),"Devin Booker")</f>
        <v>Devin Booker</v>
      </c>
      <c r="B59" s="1" t="str">
        <f ca="1">IFERROR(__xludf.DUMMYFUNCTION("""COMPUTED_VALUE"""),"SG")</f>
        <v>SG</v>
      </c>
      <c r="C59" s="2">
        <f ca="1">IFERROR(__xludf.DUMMYFUNCTION("""COMPUTED_VALUE"""),44718)</f>
        <v>44718</v>
      </c>
      <c r="D59" s="1">
        <f ca="1">IFERROR(__xludf.DUMMYFUNCTION("""COMPUTED_VALUE"""),206)</f>
        <v>206</v>
      </c>
      <c r="E59" s="1">
        <f ca="1">IFERROR(__xludf.DUMMYFUNCTION("""COMPUTED_VALUE"""),24)</f>
        <v>24</v>
      </c>
      <c r="F59" s="1" t="str">
        <f ca="1">IFERROR(__xludf.DUMMYFUNCTION("""COMPUTED_VALUE"""),"PHX")</f>
        <v>PHX</v>
      </c>
      <c r="G59" s="1">
        <f ca="1">IFERROR(__xludf.DUMMYFUNCTION("""COMPUTED_VALUE"""),67)</f>
        <v>67</v>
      </c>
      <c r="H59" s="1">
        <f ca="1">IFERROR(__xludf.DUMMYFUNCTION("""COMPUTED_VALUE"""),5)</f>
        <v>5</v>
      </c>
      <c r="I59" s="1" t="str">
        <f ca="1">IFERROR(__xludf.DUMMYFUNCTION("""COMPUTED_VALUE"""),"Kentucky")</f>
        <v>Kentucky</v>
      </c>
      <c r="J59" s="1" t="str">
        <f ca="1">IFERROR(__xludf.DUMMYFUNCTION("""COMPUTED_VALUE"""),"2015 Rnd 1 Pick 13")</f>
        <v>2015 Rnd 1 Pick 13</v>
      </c>
      <c r="K59" s="1" t="str">
        <f ca="1">IFERROR(__xludf.DUMMYFUNCTION("""COMPUTED_VALUE"""),"United States")</f>
        <v>United States</v>
      </c>
    </row>
    <row r="60" spans="1:11" ht="13" x14ac:dyDescent="0.15">
      <c r="A60" s="1" t="str">
        <f ca="1">IFERROR(__xludf.DUMMYFUNCTION("""COMPUTED_VALUE"""),"Chris Boucher")</f>
        <v>Chris Boucher</v>
      </c>
      <c r="B60" s="1" t="str">
        <f ca="1">IFERROR(__xludf.DUMMYFUNCTION("""COMPUTED_VALUE"""),"PF")</f>
        <v>PF</v>
      </c>
      <c r="C60" s="2">
        <f ca="1">IFERROR(__xludf.DUMMYFUNCTION("""COMPUTED_VALUE"""),44722)</f>
        <v>44722</v>
      </c>
      <c r="D60" s="1">
        <f ca="1">IFERROR(__xludf.DUMMYFUNCTION("""COMPUTED_VALUE"""),200)</f>
        <v>200</v>
      </c>
      <c r="E60" s="1">
        <f ca="1">IFERROR(__xludf.DUMMYFUNCTION("""COMPUTED_VALUE"""),28)</f>
        <v>28</v>
      </c>
      <c r="F60" s="1" t="str">
        <f ca="1">IFERROR(__xludf.DUMMYFUNCTION("""COMPUTED_VALUE"""),"TOR")</f>
        <v>TOR</v>
      </c>
      <c r="G60" s="1">
        <f ca="1">IFERROR(__xludf.DUMMYFUNCTION("""COMPUTED_VALUE"""),60)</f>
        <v>60</v>
      </c>
      <c r="H60" s="1">
        <f ca="1">IFERROR(__xludf.DUMMYFUNCTION("""COMPUTED_VALUE"""),3)</f>
        <v>3</v>
      </c>
      <c r="I60" s="1" t="str">
        <f ca="1">IFERROR(__xludf.DUMMYFUNCTION("""COMPUTED_VALUE"""),"Oregon")</f>
        <v>Oregon</v>
      </c>
      <c r="J60" s="1" t="str">
        <f ca="1">IFERROR(__xludf.DUMMYFUNCTION("""COMPUTED_VALUE"""),"2017 NBA Draft, Undrafted")</f>
        <v>2017 NBA Draft, Undrafted</v>
      </c>
      <c r="K60" s="1" t="str">
        <f ca="1">IFERROR(__xludf.DUMMYFUNCTION("""COMPUTED_VALUE"""),"Saint Lucia
Canada")</f>
        <v>Saint Lucia
Canada</v>
      </c>
    </row>
    <row r="61" spans="1:11" ht="13" x14ac:dyDescent="0.15">
      <c r="A61" s="1" t="str">
        <f ca="1">IFERROR(__xludf.DUMMYFUNCTION("""COMPUTED_VALUE"""),"Brian Bowen II")</f>
        <v>Brian Bowen II</v>
      </c>
      <c r="B61" s="1" t="str">
        <f ca="1">IFERROR(__xludf.DUMMYFUNCTION("""COMPUTED_VALUE"""),"SF")</f>
        <v>SF</v>
      </c>
      <c r="C61" s="2">
        <f ca="1">IFERROR(__xludf.DUMMYFUNCTION("""COMPUTED_VALUE"""),44719)</f>
        <v>44719</v>
      </c>
      <c r="D61" s="1">
        <f ca="1">IFERROR(__xludf.DUMMYFUNCTION("""COMPUTED_VALUE"""),199)</f>
        <v>199</v>
      </c>
      <c r="E61" s="1">
        <f ca="1">IFERROR(__xludf.DUMMYFUNCTION("""COMPUTED_VALUE"""),22)</f>
        <v>22</v>
      </c>
      <c r="F61" s="1" t="str">
        <f ca="1">IFERROR(__xludf.DUMMYFUNCTION("""COMPUTED_VALUE"""),"IND")</f>
        <v>IND</v>
      </c>
      <c r="G61" s="1">
        <f ca="1">IFERROR(__xludf.DUMMYFUNCTION("""COMPUTED_VALUE"""),6)</f>
        <v>6</v>
      </c>
      <c r="H61" s="1">
        <f ca="1">IFERROR(__xludf.DUMMYFUNCTION("""COMPUTED_VALUE"""),1)</f>
        <v>1</v>
      </c>
      <c r="I61" s="1" t="str">
        <f ca="1">IFERROR(__xludf.DUMMYFUNCTION("""COMPUTED_VALUE"""),"Sydney (Australia)")</f>
        <v>Sydney (Australia)</v>
      </c>
      <c r="J61" s="1" t="str">
        <f ca="1">IFERROR(__xludf.DUMMYFUNCTION("""COMPUTED_VALUE"""),"2019 NBA Draft, Undrafted")</f>
        <v>2019 NBA Draft, Undrafted</v>
      </c>
      <c r="K61" s="1" t="str">
        <f ca="1">IFERROR(__xludf.DUMMYFUNCTION("""COMPUTED_VALUE"""),"United States")</f>
        <v>United States</v>
      </c>
    </row>
    <row r="62" spans="1:11" ht="13" x14ac:dyDescent="0.15">
      <c r="A62" s="1" t="str">
        <f ca="1">IFERROR(__xludf.DUMMYFUNCTION("""COMPUTED_VALUE"""),"Avery Bradley")</f>
        <v>Avery Bradley</v>
      </c>
      <c r="B62" s="1" t="str">
        <f ca="1">IFERROR(__xludf.DUMMYFUNCTION("""COMPUTED_VALUE"""),"PG")</f>
        <v>PG</v>
      </c>
      <c r="C62" s="2">
        <f ca="1">IFERROR(__xludf.DUMMYFUNCTION("""COMPUTED_VALUE"""),44715)</f>
        <v>44715</v>
      </c>
      <c r="D62" s="1">
        <f ca="1">IFERROR(__xludf.DUMMYFUNCTION("""COMPUTED_VALUE"""),180)</f>
        <v>180</v>
      </c>
      <c r="E62" s="1">
        <f ca="1">IFERROR(__xludf.DUMMYFUNCTION("""COMPUTED_VALUE"""),30)</f>
        <v>30</v>
      </c>
      <c r="F62" s="1" t="str">
        <f ca="1">IFERROR(__xludf.DUMMYFUNCTION("""COMPUTED_VALUE"""),"HOU, MIA")</f>
        <v>HOU, MIA</v>
      </c>
      <c r="G62" s="1">
        <f ca="1">IFERROR(__xludf.DUMMYFUNCTION("""COMPUTED_VALUE"""),27)</f>
        <v>27</v>
      </c>
      <c r="H62" s="1">
        <f ca="1">IFERROR(__xludf.DUMMYFUNCTION("""COMPUTED_VALUE"""),10)</f>
        <v>10</v>
      </c>
      <c r="I62" s="1" t="str">
        <f ca="1">IFERROR(__xludf.DUMMYFUNCTION("""COMPUTED_VALUE"""),"Texas")</f>
        <v>Texas</v>
      </c>
      <c r="J62" s="1" t="str">
        <f ca="1">IFERROR(__xludf.DUMMYFUNCTION("""COMPUTED_VALUE"""),"2010 Rnd 1 Pick 19")</f>
        <v>2010 Rnd 1 Pick 19</v>
      </c>
      <c r="K62" s="1" t="str">
        <f ca="1">IFERROR(__xludf.DUMMYFUNCTION("""COMPUTED_VALUE"""),"United States")</f>
        <v>United States</v>
      </c>
    </row>
    <row r="63" spans="1:11" ht="13" x14ac:dyDescent="0.15">
      <c r="A63" s="1" t="str">
        <f ca="1">IFERROR(__xludf.DUMMYFUNCTION("""COMPUTED_VALUE"""),"Tony Bradley")</f>
        <v>Tony Bradley</v>
      </c>
      <c r="B63" s="1" t="str">
        <f ca="1">IFERROR(__xludf.DUMMYFUNCTION("""COMPUTED_VALUE"""),"C")</f>
        <v>C</v>
      </c>
      <c r="C63" s="2">
        <f ca="1">IFERROR(__xludf.DUMMYFUNCTION("""COMPUTED_VALUE"""),44723)</f>
        <v>44723</v>
      </c>
      <c r="D63" s="1">
        <f ca="1">IFERROR(__xludf.DUMMYFUNCTION("""COMPUTED_VALUE"""),248)</f>
        <v>248</v>
      </c>
      <c r="E63" s="1">
        <f ca="1">IFERROR(__xludf.DUMMYFUNCTION("""COMPUTED_VALUE"""),23)</f>
        <v>23</v>
      </c>
      <c r="F63" s="1" t="str">
        <f ca="1">IFERROR(__xludf.DUMMYFUNCTION("""COMPUTED_VALUE"""),"OKC, PHL")</f>
        <v>OKC, PHL</v>
      </c>
      <c r="G63" s="1">
        <f ca="1">IFERROR(__xludf.DUMMYFUNCTION("""COMPUTED_VALUE"""),42)</f>
        <v>42</v>
      </c>
      <c r="H63" s="1">
        <f ca="1">IFERROR(__xludf.DUMMYFUNCTION("""COMPUTED_VALUE"""),3)</f>
        <v>3</v>
      </c>
      <c r="I63" s="1" t="str">
        <f ca="1">IFERROR(__xludf.DUMMYFUNCTION("""COMPUTED_VALUE"""),"North Carolina")</f>
        <v>North Carolina</v>
      </c>
      <c r="J63" s="1" t="str">
        <f ca="1">IFERROR(__xludf.DUMMYFUNCTION("""COMPUTED_VALUE"""),"2017 Rnd 1 Pick 28")</f>
        <v>2017 Rnd 1 Pick 28</v>
      </c>
      <c r="K63" s="1" t="str">
        <f ca="1">IFERROR(__xludf.DUMMYFUNCTION("""COMPUTED_VALUE"""),"United States")</f>
        <v>United States</v>
      </c>
    </row>
    <row r="64" spans="1:11" ht="13" x14ac:dyDescent="0.15">
      <c r="A64" s="1" t="str">
        <f ca="1">IFERROR(__xludf.DUMMYFUNCTION("""COMPUTED_VALUE"""),"Jarrell Brantley")</f>
        <v>Jarrell Brantley</v>
      </c>
      <c r="B64" s="1" t="str">
        <f ca="1">IFERROR(__xludf.DUMMYFUNCTION("""COMPUTED_VALUE"""),"SF")</f>
        <v>SF</v>
      </c>
      <c r="C64" s="2">
        <f ca="1">IFERROR(__xludf.DUMMYFUNCTION("""COMPUTED_VALUE"""),44717)</f>
        <v>44717</v>
      </c>
      <c r="D64" s="1">
        <f ca="1">IFERROR(__xludf.DUMMYFUNCTION("""COMPUTED_VALUE"""),250)</f>
        <v>250</v>
      </c>
      <c r="E64" s="1">
        <f ca="1">IFERROR(__xludf.DUMMYFUNCTION("""COMPUTED_VALUE"""),24)</f>
        <v>24</v>
      </c>
      <c r="F64" s="1" t="str">
        <f ca="1">IFERROR(__xludf.DUMMYFUNCTION("""COMPUTED_VALUE"""),"UTA")</f>
        <v>UTA</v>
      </c>
      <c r="G64" s="1">
        <f ca="1">IFERROR(__xludf.DUMMYFUNCTION("""COMPUTED_VALUE"""),28)</f>
        <v>28</v>
      </c>
      <c r="H64" s="1">
        <f ca="1">IFERROR(__xludf.DUMMYFUNCTION("""COMPUTED_VALUE"""),1)</f>
        <v>1</v>
      </c>
      <c r="I64" s="1" t="str">
        <f ca="1">IFERROR(__xludf.DUMMYFUNCTION("""COMPUTED_VALUE"""),"Charleston")</f>
        <v>Charleston</v>
      </c>
      <c r="J64" s="1" t="str">
        <f ca="1">IFERROR(__xludf.DUMMYFUNCTION("""COMPUTED_VALUE"""),"2019 Rnd 2 Pick 20")</f>
        <v>2019 Rnd 2 Pick 20</v>
      </c>
      <c r="K64" s="1" t="str">
        <f ca="1">IFERROR(__xludf.DUMMYFUNCTION("""COMPUTED_VALUE"""),"United States")</f>
        <v>United States</v>
      </c>
    </row>
    <row r="65" spans="1:11" ht="13" x14ac:dyDescent="0.15">
      <c r="A65" s="1" t="str">
        <f ca="1">IFERROR(__xludf.DUMMYFUNCTION("""COMPUTED_VALUE"""),"Ignas Brazdeikis")</f>
        <v>Ignas Brazdeikis</v>
      </c>
      <c r="B65" s="1" t="str">
        <f ca="1">IFERROR(__xludf.DUMMYFUNCTION("""COMPUTED_VALUE"""),"SF")</f>
        <v>SF</v>
      </c>
      <c r="C65" s="2">
        <f ca="1">IFERROR(__xludf.DUMMYFUNCTION("""COMPUTED_VALUE"""),44718)</f>
        <v>44718</v>
      </c>
      <c r="D65" s="1">
        <f ca="1">IFERROR(__xludf.DUMMYFUNCTION("""COMPUTED_VALUE"""),221)</f>
        <v>221</v>
      </c>
      <c r="E65" s="1">
        <f ca="1">IFERROR(__xludf.DUMMYFUNCTION("""COMPUTED_VALUE"""),22)</f>
        <v>22</v>
      </c>
      <c r="F65" s="1" t="str">
        <f ca="1">IFERROR(__xludf.DUMMYFUNCTION("""COMPUTED_VALUE"""),"NYK, ORL, PHL")</f>
        <v>NYK, ORL, PHL</v>
      </c>
      <c r="G65" s="1">
        <f ca="1">IFERROR(__xludf.DUMMYFUNCTION("""COMPUTED_VALUE"""),13)</f>
        <v>13</v>
      </c>
      <c r="H65" s="1">
        <f ca="1">IFERROR(__xludf.DUMMYFUNCTION("""COMPUTED_VALUE"""),1)</f>
        <v>1</v>
      </c>
      <c r="I65" s="1" t="str">
        <f ca="1">IFERROR(__xludf.DUMMYFUNCTION("""COMPUTED_VALUE"""),"Michigan")</f>
        <v>Michigan</v>
      </c>
      <c r="J65" s="1" t="str">
        <f ca="1">IFERROR(__xludf.DUMMYFUNCTION("""COMPUTED_VALUE"""),"2019 Rnd 2 Pick 17")</f>
        <v>2019 Rnd 2 Pick 17</v>
      </c>
      <c r="K65" s="1" t="str">
        <f ca="1">IFERROR(__xludf.DUMMYFUNCTION("""COMPUTED_VALUE"""),"Lithuania
Canada")</f>
        <v>Lithuania
Canada</v>
      </c>
    </row>
    <row r="66" spans="1:11" ht="13" x14ac:dyDescent="0.15">
      <c r="A66" s="1" t="str">
        <f ca="1">IFERROR(__xludf.DUMMYFUNCTION("""COMPUTED_VALUE"""),"Mikal Bridges")</f>
        <v>Mikal Bridges</v>
      </c>
      <c r="B66" s="1" t="str">
        <f ca="1">IFERROR(__xludf.DUMMYFUNCTION("""COMPUTED_VALUE"""),"SG")</f>
        <v>SG</v>
      </c>
      <c r="C66" s="2">
        <f ca="1">IFERROR(__xludf.DUMMYFUNCTION("""COMPUTED_VALUE"""),44719)</f>
        <v>44719</v>
      </c>
      <c r="D66" s="1">
        <f ca="1">IFERROR(__xludf.DUMMYFUNCTION("""COMPUTED_VALUE"""),210)</f>
        <v>210</v>
      </c>
      <c r="E66" s="1">
        <f ca="1">IFERROR(__xludf.DUMMYFUNCTION("""COMPUTED_VALUE"""),24)</f>
        <v>24</v>
      </c>
      <c r="F66" s="1" t="str">
        <f ca="1">IFERROR(__xludf.DUMMYFUNCTION("""COMPUTED_VALUE"""),"PHX")</f>
        <v>PHX</v>
      </c>
      <c r="G66" s="1">
        <f ca="1">IFERROR(__xludf.DUMMYFUNCTION("""COMPUTED_VALUE"""),72)</f>
        <v>72</v>
      </c>
      <c r="H66" s="1">
        <f ca="1">IFERROR(__xludf.DUMMYFUNCTION("""COMPUTED_VALUE"""),2)</f>
        <v>2</v>
      </c>
      <c r="I66" s="1" t="str">
        <f ca="1">IFERROR(__xludf.DUMMYFUNCTION("""COMPUTED_VALUE"""),"Villanova")</f>
        <v>Villanova</v>
      </c>
      <c r="J66" s="1" t="str">
        <f ca="1">IFERROR(__xludf.DUMMYFUNCTION("""COMPUTED_VALUE"""),"2018 Rnd 1 Pick 10")</f>
        <v>2018 Rnd 1 Pick 10</v>
      </c>
      <c r="K66" s="1" t="str">
        <f ca="1">IFERROR(__xludf.DUMMYFUNCTION("""COMPUTED_VALUE"""),"United States")</f>
        <v>United States</v>
      </c>
    </row>
    <row r="67" spans="1:11" ht="13" x14ac:dyDescent="0.15">
      <c r="A67" s="1" t="str">
        <f ca="1">IFERROR(__xludf.DUMMYFUNCTION("""COMPUTED_VALUE"""),"Miles Bridges")</f>
        <v>Miles Bridges</v>
      </c>
      <c r="B67" s="1" t="str">
        <f ca="1">IFERROR(__xludf.DUMMYFUNCTION("""COMPUTED_VALUE"""),"SF")</f>
        <v>SF</v>
      </c>
      <c r="C67" s="2">
        <f ca="1">IFERROR(__xludf.DUMMYFUNCTION("""COMPUTED_VALUE"""),44719)</f>
        <v>44719</v>
      </c>
      <c r="D67" s="1">
        <f ca="1">IFERROR(__xludf.DUMMYFUNCTION("""COMPUTED_VALUE"""),225)</f>
        <v>225</v>
      </c>
      <c r="E67" s="1">
        <f ca="1">IFERROR(__xludf.DUMMYFUNCTION("""COMPUTED_VALUE"""),22)</f>
        <v>22</v>
      </c>
      <c r="F67" s="1" t="str">
        <f ca="1">IFERROR(__xludf.DUMMYFUNCTION("""COMPUTED_VALUE"""),"CHA")</f>
        <v>CHA</v>
      </c>
      <c r="G67" s="1">
        <f ca="1">IFERROR(__xludf.DUMMYFUNCTION("""COMPUTED_VALUE"""),66)</f>
        <v>66</v>
      </c>
      <c r="H67" s="1">
        <f ca="1">IFERROR(__xludf.DUMMYFUNCTION("""COMPUTED_VALUE"""),2)</f>
        <v>2</v>
      </c>
      <c r="I67" s="1" t="str">
        <f ca="1">IFERROR(__xludf.DUMMYFUNCTION("""COMPUTED_VALUE"""),"Michigan State")</f>
        <v>Michigan State</v>
      </c>
      <c r="J67" s="1" t="str">
        <f ca="1">IFERROR(__xludf.DUMMYFUNCTION("""COMPUTED_VALUE"""),"2018 Rnd 1 Pick 12")</f>
        <v>2018 Rnd 1 Pick 12</v>
      </c>
      <c r="K67" s="1" t="str">
        <f ca="1">IFERROR(__xludf.DUMMYFUNCTION("""COMPUTED_VALUE"""),"United States")</f>
        <v>United States</v>
      </c>
    </row>
    <row r="68" spans="1:11" ht="13" x14ac:dyDescent="0.15">
      <c r="A68" s="1" t="str">
        <f ca="1">IFERROR(__xludf.DUMMYFUNCTION("""COMPUTED_VALUE"""),"Amida Brimah")</f>
        <v>Amida Brimah</v>
      </c>
      <c r="B68" s="1" t="str">
        <f ca="1">IFERROR(__xludf.DUMMYFUNCTION("""COMPUTED_VALUE"""),"C")</f>
        <v>C</v>
      </c>
      <c r="C68" s="2">
        <f ca="1">IFERROR(__xludf.DUMMYFUNCTION("""COMPUTED_VALUE"""),44723)</f>
        <v>44723</v>
      </c>
      <c r="D68" s="1">
        <f ca="1">IFERROR(__xludf.DUMMYFUNCTION("""COMPUTED_VALUE"""),230)</f>
        <v>230</v>
      </c>
      <c r="E68" s="1">
        <f ca="1">IFERROR(__xludf.DUMMYFUNCTION("""COMPUTED_VALUE"""),27)</f>
        <v>27</v>
      </c>
      <c r="F68" s="1" t="str">
        <f ca="1">IFERROR(__xludf.DUMMYFUNCTION("""COMPUTED_VALUE"""),"IND")</f>
        <v>IND</v>
      </c>
      <c r="G68" s="1">
        <f ca="1">IFERROR(__xludf.DUMMYFUNCTION("""COMPUTED_VALUE"""),5)</f>
        <v>5</v>
      </c>
      <c r="H68" s="1">
        <f ca="1">IFERROR(__xludf.DUMMYFUNCTION("""COMPUTED_VALUE"""),0)</f>
        <v>0</v>
      </c>
      <c r="I68" s="1" t="str">
        <f ca="1">IFERROR(__xludf.DUMMYFUNCTION("""COMPUTED_VALUE"""),"Connecticut")</f>
        <v>Connecticut</v>
      </c>
      <c r="J68" s="1" t="str">
        <f ca="1">IFERROR(__xludf.DUMMYFUNCTION("""COMPUTED_VALUE"""),"2017 NBA Draft, Undrafted")</f>
        <v>2017 NBA Draft, Undrafted</v>
      </c>
      <c r="K68" s="1" t="str">
        <f ca="1">IFERROR(__xludf.DUMMYFUNCTION("""COMPUTED_VALUE"""),"Ghana")</f>
        <v>Ghana</v>
      </c>
    </row>
    <row r="69" spans="1:11" ht="13" x14ac:dyDescent="0.15">
      <c r="A69" s="1" t="str">
        <f ca="1">IFERROR(__xludf.DUMMYFUNCTION("""COMPUTED_VALUE"""),"Oshae Brissett")</f>
        <v>Oshae Brissett</v>
      </c>
      <c r="B69" s="1" t="str">
        <f ca="1">IFERROR(__xludf.DUMMYFUNCTION("""COMPUTED_VALUE"""),"PF")</f>
        <v>PF</v>
      </c>
      <c r="C69" s="2">
        <f ca="1">IFERROR(__xludf.DUMMYFUNCTION("""COMPUTED_VALUE"""),44719)</f>
        <v>44719</v>
      </c>
      <c r="D69" s="1">
        <f ca="1">IFERROR(__xludf.DUMMYFUNCTION("""COMPUTED_VALUE"""),210)</f>
        <v>210</v>
      </c>
      <c r="E69" s="1">
        <f ca="1">IFERROR(__xludf.DUMMYFUNCTION("""COMPUTED_VALUE"""),22)</f>
        <v>22</v>
      </c>
      <c r="F69" s="1" t="str">
        <f ca="1">IFERROR(__xludf.DUMMYFUNCTION("""COMPUTED_VALUE"""),"IND")</f>
        <v>IND</v>
      </c>
      <c r="G69" s="1">
        <f ca="1">IFERROR(__xludf.DUMMYFUNCTION("""COMPUTED_VALUE"""),21)</f>
        <v>21</v>
      </c>
      <c r="H69" s="1">
        <f ca="1">IFERROR(__xludf.DUMMYFUNCTION("""COMPUTED_VALUE"""),1)</f>
        <v>1</v>
      </c>
      <c r="I69" s="1" t="str">
        <f ca="1">IFERROR(__xludf.DUMMYFUNCTION("""COMPUTED_VALUE"""),"Syracuse")</f>
        <v>Syracuse</v>
      </c>
      <c r="J69" s="1" t="str">
        <f ca="1">IFERROR(__xludf.DUMMYFUNCTION("""COMPUTED_VALUE"""),"2019 NBA Draft, Undrafted")</f>
        <v>2019 NBA Draft, Undrafted</v>
      </c>
      <c r="K69" s="1" t="str">
        <f ca="1">IFERROR(__xludf.DUMMYFUNCTION("""COMPUTED_VALUE"""),"Canada")</f>
        <v>Canada</v>
      </c>
    </row>
    <row r="70" spans="1:11" ht="13" x14ac:dyDescent="0.15">
      <c r="A70" s="1" t="str">
        <f ca="1">IFERROR(__xludf.DUMMYFUNCTION("""COMPUTED_VALUE"""),"Malcolm Brogdon")</f>
        <v>Malcolm Brogdon</v>
      </c>
      <c r="B70" s="1" t="str">
        <f ca="1">IFERROR(__xludf.DUMMYFUNCTION("""COMPUTED_VALUE"""),"SG")</f>
        <v>SG</v>
      </c>
      <c r="C70" s="2">
        <f ca="1">IFERROR(__xludf.DUMMYFUNCTION("""COMPUTED_VALUE"""),44717)</f>
        <v>44717</v>
      </c>
      <c r="D70" s="1">
        <f ca="1">IFERROR(__xludf.DUMMYFUNCTION("""COMPUTED_VALUE"""),229)</f>
        <v>229</v>
      </c>
      <c r="E70" s="1">
        <f ca="1">IFERROR(__xludf.DUMMYFUNCTION("""COMPUTED_VALUE"""),28)</f>
        <v>28</v>
      </c>
      <c r="F70" s="1" t="str">
        <f ca="1">IFERROR(__xludf.DUMMYFUNCTION("""COMPUTED_VALUE"""),"IND")</f>
        <v>IND</v>
      </c>
      <c r="G70" s="1">
        <f ca="1">IFERROR(__xludf.DUMMYFUNCTION("""COMPUTED_VALUE"""),56)</f>
        <v>56</v>
      </c>
      <c r="H70" s="1">
        <f ca="1">IFERROR(__xludf.DUMMYFUNCTION("""COMPUTED_VALUE"""),4)</f>
        <v>4</v>
      </c>
      <c r="I70" s="1" t="str">
        <f ca="1">IFERROR(__xludf.DUMMYFUNCTION("""COMPUTED_VALUE"""),"Virginia")</f>
        <v>Virginia</v>
      </c>
      <c r="J70" s="1" t="str">
        <f ca="1">IFERROR(__xludf.DUMMYFUNCTION("""COMPUTED_VALUE"""),"2016 Rnd 2 Pick 6")</f>
        <v>2016 Rnd 2 Pick 6</v>
      </c>
      <c r="K70" s="1" t="str">
        <f ca="1">IFERROR(__xludf.DUMMYFUNCTION("""COMPUTED_VALUE"""),"United States")</f>
        <v>United States</v>
      </c>
    </row>
    <row r="71" spans="1:11" ht="13" x14ac:dyDescent="0.15">
      <c r="A71" s="1" t="str">
        <f ca="1">IFERROR(__xludf.DUMMYFUNCTION("""COMPUTED_VALUE"""),"Armoni Brooks")</f>
        <v>Armoni Brooks</v>
      </c>
      <c r="B71" s="1" t="str">
        <f ca="1">IFERROR(__xludf.DUMMYFUNCTION("""COMPUTED_VALUE"""),"SG")</f>
        <v>SG</v>
      </c>
      <c r="C71" s="2">
        <f ca="1">IFERROR(__xludf.DUMMYFUNCTION("""COMPUTED_VALUE"""),44715)</f>
        <v>44715</v>
      </c>
      <c r="D71" s="1">
        <f ca="1">IFERROR(__xludf.DUMMYFUNCTION("""COMPUTED_VALUE"""),195)</f>
        <v>195</v>
      </c>
      <c r="E71" s="1">
        <f ca="1">IFERROR(__xludf.DUMMYFUNCTION("""COMPUTED_VALUE"""),22)</f>
        <v>22</v>
      </c>
      <c r="F71" s="1" t="str">
        <f ca="1">IFERROR(__xludf.DUMMYFUNCTION("""COMPUTED_VALUE"""),"HOU")</f>
        <v>HOU</v>
      </c>
      <c r="G71" s="1">
        <f ca="1">IFERROR(__xludf.DUMMYFUNCTION("""COMPUTED_VALUE"""),20)</f>
        <v>20</v>
      </c>
      <c r="H71" s="1">
        <f ca="1">IFERROR(__xludf.DUMMYFUNCTION("""COMPUTED_VALUE"""),0)</f>
        <v>0</v>
      </c>
      <c r="I71" s="1" t="str">
        <f ca="1">IFERROR(__xludf.DUMMYFUNCTION("""COMPUTED_VALUE"""),"Houston")</f>
        <v>Houston</v>
      </c>
      <c r="J71" s="1" t="str">
        <f ca="1">IFERROR(__xludf.DUMMYFUNCTION("""COMPUTED_VALUE"""),"2019 NBA Draft, Undrafted")</f>
        <v>2019 NBA Draft, Undrafted</v>
      </c>
      <c r="K71" s="1" t="str">
        <f ca="1">IFERROR(__xludf.DUMMYFUNCTION("""COMPUTED_VALUE"""),"United States")</f>
        <v>United States</v>
      </c>
    </row>
    <row r="72" spans="1:11" ht="13" x14ac:dyDescent="0.15">
      <c r="A72" s="1" t="str">
        <f ca="1">IFERROR(__xludf.DUMMYFUNCTION("""COMPUTED_VALUE"""),"Dillon Brooks")</f>
        <v>Dillon Brooks</v>
      </c>
      <c r="B72" s="1" t="str">
        <f ca="1">IFERROR(__xludf.DUMMYFUNCTION("""COMPUTED_VALUE"""),"F")</f>
        <v>F</v>
      </c>
      <c r="C72" s="2">
        <f ca="1">IFERROR(__xludf.DUMMYFUNCTION("""COMPUTED_VALUE"""),44718)</f>
        <v>44718</v>
      </c>
      <c r="D72" s="1">
        <f ca="1">IFERROR(__xludf.DUMMYFUNCTION("""COMPUTED_VALUE"""),215)</f>
        <v>215</v>
      </c>
      <c r="E72" s="1">
        <f ca="1">IFERROR(__xludf.DUMMYFUNCTION("""COMPUTED_VALUE"""),25)</f>
        <v>25</v>
      </c>
      <c r="F72" s="1" t="str">
        <f ca="1">IFERROR(__xludf.DUMMYFUNCTION("""COMPUTED_VALUE"""),"MEM")</f>
        <v>MEM</v>
      </c>
      <c r="G72" s="1">
        <f ca="1">IFERROR(__xludf.DUMMYFUNCTION("""COMPUTED_VALUE"""),67)</f>
        <v>67</v>
      </c>
      <c r="H72" s="1">
        <f ca="1">IFERROR(__xludf.DUMMYFUNCTION("""COMPUTED_VALUE"""),3)</f>
        <v>3</v>
      </c>
      <c r="I72" s="1" t="str">
        <f ca="1">IFERROR(__xludf.DUMMYFUNCTION("""COMPUTED_VALUE"""),"Oregon")</f>
        <v>Oregon</v>
      </c>
      <c r="J72" s="1" t="str">
        <f ca="1">IFERROR(__xludf.DUMMYFUNCTION("""COMPUTED_VALUE"""),"2017 Rnd 2 Pick 15")</f>
        <v>2017 Rnd 2 Pick 15</v>
      </c>
      <c r="K72" s="1" t="str">
        <f ca="1">IFERROR(__xludf.DUMMYFUNCTION("""COMPUTED_VALUE"""),"Canada")</f>
        <v>Canada</v>
      </c>
    </row>
    <row r="73" spans="1:11" ht="13" x14ac:dyDescent="0.15">
      <c r="A73" s="1" t="str">
        <f ca="1">IFERROR(__xludf.DUMMYFUNCTION("""COMPUTED_VALUE"""),"Jaylen Brown")</f>
        <v>Jaylen Brown</v>
      </c>
      <c r="B73" s="1" t="str">
        <f ca="1">IFERROR(__xludf.DUMMYFUNCTION("""COMPUTED_VALUE"""),"SF")</f>
        <v>SF</v>
      </c>
      <c r="C73" s="2">
        <f ca="1">IFERROR(__xludf.DUMMYFUNCTION("""COMPUTED_VALUE"""),44718)</f>
        <v>44718</v>
      </c>
      <c r="D73" s="1">
        <f ca="1">IFERROR(__xludf.DUMMYFUNCTION("""COMPUTED_VALUE"""),220)</f>
        <v>220</v>
      </c>
      <c r="E73" s="1">
        <f ca="1">IFERROR(__xludf.DUMMYFUNCTION("""COMPUTED_VALUE"""),24)</f>
        <v>24</v>
      </c>
      <c r="F73" s="1" t="str">
        <f ca="1">IFERROR(__xludf.DUMMYFUNCTION("""COMPUTED_VALUE"""),"BOS")</f>
        <v>BOS</v>
      </c>
      <c r="G73" s="1">
        <f ca="1">IFERROR(__xludf.DUMMYFUNCTION("""COMPUTED_VALUE"""),58)</f>
        <v>58</v>
      </c>
      <c r="H73" s="1">
        <f ca="1">IFERROR(__xludf.DUMMYFUNCTION("""COMPUTED_VALUE"""),4)</f>
        <v>4</v>
      </c>
      <c r="I73" s="1" t="str">
        <f ca="1">IFERROR(__xludf.DUMMYFUNCTION("""COMPUTED_VALUE"""),"California")</f>
        <v>California</v>
      </c>
      <c r="J73" s="1" t="str">
        <f ca="1">IFERROR(__xludf.DUMMYFUNCTION("""COMPUTED_VALUE"""),"2016 Rnd 1 Pick 3")</f>
        <v>2016 Rnd 1 Pick 3</v>
      </c>
      <c r="K73" s="1" t="str">
        <f ca="1">IFERROR(__xludf.DUMMYFUNCTION("""COMPUTED_VALUE"""),"United States")</f>
        <v>United States</v>
      </c>
    </row>
    <row r="74" spans="1:11" ht="13" x14ac:dyDescent="0.15">
      <c r="A74" s="1" t="str">
        <f ca="1">IFERROR(__xludf.DUMMYFUNCTION("""COMPUTED_VALUE"""),"Bruce Brown Jr.")</f>
        <v>Bruce Brown Jr.</v>
      </c>
      <c r="B74" s="1" t="str">
        <f ca="1">IFERROR(__xludf.DUMMYFUNCTION("""COMPUTED_VALUE"""),"SG")</f>
        <v>SG</v>
      </c>
      <c r="C74" s="2">
        <f ca="1">IFERROR(__xludf.DUMMYFUNCTION("""COMPUTED_VALUE"""),44716)</f>
        <v>44716</v>
      </c>
      <c r="D74" s="1">
        <f ca="1">IFERROR(__xludf.DUMMYFUNCTION("""COMPUTED_VALUE"""),202)</f>
        <v>202</v>
      </c>
      <c r="E74" s="1">
        <f ca="1">IFERROR(__xludf.DUMMYFUNCTION("""COMPUTED_VALUE"""),24)</f>
        <v>24</v>
      </c>
      <c r="F74" s="1" t="str">
        <f ca="1">IFERROR(__xludf.DUMMYFUNCTION("""COMPUTED_VALUE"""),"BRK")</f>
        <v>BRK</v>
      </c>
      <c r="G74" s="1">
        <f ca="1">IFERROR(__xludf.DUMMYFUNCTION("""COMPUTED_VALUE"""),65)</f>
        <v>65</v>
      </c>
      <c r="H74" s="1">
        <f ca="1">IFERROR(__xludf.DUMMYFUNCTION("""COMPUTED_VALUE"""),2)</f>
        <v>2</v>
      </c>
      <c r="I74" s="1" t="str">
        <f ca="1">IFERROR(__xludf.DUMMYFUNCTION("""COMPUTED_VALUE"""),"Miami (FL)")</f>
        <v>Miami (FL)</v>
      </c>
      <c r="J74" s="1" t="str">
        <f ca="1">IFERROR(__xludf.DUMMYFUNCTION("""COMPUTED_VALUE"""),"2018 Rnd 2 Pick 12")</f>
        <v>2018 Rnd 2 Pick 12</v>
      </c>
      <c r="K74" s="1" t="str">
        <f ca="1">IFERROR(__xludf.DUMMYFUNCTION("""COMPUTED_VALUE"""),"United States")</f>
        <v>United States</v>
      </c>
    </row>
    <row r="75" spans="1:11" ht="13" x14ac:dyDescent="0.15">
      <c r="A75" s="1" t="str">
        <f ca="1">IFERROR(__xludf.DUMMYFUNCTION("""COMPUTED_VALUE"""),"Charlie Brown Jr.")</f>
        <v>Charlie Brown Jr.</v>
      </c>
      <c r="B75" s="1" t="str">
        <f ca="1">IFERROR(__xludf.DUMMYFUNCTION("""COMPUTED_VALUE"""),"SG")</f>
        <v>SG</v>
      </c>
      <c r="C75" s="2">
        <f ca="1">IFERROR(__xludf.DUMMYFUNCTION("""COMPUTED_VALUE"""),44718)</f>
        <v>44718</v>
      </c>
      <c r="D75" s="1">
        <f ca="1">IFERROR(__xludf.DUMMYFUNCTION("""COMPUTED_VALUE"""),199)</f>
        <v>199</v>
      </c>
      <c r="E75" s="1">
        <f ca="1">IFERROR(__xludf.DUMMYFUNCTION("""COMPUTED_VALUE"""),24)</f>
        <v>24</v>
      </c>
      <c r="F75" s="1" t="str">
        <f ca="1">IFERROR(__xludf.DUMMYFUNCTION("""COMPUTED_VALUE"""),"OKC")</f>
        <v>OKC</v>
      </c>
      <c r="G75" s="1">
        <f ca="1">IFERROR(__xludf.DUMMYFUNCTION("""COMPUTED_VALUE"""),9)</f>
        <v>9</v>
      </c>
      <c r="H75" s="1">
        <f ca="1">IFERROR(__xludf.DUMMYFUNCTION("""COMPUTED_VALUE"""),1)</f>
        <v>1</v>
      </c>
      <c r="I75" s="1" t="str">
        <f ca="1">IFERROR(__xludf.DUMMYFUNCTION("""COMPUTED_VALUE"""),"Saint Joseph's")</f>
        <v>Saint Joseph's</v>
      </c>
      <c r="J75" s="1" t="str">
        <f ca="1">IFERROR(__xludf.DUMMYFUNCTION("""COMPUTED_VALUE"""),"2019 NBA Draft, Undrafted")</f>
        <v>2019 NBA Draft, Undrafted</v>
      </c>
      <c r="K75" s="1" t="str">
        <f ca="1">IFERROR(__xludf.DUMMYFUNCTION("""COMPUTED_VALUE"""),"United States")</f>
        <v>United States</v>
      </c>
    </row>
    <row r="76" spans="1:11" ht="13" x14ac:dyDescent="0.15">
      <c r="A76" s="1" t="str">
        <f ca="1">IFERROR(__xludf.DUMMYFUNCTION("""COMPUTED_VALUE"""),"Troy Brown Jr.")</f>
        <v>Troy Brown Jr.</v>
      </c>
      <c r="B76" s="1" t="str">
        <f ca="1">IFERROR(__xludf.DUMMYFUNCTION("""COMPUTED_VALUE"""),"SF")</f>
        <v>SF</v>
      </c>
      <c r="C76" s="2">
        <f ca="1">IFERROR(__xludf.DUMMYFUNCTION("""COMPUTED_VALUE"""),44718)</f>
        <v>44718</v>
      </c>
      <c r="D76" s="1">
        <f ca="1">IFERROR(__xludf.DUMMYFUNCTION("""COMPUTED_VALUE"""),215)</f>
        <v>215</v>
      </c>
      <c r="E76" s="1">
        <f ca="1">IFERROR(__xludf.DUMMYFUNCTION("""COMPUTED_VALUE"""),21)</f>
        <v>21</v>
      </c>
      <c r="F76" s="1" t="str">
        <f ca="1">IFERROR(__xludf.DUMMYFUNCTION("""COMPUTED_VALUE"""),"CHI, WAS")</f>
        <v>CHI, WAS</v>
      </c>
      <c r="G76" s="1">
        <f ca="1">IFERROR(__xludf.DUMMYFUNCTION("""COMPUTED_VALUE"""),34)</f>
        <v>34</v>
      </c>
      <c r="H76" s="1">
        <f ca="1">IFERROR(__xludf.DUMMYFUNCTION("""COMPUTED_VALUE"""),2)</f>
        <v>2</v>
      </c>
      <c r="I76" s="1" t="str">
        <f ca="1">IFERROR(__xludf.DUMMYFUNCTION("""COMPUTED_VALUE"""),"Oregon")</f>
        <v>Oregon</v>
      </c>
      <c r="J76" s="1" t="str">
        <f ca="1">IFERROR(__xludf.DUMMYFUNCTION("""COMPUTED_VALUE"""),"2018 Rnd 1 Pick 15")</f>
        <v>2018 Rnd 1 Pick 15</v>
      </c>
      <c r="K76" s="1" t="str">
        <f ca="1">IFERROR(__xludf.DUMMYFUNCTION("""COMPUTED_VALUE"""),"United States")</f>
        <v>United States</v>
      </c>
    </row>
    <row r="77" spans="1:11" ht="13" x14ac:dyDescent="0.15">
      <c r="A77" s="1" t="str">
        <f ca="1">IFERROR(__xludf.DUMMYFUNCTION("""COMPUTED_VALUE"""),"Moses Brown")</f>
        <v>Moses Brown</v>
      </c>
      <c r="B77" s="1" t="str">
        <f ca="1">IFERROR(__xludf.DUMMYFUNCTION("""COMPUTED_VALUE"""),"C")</f>
        <v>C</v>
      </c>
      <c r="C77" s="2">
        <f ca="1">IFERROR(__xludf.DUMMYFUNCTION("""COMPUTED_VALUE"""),44743)</f>
        <v>44743</v>
      </c>
      <c r="D77" s="1">
        <f ca="1">IFERROR(__xludf.DUMMYFUNCTION("""COMPUTED_VALUE"""),245)</f>
        <v>245</v>
      </c>
      <c r="E77" s="1">
        <f ca="1">IFERROR(__xludf.DUMMYFUNCTION("""COMPUTED_VALUE"""),21)</f>
        <v>21</v>
      </c>
      <c r="F77" s="1" t="str">
        <f ca="1">IFERROR(__xludf.DUMMYFUNCTION("""COMPUTED_VALUE"""),"OKC")</f>
        <v>OKC</v>
      </c>
      <c r="G77" s="1">
        <f ca="1">IFERROR(__xludf.DUMMYFUNCTION("""COMPUTED_VALUE"""),43)</f>
        <v>43</v>
      </c>
      <c r="H77" s="1">
        <f ca="1">IFERROR(__xludf.DUMMYFUNCTION("""COMPUTED_VALUE"""),1)</f>
        <v>1</v>
      </c>
      <c r="I77" s="1" t="str">
        <f ca="1">IFERROR(__xludf.DUMMYFUNCTION("""COMPUTED_VALUE"""),"UCLA")</f>
        <v>UCLA</v>
      </c>
      <c r="J77" s="1" t="str">
        <f ca="1">IFERROR(__xludf.DUMMYFUNCTION("""COMPUTED_VALUE"""),"2019 NBA Draft, Undrafted")</f>
        <v>2019 NBA Draft, Undrafted</v>
      </c>
      <c r="K77" s="1" t="str">
        <f ca="1">IFERROR(__xludf.DUMMYFUNCTION("""COMPUTED_VALUE"""),"United States")</f>
        <v>United States</v>
      </c>
    </row>
    <row r="78" spans="1:11" ht="13" x14ac:dyDescent="0.15">
      <c r="A78" s="1" t="str">
        <f ca="1">IFERROR(__xludf.DUMMYFUNCTION("""COMPUTED_VALUE"""),"Sterling Brown")</f>
        <v>Sterling Brown</v>
      </c>
      <c r="B78" s="1" t="str">
        <f ca="1">IFERROR(__xludf.DUMMYFUNCTION("""COMPUTED_VALUE"""),"G")</f>
        <v>G</v>
      </c>
      <c r="C78" s="2">
        <f ca="1">IFERROR(__xludf.DUMMYFUNCTION("""COMPUTED_VALUE"""),44717)</f>
        <v>44717</v>
      </c>
      <c r="D78" s="1">
        <f ca="1">IFERROR(__xludf.DUMMYFUNCTION("""COMPUTED_VALUE"""),219)</f>
        <v>219</v>
      </c>
      <c r="E78" s="1">
        <f ca="1">IFERROR(__xludf.DUMMYFUNCTION("""COMPUTED_VALUE"""),26)</f>
        <v>26</v>
      </c>
      <c r="F78" s="1" t="str">
        <f ca="1">IFERROR(__xludf.DUMMYFUNCTION("""COMPUTED_VALUE"""),"HOU")</f>
        <v>HOU</v>
      </c>
      <c r="G78" s="1">
        <f ca="1">IFERROR(__xludf.DUMMYFUNCTION("""COMPUTED_VALUE"""),51)</f>
        <v>51</v>
      </c>
      <c r="H78" s="1">
        <f ca="1">IFERROR(__xludf.DUMMYFUNCTION("""COMPUTED_VALUE"""),3)</f>
        <v>3</v>
      </c>
      <c r="I78" s="1" t="str">
        <f ca="1">IFERROR(__xludf.DUMMYFUNCTION("""COMPUTED_VALUE"""),"Southern Methodist")</f>
        <v>Southern Methodist</v>
      </c>
      <c r="J78" s="1" t="str">
        <f ca="1">IFERROR(__xludf.DUMMYFUNCTION("""COMPUTED_VALUE"""),"2017 Rnd 2 Pick 16")</f>
        <v>2017 Rnd 2 Pick 16</v>
      </c>
      <c r="K78" s="1" t="str">
        <f ca="1">IFERROR(__xludf.DUMMYFUNCTION("""COMPUTED_VALUE"""),"United States")</f>
        <v>United States</v>
      </c>
    </row>
    <row r="79" spans="1:11" ht="13" x14ac:dyDescent="0.15">
      <c r="A79" s="1" t="str">
        <f ca="1">IFERROR(__xludf.DUMMYFUNCTION("""COMPUTED_VALUE"""),"Jalen Brunson")</f>
        <v>Jalen Brunson</v>
      </c>
      <c r="B79" s="1" t="str">
        <f ca="1">IFERROR(__xludf.DUMMYFUNCTION("""COMPUTED_VALUE"""),"PG")</f>
        <v>PG</v>
      </c>
      <c r="C79" s="2">
        <f ca="1">IFERROR(__xludf.DUMMYFUNCTION("""COMPUTED_VALUE"""),44713)</f>
        <v>44713</v>
      </c>
      <c r="D79" s="1">
        <f ca="1">IFERROR(__xludf.DUMMYFUNCTION("""COMPUTED_VALUE"""),190)</f>
        <v>190</v>
      </c>
      <c r="E79" s="1">
        <f ca="1">IFERROR(__xludf.DUMMYFUNCTION("""COMPUTED_VALUE"""),24)</f>
        <v>24</v>
      </c>
      <c r="F79" s="1" t="str">
        <f ca="1">IFERROR(__xludf.DUMMYFUNCTION("""COMPUTED_VALUE"""),"DAL")</f>
        <v>DAL</v>
      </c>
      <c r="G79" s="1">
        <f ca="1">IFERROR(__xludf.DUMMYFUNCTION("""COMPUTED_VALUE"""),68)</f>
        <v>68</v>
      </c>
      <c r="H79" s="1">
        <f ca="1">IFERROR(__xludf.DUMMYFUNCTION("""COMPUTED_VALUE"""),2)</f>
        <v>2</v>
      </c>
      <c r="I79" s="1" t="str">
        <f ca="1">IFERROR(__xludf.DUMMYFUNCTION("""COMPUTED_VALUE"""),"Villanova")</f>
        <v>Villanova</v>
      </c>
      <c r="J79" s="1" t="str">
        <f ca="1">IFERROR(__xludf.DUMMYFUNCTION("""COMPUTED_VALUE"""),"2018 Rnd 2 Pick 3")</f>
        <v>2018 Rnd 2 Pick 3</v>
      </c>
      <c r="K79" s="1" t="str">
        <f ca="1">IFERROR(__xludf.DUMMYFUNCTION("""COMPUTED_VALUE"""),"United States")</f>
        <v>United States</v>
      </c>
    </row>
    <row r="80" spans="1:11" ht="13" x14ac:dyDescent="0.15">
      <c r="A80" s="1" t="str">
        <f ca="1">IFERROR(__xludf.DUMMYFUNCTION("""COMPUTED_VALUE"""),"Elijah Bryant")</f>
        <v>Elijah Bryant</v>
      </c>
      <c r="B80" s="1" t="str">
        <f ca="1">IFERROR(__xludf.DUMMYFUNCTION("""COMPUTED_VALUE"""),"SG")</f>
        <v>SG</v>
      </c>
      <c r="C80" s="2">
        <f ca="1">IFERROR(__xludf.DUMMYFUNCTION("""COMPUTED_VALUE"""),44717)</f>
        <v>44717</v>
      </c>
      <c r="D80" s="1">
        <f ca="1">IFERROR(__xludf.DUMMYFUNCTION("""COMPUTED_VALUE"""),210)</f>
        <v>210</v>
      </c>
      <c r="E80" s="1">
        <f ca="1">IFERROR(__xludf.DUMMYFUNCTION("""COMPUTED_VALUE"""),25)</f>
        <v>25</v>
      </c>
      <c r="F80" s="1" t="str">
        <f ca="1">IFERROR(__xludf.DUMMYFUNCTION("""COMPUTED_VALUE"""),"MIL")</f>
        <v>MIL</v>
      </c>
      <c r="G80" s="1">
        <f ca="1">IFERROR(__xludf.DUMMYFUNCTION("""COMPUTED_VALUE"""),1)</f>
        <v>1</v>
      </c>
      <c r="H80" s="1">
        <f ca="1">IFERROR(__xludf.DUMMYFUNCTION("""COMPUTED_VALUE"""),0)</f>
        <v>0</v>
      </c>
      <c r="I80" s="1" t="str">
        <f ca="1">IFERROR(__xludf.DUMMYFUNCTION("""COMPUTED_VALUE"""),"Brigham Young")</f>
        <v>Brigham Young</v>
      </c>
      <c r="J80" s="1" t="str">
        <f ca="1">IFERROR(__xludf.DUMMYFUNCTION("""COMPUTED_VALUE"""),"2018 NBA Draft, Undrafted")</f>
        <v>2018 NBA Draft, Undrafted</v>
      </c>
      <c r="K80" s="1" t="str">
        <f ca="1">IFERROR(__xludf.DUMMYFUNCTION("""COMPUTED_VALUE"""),"United States")</f>
        <v>United States</v>
      </c>
    </row>
    <row r="81" spans="1:11" ht="13" x14ac:dyDescent="0.15">
      <c r="A81" s="1" t="str">
        <f ca="1">IFERROR(__xludf.DUMMYFUNCTION("""COMPUTED_VALUE"""),"Thomas Bryant")</f>
        <v>Thomas Bryant</v>
      </c>
      <c r="B81" s="1" t="str">
        <f ca="1">IFERROR(__xludf.DUMMYFUNCTION("""COMPUTED_VALUE"""),"C")</f>
        <v>C</v>
      </c>
      <c r="C81" s="2">
        <f ca="1">IFERROR(__xludf.DUMMYFUNCTION("""COMPUTED_VALUE"""),44722)</f>
        <v>44722</v>
      </c>
      <c r="D81" s="1">
        <f ca="1">IFERROR(__xludf.DUMMYFUNCTION("""COMPUTED_VALUE"""),248)</f>
        <v>248</v>
      </c>
      <c r="E81" s="1">
        <f ca="1">IFERROR(__xludf.DUMMYFUNCTION("""COMPUTED_VALUE"""),23)</f>
        <v>23</v>
      </c>
      <c r="F81" s="1" t="str">
        <f ca="1">IFERROR(__xludf.DUMMYFUNCTION("""COMPUTED_VALUE"""),"WAS")</f>
        <v>WAS</v>
      </c>
      <c r="G81" s="1">
        <f ca="1">IFERROR(__xludf.DUMMYFUNCTION("""COMPUTED_VALUE"""),10)</f>
        <v>10</v>
      </c>
      <c r="H81" s="1">
        <f ca="1">IFERROR(__xludf.DUMMYFUNCTION("""COMPUTED_VALUE"""),3)</f>
        <v>3</v>
      </c>
      <c r="I81" s="1" t="str">
        <f ca="1">IFERROR(__xludf.DUMMYFUNCTION("""COMPUTED_VALUE"""),"Indiana")</f>
        <v>Indiana</v>
      </c>
      <c r="J81" s="1" t="str">
        <f ca="1">IFERROR(__xludf.DUMMYFUNCTION("""COMPUTED_VALUE"""),"2017 Rnd 2 Pick 12")</f>
        <v>2017 Rnd 2 Pick 12</v>
      </c>
      <c r="K81" s="1" t="str">
        <f ca="1">IFERROR(__xludf.DUMMYFUNCTION("""COMPUTED_VALUE"""),"United States")</f>
        <v>United States</v>
      </c>
    </row>
    <row r="82" spans="1:11" ht="13" x14ac:dyDescent="0.15">
      <c r="A82" s="1" t="str">
        <f ca="1">IFERROR(__xludf.DUMMYFUNCTION("""COMPUTED_VALUE"""),"Reggie Bullock")</f>
        <v>Reggie Bullock</v>
      </c>
      <c r="B82" s="1" t="str">
        <f ca="1">IFERROR(__xludf.DUMMYFUNCTION("""COMPUTED_VALUE"""),"SG")</f>
        <v>SG</v>
      </c>
      <c r="C82" s="2">
        <f ca="1">IFERROR(__xludf.DUMMYFUNCTION("""COMPUTED_VALUE"""),44719)</f>
        <v>44719</v>
      </c>
      <c r="D82" s="1">
        <f ca="1">IFERROR(__xludf.DUMMYFUNCTION("""COMPUTED_VALUE"""),205)</f>
        <v>205</v>
      </c>
      <c r="E82" s="1">
        <f ca="1">IFERROR(__xludf.DUMMYFUNCTION("""COMPUTED_VALUE"""),29)</f>
        <v>29</v>
      </c>
      <c r="F82" s="1" t="str">
        <f ca="1">IFERROR(__xludf.DUMMYFUNCTION("""COMPUTED_VALUE"""),"NYK")</f>
        <v>NYK</v>
      </c>
      <c r="G82" s="1">
        <f ca="1">IFERROR(__xludf.DUMMYFUNCTION("""COMPUTED_VALUE"""),65)</f>
        <v>65</v>
      </c>
      <c r="H82" s="1">
        <f ca="1">IFERROR(__xludf.DUMMYFUNCTION("""COMPUTED_VALUE"""),7)</f>
        <v>7</v>
      </c>
      <c r="I82" s="1" t="str">
        <f ca="1">IFERROR(__xludf.DUMMYFUNCTION("""COMPUTED_VALUE"""),"North Carolina")</f>
        <v>North Carolina</v>
      </c>
      <c r="J82" s="1" t="str">
        <f ca="1">IFERROR(__xludf.DUMMYFUNCTION("""COMPUTED_VALUE"""),"2013 Rnd 1 Pick 25")</f>
        <v>2013 Rnd 1 Pick 25</v>
      </c>
      <c r="K82" s="1" t="str">
        <f ca="1">IFERROR(__xludf.DUMMYFUNCTION("""COMPUTED_VALUE"""),"United States")</f>
        <v>United States</v>
      </c>
    </row>
    <row r="83" spans="1:11" ht="13" x14ac:dyDescent="0.15">
      <c r="A83" s="1" t="str">
        <f ca="1">IFERROR(__xludf.DUMMYFUNCTION("""COMPUTED_VALUE"""),"Trey Burke")</f>
        <v>Trey Burke</v>
      </c>
      <c r="B83" s="1" t="str">
        <f ca="1">IFERROR(__xludf.DUMMYFUNCTION("""COMPUTED_VALUE"""),"G")</f>
        <v>G</v>
      </c>
      <c r="C83" s="1" t="str">
        <f ca="1">IFERROR(__xludf.DUMMYFUNCTION("""COMPUTED_VALUE"""),"6-0")</f>
        <v>6-0</v>
      </c>
      <c r="D83" s="1">
        <f ca="1">IFERROR(__xludf.DUMMYFUNCTION("""COMPUTED_VALUE"""),185)</f>
        <v>185</v>
      </c>
      <c r="E83" s="1">
        <f ca="1">IFERROR(__xludf.DUMMYFUNCTION("""COMPUTED_VALUE"""),28)</f>
        <v>28</v>
      </c>
      <c r="F83" s="1" t="str">
        <f ca="1">IFERROR(__xludf.DUMMYFUNCTION("""COMPUTED_VALUE"""),"DAL")</f>
        <v>DAL</v>
      </c>
      <c r="G83" s="1">
        <f ca="1">IFERROR(__xludf.DUMMYFUNCTION("""COMPUTED_VALUE"""),62)</f>
        <v>62</v>
      </c>
      <c r="H83" s="1">
        <f ca="1">IFERROR(__xludf.DUMMYFUNCTION("""COMPUTED_VALUE"""),7)</f>
        <v>7</v>
      </c>
      <c r="I83" s="1" t="str">
        <f ca="1">IFERROR(__xludf.DUMMYFUNCTION("""COMPUTED_VALUE"""),"Michigan")</f>
        <v>Michigan</v>
      </c>
      <c r="J83" s="1" t="str">
        <f ca="1">IFERROR(__xludf.DUMMYFUNCTION("""COMPUTED_VALUE"""),"2013 Rnd 1 Pick 9")</f>
        <v>2013 Rnd 1 Pick 9</v>
      </c>
      <c r="K83" s="1" t="str">
        <f ca="1">IFERROR(__xludf.DUMMYFUNCTION("""COMPUTED_VALUE"""),"United States")</f>
        <v>United States</v>
      </c>
    </row>
    <row r="84" spans="1:11" ht="13" x14ac:dyDescent="0.15">
      <c r="A84" s="1" t="str">
        <f ca="1">IFERROR(__xludf.DUMMYFUNCTION("""COMPUTED_VALUE"""),"Alec Burks")</f>
        <v>Alec Burks</v>
      </c>
      <c r="B84" s="1" t="str">
        <f ca="1">IFERROR(__xludf.DUMMYFUNCTION("""COMPUTED_VALUE"""),"SG")</f>
        <v>SG</v>
      </c>
      <c r="C84" s="2">
        <f ca="1">IFERROR(__xludf.DUMMYFUNCTION("""COMPUTED_VALUE"""),44718)</f>
        <v>44718</v>
      </c>
      <c r="D84" s="1">
        <f ca="1">IFERROR(__xludf.DUMMYFUNCTION("""COMPUTED_VALUE"""),214)</f>
        <v>214</v>
      </c>
      <c r="E84" s="1">
        <f ca="1">IFERROR(__xludf.DUMMYFUNCTION("""COMPUTED_VALUE"""),29)</f>
        <v>29</v>
      </c>
      <c r="F84" s="1" t="str">
        <f ca="1">IFERROR(__xludf.DUMMYFUNCTION("""COMPUTED_VALUE"""),"NYK")</f>
        <v>NYK</v>
      </c>
      <c r="G84" s="1">
        <f ca="1">IFERROR(__xludf.DUMMYFUNCTION("""COMPUTED_VALUE"""),49)</f>
        <v>49</v>
      </c>
      <c r="H84" s="1">
        <f ca="1">IFERROR(__xludf.DUMMYFUNCTION("""COMPUTED_VALUE"""),9)</f>
        <v>9</v>
      </c>
      <c r="I84" s="1" t="str">
        <f ca="1">IFERROR(__xludf.DUMMYFUNCTION("""COMPUTED_VALUE"""),"Colorado")</f>
        <v>Colorado</v>
      </c>
      <c r="J84" s="1" t="str">
        <f ca="1">IFERROR(__xludf.DUMMYFUNCTION("""COMPUTED_VALUE"""),"2011 Rnd 1 Pick 12")</f>
        <v>2011 Rnd 1 Pick 12</v>
      </c>
      <c r="K84" s="1" t="str">
        <f ca="1">IFERROR(__xludf.DUMMYFUNCTION("""COMPUTED_VALUE"""),"United States")</f>
        <v>United States</v>
      </c>
    </row>
    <row r="85" spans="1:11" ht="13" x14ac:dyDescent="0.15">
      <c r="A85" s="1" t="str">
        <f ca="1">IFERROR(__xludf.DUMMYFUNCTION("""COMPUTED_VALUE"""),"Jimmy Butler")</f>
        <v>Jimmy Butler</v>
      </c>
      <c r="B85" s="1" t="str">
        <f ca="1">IFERROR(__xludf.DUMMYFUNCTION("""COMPUTED_VALUE"""),"GF")</f>
        <v>GF</v>
      </c>
      <c r="C85" s="2">
        <f ca="1">IFERROR(__xludf.DUMMYFUNCTION("""COMPUTED_VALUE"""),44720)</f>
        <v>44720</v>
      </c>
      <c r="D85" s="1">
        <f ca="1">IFERROR(__xludf.DUMMYFUNCTION("""COMPUTED_VALUE"""),232)</f>
        <v>232</v>
      </c>
      <c r="E85" s="1">
        <f ca="1">IFERROR(__xludf.DUMMYFUNCTION("""COMPUTED_VALUE"""),31)</f>
        <v>31</v>
      </c>
      <c r="F85" s="1" t="str">
        <f ca="1">IFERROR(__xludf.DUMMYFUNCTION("""COMPUTED_VALUE"""),"MIA")</f>
        <v>MIA</v>
      </c>
      <c r="G85" s="1">
        <f ca="1">IFERROR(__xludf.DUMMYFUNCTION("""COMPUTED_VALUE"""),52)</f>
        <v>52</v>
      </c>
      <c r="H85" s="1">
        <f ca="1">IFERROR(__xludf.DUMMYFUNCTION("""COMPUTED_VALUE"""),9)</f>
        <v>9</v>
      </c>
      <c r="I85" s="1" t="str">
        <f ca="1">IFERROR(__xludf.DUMMYFUNCTION("""COMPUTED_VALUE"""),"Marquette")</f>
        <v>Marquette</v>
      </c>
      <c r="J85" s="1" t="str">
        <f ca="1">IFERROR(__xludf.DUMMYFUNCTION("""COMPUTED_VALUE"""),"2011 Rnd 1 Pick 30")</f>
        <v>2011 Rnd 1 Pick 30</v>
      </c>
      <c r="K85" s="1" t="str">
        <f ca="1">IFERROR(__xludf.DUMMYFUNCTION("""COMPUTED_VALUE"""),"United States")</f>
        <v>United States</v>
      </c>
    </row>
    <row r="86" spans="1:11" ht="13" x14ac:dyDescent="0.15">
      <c r="A86" s="1" t="str">
        <f ca="1">IFERROR(__xludf.DUMMYFUNCTION("""COMPUTED_VALUE"""),"Bruno Caboclo")</f>
        <v>Bruno Caboclo</v>
      </c>
      <c r="B86" s="1" t="str">
        <f ca="1">IFERROR(__xludf.DUMMYFUNCTION("""COMPUTED_VALUE"""),"PF")</f>
        <v>PF</v>
      </c>
      <c r="C86" s="2">
        <f ca="1">IFERROR(__xludf.DUMMYFUNCTION("""COMPUTED_VALUE"""),44721)</f>
        <v>44721</v>
      </c>
      <c r="D86" s="1">
        <f ca="1">IFERROR(__xludf.DUMMYFUNCTION("""COMPUTED_VALUE"""),218)</f>
        <v>218</v>
      </c>
      <c r="E86" s="1">
        <f ca="1">IFERROR(__xludf.DUMMYFUNCTION("""COMPUTED_VALUE"""),25)</f>
        <v>25</v>
      </c>
      <c r="F86" s="1" t="str">
        <f ca="1">IFERROR(__xludf.DUMMYFUNCTION("""COMPUTED_VALUE"""),"HOU")</f>
        <v>HOU</v>
      </c>
      <c r="G86" s="1">
        <f ca="1">IFERROR(__xludf.DUMMYFUNCTION("""COMPUTED_VALUE"""),6)</f>
        <v>6</v>
      </c>
      <c r="H86" s="1">
        <f ca="1">IFERROR(__xludf.DUMMYFUNCTION("""COMPUTED_VALUE"""),6)</f>
        <v>6</v>
      </c>
      <c r="I86" s="1" t="str">
        <f ca="1">IFERROR(__xludf.DUMMYFUNCTION("""COMPUTED_VALUE"""),"Pinheiros/Sky (Brazil)")</f>
        <v>Pinheiros/Sky (Brazil)</v>
      </c>
      <c r="J86" s="1" t="str">
        <f ca="1">IFERROR(__xludf.DUMMYFUNCTION("""COMPUTED_VALUE"""),"2014 Rnd 1 Pick 20")</f>
        <v>2014 Rnd 1 Pick 20</v>
      </c>
      <c r="K86" s="1" t="str">
        <f ca="1">IFERROR(__xludf.DUMMYFUNCTION("""COMPUTED_VALUE"""),"Brazil")</f>
        <v>Brazil</v>
      </c>
    </row>
    <row r="87" spans="1:11" ht="13" x14ac:dyDescent="0.15">
      <c r="A87" s="1" t="str">
        <f ca="1">IFERROR(__xludf.DUMMYFUNCTION("""COMPUTED_VALUE"""),"Devontae Cacok")</f>
        <v>Devontae Cacok</v>
      </c>
      <c r="B87" s="1" t="str">
        <f ca="1">IFERROR(__xludf.DUMMYFUNCTION("""COMPUTED_VALUE"""),"PF")</f>
        <v>PF</v>
      </c>
      <c r="C87" s="2">
        <f ca="1">IFERROR(__xludf.DUMMYFUNCTION("""COMPUTED_VALUE"""),44719)</f>
        <v>44719</v>
      </c>
      <c r="D87" s="1">
        <f ca="1">IFERROR(__xludf.DUMMYFUNCTION("""COMPUTED_VALUE"""),240)</f>
        <v>240</v>
      </c>
      <c r="E87" s="1">
        <f ca="1">IFERROR(__xludf.DUMMYFUNCTION("""COMPUTED_VALUE"""),24)</f>
        <v>24</v>
      </c>
      <c r="F87" s="1" t="str">
        <f ca="1">IFERROR(__xludf.DUMMYFUNCTION("""COMPUTED_VALUE"""),"LAL")</f>
        <v>LAL</v>
      </c>
      <c r="G87" s="1">
        <f ca="1">IFERROR(__xludf.DUMMYFUNCTION("""COMPUTED_VALUE"""),20)</f>
        <v>20</v>
      </c>
      <c r="H87" s="1">
        <f ca="1">IFERROR(__xludf.DUMMYFUNCTION("""COMPUTED_VALUE"""),1)</f>
        <v>1</v>
      </c>
      <c r="I87" s="1" t="str">
        <f ca="1">IFERROR(__xludf.DUMMYFUNCTION("""COMPUTED_VALUE"""),"UNC Wilmington")</f>
        <v>UNC Wilmington</v>
      </c>
      <c r="J87" s="1" t="str">
        <f ca="1">IFERROR(__xludf.DUMMYFUNCTION("""COMPUTED_VALUE"""),"2019 NBA Draft, Undrafted")</f>
        <v>2019 NBA Draft, Undrafted</v>
      </c>
      <c r="K87" s="1" t="str">
        <f ca="1">IFERROR(__xludf.DUMMYFUNCTION("""COMPUTED_VALUE"""),"United States")</f>
        <v>United States</v>
      </c>
    </row>
    <row r="88" spans="1:11" ht="13" x14ac:dyDescent="0.15">
      <c r="A88" s="1" t="str">
        <f ca="1">IFERROR(__xludf.DUMMYFUNCTION("""COMPUTED_VALUE"""),"Kentavious Caldwell-Pope")</f>
        <v>Kentavious Caldwell-Pope</v>
      </c>
      <c r="B88" s="1" t="str">
        <f ca="1">IFERROR(__xludf.DUMMYFUNCTION("""COMPUTED_VALUE"""),"SG")</f>
        <v>SG</v>
      </c>
      <c r="C88" s="2">
        <f ca="1">IFERROR(__xludf.DUMMYFUNCTION("""COMPUTED_VALUE"""),44717)</f>
        <v>44717</v>
      </c>
      <c r="D88" s="1">
        <f ca="1">IFERROR(__xludf.DUMMYFUNCTION("""COMPUTED_VALUE"""),204)</f>
        <v>204</v>
      </c>
      <c r="E88" s="1">
        <f ca="1">IFERROR(__xludf.DUMMYFUNCTION("""COMPUTED_VALUE"""),28)</f>
        <v>28</v>
      </c>
      <c r="F88" s="1" t="str">
        <f ca="1">IFERROR(__xludf.DUMMYFUNCTION("""COMPUTED_VALUE"""),"LAL")</f>
        <v>LAL</v>
      </c>
      <c r="G88" s="1">
        <f ca="1">IFERROR(__xludf.DUMMYFUNCTION("""COMPUTED_VALUE"""),67)</f>
        <v>67</v>
      </c>
      <c r="H88" s="1">
        <f ca="1">IFERROR(__xludf.DUMMYFUNCTION("""COMPUTED_VALUE"""),7)</f>
        <v>7</v>
      </c>
      <c r="I88" s="1" t="str">
        <f ca="1">IFERROR(__xludf.DUMMYFUNCTION("""COMPUTED_VALUE"""),"Georgia")</f>
        <v>Georgia</v>
      </c>
      <c r="J88" s="1" t="str">
        <f ca="1">IFERROR(__xludf.DUMMYFUNCTION("""COMPUTED_VALUE"""),"2013 Rnd 1 Pick 8")</f>
        <v>2013 Rnd 1 Pick 8</v>
      </c>
      <c r="K88" s="1" t="str">
        <f ca="1">IFERROR(__xludf.DUMMYFUNCTION("""COMPUTED_VALUE"""),"United States")</f>
        <v>United States</v>
      </c>
    </row>
    <row r="89" spans="1:11" ht="13" x14ac:dyDescent="0.15">
      <c r="A89" s="1" t="str">
        <f ca="1">IFERROR(__xludf.DUMMYFUNCTION("""COMPUTED_VALUE"""),"Facundo Campazzo")</f>
        <v>Facundo Campazzo</v>
      </c>
      <c r="B89" s="1" t="str">
        <f ca="1">IFERROR(__xludf.DUMMYFUNCTION("""COMPUTED_VALUE"""),"PG")</f>
        <v>PG</v>
      </c>
      <c r="C89" s="2">
        <f ca="1">IFERROR(__xludf.DUMMYFUNCTION("""COMPUTED_VALUE"""),44692)</f>
        <v>44692</v>
      </c>
      <c r="D89" s="1">
        <f ca="1">IFERROR(__xludf.DUMMYFUNCTION("""COMPUTED_VALUE"""),165)</f>
        <v>165</v>
      </c>
      <c r="E89" s="1">
        <f ca="1">IFERROR(__xludf.DUMMYFUNCTION("""COMPUTED_VALUE"""),29)</f>
        <v>29</v>
      </c>
      <c r="F89" s="1" t="str">
        <f ca="1">IFERROR(__xludf.DUMMYFUNCTION("""COMPUTED_VALUE"""),"DEN")</f>
        <v>DEN</v>
      </c>
      <c r="G89" s="1">
        <f ca="1">IFERROR(__xludf.DUMMYFUNCTION("""COMPUTED_VALUE"""),65)</f>
        <v>65</v>
      </c>
      <c r="H89" s="1">
        <f ca="1">IFERROR(__xludf.DUMMYFUNCTION("""COMPUTED_VALUE"""),0)</f>
        <v>0</v>
      </c>
      <c r="I89" s="1" t="str">
        <f ca="1">IFERROR(__xludf.DUMMYFUNCTION("""COMPUTED_VALUE"""),"Penarol (Argentina)")</f>
        <v>Penarol (Argentina)</v>
      </c>
      <c r="J89" s="1" t="str">
        <f ca="1">IFERROR(__xludf.DUMMYFUNCTION("""COMPUTED_VALUE"""),"2013 NBA Draft, Undrafted")</f>
        <v>2013 NBA Draft, Undrafted</v>
      </c>
      <c r="K89" s="1" t="str">
        <f ca="1">IFERROR(__xludf.DUMMYFUNCTION("""COMPUTED_VALUE"""),"Argentina")</f>
        <v>Argentina</v>
      </c>
    </row>
    <row r="90" spans="1:11" ht="13" x14ac:dyDescent="0.15">
      <c r="A90" s="1" t="str">
        <f ca="1">IFERROR(__xludf.DUMMYFUNCTION("""COMPUTED_VALUE"""),"Vlatko Cancar")</f>
        <v>Vlatko Cancar</v>
      </c>
      <c r="B90" s="1" t="str">
        <f ca="1">IFERROR(__xludf.DUMMYFUNCTION("""COMPUTED_VALUE"""),"SF")</f>
        <v>SF</v>
      </c>
      <c r="C90" s="2">
        <f ca="1">IFERROR(__xludf.DUMMYFUNCTION("""COMPUTED_VALUE"""),44720)</f>
        <v>44720</v>
      </c>
      <c r="D90" s="1">
        <f ca="1">IFERROR(__xludf.DUMMYFUNCTION("""COMPUTED_VALUE"""),236)</f>
        <v>236</v>
      </c>
      <c r="E90" s="1">
        <f ca="1">IFERROR(__xludf.DUMMYFUNCTION("""COMPUTED_VALUE"""),23)</f>
        <v>23</v>
      </c>
      <c r="F90" s="1" t="str">
        <f ca="1">IFERROR(__xludf.DUMMYFUNCTION("""COMPUTED_VALUE"""),"DEN")</f>
        <v>DEN</v>
      </c>
      <c r="G90" s="1">
        <f ca="1">IFERROR(__xludf.DUMMYFUNCTION("""COMPUTED_VALUE"""),41)</f>
        <v>41</v>
      </c>
      <c r="H90" s="1">
        <f ca="1">IFERROR(__xludf.DUMMYFUNCTION("""COMPUTED_VALUE"""),1)</f>
        <v>1</v>
      </c>
      <c r="I90" s="1" t="str">
        <f ca="1">IFERROR(__xludf.DUMMYFUNCTION("""COMPUTED_VALUE"""),"KK Mega Bemax (Serbia)")</f>
        <v>KK Mega Bemax (Serbia)</v>
      </c>
      <c r="J90" s="1" t="str">
        <f ca="1">IFERROR(__xludf.DUMMYFUNCTION("""COMPUTED_VALUE"""),"2017 Rnd 2 Pick 19")</f>
        <v>2017 Rnd 2 Pick 19</v>
      </c>
      <c r="K90" s="1" t="str">
        <f ca="1">IFERROR(__xludf.DUMMYFUNCTION("""COMPUTED_VALUE"""),"Slovenia")</f>
        <v>Slovenia</v>
      </c>
    </row>
    <row r="91" spans="1:11" ht="13" x14ac:dyDescent="0.15">
      <c r="A91" s="1" t="str">
        <f ca="1">IFERROR(__xludf.DUMMYFUNCTION("""COMPUTED_VALUE"""),"Devin Cannady")</f>
        <v>Devin Cannady</v>
      </c>
      <c r="B91" s="1" t="str">
        <f ca="1">IFERROR(__xludf.DUMMYFUNCTION("""COMPUTED_VALUE"""),"PG")</f>
        <v>PG</v>
      </c>
      <c r="C91" s="2">
        <f ca="1">IFERROR(__xludf.DUMMYFUNCTION("""COMPUTED_VALUE"""),44714)</f>
        <v>44714</v>
      </c>
      <c r="D91" s="1">
        <f ca="1">IFERROR(__xludf.DUMMYFUNCTION("""COMPUTED_VALUE"""),183)</f>
        <v>183</v>
      </c>
      <c r="E91" s="1">
        <f ca="1">IFERROR(__xludf.DUMMYFUNCTION("""COMPUTED_VALUE"""),24)</f>
        <v>24</v>
      </c>
      <c r="F91" s="1" t="str">
        <f ca="1">IFERROR(__xludf.DUMMYFUNCTION("""COMPUTED_VALUE"""),"ORL")</f>
        <v>ORL</v>
      </c>
      <c r="G91" s="1">
        <f ca="1">IFERROR(__xludf.DUMMYFUNCTION("""COMPUTED_VALUE"""),8)</f>
        <v>8</v>
      </c>
      <c r="H91" s="1">
        <f ca="1">IFERROR(__xludf.DUMMYFUNCTION("""COMPUTED_VALUE"""),0)</f>
        <v>0</v>
      </c>
      <c r="I91" s="1" t="str">
        <f ca="1">IFERROR(__xludf.DUMMYFUNCTION("""COMPUTED_VALUE"""),"Princeton")</f>
        <v>Princeton</v>
      </c>
      <c r="J91" s="1" t="str">
        <f ca="1">IFERROR(__xludf.DUMMYFUNCTION("""COMPUTED_VALUE"""),"2019 NBA Draft, Undrafted")</f>
        <v>2019 NBA Draft, Undrafted</v>
      </c>
      <c r="K91" s="1" t="str">
        <f ca="1">IFERROR(__xludf.DUMMYFUNCTION("""COMPUTED_VALUE"""),"United States")</f>
        <v>United States</v>
      </c>
    </row>
    <row r="92" spans="1:11" ht="13" x14ac:dyDescent="0.15">
      <c r="A92" s="1" t="str">
        <f ca="1">IFERROR(__xludf.DUMMYFUNCTION("""COMPUTED_VALUE"""),"Clint Capela")</f>
        <v>Clint Capela</v>
      </c>
      <c r="B92" s="1" t="str">
        <f ca="1">IFERROR(__xludf.DUMMYFUNCTION("""COMPUTED_VALUE"""),"PF")</f>
        <v>PF</v>
      </c>
      <c r="C92" s="2">
        <f ca="1">IFERROR(__xludf.DUMMYFUNCTION("""COMPUTED_VALUE"""),44722)</f>
        <v>44722</v>
      </c>
      <c r="D92" s="1">
        <f ca="1">IFERROR(__xludf.DUMMYFUNCTION("""COMPUTED_VALUE"""),240)</f>
        <v>240</v>
      </c>
      <c r="E92" s="1">
        <f ca="1">IFERROR(__xludf.DUMMYFUNCTION("""COMPUTED_VALUE"""),26)</f>
        <v>26</v>
      </c>
      <c r="F92" s="1" t="str">
        <f ca="1">IFERROR(__xludf.DUMMYFUNCTION("""COMPUTED_VALUE"""),"ATL")</f>
        <v>ATL</v>
      </c>
      <c r="G92" s="1">
        <f ca="1">IFERROR(__xludf.DUMMYFUNCTION("""COMPUTED_VALUE"""),63)</f>
        <v>63</v>
      </c>
      <c r="H92" s="1">
        <f ca="1">IFERROR(__xludf.DUMMYFUNCTION("""COMPUTED_VALUE"""),6)</f>
        <v>6</v>
      </c>
      <c r="I92" s="1" t="str">
        <f ca="1">IFERROR(__xludf.DUMMYFUNCTION("""COMPUTED_VALUE"""),"Chalon-Sur-Saone (France)")</f>
        <v>Chalon-Sur-Saone (France)</v>
      </c>
      <c r="J92" s="1" t="str">
        <f ca="1">IFERROR(__xludf.DUMMYFUNCTION("""COMPUTED_VALUE"""),"2014 Rnd 1 Pick 25")</f>
        <v>2014 Rnd 1 Pick 25</v>
      </c>
      <c r="K92" s="1" t="str">
        <f ca="1">IFERROR(__xludf.DUMMYFUNCTION("""COMPUTED_VALUE"""),"Switzerland")</f>
        <v>Switzerland</v>
      </c>
    </row>
    <row r="93" spans="1:11" ht="13" x14ac:dyDescent="0.15">
      <c r="A93" s="1" t="str">
        <f ca="1">IFERROR(__xludf.DUMMYFUNCTION("""COMPUTED_VALUE"""),"Vernon Carey Jr.")</f>
        <v>Vernon Carey Jr.</v>
      </c>
      <c r="B93" s="1" t="str">
        <f ca="1">IFERROR(__xludf.DUMMYFUNCTION("""COMPUTED_VALUE"""),"PF")</f>
        <v>PF</v>
      </c>
      <c r="C93" s="2">
        <f ca="1">IFERROR(__xludf.DUMMYFUNCTION("""COMPUTED_VALUE"""),44721)</f>
        <v>44721</v>
      </c>
      <c r="D93" s="1">
        <f ca="1">IFERROR(__xludf.DUMMYFUNCTION("""COMPUTED_VALUE"""),270)</f>
        <v>270</v>
      </c>
      <c r="E93" s="1">
        <f ca="1">IFERROR(__xludf.DUMMYFUNCTION("""COMPUTED_VALUE"""),20)</f>
        <v>20</v>
      </c>
      <c r="F93" s="1" t="str">
        <f ca="1">IFERROR(__xludf.DUMMYFUNCTION("""COMPUTED_VALUE"""),"CHA")</f>
        <v>CHA</v>
      </c>
      <c r="G93" s="1">
        <f ca="1">IFERROR(__xludf.DUMMYFUNCTION("""COMPUTED_VALUE"""),19)</f>
        <v>19</v>
      </c>
      <c r="H93" s="1">
        <f ca="1">IFERROR(__xludf.DUMMYFUNCTION("""COMPUTED_VALUE"""),0)</f>
        <v>0</v>
      </c>
      <c r="I93" s="1" t="str">
        <f ca="1">IFERROR(__xludf.DUMMYFUNCTION("""COMPUTED_VALUE"""),"Duke")</f>
        <v>Duke</v>
      </c>
      <c r="J93" s="1" t="str">
        <f ca="1">IFERROR(__xludf.DUMMYFUNCTION("""COMPUTED_VALUE"""),"2020 Rnd 2 Pick 2")</f>
        <v>2020 Rnd 2 Pick 2</v>
      </c>
      <c r="K93" s="1" t="str">
        <f ca="1">IFERROR(__xludf.DUMMYFUNCTION("""COMPUTED_VALUE"""),"United States")</f>
        <v>United States</v>
      </c>
    </row>
    <row r="94" spans="1:11" ht="13" x14ac:dyDescent="0.15">
      <c r="A94" s="1" t="str">
        <f ca="1">IFERROR(__xludf.DUMMYFUNCTION("""COMPUTED_VALUE"""),"Jevon Carter")</f>
        <v>Jevon Carter</v>
      </c>
      <c r="B94" s="1" t="str">
        <f ca="1">IFERROR(__xludf.DUMMYFUNCTION("""COMPUTED_VALUE"""),"PG")</f>
        <v>PG</v>
      </c>
      <c r="C94" s="2">
        <f ca="1">IFERROR(__xludf.DUMMYFUNCTION("""COMPUTED_VALUE"""),44713)</f>
        <v>44713</v>
      </c>
      <c r="D94" s="1">
        <f ca="1">IFERROR(__xludf.DUMMYFUNCTION("""COMPUTED_VALUE"""),195)</f>
        <v>195</v>
      </c>
      <c r="E94" s="1">
        <f ca="1">IFERROR(__xludf.DUMMYFUNCTION("""COMPUTED_VALUE"""),25)</f>
        <v>25</v>
      </c>
      <c r="F94" s="1" t="str">
        <f ca="1">IFERROR(__xludf.DUMMYFUNCTION("""COMPUTED_VALUE"""),"PHX")</f>
        <v>PHX</v>
      </c>
      <c r="G94" s="1">
        <f ca="1">IFERROR(__xludf.DUMMYFUNCTION("""COMPUTED_VALUE"""),60)</f>
        <v>60</v>
      </c>
      <c r="H94" s="1">
        <f ca="1">IFERROR(__xludf.DUMMYFUNCTION("""COMPUTED_VALUE"""),2)</f>
        <v>2</v>
      </c>
      <c r="I94" s="1" t="str">
        <f ca="1">IFERROR(__xludf.DUMMYFUNCTION("""COMPUTED_VALUE"""),"West Virginia")</f>
        <v>West Virginia</v>
      </c>
      <c r="J94" s="1" t="str">
        <f ca="1">IFERROR(__xludf.DUMMYFUNCTION("""COMPUTED_VALUE"""),"2018 Rnd 2 Pick 2")</f>
        <v>2018 Rnd 2 Pick 2</v>
      </c>
      <c r="K94" s="1" t="str">
        <f ca="1">IFERROR(__xludf.DUMMYFUNCTION("""COMPUTED_VALUE"""),"United States")</f>
        <v>United States</v>
      </c>
    </row>
    <row r="95" spans="1:11" ht="13" x14ac:dyDescent="0.15">
      <c r="A95" s="1" t="str">
        <f ca="1">IFERROR(__xludf.DUMMYFUNCTION("""COMPUTED_VALUE"""),"Wendell Carter Jr.")</f>
        <v>Wendell Carter Jr.</v>
      </c>
      <c r="B95" s="1" t="str">
        <f ca="1">IFERROR(__xludf.DUMMYFUNCTION("""COMPUTED_VALUE"""),"PF")</f>
        <v>PF</v>
      </c>
      <c r="C95" s="2">
        <f ca="1">IFERROR(__xludf.DUMMYFUNCTION("""COMPUTED_VALUE"""),44722)</f>
        <v>44722</v>
      </c>
      <c r="D95" s="1">
        <f ca="1">IFERROR(__xludf.DUMMYFUNCTION("""COMPUTED_VALUE"""),270)</f>
        <v>270</v>
      </c>
      <c r="E95" s="1">
        <f ca="1">IFERROR(__xludf.DUMMYFUNCTION("""COMPUTED_VALUE"""),21)</f>
        <v>21</v>
      </c>
      <c r="F95" s="1" t="str">
        <f ca="1">IFERROR(__xludf.DUMMYFUNCTION("""COMPUTED_VALUE"""),"CHI, ORL")</f>
        <v>CHI, ORL</v>
      </c>
      <c r="G95" s="1">
        <f ca="1">IFERROR(__xludf.DUMMYFUNCTION("""COMPUTED_VALUE"""),54)</f>
        <v>54</v>
      </c>
      <c r="H95" s="1">
        <f ca="1">IFERROR(__xludf.DUMMYFUNCTION("""COMPUTED_VALUE"""),2)</f>
        <v>2</v>
      </c>
      <c r="I95" s="1" t="str">
        <f ca="1">IFERROR(__xludf.DUMMYFUNCTION("""COMPUTED_VALUE"""),"Duke")</f>
        <v>Duke</v>
      </c>
      <c r="J95" s="1" t="str">
        <f ca="1">IFERROR(__xludf.DUMMYFUNCTION("""COMPUTED_VALUE"""),"2018 Rnd 1 Pick 7")</f>
        <v>2018 Rnd 1 Pick 7</v>
      </c>
      <c r="K95" s="1" t="str">
        <f ca="1">IFERROR(__xludf.DUMMYFUNCTION("""COMPUTED_VALUE"""),"United States")</f>
        <v>United States</v>
      </c>
    </row>
    <row r="96" spans="1:11" ht="13" x14ac:dyDescent="0.15">
      <c r="A96" s="1" t="str">
        <f ca="1">IFERROR(__xludf.DUMMYFUNCTION("""COMPUTED_VALUE"""),"Michael Carter-Williams")</f>
        <v>Michael Carter-Williams</v>
      </c>
      <c r="B96" s="1" t="str">
        <f ca="1">IFERROR(__xludf.DUMMYFUNCTION("""COMPUTED_VALUE"""),"PG")</f>
        <v>PG</v>
      </c>
      <c r="C96" s="2">
        <f ca="1">IFERROR(__xludf.DUMMYFUNCTION("""COMPUTED_VALUE"""),44718)</f>
        <v>44718</v>
      </c>
      <c r="D96" s="1">
        <f ca="1">IFERROR(__xludf.DUMMYFUNCTION("""COMPUTED_VALUE"""),195)</f>
        <v>195</v>
      </c>
      <c r="E96" s="1">
        <f ca="1">IFERROR(__xludf.DUMMYFUNCTION("""COMPUTED_VALUE"""),29)</f>
        <v>29</v>
      </c>
      <c r="F96" s="1" t="str">
        <f ca="1">IFERROR(__xludf.DUMMYFUNCTION("""COMPUTED_VALUE"""),"ORL")</f>
        <v>ORL</v>
      </c>
      <c r="G96" s="1">
        <f ca="1">IFERROR(__xludf.DUMMYFUNCTION("""COMPUTED_VALUE"""),31)</f>
        <v>31</v>
      </c>
      <c r="H96" s="1">
        <f ca="1">IFERROR(__xludf.DUMMYFUNCTION("""COMPUTED_VALUE"""),7)</f>
        <v>7</v>
      </c>
      <c r="I96" s="1" t="str">
        <f ca="1">IFERROR(__xludf.DUMMYFUNCTION("""COMPUTED_VALUE"""),"Syracuse")</f>
        <v>Syracuse</v>
      </c>
      <c r="J96" s="1" t="str">
        <f ca="1">IFERROR(__xludf.DUMMYFUNCTION("""COMPUTED_VALUE"""),"2013 Rnd 1 Pick 11")</f>
        <v>2013 Rnd 1 Pick 11</v>
      </c>
      <c r="K96" s="1" t="str">
        <f ca="1">IFERROR(__xludf.DUMMYFUNCTION("""COMPUTED_VALUE"""),"United States")</f>
        <v>United States</v>
      </c>
    </row>
    <row r="97" spans="1:11" ht="13" x14ac:dyDescent="0.15">
      <c r="A97" s="1" t="str">
        <f ca="1">IFERROR(__xludf.DUMMYFUNCTION("""COMPUTED_VALUE"""),"Alex Caruso")</f>
        <v>Alex Caruso</v>
      </c>
      <c r="B97" s="1" t="str">
        <f ca="1">IFERROR(__xludf.DUMMYFUNCTION("""COMPUTED_VALUE"""),"G")</f>
        <v>G</v>
      </c>
      <c r="C97" s="2">
        <f ca="1">IFERROR(__xludf.DUMMYFUNCTION("""COMPUTED_VALUE"""),44716)</f>
        <v>44716</v>
      </c>
      <c r="D97" s="1">
        <f ca="1">IFERROR(__xludf.DUMMYFUNCTION("""COMPUTED_VALUE"""),186)</f>
        <v>186</v>
      </c>
      <c r="E97" s="1">
        <f ca="1">IFERROR(__xludf.DUMMYFUNCTION("""COMPUTED_VALUE"""),27)</f>
        <v>27</v>
      </c>
      <c r="F97" s="1" t="str">
        <f ca="1">IFERROR(__xludf.DUMMYFUNCTION("""COMPUTED_VALUE"""),"LAL")</f>
        <v>LAL</v>
      </c>
      <c r="G97" s="1">
        <f ca="1">IFERROR(__xludf.DUMMYFUNCTION("""COMPUTED_VALUE"""),58)</f>
        <v>58</v>
      </c>
      <c r="H97" s="1">
        <f ca="1">IFERROR(__xludf.DUMMYFUNCTION("""COMPUTED_VALUE"""),3)</f>
        <v>3</v>
      </c>
      <c r="I97" s="1" t="str">
        <f ca="1">IFERROR(__xludf.DUMMYFUNCTION("""COMPUTED_VALUE"""),"Texas A&amp;M")</f>
        <v>Texas A&amp;M</v>
      </c>
      <c r="J97" s="1" t="str">
        <f ca="1">IFERROR(__xludf.DUMMYFUNCTION("""COMPUTED_VALUE"""),"2016 NBA Draft, Undrafted")</f>
        <v>2016 NBA Draft, Undrafted</v>
      </c>
      <c r="K97" s="1" t="str">
        <f ca="1">IFERROR(__xludf.DUMMYFUNCTION("""COMPUTED_VALUE"""),"United States")</f>
        <v>United States</v>
      </c>
    </row>
    <row r="98" spans="1:11" ht="13" x14ac:dyDescent="0.15">
      <c r="A98" s="1" t="str">
        <f ca="1">IFERROR(__xludf.DUMMYFUNCTION("""COMPUTED_VALUE"""),"Willie Cauley-Stein")</f>
        <v>Willie Cauley-Stein</v>
      </c>
      <c r="B98" s="1" t="str">
        <f ca="1">IFERROR(__xludf.DUMMYFUNCTION("""COMPUTED_VALUE"""),"C")</f>
        <v>C</v>
      </c>
      <c r="C98" s="1" t="str">
        <f ca="1">IFERROR(__xludf.DUMMYFUNCTION("""COMPUTED_VALUE"""),"7-0")</f>
        <v>7-0</v>
      </c>
      <c r="D98" s="1">
        <f ca="1">IFERROR(__xludf.DUMMYFUNCTION("""COMPUTED_VALUE"""),240)</f>
        <v>240</v>
      </c>
      <c r="E98" s="1">
        <f ca="1">IFERROR(__xludf.DUMMYFUNCTION("""COMPUTED_VALUE"""),27)</f>
        <v>27</v>
      </c>
      <c r="F98" s="1" t="str">
        <f ca="1">IFERROR(__xludf.DUMMYFUNCTION("""COMPUTED_VALUE"""),"DAL")</f>
        <v>DAL</v>
      </c>
      <c r="G98" s="1">
        <f ca="1">IFERROR(__xludf.DUMMYFUNCTION("""COMPUTED_VALUE"""),53)</f>
        <v>53</v>
      </c>
      <c r="H98" s="1">
        <f ca="1">IFERROR(__xludf.DUMMYFUNCTION("""COMPUTED_VALUE"""),5)</f>
        <v>5</v>
      </c>
      <c r="I98" s="1" t="str">
        <f ca="1">IFERROR(__xludf.DUMMYFUNCTION("""COMPUTED_VALUE"""),"Kentucky")</f>
        <v>Kentucky</v>
      </c>
      <c r="J98" s="1" t="str">
        <f ca="1">IFERROR(__xludf.DUMMYFUNCTION("""COMPUTED_VALUE"""),"2015 Rnd 1 Pick 6")</f>
        <v>2015 Rnd 1 Pick 6</v>
      </c>
      <c r="K98" s="1" t="str">
        <f ca="1">IFERROR(__xludf.DUMMYFUNCTION("""COMPUTED_VALUE"""),"United States")</f>
        <v>United States</v>
      </c>
    </row>
    <row r="99" spans="1:11" ht="13" x14ac:dyDescent="0.15">
      <c r="A99" s="1" t="str">
        <f ca="1">IFERROR(__xludf.DUMMYFUNCTION("""COMPUTED_VALUE"""),"Chris Chiozza")</f>
        <v>Chris Chiozza</v>
      </c>
      <c r="B99" s="1" t="str">
        <f ca="1">IFERROR(__xludf.DUMMYFUNCTION("""COMPUTED_VALUE"""),"PG")</f>
        <v>PG</v>
      </c>
      <c r="C99" s="2">
        <f ca="1">IFERROR(__xludf.DUMMYFUNCTION("""COMPUTED_VALUE"""),44692)</f>
        <v>44692</v>
      </c>
      <c r="D99" s="1">
        <f ca="1">IFERROR(__xludf.DUMMYFUNCTION("""COMPUTED_VALUE"""),175)</f>
        <v>175</v>
      </c>
      <c r="E99" s="1">
        <f ca="1">IFERROR(__xludf.DUMMYFUNCTION("""COMPUTED_VALUE"""),25)</f>
        <v>25</v>
      </c>
      <c r="F99" s="1" t="str">
        <f ca="1">IFERROR(__xludf.DUMMYFUNCTION("""COMPUTED_VALUE"""),"BRK")</f>
        <v>BRK</v>
      </c>
      <c r="G99" s="1">
        <f ca="1">IFERROR(__xludf.DUMMYFUNCTION("""COMPUTED_VALUE"""),22)</f>
        <v>22</v>
      </c>
      <c r="H99" s="1">
        <f ca="1">IFERROR(__xludf.DUMMYFUNCTION("""COMPUTED_VALUE"""),2)</f>
        <v>2</v>
      </c>
      <c r="I99" s="1" t="str">
        <f ca="1">IFERROR(__xludf.DUMMYFUNCTION("""COMPUTED_VALUE"""),"Florida")</f>
        <v>Florida</v>
      </c>
      <c r="J99" s="1" t="str">
        <f ca="1">IFERROR(__xludf.DUMMYFUNCTION("""COMPUTED_VALUE"""),"2018 NBA Draft, Undrafted")</f>
        <v>2018 NBA Draft, Undrafted</v>
      </c>
      <c r="K99" s="1" t="str">
        <f ca="1">IFERROR(__xludf.DUMMYFUNCTION("""COMPUTED_VALUE"""),"United States")</f>
        <v>United States</v>
      </c>
    </row>
    <row r="100" spans="1:11" ht="13" x14ac:dyDescent="0.15">
      <c r="A100" s="1" t="str">
        <f ca="1">IFERROR(__xludf.DUMMYFUNCTION("""COMPUTED_VALUE"""),"Marquese Chriss")</f>
        <v>Marquese Chriss</v>
      </c>
      <c r="B100" s="1" t="str">
        <f ca="1">IFERROR(__xludf.DUMMYFUNCTION("""COMPUTED_VALUE"""),"PF")</f>
        <v>PF</v>
      </c>
      <c r="C100" s="2">
        <f ca="1">IFERROR(__xludf.DUMMYFUNCTION("""COMPUTED_VALUE"""),44721)</f>
        <v>44721</v>
      </c>
      <c r="D100" s="1">
        <f ca="1">IFERROR(__xludf.DUMMYFUNCTION("""COMPUTED_VALUE"""),240)</f>
        <v>240</v>
      </c>
      <c r="E100" s="1">
        <f ca="1">IFERROR(__xludf.DUMMYFUNCTION("""COMPUTED_VALUE"""),23)</f>
        <v>23</v>
      </c>
      <c r="F100" s="1" t="str">
        <f ca="1">IFERROR(__xludf.DUMMYFUNCTION("""COMPUTED_VALUE"""),"GSW")</f>
        <v>GSW</v>
      </c>
      <c r="G100" s="1">
        <f ca="1">IFERROR(__xludf.DUMMYFUNCTION("""COMPUTED_VALUE"""),2)</f>
        <v>2</v>
      </c>
      <c r="H100" s="1">
        <f ca="1">IFERROR(__xludf.DUMMYFUNCTION("""COMPUTED_VALUE"""),4)</f>
        <v>4</v>
      </c>
      <c r="I100" s="1" t="str">
        <f ca="1">IFERROR(__xludf.DUMMYFUNCTION("""COMPUTED_VALUE"""),"Washington")</f>
        <v>Washington</v>
      </c>
      <c r="J100" s="1" t="str">
        <f ca="1">IFERROR(__xludf.DUMMYFUNCTION("""COMPUTED_VALUE"""),"2016 Rnd 1 Pick 8")</f>
        <v>2016 Rnd 1 Pick 8</v>
      </c>
      <c r="K100" s="1" t="str">
        <f ca="1">IFERROR(__xludf.DUMMYFUNCTION("""COMPUTED_VALUE"""),"United States")</f>
        <v>United States</v>
      </c>
    </row>
    <row r="101" spans="1:11" ht="13" x14ac:dyDescent="0.15">
      <c r="A101" s="1" t="str">
        <f ca="1">IFERROR(__xludf.DUMMYFUNCTION("""COMPUTED_VALUE"""),"Gary Clark")</f>
        <v>Gary Clark</v>
      </c>
      <c r="B101" s="1" t="str">
        <f ca="1">IFERROR(__xludf.DUMMYFUNCTION("""COMPUTED_VALUE"""),"SF")</f>
        <v>SF</v>
      </c>
      <c r="C101" s="2">
        <f ca="1">IFERROR(__xludf.DUMMYFUNCTION("""COMPUTED_VALUE"""),44718)</f>
        <v>44718</v>
      </c>
      <c r="D101" s="1">
        <f ca="1">IFERROR(__xludf.DUMMYFUNCTION("""COMPUTED_VALUE"""),225)</f>
        <v>225</v>
      </c>
      <c r="E101" s="1">
        <f ca="1">IFERROR(__xludf.DUMMYFUNCTION("""COMPUTED_VALUE"""),26)</f>
        <v>26</v>
      </c>
      <c r="F101" s="1" t="str">
        <f ca="1">IFERROR(__xludf.DUMMYFUNCTION("""COMPUTED_VALUE"""),"DEN, ORL, PHL")</f>
        <v>DEN, ORL, PHL</v>
      </c>
      <c r="G101" s="1">
        <f ca="1">IFERROR(__xludf.DUMMYFUNCTION("""COMPUTED_VALUE"""),39)</f>
        <v>39</v>
      </c>
      <c r="H101" s="1">
        <f ca="1">IFERROR(__xludf.DUMMYFUNCTION("""COMPUTED_VALUE"""),2)</f>
        <v>2</v>
      </c>
      <c r="I101" s="1" t="str">
        <f ca="1">IFERROR(__xludf.DUMMYFUNCTION("""COMPUTED_VALUE"""),"Cincinnati")</f>
        <v>Cincinnati</v>
      </c>
      <c r="J101" s="1" t="str">
        <f ca="1">IFERROR(__xludf.DUMMYFUNCTION("""COMPUTED_VALUE"""),"2018 NBA Draft, Undrafted")</f>
        <v>2018 NBA Draft, Undrafted</v>
      </c>
      <c r="K101" s="1" t="str">
        <f ca="1">IFERROR(__xludf.DUMMYFUNCTION("""COMPUTED_VALUE"""),"United States")</f>
        <v>United States</v>
      </c>
    </row>
    <row r="102" spans="1:11" ht="13" x14ac:dyDescent="0.15">
      <c r="A102" s="1" t="str">
        <f ca="1">IFERROR(__xludf.DUMMYFUNCTION("""COMPUTED_VALUE"""),"Brandon Clarke")</f>
        <v>Brandon Clarke</v>
      </c>
      <c r="B102" s="1" t="str">
        <f ca="1">IFERROR(__xludf.DUMMYFUNCTION("""COMPUTED_VALUE"""),"PF")</f>
        <v>PF</v>
      </c>
      <c r="C102" s="2">
        <f ca="1">IFERROR(__xludf.DUMMYFUNCTION("""COMPUTED_VALUE"""),44720)</f>
        <v>44720</v>
      </c>
      <c r="D102" s="1">
        <f ca="1">IFERROR(__xludf.DUMMYFUNCTION("""COMPUTED_VALUE"""),210)</f>
        <v>210</v>
      </c>
      <c r="E102" s="1">
        <f ca="1">IFERROR(__xludf.DUMMYFUNCTION("""COMPUTED_VALUE"""),24)</f>
        <v>24</v>
      </c>
      <c r="F102" s="1" t="str">
        <f ca="1">IFERROR(__xludf.DUMMYFUNCTION("""COMPUTED_VALUE"""),"MEM")</f>
        <v>MEM</v>
      </c>
      <c r="G102" s="1">
        <f ca="1">IFERROR(__xludf.DUMMYFUNCTION("""COMPUTED_VALUE"""),59)</f>
        <v>59</v>
      </c>
      <c r="H102" s="1">
        <f ca="1">IFERROR(__xludf.DUMMYFUNCTION("""COMPUTED_VALUE"""),1)</f>
        <v>1</v>
      </c>
      <c r="I102" s="1" t="str">
        <f ca="1">IFERROR(__xludf.DUMMYFUNCTION("""COMPUTED_VALUE"""),"Gonzaga")</f>
        <v>Gonzaga</v>
      </c>
      <c r="J102" s="1" t="str">
        <f ca="1">IFERROR(__xludf.DUMMYFUNCTION("""COMPUTED_VALUE"""),"2019 Rnd 1 Pick 21")</f>
        <v>2019 Rnd 1 Pick 21</v>
      </c>
      <c r="K102" s="1" t="str">
        <f ca="1">IFERROR(__xludf.DUMMYFUNCTION("""COMPUTED_VALUE"""),"Canada")</f>
        <v>Canada</v>
      </c>
    </row>
    <row r="103" spans="1:11" ht="13" x14ac:dyDescent="0.15">
      <c r="A103" s="1" t="str">
        <f ca="1">IFERROR(__xludf.DUMMYFUNCTION("""COMPUTED_VALUE"""),"Jordan Clarkson")</f>
        <v>Jordan Clarkson</v>
      </c>
      <c r="B103" s="1" t="str">
        <f ca="1">IFERROR(__xludf.DUMMYFUNCTION("""COMPUTED_VALUE"""),"G")</f>
        <v>G</v>
      </c>
      <c r="C103" s="2">
        <f ca="1">IFERROR(__xludf.DUMMYFUNCTION("""COMPUTED_VALUE"""),44717)</f>
        <v>44717</v>
      </c>
      <c r="D103" s="1">
        <f ca="1">IFERROR(__xludf.DUMMYFUNCTION("""COMPUTED_VALUE"""),192)</f>
        <v>192</v>
      </c>
      <c r="E103" s="1">
        <f ca="1">IFERROR(__xludf.DUMMYFUNCTION("""COMPUTED_VALUE"""),28)</f>
        <v>28</v>
      </c>
      <c r="F103" s="1" t="str">
        <f ca="1">IFERROR(__xludf.DUMMYFUNCTION("""COMPUTED_VALUE"""),"UTA")</f>
        <v>UTA</v>
      </c>
      <c r="G103" s="1">
        <f ca="1">IFERROR(__xludf.DUMMYFUNCTION("""COMPUTED_VALUE"""),68)</f>
        <v>68</v>
      </c>
      <c r="H103" s="1">
        <f ca="1">IFERROR(__xludf.DUMMYFUNCTION("""COMPUTED_VALUE"""),6)</f>
        <v>6</v>
      </c>
      <c r="I103" s="1" t="str">
        <f ca="1">IFERROR(__xludf.DUMMYFUNCTION("""COMPUTED_VALUE"""),"Missouri")</f>
        <v>Missouri</v>
      </c>
      <c r="J103" s="1" t="str">
        <f ca="1">IFERROR(__xludf.DUMMYFUNCTION("""COMPUTED_VALUE"""),"2014 Rnd 2 Pick 16")</f>
        <v>2014 Rnd 2 Pick 16</v>
      </c>
      <c r="K103" s="1" t="str">
        <f ca="1">IFERROR(__xludf.DUMMYFUNCTION("""COMPUTED_VALUE"""),"United States")</f>
        <v>United States</v>
      </c>
    </row>
    <row r="104" spans="1:11" ht="13" x14ac:dyDescent="0.15">
      <c r="A104" s="1" t="str">
        <f ca="1">IFERROR(__xludf.DUMMYFUNCTION("""COMPUTED_VALUE"""),"Nicolas Claxton")</f>
        <v>Nicolas Claxton</v>
      </c>
      <c r="B104" s="1" t="str">
        <f ca="1">IFERROR(__xludf.DUMMYFUNCTION("""COMPUTED_VALUE"""),"C")</f>
        <v>C</v>
      </c>
      <c r="C104" s="2">
        <f ca="1">IFERROR(__xludf.DUMMYFUNCTION("""COMPUTED_VALUE"""),44723)</f>
        <v>44723</v>
      </c>
      <c r="D104" s="1">
        <f ca="1">IFERROR(__xludf.DUMMYFUNCTION("""COMPUTED_VALUE"""),226)</f>
        <v>226</v>
      </c>
      <c r="E104" s="1">
        <f ca="1">IFERROR(__xludf.DUMMYFUNCTION("""COMPUTED_VALUE"""),21)</f>
        <v>21</v>
      </c>
      <c r="F104" s="1" t="str">
        <f ca="1">IFERROR(__xludf.DUMMYFUNCTION("""COMPUTED_VALUE"""),"BRK")</f>
        <v>BRK</v>
      </c>
      <c r="G104" s="1">
        <f ca="1">IFERROR(__xludf.DUMMYFUNCTION("""COMPUTED_VALUE"""),32)</f>
        <v>32</v>
      </c>
      <c r="H104" s="1">
        <f ca="1">IFERROR(__xludf.DUMMYFUNCTION("""COMPUTED_VALUE"""),1)</f>
        <v>1</v>
      </c>
      <c r="I104" s="1" t="str">
        <f ca="1">IFERROR(__xludf.DUMMYFUNCTION("""COMPUTED_VALUE"""),"Georgia")</f>
        <v>Georgia</v>
      </c>
      <c r="J104" s="1" t="str">
        <f ca="1">IFERROR(__xludf.DUMMYFUNCTION("""COMPUTED_VALUE"""),"2019 Rnd 2 Pick 1")</f>
        <v>2019 Rnd 2 Pick 1</v>
      </c>
      <c r="K104" s="1" t="str">
        <f ca="1">IFERROR(__xludf.DUMMYFUNCTION("""COMPUTED_VALUE"""),"United States
U.S. Virgin Islands")</f>
        <v>United States
U.S. Virgin Islands</v>
      </c>
    </row>
    <row r="105" spans="1:11" ht="13" x14ac:dyDescent="0.15">
      <c r="A105" s="1" t="str">
        <f ca="1">IFERROR(__xludf.DUMMYFUNCTION("""COMPUTED_VALUE"""),"Amir Coffey")</f>
        <v>Amir Coffey</v>
      </c>
      <c r="B105" s="1" t="str">
        <f ca="1">IFERROR(__xludf.DUMMYFUNCTION("""COMPUTED_VALUE"""),"SF")</f>
        <v>SF</v>
      </c>
      <c r="C105" s="2">
        <f ca="1">IFERROR(__xludf.DUMMYFUNCTION("""COMPUTED_VALUE"""),44719)</f>
        <v>44719</v>
      </c>
      <c r="D105" s="1">
        <f ca="1">IFERROR(__xludf.DUMMYFUNCTION("""COMPUTED_VALUE"""),210)</f>
        <v>210</v>
      </c>
      <c r="E105" s="1">
        <f ca="1">IFERROR(__xludf.DUMMYFUNCTION("""COMPUTED_VALUE"""),23)</f>
        <v>23</v>
      </c>
      <c r="F105" s="1" t="str">
        <f ca="1">IFERROR(__xludf.DUMMYFUNCTION("""COMPUTED_VALUE"""),"LAC")</f>
        <v>LAC</v>
      </c>
      <c r="G105" s="1">
        <f ca="1">IFERROR(__xludf.DUMMYFUNCTION("""COMPUTED_VALUE"""),44)</f>
        <v>44</v>
      </c>
      <c r="H105" s="1">
        <f ca="1">IFERROR(__xludf.DUMMYFUNCTION("""COMPUTED_VALUE"""),1)</f>
        <v>1</v>
      </c>
      <c r="I105" s="1" t="str">
        <f ca="1">IFERROR(__xludf.DUMMYFUNCTION("""COMPUTED_VALUE"""),"Minnesota")</f>
        <v>Minnesota</v>
      </c>
      <c r="J105" s="1" t="str">
        <f ca="1">IFERROR(__xludf.DUMMYFUNCTION("""COMPUTED_VALUE"""),"2019 NBA Draft, Undrafted")</f>
        <v>2019 NBA Draft, Undrafted</v>
      </c>
      <c r="K105" s="1" t="str">
        <f ca="1">IFERROR(__xludf.DUMMYFUNCTION("""COMPUTED_VALUE"""),"United States")</f>
        <v>United States</v>
      </c>
    </row>
    <row r="106" spans="1:11" ht="13" x14ac:dyDescent="0.15">
      <c r="A106" s="1" t="str">
        <f ca="1">IFERROR(__xludf.DUMMYFUNCTION("""COMPUTED_VALUE"""),"John Collins")</f>
        <v>John Collins</v>
      </c>
      <c r="B106" s="1" t="str">
        <f ca="1">IFERROR(__xludf.DUMMYFUNCTION("""COMPUTED_VALUE"""),"PF")</f>
        <v>PF</v>
      </c>
      <c r="C106" s="2">
        <f ca="1">IFERROR(__xludf.DUMMYFUNCTION("""COMPUTED_VALUE"""),44721)</f>
        <v>44721</v>
      </c>
      <c r="D106" s="1">
        <f ca="1">IFERROR(__xludf.DUMMYFUNCTION("""COMPUTED_VALUE"""),235)</f>
        <v>235</v>
      </c>
      <c r="E106" s="1">
        <f ca="1">IFERROR(__xludf.DUMMYFUNCTION("""COMPUTED_VALUE"""),23)</f>
        <v>23</v>
      </c>
      <c r="F106" s="1" t="str">
        <f ca="1">IFERROR(__xludf.DUMMYFUNCTION("""COMPUTED_VALUE"""),"ATL")</f>
        <v>ATL</v>
      </c>
      <c r="G106" s="1">
        <f ca="1">IFERROR(__xludf.DUMMYFUNCTION("""COMPUTED_VALUE"""),63)</f>
        <v>63</v>
      </c>
      <c r="H106" s="1">
        <f ca="1">IFERROR(__xludf.DUMMYFUNCTION("""COMPUTED_VALUE"""),3)</f>
        <v>3</v>
      </c>
      <c r="I106" s="1" t="str">
        <f ca="1">IFERROR(__xludf.DUMMYFUNCTION("""COMPUTED_VALUE"""),"Wake Forest")</f>
        <v>Wake Forest</v>
      </c>
      <c r="J106" s="1" t="str">
        <f ca="1">IFERROR(__xludf.DUMMYFUNCTION("""COMPUTED_VALUE"""),"2017 Rnd 1 Pick 19")</f>
        <v>2017 Rnd 1 Pick 19</v>
      </c>
      <c r="K106" s="1" t="str">
        <f ca="1">IFERROR(__xludf.DUMMYFUNCTION("""COMPUTED_VALUE"""),"United States")</f>
        <v>United States</v>
      </c>
    </row>
    <row r="107" spans="1:11" ht="13" x14ac:dyDescent="0.15">
      <c r="A107" s="1" t="str">
        <f ca="1">IFERROR(__xludf.DUMMYFUNCTION("""COMPUTED_VALUE"""),"Mike Conley")</f>
        <v>Mike Conley</v>
      </c>
      <c r="B107" s="1" t="str">
        <f ca="1">IFERROR(__xludf.DUMMYFUNCTION("""COMPUTED_VALUE"""),"PG")</f>
        <v>PG</v>
      </c>
      <c r="C107" s="2">
        <f ca="1">IFERROR(__xludf.DUMMYFUNCTION("""COMPUTED_VALUE"""),44713)</f>
        <v>44713</v>
      </c>
      <c r="D107" s="1">
        <f ca="1">IFERROR(__xludf.DUMMYFUNCTION("""COMPUTED_VALUE"""),175)</f>
        <v>175</v>
      </c>
      <c r="E107" s="1">
        <f ca="1">IFERROR(__xludf.DUMMYFUNCTION("""COMPUTED_VALUE"""),33)</f>
        <v>33</v>
      </c>
      <c r="F107" s="1" t="str">
        <f ca="1">IFERROR(__xludf.DUMMYFUNCTION("""COMPUTED_VALUE"""),"UTA")</f>
        <v>UTA</v>
      </c>
      <c r="G107" s="1">
        <f ca="1">IFERROR(__xludf.DUMMYFUNCTION("""COMPUTED_VALUE"""),51)</f>
        <v>51</v>
      </c>
      <c r="H107" s="1">
        <f ca="1">IFERROR(__xludf.DUMMYFUNCTION("""COMPUTED_VALUE"""),13)</f>
        <v>13</v>
      </c>
      <c r="I107" s="1" t="str">
        <f ca="1">IFERROR(__xludf.DUMMYFUNCTION("""COMPUTED_VALUE"""),"Ohio State")</f>
        <v>Ohio State</v>
      </c>
      <c r="J107" s="1" t="str">
        <f ca="1">IFERROR(__xludf.DUMMYFUNCTION("""COMPUTED_VALUE"""),"2007 Rnd 1 Pick 4")</f>
        <v>2007 Rnd 1 Pick 4</v>
      </c>
      <c r="K107" s="1" t="str">
        <f ca="1">IFERROR(__xludf.DUMMYFUNCTION("""COMPUTED_VALUE"""),"United States")</f>
        <v>United States</v>
      </c>
    </row>
    <row r="108" spans="1:11" ht="13" x14ac:dyDescent="0.15">
      <c r="A108" s="1" t="str">
        <f ca="1">IFERROR(__xludf.DUMMYFUNCTION("""COMPUTED_VALUE"""),"Pat Connaughton")</f>
        <v>Pat Connaughton</v>
      </c>
      <c r="B108" s="1" t="str">
        <f ca="1">IFERROR(__xludf.DUMMYFUNCTION("""COMPUTED_VALUE"""),"SF")</f>
        <v>SF</v>
      </c>
      <c r="C108" s="2">
        <f ca="1">IFERROR(__xludf.DUMMYFUNCTION("""COMPUTED_VALUE"""),44716)</f>
        <v>44716</v>
      </c>
      <c r="D108" s="1">
        <f ca="1">IFERROR(__xludf.DUMMYFUNCTION("""COMPUTED_VALUE"""),209)</f>
        <v>209</v>
      </c>
      <c r="E108" s="1">
        <f ca="1">IFERROR(__xludf.DUMMYFUNCTION("""COMPUTED_VALUE"""),28)</f>
        <v>28</v>
      </c>
      <c r="F108" s="1" t="str">
        <f ca="1">IFERROR(__xludf.DUMMYFUNCTION("""COMPUTED_VALUE"""),"MIL")</f>
        <v>MIL</v>
      </c>
      <c r="G108" s="1">
        <f ca="1">IFERROR(__xludf.DUMMYFUNCTION("""COMPUTED_VALUE"""),69)</f>
        <v>69</v>
      </c>
      <c r="H108" s="1">
        <f ca="1">IFERROR(__xludf.DUMMYFUNCTION("""COMPUTED_VALUE"""),5)</f>
        <v>5</v>
      </c>
      <c r="I108" s="1" t="str">
        <f ca="1">IFERROR(__xludf.DUMMYFUNCTION("""COMPUTED_VALUE"""),"Notre Dame")</f>
        <v>Notre Dame</v>
      </c>
      <c r="J108" s="1" t="str">
        <f ca="1">IFERROR(__xludf.DUMMYFUNCTION("""COMPUTED_VALUE"""),"2015 Rnd 2 Pick 11")</f>
        <v>2015 Rnd 2 Pick 11</v>
      </c>
      <c r="K108" s="1" t="str">
        <f ca="1">IFERROR(__xludf.DUMMYFUNCTION("""COMPUTED_VALUE"""),"United States")</f>
        <v>United States</v>
      </c>
    </row>
    <row r="109" spans="1:11" ht="13" x14ac:dyDescent="0.15">
      <c r="A109" s="1" t="str">
        <f ca="1">IFERROR(__xludf.DUMMYFUNCTION("""COMPUTED_VALUE"""),"Quinn Cook")</f>
        <v>Quinn Cook</v>
      </c>
      <c r="B109" s="1" t="str">
        <f ca="1">IFERROR(__xludf.DUMMYFUNCTION("""COMPUTED_VALUE"""),"PG")</f>
        <v>PG</v>
      </c>
      <c r="C109" s="2">
        <f ca="1">IFERROR(__xludf.DUMMYFUNCTION("""COMPUTED_VALUE"""),44713)</f>
        <v>44713</v>
      </c>
      <c r="D109" s="1">
        <f ca="1">IFERROR(__xludf.DUMMYFUNCTION("""COMPUTED_VALUE"""),180)</f>
        <v>180</v>
      </c>
      <c r="E109" s="1">
        <f ca="1">IFERROR(__xludf.DUMMYFUNCTION("""COMPUTED_VALUE"""),27)</f>
        <v>27</v>
      </c>
      <c r="F109" s="1" t="str">
        <f ca="1">IFERROR(__xludf.DUMMYFUNCTION("""COMPUTED_VALUE"""),"CLE, LAL")</f>
        <v>CLE, LAL</v>
      </c>
      <c r="G109" s="1">
        <f ca="1">IFERROR(__xludf.DUMMYFUNCTION("""COMPUTED_VALUE"""),23)</f>
        <v>23</v>
      </c>
      <c r="H109" s="1">
        <f ca="1">IFERROR(__xludf.DUMMYFUNCTION("""COMPUTED_VALUE"""),4)</f>
        <v>4</v>
      </c>
      <c r="I109" s="1" t="str">
        <f ca="1">IFERROR(__xludf.DUMMYFUNCTION("""COMPUTED_VALUE"""),"Duke")</f>
        <v>Duke</v>
      </c>
      <c r="J109" s="1" t="str">
        <f ca="1">IFERROR(__xludf.DUMMYFUNCTION("""COMPUTED_VALUE"""),"2015 NBA Draft, Undrafted")</f>
        <v>2015 NBA Draft, Undrafted</v>
      </c>
      <c r="K109" s="1" t="str">
        <f ca="1">IFERROR(__xludf.DUMMYFUNCTION("""COMPUTED_VALUE"""),"United States")</f>
        <v>United States</v>
      </c>
    </row>
    <row r="110" spans="1:11" ht="13" x14ac:dyDescent="0.15">
      <c r="A110" s="1" t="str">
        <f ca="1">IFERROR(__xludf.DUMMYFUNCTION("""COMPUTED_VALUE"""),"Tyler Cook")</f>
        <v>Tyler Cook</v>
      </c>
      <c r="B110" s="1" t="str">
        <f ca="1">IFERROR(__xludf.DUMMYFUNCTION("""COMPUTED_VALUE"""),"C")</f>
        <v>C</v>
      </c>
      <c r="C110" s="2">
        <f ca="1">IFERROR(__xludf.DUMMYFUNCTION("""COMPUTED_VALUE"""),44720)</f>
        <v>44720</v>
      </c>
      <c r="D110" s="1">
        <f ca="1">IFERROR(__xludf.DUMMYFUNCTION("""COMPUTED_VALUE"""),255)</f>
        <v>255</v>
      </c>
      <c r="E110" s="1">
        <f ca="1">IFERROR(__xludf.DUMMYFUNCTION("""COMPUTED_VALUE"""),23)</f>
        <v>23</v>
      </c>
      <c r="F110" s="1" t="str">
        <f ca="1">IFERROR(__xludf.DUMMYFUNCTION("""COMPUTED_VALUE"""),"BRK, DET")</f>
        <v>BRK, DET</v>
      </c>
      <c r="G110" s="1">
        <f ca="1">IFERROR(__xludf.DUMMYFUNCTION("""COMPUTED_VALUE"""),32)</f>
        <v>32</v>
      </c>
      <c r="H110" s="1">
        <f ca="1">IFERROR(__xludf.DUMMYFUNCTION("""COMPUTED_VALUE"""),1)</f>
        <v>1</v>
      </c>
      <c r="I110" s="1" t="str">
        <f ca="1">IFERROR(__xludf.DUMMYFUNCTION("""COMPUTED_VALUE"""),"Iowa")</f>
        <v>Iowa</v>
      </c>
      <c r="J110" s="1" t="str">
        <f ca="1">IFERROR(__xludf.DUMMYFUNCTION("""COMPUTED_VALUE"""),"2019 NBA Draft, Undrafted")</f>
        <v>2019 NBA Draft, Undrafted</v>
      </c>
      <c r="K110" s="1" t="str">
        <f ca="1">IFERROR(__xludf.DUMMYFUNCTION("""COMPUTED_VALUE"""),"United States")</f>
        <v>United States</v>
      </c>
    </row>
    <row r="111" spans="1:11" ht="13" x14ac:dyDescent="0.15">
      <c r="A111" s="1" t="str">
        <f ca="1">IFERROR(__xludf.DUMMYFUNCTION("""COMPUTED_VALUE"""),"DeMarcus Cousins")</f>
        <v>DeMarcus Cousins</v>
      </c>
      <c r="B111" s="1" t="str">
        <f ca="1">IFERROR(__xludf.DUMMYFUNCTION("""COMPUTED_VALUE"""),"C")</f>
        <v>C</v>
      </c>
      <c r="C111" s="2">
        <f ca="1">IFERROR(__xludf.DUMMYFUNCTION("""COMPUTED_VALUE"""),44723)</f>
        <v>44723</v>
      </c>
      <c r="D111" s="1">
        <f ca="1">IFERROR(__xludf.DUMMYFUNCTION("""COMPUTED_VALUE"""),270)</f>
        <v>270</v>
      </c>
      <c r="E111" s="1">
        <f ca="1">IFERROR(__xludf.DUMMYFUNCTION("""COMPUTED_VALUE"""),30)</f>
        <v>30</v>
      </c>
      <c r="F111" s="1" t="str">
        <f ca="1">IFERROR(__xludf.DUMMYFUNCTION("""COMPUTED_VALUE"""),"HOU, LAC")</f>
        <v>HOU, LAC</v>
      </c>
      <c r="G111" s="1">
        <f ca="1">IFERROR(__xludf.DUMMYFUNCTION("""COMPUTED_VALUE"""),41)</f>
        <v>41</v>
      </c>
      <c r="H111" s="1">
        <f ca="1">IFERROR(__xludf.DUMMYFUNCTION("""COMPUTED_VALUE"""),10)</f>
        <v>10</v>
      </c>
      <c r="I111" s="1" t="str">
        <f ca="1">IFERROR(__xludf.DUMMYFUNCTION("""COMPUTED_VALUE"""),"Kentucky")</f>
        <v>Kentucky</v>
      </c>
      <c r="J111" s="1" t="str">
        <f ca="1">IFERROR(__xludf.DUMMYFUNCTION("""COMPUTED_VALUE"""),"2010 Rnd 1 Pick 5")</f>
        <v>2010 Rnd 1 Pick 5</v>
      </c>
      <c r="K111" s="1" t="str">
        <f ca="1">IFERROR(__xludf.DUMMYFUNCTION("""COMPUTED_VALUE"""),"United States")</f>
        <v>United States</v>
      </c>
    </row>
    <row r="112" spans="1:11" ht="13" x14ac:dyDescent="0.15">
      <c r="A112" s="1" t="str">
        <f ca="1">IFERROR(__xludf.DUMMYFUNCTION("""COMPUTED_VALUE"""),"Robert Covington")</f>
        <v>Robert Covington</v>
      </c>
      <c r="B112" s="1" t="str">
        <f ca="1">IFERROR(__xludf.DUMMYFUNCTION("""COMPUTED_VALUE"""),"F")</f>
        <v>F</v>
      </c>
      <c r="C112" s="2">
        <f ca="1">IFERROR(__xludf.DUMMYFUNCTION("""COMPUTED_VALUE"""),44719)</f>
        <v>44719</v>
      </c>
      <c r="D112" s="1">
        <f ca="1">IFERROR(__xludf.DUMMYFUNCTION("""COMPUTED_VALUE"""),209)</f>
        <v>209</v>
      </c>
      <c r="E112" s="1">
        <f ca="1">IFERROR(__xludf.DUMMYFUNCTION("""COMPUTED_VALUE"""),30)</f>
        <v>30</v>
      </c>
      <c r="F112" s="1" t="str">
        <f ca="1">IFERROR(__xludf.DUMMYFUNCTION("""COMPUTED_VALUE"""),"POR")</f>
        <v>POR</v>
      </c>
      <c r="G112" s="1">
        <f ca="1">IFERROR(__xludf.DUMMYFUNCTION("""COMPUTED_VALUE"""),70)</f>
        <v>70</v>
      </c>
      <c r="H112" s="1">
        <f ca="1">IFERROR(__xludf.DUMMYFUNCTION("""COMPUTED_VALUE"""),7)</f>
        <v>7</v>
      </c>
      <c r="I112" s="1" t="str">
        <f ca="1">IFERROR(__xludf.DUMMYFUNCTION("""COMPUTED_VALUE"""),"Tennessee State")</f>
        <v>Tennessee State</v>
      </c>
      <c r="J112" s="1" t="str">
        <f ca="1">IFERROR(__xludf.DUMMYFUNCTION("""COMPUTED_VALUE"""),"2013 NBA Draft, Undrafted")</f>
        <v>2013 NBA Draft, Undrafted</v>
      </c>
      <c r="K112" s="1" t="str">
        <f ca="1">IFERROR(__xludf.DUMMYFUNCTION("""COMPUTED_VALUE"""),"United States")</f>
        <v>United States</v>
      </c>
    </row>
    <row r="113" spans="1:11" ht="13" x14ac:dyDescent="0.15">
      <c r="A113" s="1" t="str">
        <f ca="1">IFERROR(__xludf.DUMMYFUNCTION("""COMPUTED_VALUE"""),"Torrey Craig")</f>
        <v>Torrey Craig</v>
      </c>
      <c r="B113" s="1" t="str">
        <f ca="1">IFERROR(__xludf.DUMMYFUNCTION("""COMPUTED_VALUE"""),"GF")</f>
        <v>GF</v>
      </c>
      <c r="C113" s="2">
        <f ca="1">IFERROR(__xludf.DUMMYFUNCTION("""COMPUTED_VALUE"""),44719)</f>
        <v>44719</v>
      </c>
      <c r="D113" s="1">
        <f ca="1">IFERROR(__xludf.DUMMYFUNCTION("""COMPUTED_VALUE"""),221)</f>
        <v>221</v>
      </c>
      <c r="E113" s="1">
        <f ca="1">IFERROR(__xludf.DUMMYFUNCTION("""COMPUTED_VALUE"""),30)</f>
        <v>30</v>
      </c>
      <c r="F113" s="1" t="str">
        <f ca="1">IFERROR(__xludf.DUMMYFUNCTION("""COMPUTED_VALUE"""),"MIL, PHX")</f>
        <v>MIL, PHX</v>
      </c>
      <c r="G113" s="1">
        <f ca="1">IFERROR(__xludf.DUMMYFUNCTION("""COMPUTED_VALUE"""),50)</f>
        <v>50</v>
      </c>
      <c r="H113" s="1">
        <f ca="1">IFERROR(__xludf.DUMMYFUNCTION("""COMPUTED_VALUE"""),3)</f>
        <v>3</v>
      </c>
      <c r="I113" s="1" t="str">
        <f ca="1">IFERROR(__xludf.DUMMYFUNCTION("""COMPUTED_VALUE"""),"USC Upstate")</f>
        <v>USC Upstate</v>
      </c>
      <c r="J113" s="1" t="str">
        <f ca="1">IFERROR(__xludf.DUMMYFUNCTION("""COMPUTED_VALUE"""),"2014 NBA Draft, Undrafted")</f>
        <v>2014 NBA Draft, Undrafted</v>
      </c>
      <c r="K113" s="1" t="str">
        <f ca="1">IFERROR(__xludf.DUMMYFUNCTION("""COMPUTED_VALUE"""),"United States")</f>
        <v>United States</v>
      </c>
    </row>
    <row r="114" spans="1:11" ht="13" x14ac:dyDescent="0.15">
      <c r="A114" s="1" t="str">
        <f ca="1">IFERROR(__xludf.DUMMYFUNCTION("""COMPUTED_VALUE"""),"Jae Crowder")</f>
        <v>Jae Crowder</v>
      </c>
      <c r="B114" s="1" t="str">
        <f ca="1">IFERROR(__xludf.DUMMYFUNCTION("""COMPUTED_VALUE"""),"SF")</f>
        <v>SF</v>
      </c>
      <c r="C114" s="2">
        <f ca="1">IFERROR(__xludf.DUMMYFUNCTION("""COMPUTED_VALUE"""),44718)</f>
        <v>44718</v>
      </c>
      <c r="D114" s="1">
        <f ca="1">IFERROR(__xludf.DUMMYFUNCTION("""COMPUTED_VALUE"""),235)</f>
        <v>235</v>
      </c>
      <c r="E114" s="1">
        <f ca="1">IFERROR(__xludf.DUMMYFUNCTION("""COMPUTED_VALUE"""),30)</f>
        <v>30</v>
      </c>
      <c r="F114" s="1" t="str">
        <f ca="1">IFERROR(__xludf.DUMMYFUNCTION("""COMPUTED_VALUE"""),"PHX")</f>
        <v>PHX</v>
      </c>
      <c r="G114" s="1">
        <f ca="1">IFERROR(__xludf.DUMMYFUNCTION("""COMPUTED_VALUE"""),60)</f>
        <v>60</v>
      </c>
      <c r="H114" s="1">
        <f ca="1">IFERROR(__xludf.DUMMYFUNCTION("""COMPUTED_VALUE"""),8)</f>
        <v>8</v>
      </c>
      <c r="I114" s="1" t="str">
        <f ca="1">IFERROR(__xludf.DUMMYFUNCTION("""COMPUTED_VALUE"""),"Marquette")</f>
        <v>Marquette</v>
      </c>
      <c r="J114" s="1" t="str">
        <f ca="1">IFERROR(__xludf.DUMMYFUNCTION("""COMPUTED_VALUE"""),"2012 Rnd 2 Pick 4")</f>
        <v>2012 Rnd 2 Pick 4</v>
      </c>
      <c r="K114" s="1" t="str">
        <f ca="1">IFERROR(__xludf.DUMMYFUNCTION("""COMPUTED_VALUE"""),"United States")</f>
        <v>United States</v>
      </c>
    </row>
    <row r="115" spans="1:11" ht="13" x14ac:dyDescent="0.15">
      <c r="A115" s="1" t="str">
        <f ca="1">IFERROR(__xludf.DUMMYFUNCTION("""COMPUTED_VALUE"""),"Jarrett Culver")</f>
        <v>Jarrett Culver</v>
      </c>
      <c r="B115" s="1" t="str">
        <f ca="1">IFERROR(__xludf.DUMMYFUNCTION("""COMPUTED_VALUE"""),"SG")</f>
        <v>SG</v>
      </c>
      <c r="C115" s="2">
        <f ca="1">IFERROR(__xludf.DUMMYFUNCTION("""COMPUTED_VALUE"""),44718)</f>
        <v>44718</v>
      </c>
      <c r="D115" s="1">
        <f ca="1">IFERROR(__xludf.DUMMYFUNCTION("""COMPUTED_VALUE"""),195)</f>
        <v>195</v>
      </c>
      <c r="E115" s="1">
        <f ca="1">IFERROR(__xludf.DUMMYFUNCTION("""COMPUTED_VALUE"""),22)</f>
        <v>22</v>
      </c>
      <c r="F115" s="1" t="str">
        <f ca="1">IFERROR(__xludf.DUMMYFUNCTION("""COMPUTED_VALUE"""),"MIN")</f>
        <v>MIN</v>
      </c>
      <c r="G115" s="1">
        <f ca="1">IFERROR(__xludf.DUMMYFUNCTION("""COMPUTED_VALUE"""),34)</f>
        <v>34</v>
      </c>
      <c r="H115" s="1">
        <f ca="1">IFERROR(__xludf.DUMMYFUNCTION("""COMPUTED_VALUE"""),1)</f>
        <v>1</v>
      </c>
      <c r="I115" s="1" t="str">
        <f ca="1">IFERROR(__xludf.DUMMYFUNCTION("""COMPUTED_VALUE"""),"Texas Tech")</f>
        <v>Texas Tech</v>
      </c>
      <c r="J115" s="1" t="str">
        <f ca="1">IFERROR(__xludf.DUMMYFUNCTION("""COMPUTED_VALUE"""),"2019 Rnd 1 Pick 6")</f>
        <v>2019 Rnd 1 Pick 6</v>
      </c>
      <c r="K115" s="1" t="str">
        <f ca="1">IFERROR(__xludf.DUMMYFUNCTION("""COMPUTED_VALUE"""),"United States")</f>
        <v>United States</v>
      </c>
    </row>
    <row r="116" spans="1:11" ht="13" x14ac:dyDescent="0.15">
      <c r="A116" s="1" t="str">
        <f ca="1">IFERROR(__xludf.DUMMYFUNCTION("""COMPUTED_VALUE"""),"Seth Curry")</f>
        <v>Seth Curry</v>
      </c>
      <c r="B116" s="1" t="str">
        <f ca="1">IFERROR(__xludf.DUMMYFUNCTION("""COMPUTED_VALUE"""),"G")</f>
        <v>G</v>
      </c>
      <c r="C116" s="2">
        <f ca="1">IFERROR(__xludf.DUMMYFUNCTION("""COMPUTED_VALUE"""),44713)</f>
        <v>44713</v>
      </c>
      <c r="D116" s="1">
        <f ca="1">IFERROR(__xludf.DUMMYFUNCTION("""COMPUTED_VALUE"""),190)</f>
        <v>190</v>
      </c>
      <c r="E116" s="1">
        <f ca="1">IFERROR(__xludf.DUMMYFUNCTION("""COMPUTED_VALUE"""),30)</f>
        <v>30</v>
      </c>
      <c r="F116" s="1" t="str">
        <f ca="1">IFERROR(__xludf.DUMMYFUNCTION("""COMPUTED_VALUE"""),"PHI")</f>
        <v>PHI</v>
      </c>
      <c r="G116" s="1">
        <f ca="1">IFERROR(__xludf.DUMMYFUNCTION("""COMPUTED_VALUE"""),57)</f>
        <v>57</v>
      </c>
      <c r="H116" s="1">
        <f ca="1">IFERROR(__xludf.DUMMYFUNCTION("""COMPUTED_VALUE"""),7)</f>
        <v>7</v>
      </c>
      <c r="I116" s="1" t="str">
        <f ca="1">IFERROR(__xludf.DUMMYFUNCTION("""COMPUTED_VALUE"""),"Duke")</f>
        <v>Duke</v>
      </c>
      <c r="J116" s="1" t="str">
        <f ca="1">IFERROR(__xludf.DUMMYFUNCTION("""COMPUTED_VALUE"""),"2013 NBA Draft, Undrafted")</f>
        <v>2013 NBA Draft, Undrafted</v>
      </c>
      <c r="K116" s="1" t="str">
        <f ca="1">IFERROR(__xludf.DUMMYFUNCTION("""COMPUTED_VALUE"""),"United States")</f>
        <v>United States</v>
      </c>
    </row>
    <row r="117" spans="1:11" ht="13" x14ac:dyDescent="0.15">
      <c r="A117" s="1" t="str">
        <f ca="1">IFERROR(__xludf.DUMMYFUNCTION("""COMPUTED_VALUE"""),"Stephen Curry")</f>
        <v>Stephen Curry</v>
      </c>
      <c r="B117" s="1" t="str">
        <f ca="1">IFERROR(__xludf.DUMMYFUNCTION("""COMPUTED_VALUE"""),"G")</f>
        <v>G</v>
      </c>
      <c r="C117" s="2">
        <f ca="1">IFERROR(__xludf.DUMMYFUNCTION("""COMPUTED_VALUE"""),44715)</f>
        <v>44715</v>
      </c>
      <c r="D117" s="1">
        <f ca="1">IFERROR(__xludf.DUMMYFUNCTION("""COMPUTED_VALUE"""),193)</f>
        <v>193</v>
      </c>
      <c r="E117" s="1">
        <f ca="1">IFERROR(__xludf.DUMMYFUNCTION("""COMPUTED_VALUE"""),32)</f>
        <v>32</v>
      </c>
      <c r="F117" s="1" t="str">
        <f ca="1">IFERROR(__xludf.DUMMYFUNCTION("""COMPUTED_VALUE"""),"GSW")</f>
        <v>GSW</v>
      </c>
      <c r="G117" s="1">
        <f ca="1">IFERROR(__xludf.DUMMYFUNCTION("""COMPUTED_VALUE"""),63)</f>
        <v>63</v>
      </c>
      <c r="H117" s="1">
        <f ca="1">IFERROR(__xludf.DUMMYFUNCTION("""COMPUTED_VALUE"""),11)</f>
        <v>11</v>
      </c>
      <c r="I117" s="1" t="str">
        <f ca="1">IFERROR(__xludf.DUMMYFUNCTION("""COMPUTED_VALUE"""),"Davidson")</f>
        <v>Davidson</v>
      </c>
      <c r="J117" s="1" t="str">
        <f ca="1">IFERROR(__xludf.DUMMYFUNCTION("""COMPUTED_VALUE"""),"2009 Rnd 1 Pick 7")</f>
        <v>2009 Rnd 1 Pick 7</v>
      </c>
      <c r="K117" s="1" t="str">
        <f ca="1">IFERROR(__xludf.DUMMYFUNCTION("""COMPUTED_VALUE"""),"United States")</f>
        <v>United States</v>
      </c>
    </row>
    <row r="118" spans="1:11" ht="13" x14ac:dyDescent="0.15">
      <c r="A118" s="1" t="str">
        <f ca="1">IFERROR(__xludf.DUMMYFUNCTION("""COMPUTED_VALUE"""),"Nate Darling")</f>
        <v>Nate Darling</v>
      </c>
      <c r="B118" s="1" t="str">
        <f ca="1">IFERROR(__xludf.DUMMYFUNCTION("""COMPUTED_VALUE"""),"SG")</f>
        <v>SG</v>
      </c>
      <c r="C118" s="2">
        <f ca="1">IFERROR(__xludf.DUMMYFUNCTION("""COMPUTED_VALUE"""),44717)</f>
        <v>44717</v>
      </c>
      <c r="D118" s="1">
        <f ca="1">IFERROR(__xludf.DUMMYFUNCTION("""COMPUTED_VALUE"""),200)</f>
        <v>200</v>
      </c>
      <c r="E118" s="1">
        <f ca="1">IFERROR(__xludf.DUMMYFUNCTION("""COMPUTED_VALUE"""),22)</f>
        <v>22</v>
      </c>
      <c r="F118" s="1" t="str">
        <f ca="1">IFERROR(__xludf.DUMMYFUNCTION("""COMPUTED_VALUE"""),"CHA")</f>
        <v>CHA</v>
      </c>
      <c r="G118" s="1">
        <f ca="1">IFERROR(__xludf.DUMMYFUNCTION("""COMPUTED_VALUE"""),7)</f>
        <v>7</v>
      </c>
      <c r="H118" s="1">
        <f ca="1">IFERROR(__xludf.DUMMYFUNCTION("""COMPUTED_VALUE"""),0)</f>
        <v>0</v>
      </c>
      <c r="I118" s="1" t="str">
        <f ca="1">IFERROR(__xludf.DUMMYFUNCTION("""COMPUTED_VALUE"""),"Delaware")</f>
        <v>Delaware</v>
      </c>
      <c r="J118" s="1" t="str">
        <f ca="1">IFERROR(__xludf.DUMMYFUNCTION("""COMPUTED_VALUE"""),"2020 NBA Draft, Undrafted")</f>
        <v>2020 NBA Draft, Undrafted</v>
      </c>
      <c r="K118" s="1" t="str">
        <f ca="1">IFERROR(__xludf.DUMMYFUNCTION("""COMPUTED_VALUE"""),"Canada")</f>
        <v>Canada</v>
      </c>
    </row>
    <row r="119" spans="1:11" ht="13" x14ac:dyDescent="0.15">
      <c r="A119" s="1" t="str">
        <f ca="1">IFERROR(__xludf.DUMMYFUNCTION("""COMPUTED_VALUE"""),"Anthony Davis")</f>
        <v>Anthony Davis</v>
      </c>
      <c r="B119" s="1" t="str">
        <f ca="1">IFERROR(__xludf.DUMMYFUNCTION("""COMPUTED_VALUE"""),"PF")</f>
        <v>PF</v>
      </c>
      <c r="C119" s="2">
        <f ca="1">IFERROR(__xludf.DUMMYFUNCTION("""COMPUTED_VALUE"""),44722)</f>
        <v>44722</v>
      </c>
      <c r="D119" s="1">
        <f ca="1">IFERROR(__xludf.DUMMYFUNCTION("""COMPUTED_VALUE"""),253)</f>
        <v>253</v>
      </c>
      <c r="E119" s="1">
        <f ca="1">IFERROR(__xludf.DUMMYFUNCTION("""COMPUTED_VALUE"""),27)</f>
        <v>27</v>
      </c>
      <c r="F119" s="1" t="str">
        <f ca="1">IFERROR(__xludf.DUMMYFUNCTION("""COMPUTED_VALUE"""),"LAL")</f>
        <v>LAL</v>
      </c>
      <c r="G119" s="1">
        <f ca="1">IFERROR(__xludf.DUMMYFUNCTION("""COMPUTED_VALUE"""),36)</f>
        <v>36</v>
      </c>
      <c r="H119" s="1">
        <f ca="1">IFERROR(__xludf.DUMMYFUNCTION("""COMPUTED_VALUE"""),8)</f>
        <v>8</v>
      </c>
      <c r="I119" s="1" t="str">
        <f ca="1">IFERROR(__xludf.DUMMYFUNCTION("""COMPUTED_VALUE"""),"Kentucky")</f>
        <v>Kentucky</v>
      </c>
      <c r="J119" s="1" t="str">
        <f ca="1">IFERROR(__xludf.DUMMYFUNCTION("""COMPUTED_VALUE"""),"2012 Rnd 1 Pick 1")</f>
        <v>2012 Rnd 1 Pick 1</v>
      </c>
      <c r="K119" s="1" t="str">
        <f ca="1">IFERROR(__xludf.DUMMYFUNCTION("""COMPUTED_VALUE"""),"United States")</f>
        <v>United States</v>
      </c>
    </row>
    <row r="120" spans="1:11" ht="13" x14ac:dyDescent="0.15">
      <c r="A120" s="1" t="str">
        <f ca="1">IFERROR(__xludf.DUMMYFUNCTION("""COMPUTED_VALUE"""),"Ed Davis")</f>
        <v>Ed Davis</v>
      </c>
      <c r="B120" s="1" t="str">
        <f ca="1">IFERROR(__xludf.DUMMYFUNCTION("""COMPUTED_VALUE"""),"PF")</f>
        <v>PF</v>
      </c>
      <c r="C120" s="2">
        <f ca="1">IFERROR(__xludf.DUMMYFUNCTION("""COMPUTED_VALUE"""),44721)</f>
        <v>44721</v>
      </c>
      <c r="D120" s="1">
        <f ca="1">IFERROR(__xludf.DUMMYFUNCTION("""COMPUTED_VALUE"""),218)</f>
        <v>218</v>
      </c>
      <c r="E120" s="1">
        <f ca="1">IFERROR(__xludf.DUMMYFUNCTION("""COMPUTED_VALUE"""),31)</f>
        <v>31</v>
      </c>
      <c r="F120" s="1" t="str">
        <f ca="1">IFERROR(__xludf.DUMMYFUNCTION("""COMPUTED_VALUE"""),"MIN")</f>
        <v>MIN</v>
      </c>
      <c r="G120" s="1">
        <f ca="1">IFERROR(__xludf.DUMMYFUNCTION("""COMPUTED_VALUE"""),23)</f>
        <v>23</v>
      </c>
      <c r="H120" s="1">
        <f ca="1">IFERROR(__xludf.DUMMYFUNCTION("""COMPUTED_VALUE"""),10)</f>
        <v>10</v>
      </c>
      <c r="I120" s="1" t="str">
        <f ca="1">IFERROR(__xludf.DUMMYFUNCTION("""COMPUTED_VALUE"""),"North Carolina")</f>
        <v>North Carolina</v>
      </c>
      <c r="J120" s="1" t="str">
        <f ca="1">IFERROR(__xludf.DUMMYFUNCTION("""COMPUTED_VALUE"""),"2010 Rnd 1 Pick 13")</f>
        <v>2010 Rnd 1 Pick 13</v>
      </c>
      <c r="K120" s="1" t="str">
        <f ca="1">IFERROR(__xludf.DUMMYFUNCTION("""COMPUTED_VALUE"""),"United States")</f>
        <v>United States</v>
      </c>
    </row>
    <row r="121" spans="1:11" ht="13" x14ac:dyDescent="0.15">
      <c r="A121" s="1" t="str">
        <f ca="1">IFERROR(__xludf.DUMMYFUNCTION("""COMPUTED_VALUE"""),"Terence Davis")</f>
        <v>Terence Davis</v>
      </c>
      <c r="B121" s="1" t="str">
        <f ca="1">IFERROR(__xludf.DUMMYFUNCTION("""COMPUTED_VALUE"""),"SF")</f>
        <v>SF</v>
      </c>
      <c r="C121" s="2">
        <f ca="1">IFERROR(__xludf.DUMMYFUNCTION("""COMPUTED_VALUE"""),44716)</f>
        <v>44716</v>
      </c>
      <c r="D121" s="1">
        <f ca="1">IFERROR(__xludf.DUMMYFUNCTION("""COMPUTED_VALUE"""),205)</f>
        <v>205</v>
      </c>
      <c r="E121" s="1">
        <f ca="1">IFERROR(__xludf.DUMMYFUNCTION("""COMPUTED_VALUE"""),23)</f>
        <v>23</v>
      </c>
      <c r="F121" s="1" t="str">
        <f ca="1">IFERROR(__xludf.DUMMYFUNCTION("""COMPUTED_VALUE"""),"SAC, TOR")</f>
        <v>SAC, TOR</v>
      </c>
      <c r="G121" s="1">
        <f ca="1">IFERROR(__xludf.DUMMYFUNCTION("""COMPUTED_VALUE"""),61)</f>
        <v>61</v>
      </c>
      <c r="H121" s="1">
        <f ca="1">IFERROR(__xludf.DUMMYFUNCTION("""COMPUTED_VALUE"""),1)</f>
        <v>1</v>
      </c>
      <c r="I121" s="1" t="str">
        <f ca="1">IFERROR(__xludf.DUMMYFUNCTION("""COMPUTED_VALUE"""),"Ole Miss")</f>
        <v>Ole Miss</v>
      </c>
      <c r="J121" s="1" t="str">
        <f ca="1">IFERROR(__xludf.DUMMYFUNCTION("""COMPUTED_VALUE"""),"2019 NBA Draft, Undrafted")</f>
        <v>2019 NBA Draft, Undrafted</v>
      </c>
      <c r="K121" s="1" t="str">
        <f ca="1">IFERROR(__xludf.DUMMYFUNCTION("""COMPUTED_VALUE"""),"United States")</f>
        <v>United States</v>
      </c>
    </row>
    <row r="122" spans="1:11" ht="13" x14ac:dyDescent="0.15">
      <c r="A122" s="1" t="str">
        <f ca="1">IFERROR(__xludf.DUMMYFUNCTION("""COMPUTED_VALUE"""),"DeMar DeRozan")</f>
        <v>DeMar DeRozan</v>
      </c>
      <c r="B122" s="1" t="str">
        <f ca="1">IFERROR(__xludf.DUMMYFUNCTION("""COMPUTED_VALUE"""),"GF")</f>
        <v>GF</v>
      </c>
      <c r="C122" s="2">
        <f ca="1">IFERROR(__xludf.DUMMYFUNCTION("""COMPUTED_VALUE"""),44718)</f>
        <v>44718</v>
      </c>
      <c r="D122" s="1">
        <f ca="1">IFERROR(__xludf.DUMMYFUNCTION("""COMPUTED_VALUE"""),220)</f>
        <v>220</v>
      </c>
      <c r="E122" s="1">
        <f ca="1">IFERROR(__xludf.DUMMYFUNCTION("""COMPUTED_VALUE"""),31)</f>
        <v>31</v>
      </c>
      <c r="F122" s="1" t="str">
        <f ca="1">IFERROR(__xludf.DUMMYFUNCTION("""COMPUTED_VALUE"""),"SAS")</f>
        <v>SAS</v>
      </c>
      <c r="G122" s="1">
        <f ca="1">IFERROR(__xludf.DUMMYFUNCTION("""COMPUTED_VALUE"""),61)</f>
        <v>61</v>
      </c>
      <c r="H122" s="1">
        <f ca="1">IFERROR(__xludf.DUMMYFUNCTION("""COMPUTED_VALUE"""),11)</f>
        <v>11</v>
      </c>
      <c r="I122" s="1" t="str">
        <f ca="1">IFERROR(__xludf.DUMMYFUNCTION("""COMPUTED_VALUE"""),"USC")</f>
        <v>USC</v>
      </c>
      <c r="J122" s="1" t="str">
        <f ca="1">IFERROR(__xludf.DUMMYFUNCTION("""COMPUTED_VALUE"""),"2009 Rnd 1 Pick 9")</f>
        <v>2009 Rnd 1 Pick 9</v>
      </c>
      <c r="K122" s="1" t="str">
        <f ca="1">IFERROR(__xludf.DUMMYFUNCTION("""COMPUTED_VALUE"""),"United States")</f>
        <v>United States</v>
      </c>
    </row>
    <row r="123" spans="1:11" ht="13" x14ac:dyDescent="0.15">
      <c r="A123" s="1" t="str">
        <f ca="1">IFERROR(__xludf.DUMMYFUNCTION("""COMPUTED_VALUE"""),"Gabriel Deck")</f>
        <v>Gabriel Deck</v>
      </c>
      <c r="B123" s="1" t="str">
        <f ca="1">IFERROR(__xludf.DUMMYFUNCTION("""COMPUTED_VALUE"""),"F")</f>
        <v>F</v>
      </c>
      <c r="C123" s="2">
        <f ca="1">IFERROR(__xludf.DUMMYFUNCTION("""COMPUTED_VALUE"""),44720)</f>
        <v>44720</v>
      </c>
      <c r="D123" s="1">
        <f ca="1">IFERROR(__xludf.DUMMYFUNCTION("""COMPUTED_VALUE"""),232)</f>
        <v>232</v>
      </c>
      <c r="E123" s="1">
        <f ca="1">IFERROR(__xludf.DUMMYFUNCTION("""COMPUTED_VALUE"""),26)</f>
        <v>26</v>
      </c>
      <c r="F123" s="1" t="str">
        <f ca="1">IFERROR(__xludf.DUMMYFUNCTION("""COMPUTED_VALUE"""),"OKC")</f>
        <v>OKC</v>
      </c>
      <c r="G123" s="1">
        <f ca="1">IFERROR(__xludf.DUMMYFUNCTION("""COMPUTED_VALUE"""),10)</f>
        <v>10</v>
      </c>
      <c r="H123" s="1">
        <f ca="1">IFERROR(__xludf.DUMMYFUNCTION("""COMPUTED_VALUE"""),0)</f>
        <v>0</v>
      </c>
      <c r="I123" s="1" t="str">
        <f ca="1">IFERROR(__xludf.DUMMYFUNCTION("""COMPUTED_VALUE"""),"Quimsa (Argentina)")</f>
        <v>Quimsa (Argentina)</v>
      </c>
      <c r="J123" s="1" t="str">
        <f ca="1">IFERROR(__xludf.DUMMYFUNCTION("""COMPUTED_VALUE"""),"2017 NBA Draft, Undrafted")</f>
        <v>2017 NBA Draft, Undrafted</v>
      </c>
      <c r="K123" s="1" t="str">
        <f ca="1">IFERROR(__xludf.DUMMYFUNCTION("""COMPUTED_VALUE"""),"Argentina")</f>
        <v>Argentina</v>
      </c>
    </row>
    <row r="124" spans="1:11" ht="13" x14ac:dyDescent="0.15">
      <c r="A124" s="1" t="str">
        <f ca="1">IFERROR(__xludf.DUMMYFUNCTION("""COMPUTED_VALUE"""),"Dewayne Dedmon")</f>
        <v>Dewayne Dedmon</v>
      </c>
      <c r="B124" s="1" t="str">
        <f ca="1">IFERROR(__xludf.DUMMYFUNCTION("""COMPUTED_VALUE"""),"PF")</f>
        <v>PF</v>
      </c>
      <c r="C124" s="1" t="str">
        <f ca="1">IFERROR(__xludf.DUMMYFUNCTION("""COMPUTED_VALUE"""),"7-0")</f>
        <v>7-0</v>
      </c>
      <c r="D124" s="1">
        <f ca="1">IFERROR(__xludf.DUMMYFUNCTION("""COMPUTED_VALUE"""),245)</f>
        <v>245</v>
      </c>
      <c r="E124" s="1">
        <f ca="1">IFERROR(__xludf.DUMMYFUNCTION("""COMPUTED_VALUE"""),31)</f>
        <v>31</v>
      </c>
      <c r="F124" s="1" t="str">
        <f ca="1">IFERROR(__xludf.DUMMYFUNCTION("""COMPUTED_VALUE"""),"MIA")</f>
        <v>MIA</v>
      </c>
      <c r="G124" s="1">
        <f ca="1">IFERROR(__xludf.DUMMYFUNCTION("""COMPUTED_VALUE"""),16)</f>
        <v>16</v>
      </c>
      <c r="H124" s="1">
        <f ca="1">IFERROR(__xludf.DUMMYFUNCTION("""COMPUTED_VALUE"""),7)</f>
        <v>7</v>
      </c>
      <c r="I124" s="1" t="str">
        <f ca="1">IFERROR(__xludf.DUMMYFUNCTION("""COMPUTED_VALUE"""),"USC")</f>
        <v>USC</v>
      </c>
      <c r="J124" s="1" t="str">
        <f ca="1">IFERROR(__xludf.DUMMYFUNCTION("""COMPUTED_VALUE"""),"2013 NBA Draft, Undrafted")</f>
        <v>2013 NBA Draft, Undrafted</v>
      </c>
      <c r="K124" s="1" t="str">
        <f ca="1">IFERROR(__xludf.DUMMYFUNCTION("""COMPUTED_VALUE"""),"United States")</f>
        <v>United States</v>
      </c>
    </row>
    <row r="125" spans="1:11" ht="13" x14ac:dyDescent="0.15">
      <c r="A125" s="1" t="str">
        <f ca="1">IFERROR(__xludf.DUMMYFUNCTION("""COMPUTED_VALUE"""),"Matt Dellavedova")</f>
        <v>Matt Dellavedova</v>
      </c>
      <c r="B125" s="1" t="str">
        <f ca="1">IFERROR(__xludf.DUMMYFUNCTION("""COMPUTED_VALUE"""),"G")</f>
        <v>G</v>
      </c>
      <c r="C125" s="2">
        <f ca="1">IFERROR(__xludf.DUMMYFUNCTION("""COMPUTED_VALUE"""),44715)</f>
        <v>44715</v>
      </c>
      <c r="D125" s="1">
        <f ca="1">IFERROR(__xludf.DUMMYFUNCTION("""COMPUTED_VALUE"""),204)</f>
        <v>204</v>
      </c>
      <c r="E125" s="1">
        <f ca="1">IFERROR(__xludf.DUMMYFUNCTION("""COMPUTED_VALUE"""),30)</f>
        <v>30</v>
      </c>
      <c r="F125" s="1" t="str">
        <f ca="1">IFERROR(__xludf.DUMMYFUNCTION("""COMPUTED_VALUE"""),"CLE")</f>
        <v>CLE</v>
      </c>
      <c r="G125" s="1">
        <f ca="1">IFERROR(__xludf.DUMMYFUNCTION("""COMPUTED_VALUE"""),13)</f>
        <v>13</v>
      </c>
      <c r="H125" s="1">
        <f ca="1">IFERROR(__xludf.DUMMYFUNCTION("""COMPUTED_VALUE"""),7)</f>
        <v>7</v>
      </c>
      <c r="I125" s="1" t="str">
        <f ca="1">IFERROR(__xludf.DUMMYFUNCTION("""COMPUTED_VALUE"""),"Saint Mary's")</f>
        <v>Saint Mary's</v>
      </c>
      <c r="J125" s="1" t="str">
        <f ca="1">IFERROR(__xludf.DUMMYFUNCTION("""COMPUTED_VALUE"""),"2013 NBA Draft, Undrafted")</f>
        <v>2013 NBA Draft, Undrafted</v>
      </c>
      <c r="K125" s="1" t="str">
        <f ca="1">IFERROR(__xludf.DUMMYFUNCTION("""COMPUTED_VALUE"""),"Australia")</f>
        <v>Australia</v>
      </c>
    </row>
    <row r="126" spans="1:11" ht="13" x14ac:dyDescent="0.15">
      <c r="A126" s="1" t="str">
        <f ca="1">IFERROR(__xludf.DUMMYFUNCTION("""COMPUTED_VALUE"""),"Donte DiVincenzo")</f>
        <v>Donte DiVincenzo</v>
      </c>
      <c r="B126" s="1" t="str">
        <f ca="1">IFERROR(__xludf.DUMMYFUNCTION("""COMPUTED_VALUE"""),"SG")</f>
        <v>SG</v>
      </c>
      <c r="C126" s="2">
        <f ca="1">IFERROR(__xludf.DUMMYFUNCTION("""COMPUTED_VALUE"""),44716)</f>
        <v>44716</v>
      </c>
      <c r="D126" s="1">
        <f ca="1">IFERROR(__xludf.DUMMYFUNCTION("""COMPUTED_VALUE"""),203)</f>
        <v>203</v>
      </c>
      <c r="E126" s="1">
        <f ca="1">IFERROR(__xludf.DUMMYFUNCTION("""COMPUTED_VALUE"""),24)</f>
        <v>24</v>
      </c>
      <c r="F126" s="1" t="str">
        <f ca="1">IFERROR(__xludf.DUMMYFUNCTION("""COMPUTED_VALUE"""),"MIL")</f>
        <v>MIL</v>
      </c>
      <c r="G126" s="1">
        <f ca="1">IFERROR(__xludf.DUMMYFUNCTION("""COMPUTED_VALUE"""),66)</f>
        <v>66</v>
      </c>
      <c r="H126" s="1">
        <f ca="1">IFERROR(__xludf.DUMMYFUNCTION("""COMPUTED_VALUE"""),2)</f>
        <v>2</v>
      </c>
      <c r="I126" s="1" t="str">
        <f ca="1">IFERROR(__xludf.DUMMYFUNCTION("""COMPUTED_VALUE"""),"Villanova")</f>
        <v>Villanova</v>
      </c>
      <c r="J126" s="1" t="str">
        <f ca="1">IFERROR(__xludf.DUMMYFUNCTION("""COMPUTED_VALUE"""),"2018 Rnd 1 Pick 17")</f>
        <v>2018 Rnd 1 Pick 17</v>
      </c>
      <c r="K126" s="1" t="str">
        <f ca="1">IFERROR(__xludf.DUMMYFUNCTION("""COMPUTED_VALUE"""),"United States")</f>
        <v>United States</v>
      </c>
    </row>
    <row r="127" spans="1:11" ht="13" x14ac:dyDescent="0.15">
      <c r="A127" s="1" t="str">
        <f ca="1">IFERROR(__xludf.DUMMYFUNCTION("""COMPUTED_VALUE"""),"Mamadi Diakite")</f>
        <v>Mamadi Diakite</v>
      </c>
      <c r="B127" s="1" t="str">
        <f ca="1">IFERROR(__xludf.DUMMYFUNCTION("""COMPUTED_VALUE"""),"PF")</f>
        <v>PF</v>
      </c>
      <c r="C127" s="2">
        <f ca="1">IFERROR(__xludf.DUMMYFUNCTION("""COMPUTED_VALUE"""),44721)</f>
        <v>44721</v>
      </c>
      <c r="D127" s="1">
        <f ca="1">IFERROR(__xludf.DUMMYFUNCTION("""COMPUTED_VALUE"""),218)</f>
        <v>218</v>
      </c>
      <c r="E127" s="1">
        <f ca="1">IFERROR(__xludf.DUMMYFUNCTION("""COMPUTED_VALUE"""),24)</f>
        <v>24</v>
      </c>
      <c r="F127" s="1" t="str">
        <f ca="1">IFERROR(__xludf.DUMMYFUNCTION("""COMPUTED_VALUE"""),"MIL")</f>
        <v>MIL</v>
      </c>
      <c r="G127" s="1">
        <f ca="1">IFERROR(__xludf.DUMMYFUNCTION("""COMPUTED_VALUE"""),14)</f>
        <v>14</v>
      </c>
      <c r="H127" s="1">
        <f ca="1">IFERROR(__xludf.DUMMYFUNCTION("""COMPUTED_VALUE"""),0)</f>
        <v>0</v>
      </c>
      <c r="I127" s="1" t="str">
        <f ca="1">IFERROR(__xludf.DUMMYFUNCTION("""COMPUTED_VALUE"""),"Virginia")</f>
        <v>Virginia</v>
      </c>
      <c r="J127" s="1" t="str">
        <f ca="1">IFERROR(__xludf.DUMMYFUNCTION("""COMPUTED_VALUE"""),"2020 NBA Draft, Undrafted")</f>
        <v>2020 NBA Draft, Undrafted</v>
      </c>
      <c r="K127" s="1" t="str">
        <f ca="1">IFERROR(__xludf.DUMMYFUNCTION("""COMPUTED_VALUE"""),"Guinea")</f>
        <v>Guinea</v>
      </c>
    </row>
    <row r="128" spans="1:11" ht="13" x14ac:dyDescent="0.15">
      <c r="A128" s="1" t="str">
        <f ca="1">IFERROR(__xludf.DUMMYFUNCTION("""COMPUTED_VALUE"""),"Hamidou Diallo")</f>
        <v>Hamidou Diallo</v>
      </c>
      <c r="B128" s="1" t="str">
        <f ca="1">IFERROR(__xludf.DUMMYFUNCTION("""COMPUTED_VALUE"""),"SG")</f>
        <v>SG</v>
      </c>
      <c r="C128" s="2">
        <f ca="1">IFERROR(__xludf.DUMMYFUNCTION("""COMPUTED_VALUE"""),44717)</f>
        <v>44717</v>
      </c>
      <c r="D128" s="1">
        <f ca="1">IFERROR(__xludf.DUMMYFUNCTION("""COMPUTED_VALUE"""),202)</f>
        <v>202</v>
      </c>
      <c r="E128" s="1">
        <f ca="1">IFERROR(__xludf.DUMMYFUNCTION("""COMPUTED_VALUE"""),22)</f>
        <v>22</v>
      </c>
      <c r="F128" s="1" t="str">
        <f ca="1">IFERROR(__xludf.DUMMYFUNCTION("""COMPUTED_VALUE"""),"DET, OKC")</f>
        <v>DET, OKC</v>
      </c>
      <c r="G128" s="1">
        <f ca="1">IFERROR(__xludf.DUMMYFUNCTION("""COMPUTED_VALUE"""),52)</f>
        <v>52</v>
      </c>
      <c r="H128" s="1">
        <f ca="1">IFERROR(__xludf.DUMMYFUNCTION("""COMPUTED_VALUE"""),2)</f>
        <v>2</v>
      </c>
      <c r="I128" s="1" t="str">
        <f ca="1">IFERROR(__xludf.DUMMYFUNCTION("""COMPUTED_VALUE"""),"Kentucky")</f>
        <v>Kentucky</v>
      </c>
      <c r="J128" s="1" t="str">
        <f ca="1">IFERROR(__xludf.DUMMYFUNCTION("""COMPUTED_VALUE"""),"2018 Rnd 2 Pick 15")</f>
        <v>2018 Rnd 2 Pick 15</v>
      </c>
      <c r="K128" s="1" t="str">
        <f ca="1">IFERROR(__xludf.DUMMYFUNCTION("""COMPUTED_VALUE"""),"United States
Guinea")</f>
        <v>United States
Guinea</v>
      </c>
    </row>
    <row r="129" spans="1:11" ht="13" x14ac:dyDescent="0.15">
      <c r="A129" s="1" t="str">
        <f ca="1">IFERROR(__xludf.DUMMYFUNCTION("""COMPUTED_VALUE"""),"Gorgui Dieng")</f>
        <v>Gorgui Dieng</v>
      </c>
      <c r="B129" s="1" t="str">
        <f ca="1">IFERROR(__xludf.DUMMYFUNCTION("""COMPUTED_VALUE"""),"FC")</f>
        <v>FC</v>
      </c>
      <c r="C129" s="2">
        <f ca="1">IFERROR(__xludf.DUMMYFUNCTION("""COMPUTED_VALUE"""),44722)</f>
        <v>44722</v>
      </c>
      <c r="D129" s="1">
        <f ca="1">IFERROR(__xludf.DUMMYFUNCTION("""COMPUTED_VALUE"""),250)</f>
        <v>250</v>
      </c>
      <c r="E129" s="1">
        <f ca="1">IFERROR(__xludf.DUMMYFUNCTION("""COMPUTED_VALUE"""),31)</f>
        <v>31</v>
      </c>
      <c r="F129" s="1" t="str">
        <f ca="1">IFERROR(__xludf.DUMMYFUNCTION("""COMPUTED_VALUE"""),"MEM, SAN")</f>
        <v>MEM, SAN</v>
      </c>
      <c r="G129" s="1">
        <f ca="1">IFERROR(__xludf.DUMMYFUNCTION("""COMPUTED_VALUE"""),38)</f>
        <v>38</v>
      </c>
      <c r="H129" s="1">
        <f ca="1">IFERROR(__xludf.DUMMYFUNCTION("""COMPUTED_VALUE"""),7)</f>
        <v>7</v>
      </c>
      <c r="I129" s="1" t="str">
        <f ca="1">IFERROR(__xludf.DUMMYFUNCTION("""COMPUTED_VALUE"""),"Louisville")</f>
        <v>Louisville</v>
      </c>
      <c r="J129" s="1" t="str">
        <f ca="1">IFERROR(__xludf.DUMMYFUNCTION("""COMPUTED_VALUE"""),"2013 Rnd 1 Pick 21")</f>
        <v>2013 Rnd 1 Pick 21</v>
      </c>
      <c r="K129" s="1" t="str">
        <f ca="1">IFERROR(__xludf.DUMMYFUNCTION("""COMPUTED_VALUE"""),"Senegal")</f>
        <v>Senegal</v>
      </c>
    </row>
    <row r="130" spans="1:11" ht="13" x14ac:dyDescent="0.15">
      <c r="A130" s="1" t="str">
        <f ca="1">IFERROR(__xludf.DUMMYFUNCTION("""COMPUTED_VALUE"""),"Spencer Dinwiddie")</f>
        <v>Spencer Dinwiddie</v>
      </c>
      <c r="B130" s="1" t="str">
        <f ca="1">IFERROR(__xludf.DUMMYFUNCTION("""COMPUTED_VALUE"""),"PG")</f>
        <v>PG</v>
      </c>
      <c r="C130" s="2">
        <f ca="1">IFERROR(__xludf.DUMMYFUNCTION("""COMPUTED_VALUE"""),44717)</f>
        <v>44717</v>
      </c>
      <c r="D130" s="1">
        <f ca="1">IFERROR(__xludf.DUMMYFUNCTION("""COMPUTED_VALUE"""),215)</f>
        <v>215</v>
      </c>
      <c r="E130" s="1">
        <f ca="1">IFERROR(__xludf.DUMMYFUNCTION("""COMPUTED_VALUE"""),27)</f>
        <v>27</v>
      </c>
      <c r="F130" s="1" t="str">
        <f ca="1">IFERROR(__xludf.DUMMYFUNCTION("""COMPUTED_VALUE"""),"BRK")</f>
        <v>BRK</v>
      </c>
      <c r="G130" s="1">
        <f ca="1">IFERROR(__xludf.DUMMYFUNCTION("""COMPUTED_VALUE"""),3)</f>
        <v>3</v>
      </c>
      <c r="H130" s="1">
        <f ca="1">IFERROR(__xludf.DUMMYFUNCTION("""COMPUTED_VALUE"""),6)</f>
        <v>6</v>
      </c>
      <c r="I130" s="1" t="str">
        <f ca="1">IFERROR(__xludf.DUMMYFUNCTION("""COMPUTED_VALUE"""),"Colorado")</f>
        <v>Colorado</v>
      </c>
      <c r="J130" s="1" t="str">
        <f ca="1">IFERROR(__xludf.DUMMYFUNCTION("""COMPUTED_VALUE"""),"2014 Rnd 2 Pick 8")</f>
        <v>2014 Rnd 2 Pick 8</v>
      </c>
      <c r="K130" s="1" t="str">
        <f ca="1">IFERROR(__xludf.DUMMYFUNCTION("""COMPUTED_VALUE"""),"United States")</f>
        <v>United States</v>
      </c>
    </row>
    <row r="131" spans="1:11" ht="13" x14ac:dyDescent="0.15">
      <c r="A131" s="1" t="str">
        <f ca="1">IFERROR(__xludf.DUMMYFUNCTION("""COMPUTED_VALUE"""),"Luka Doncic")</f>
        <v>Luka Doncic</v>
      </c>
      <c r="B131" s="1" t="str">
        <f ca="1">IFERROR(__xludf.DUMMYFUNCTION("""COMPUTED_VALUE"""),"SF")</f>
        <v>SF</v>
      </c>
      <c r="C131" s="2">
        <f ca="1">IFERROR(__xludf.DUMMYFUNCTION("""COMPUTED_VALUE"""),44719)</f>
        <v>44719</v>
      </c>
      <c r="D131" s="1">
        <f ca="1">IFERROR(__xludf.DUMMYFUNCTION("""COMPUTED_VALUE"""),230)</f>
        <v>230</v>
      </c>
      <c r="E131" s="1">
        <f ca="1">IFERROR(__xludf.DUMMYFUNCTION("""COMPUTED_VALUE"""),22)</f>
        <v>22</v>
      </c>
      <c r="F131" s="1" t="str">
        <f ca="1">IFERROR(__xludf.DUMMYFUNCTION("""COMPUTED_VALUE"""),"DAL")</f>
        <v>DAL</v>
      </c>
      <c r="G131" s="1">
        <f ca="1">IFERROR(__xludf.DUMMYFUNCTION("""COMPUTED_VALUE"""),66)</f>
        <v>66</v>
      </c>
      <c r="H131" s="1">
        <f ca="1">IFERROR(__xludf.DUMMYFUNCTION("""COMPUTED_VALUE"""),2)</f>
        <v>2</v>
      </c>
      <c r="I131" s="1" t="str">
        <f ca="1">IFERROR(__xludf.DUMMYFUNCTION("""COMPUTED_VALUE"""),"Real Madrid (Spain)")</f>
        <v>Real Madrid (Spain)</v>
      </c>
      <c r="J131" s="1" t="str">
        <f ca="1">IFERROR(__xludf.DUMMYFUNCTION("""COMPUTED_VALUE"""),"2018 Rnd 1 Pick 3")</f>
        <v>2018 Rnd 1 Pick 3</v>
      </c>
      <c r="K131" s="1" t="str">
        <f ca="1">IFERROR(__xludf.DUMMYFUNCTION("""COMPUTED_VALUE"""),"Slovenia")</f>
        <v>Slovenia</v>
      </c>
    </row>
    <row r="132" spans="1:11" ht="13" x14ac:dyDescent="0.15">
      <c r="A132" s="1" t="str">
        <f ca="1">IFERROR(__xludf.DUMMYFUNCTION("""COMPUTED_VALUE"""),"Luguentz Dort")</f>
        <v>Luguentz Dort</v>
      </c>
      <c r="B132" s="1" t="str">
        <f ca="1">IFERROR(__xludf.DUMMYFUNCTION("""COMPUTED_VALUE"""),"PG")</f>
        <v>PG</v>
      </c>
      <c r="C132" s="2">
        <f ca="1">IFERROR(__xludf.DUMMYFUNCTION("""COMPUTED_VALUE"""),44716)</f>
        <v>44716</v>
      </c>
      <c r="D132" s="1">
        <f ca="1">IFERROR(__xludf.DUMMYFUNCTION("""COMPUTED_VALUE"""),215)</f>
        <v>215</v>
      </c>
      <c r="E132" s="1">
        <f ca="1">IFERROR(__xludf.DUMMYFUNCTION("""COMPUTED_VALUE"""),21)</f>
        <v>21</v>
      </c>
      <c r="F132" s="1" t="str">
        <f ca="1">IFERROR(__xludf.DUMMYFUNCTION("""COMPUTED_VALUE"""),"OKC")</f>
        <v>OKC</v>
      </c>
      <c r="G132" s="1">
        <f ca="1">IFERROR(__xludf.DUMMYFUNCTION("""COMPUTED_VALUE"""),52)</f>
        <v>52</v>
      </c>
      <c r="H132" s="1">
        <f ca="1">IFERROR(__xludf.DUMMYFUNCTION("""COMPUTED_VALUE"""),1)</f>
        <v>1</v>
      </c>
      <c r="I132" s="1" t="str">
        <f ca="1">IFERROR(__xludf.DUMMYFUNCTION("""COMPUTED_VALUE"""),"Arizona State")</f>
        <v>Arizona State</v>
      </c>
      <c r="J132" s="1" t="str">
        <f ca="1">IFERROR(__xludf.DUMMYFUNCTION("""COMPUTED_VALUE"""),"2019 NBA Draft, Undrafted")</f>
        <v>2019 NBA Draft, Undrafted</v>
      </c>
      <c r="K132" s="1" t="str">
        <f ca="1">IFERROR(__xludf.DUMMYFUNCTION("""COMPUTED_VALUE"""),"Canada")</f>
        <v>Canada</v>
      </c>
    </row>
    <row r="133" spans="1:11" ht="13" x14ac:dyDescent="0.15">
      <c r="A133" s="1" t="str">
        <f ca="1">IFERROR(__xludf.DUMMYFUNCTION("""COMPUTED_VALUE"""),"Damyean Dotson")</f>
        <v>Damyean Dotson</v>
      </c>
      <c r="B133" s="1" t="str">
        <f ca="1">IFERROR(__xludf.DUMMYFUNCTION("""COMPUTED_VALUE"""),"SG")</f>
        <v>SG</v>
      </c>
      <c r="C133" s="2">
        <f ca="1">IFERROR(__xludf.DUMMYFUNCTION("""COMPUTED_VALUE"""),44717)</f>
        <v>44717</v>
      </c>
      <c r="D133" s="1">
        <f ca="1">IFERROR(__xludf.DUMMYFUNCTION("""COMPUTED_VALUE"""),205)</f>
        <v>205</v>
      </c>
      <c r="E133" s="1">
        <f ca="1">IFERROR(__xludf.DUMMYFUNCTION("""COMPUTED_VALUE"""),26)</f>
        <v>26</v>
      </c>
      <c r="F133" s="1" t="str">
        <f ca="1">IFERROR(__xludf.DUMMYFUNCTION("""COMPUTED_VALUE"""),"CLE")</f>
        <v>CLE</v>
      </c>
      <c r="G133" s="1">
        <f ca="1">IFERROR(__xludf.DUMMYFUNCTION("""COMPUTED_VALUE"""),46)</f>
        <v>46</v>
      </c>
      <c r="H133" s="1">
        <f ca="1">IFERROR(__xludf.DUMMYFUNCTION("""COMPUTED_VALUE"""),3)</f>
        <v>3</v>
      </c>
      <c r="I133" s="1" t="str">
        <f ca="1">IFERROR(__xludf.DUMMYFUNCTION("""COMPUTED_VALUE"""),"Houston")</f>
        <v>Houston</v>
      </c>
      <c r="J133" s="1" t="str">
        <f ca="1">IFERROR(__xludf.DUMMYFUNCTION("""COMPUTED_VALUE"""),"2017 Rnd 2 Pick 14")</f>
        <v>2017 Rnd 2 Pick 14</v>
      </c>
      <c r="K133" s="1" t="str">
        <f ca="1">IFERROR(__xludf.DUMMYFUNCTION("""COMPUTED_VALUE"""),"United States")</f>
        <v>United States</v>
      </c>
    </row>
    <row r="134" spans="1:11" ht="13" x14ac:dyDescent="0.15">
      <c r="A134" s="1" t="str">
        <f ca="1">IFERROR(__xludf.DUMMYFUNCTION("""COMPUTED_VALUE"""),"Devon Dotson")</f>
        <v>Devon Dotson</v>
      </c>
      <c r="B134" s="1" t="str">
        <f ca="1">IFERROR(__xludf.DUMMYFUNCTION("""COMPUTED_VALUE"""),"PG")</f>
        <v>PG</v>
      </c>
      <c r="C134" s="2">
        <f ca="1">IFERROR(__xludf.DUMMYFUNCTION("""COMPUTED_VALUE"""),44713)</f>
        <v>44713</v>
      </c>
      <c r="D134" s="1">
        <f ca="1">IFERROR(__xludf.DUMMYFUNCTION("""COMPUTED_VALUE"""),185)</f>
        <v>185</v>
      </c>
      <c r="E134" s="1">
        <f ca="1">IFERROR(__xludf.DUMMYFUNCTION("""COMPUTED_VALUE"""),21)</f>
        <v>21</v>
      </c>
      <c r="F134" s="1" t="str">
        <f ca="1">IFERROR(__xludf.DUMMYFUNCTION("""COMPUTED_VALUE"""),"CHI")</f>
        <v>CHI</v>
      </c>
      <c r="G134" s="1">
        <f ca="1">IFERROR(__xludf.DUMMYFUNCTION("""COMPUTED_VALUE"""),11)</f>
        <v>11</v>
      </c>
      <c r="H134" s="1">
        <f ca="1">IFERROR(__xludf.DUMMYFUNCTION("""COMPUTED_VALUE"""),0)</f>
        <v>0</v>
      </c>
      <c r="I134" s="1" t="str">
        <f ca="1">IFERROR(__xludf.DUMMYFUNCTION("""COMPUTED_VALUE"""),"Kansas")</f>
        <v>Kansas</v>
      </c>
      <c r="J134" s="1" t="str">
        <f ca="1">IFERROR(__xludf.DUMMYFUNCTION("""COMPUTED_VALUE"""),"2020 NBA Draft, Undrafted")</f>
        <v>2020 NBA Draft, Undrafted</v>
      </c>
      <c r="K134" s="1" t="str">
        <f ca="1">IFERROR(__xludf.DUMMYFUNCTION("""COMPUTED_VALUE"""),"United States")</f>
        <v>United States</v>
      </c>
    </row>
    <row r="135" spans="1:11" ht="13" x14ac:dyDescent="0.15">
      <c r="A135" s="1" t="str">
        <f ca="1">IFERROR(__xludf.DUMMYFUNCTION("""COMPUTED_VALUE"""),"Sekou Doumbouya")</f>
        <v>Sekou Doumbouya</v>
      </c>
      <c r="B135" s="1" t="str">
        <f ca="1">IFERROR(__xludf.DUMMYFUNCTION("""COMPUTED_VALUE"""),"F")</f>
        <v>F</v>
      </c>
      <c r="C135" s="2">
        <f ca="1">IFERROR(__xludf.DUMMYFUNCTION("""COMPUTED_VALUE"""),44720)</f>
        <v>44720</v>
      </c>
      <c r="D135" s="1">
        <f ca="1">IFERROR(__xludf.DUMMYFUNCTION("""COMPUTED_VALUE"""),235)</f>
        <v>235</v>
      </c>
      <c r="E135" s="1">
        <f ca="1">IFERROR(__xludf.DUMMYFUNCTION("""COMPUTED_VALUE"""),20)</f>
        <v>20</v>
      </c>
      <c r="F135" s="1" t="str">
        <f ca="1">IFERROR(__xludf.DUMMYFUNCTION("""COMPUTED_VALUE"""),"DET")</f>
        <v>DET</v>
      </c>
      <c r="G135" s="1">
        <f ca="1">IFERROR(__xludf.DUMMYFUNCTION("""COMPUTED_VALUE"""),56)</f>
        <v>56</v>
      </c>
      <c r="H135" s="1">
        <f ca="1">IFERROR(__xludf.DUMMYFUNCTION("""COMPUTED_VALUE"""),1)</f>
        <v>1</v>
      </c>
      <c r="I135" s="1" t="str">
        <f ca="1">IFERROR(__xludf.DUMMYFUNCTION("""COMPUTED_VALUE"""),"CSP Limoges (France)")</f>
        <v>CSP Limoges (France)</v>
      </c>
      <c r="J135" s="1" t="str">
        <f ca="1">IFERROR(__xludf.DUMMYFUNCTION("""COMPUTED_VALUE"""),"2019 Rnd 1 Pick 15")</f>
        <v>2019 Rnd 1 Pick 15</v>
      </c>
      <c r="K135" s="1" t="str">
        <f ca="1">IFERROR(__xludf.DUMMYFUNCTION("""COMPUTED_VALUE"""),"France
Guinea")</f>
        <v>France
Guinea</v>
      </c>
    </row>
    <row r="136" spans="1:11" ht="13" x14ac:dyDescent="0.15">
      <c r="A136" s="1" t="str">
        <f ca="1">IFERROR(__xludf.DUMMYFUNCTION("""COMPUTED_VALUE"""),"PJ Dozier")</f>
        <v>PJ Dozier</v>
      </c>
      <c r="B136" s="1" t="str">
        <f ca="1">IFERROR(__xludf.DUMMYFUNCTION("""COMPUTED_VALUE"""),"PG")</f>
        <v>PG</v>
      </c>
      <c r="C136" s="2">
        <f ca="1">IFERROR(__xludf.DUMMYFUNCTION("""COMPUTED_VALUE"""),44718)</f>
        <v>44718</v>
      </c>
      <c r="D136" s="1">
        <f ca="1">IFERROR(__xludf.DUMMYFUNCTION("""COMPUTED_VALUE"""),205)</f>
        <v>205</v>
      </c>
      <c r="E136" s="1">
        <f ca="1">IFERROR(__xludf.DUMMYFUNCTION("""COMPUTED_VALUE"""),24)</f>
        <v>24</v>
      </c>
      <c r="F136" s="1" t="str">
        <f ca="1">IFERROR(__xludf.DUMMYFUNCTION("""COMPUTED_VALUE"""),"DEN")</f>
        <v>DEN</v>
      </c>
      <c r="G136" s="1">
        <f ca="1">IFERROR(__xludf.DUMMYFUNCTION("""COMPUTED_VALUE"""),50)</f>
        <v>50</v>
      </c>
      <c r="H136" s="1">
        <f ca="1">IFERROR(__xludf.DUMMYFUNCTION("""COMPUTED_VALUE"""),3)</f>
        <v>3</v>
      </c>
      <c r="I136" s="1" t="str">
        <f ca="1">IFERROR(__xludf.DUMMYFUNCTION("""COMPUTED_VALUE"""),"South Carolina")</f>
        <v>South Carolina</v>
      </c>
      <c r="J136" s="1" t="str">
        <f ca="1">IFERROR(__xludf.DUMMYFUNCTION("""COMPUTED_VALUE"""),"2017 NBA Draft, Undrafted")</f>
        <v>2017 NBA Draft, Undrafted</v>
      </c>
      <c r="K136" s="1" t="str">
        <f ca="1">IFERROR(__xludf.DUMMYFUNCTION("""COMPUTED_VALUE"""),"United States")</f>
        <v>United States</v>
      </c>
    </row>
    <row r="137" spans="1:11" ht="13" x14ac:dyDescent="0.15">
      <c r="A137" s="1" t="str">
        <f ca="1">IFERROR(__xludf.DUMMYFUNCTION("""COMPUTED_VALUE"""),"Goran Dragic")</f>
        <v>Goran Dragic</v>
      </c>
      <c r="B137" s="1" t="str">
        <f ca="1">IFERROR(__xludf.DUMMYFUNCTION("""COMPUTED_VALUE"""),"G")</f>
        <v>G</v>
      </c>
      <c r="C137" s="2">
        <f ca="1">IFERROR(__xludf.DUMMYFUNCTION("""COMPUTED_VALUE"""),44715)</f>
        <v>44715</v>
      </c>
      <c r="D137" s="1">
        <f ca="1">IFERROR(__xludf.DUMMYFUNCTION("""COMPUTED_VALUE"""),190)</f>
        <v>190</v>
      </c>
      <c r="E137" s="1">
        <f ca="1">IFERROR(__xludf.DUMMYFUNCTION("""COMPUTED_VALUE"""),34)</f>
        <v>34</v>
      </c>
      <c r="F137" s="1" t="str">
        <f ca="1">IFERROR(__xludf.DUMMYFUNCTION("""COMPUTED_VALUE"""),"MIA")</f>
        <v>MIA</v>
      </c>
      <c r="G137" s="1">
        <f ca="1">IFERROR(__xludf.DUMMYFUNCTION("""COMPUTED_VALUE"""),50)</f>
        <v>50</v>
      </c>
      <c r="H137" s="1">
        <f ca="1">IFERROR(__xludf.DUMMYFUNCTION("""COMPUTED_VALUE"""),12)</f>
        <v>12</v>
      </c>
      <c r="I137" s="1" t="str">
        <f ca="1">IFERROR(__xludf.DUMMYFUNCTION("""COMPUTED_VALUE"""),"Union Olimpija (Slovenia)")</f>
        <v>Union Olimpija (Slovenia)</v>
      </c>
      <c r="J137" s="1" t="str">
        <f ca="1">IFERROR(__xludf.DUMMYFUNCTION("""COMPUTED_VALUE"""),"2008 Rnd 2 Pick 15")</f>
        <v>2008 Rnd 2 Pick 15</v>
      </c>
      <c r="K137" s="1" t="str">
        <f ca="1">IFERROR(__xludf.DUMMYFUNCTION("""COMPUTED_VALUE"""),"Slovenia")</f>
        <v>Slovenia</v>
      </c>
    </row>
    <row r="138" spans="1:11" ht="13" x14ac:dyDescent="0.15">
      <c r="A138" s="1" t="str">
        <f ca="1">IFERROR(__xludf.DUMMYFUNCTION("""COMPUTED_VALUE"""),"Andre Drummond")</f>
        <v>Andre Drummond</v>
      </c>
      <c r="B138" s="1" t="str">
        <f ca="1">IFERROR(__xludf.DUMMYFUNCTION("""COMPUTED_VALUE"""),"C")</f>
        <v>C</v>
      </c>
      <c r="C138" s="2">
        <f ca="1">IFERROR(__xludf.DUMMYFUNCTION("""COMPUTED_VALUE"""),44722)</f>
        <v>44722</v>
      </c>
      <c r="D138" s="1">
        <f ca="1">IFERROR(__xludf.DUMMYFUNCTION("""COMPUTED_VALUE"""),280)</f>
        <v>280</v>
      </c>
      <c r="E138" s="1">
        <f ca="1">IFERROR(__xludf.DUMMYFUNCTION("""COMPUTED_VALUE"""),27)</f>
        <v>27</v>
      </c>
      <c r="F138" s="1" t="str">
        <f ca="1">IFERROR(__xludf.DUMMYFUNCTION("""COMPUTED_VALUE"""),"CLE, LAL")</f>
        <v>CLE, LAL</v>
      </c>
      <c r="G138" s="1">
        <f ca="1">IFERROR(__xludf.DUMMYFUNCTION("""COMPUTED_VALUE"""),46)</f>
        <v>46</v>
      </c>
      <c r="H138" s="1">
        <f ca="1">IFERROR(__xludf.DUMMYFUNCTION("""COMPUTED_VALUE"""),8)</f>
        <v>8</v>
      </c>
      <c r="I138" s="1" t="str">
        <f ca="1">IFERROR(__xludf.DUMMYFUNCTION("""COMPUTED_VALUE"""),"Connecticut")</f>
        <v>Connecticut</v>
      </c>
      <c r="J138" s="1" t="str">
        <f ca="1">IFERROR(__xludf.DUMMYFUNCTION("""COMPUTED_VALUE"""),"2012 Rnd 1 Pick 9")</f>
        <v>2012 Rnd 1 Pick 9</v>
      </c>
      <c r="K138" s="1" t="str">
        <f ca="1">IFERROR(__xludf.DUMMYFUNCTION("""COMPUTED_VALUE"""),"United States")</f>
        <v>United States</v>
      </c>
    </row>
    <row r="139" spans="1:11" ht="13" x14ac:dyDescent="0.15">
      <c r="A139" s="1" t="str">
        <f ca="1">IFERROR(__xludf.DUMMYFUNCTION("""COMPUTED_VALUE"""),"Jared Dudley")</f>
        <v>Jared Dudley</v>
      </c>
      <c r="B139" s="1" t="str">
        <f ca="1">IFERROR(__xludf.DUMMYFUNCTION("""COMPUTED_VALUE"""),"PF")</f>
        <v>PF</v>
      </c>
      <c r="C139" s="2">
        <f ca="1">IFERROR(__xludf.DUMMYFUNCTION("""COMPUTED_VALUE"""),44719)</f>
        <v>44719</v>
      </c>
      <c r="D139" s="1">
        <f ca="1">IFERROR(__xludf.DUMMYFUNCTION("""COMPUTED_VALUE"""),237)</f>
        <v>237</v>
      </c>
      <c r="E139" s="1">
        <f ca="1">IFERROR(__xludf.DUMMYFUNCTION("""COMPUTED_VALUE"""),35)</f>
        <v>35</v>
      </c>
      <c r="F139" s="1" t="str">
        <f ca="1">IFERROR(__xludf.DUMMYFUNCTION("""COMPUTED_VALUE"""),"LAL")</f>
        <v>LAL</v>
      </c>
      <c r="G139" s="1">
        <f ca="1">IFERROR(__xludf.DUMMYFUNCTION("""COMPUTED_VALUE"""),12)</f>
        <v>12</v>
      </c>
      <c r="H139" s="1">
        <f ca="1">IFERROR(__xludf.DUMMYFUNCTION("""COMPUTED_VALUE"""),13)</f>
        <v>13</v>
      </c>
      <c r="I139" s="1" t="str">
        <f ca="1">IFERROR(__xludf.DUMMYFUNCTION("""COMPUTED_VALUE"""),"Boston College")</f>
        <v>Boston College</v>
      </c>
      <c r="J139" s="1" t="str">
        <f ca="1">IFERROR(__xludf.DUMMYFUNCTION("""COMPUTED_VALUE"""),"2007 Rnd 1 Pick 22")</f>
        <v>2007 Rnd 1 Pick 22</v>
      </c>
      <c r="K139" s="1" t="str">
        <f ca="1">IFERROR(__xludf.DUMMYFUNCTION("""COMPUTED_VALUE"""),"United States")</f>
        <v>United States</v>
      </c>
    </row>
    <row r="140" spans="1:11" ht="13" x14ac:dyDescent="0.15">
      <c r="A140" s="1" t="str">
        <f ca="1">IFERROR(__xludf.DUMMYFUNCTION("""COMPUTED_VALUE"""),"Kris Dunn")</f>
        <v>Kris Dunn</v>
      </c>
      <c r="B140" s="1" t="str">
        <f ca="1">IFERROR(__xludf.DUMMYFUNCTION("""COMPUTED_VALUE"""),"SG")</f>
        <v>SG</v>
      </c>
      <c r="C140" s="2">
        <f ca="1">IFERROR(__xludf.DUMMYFUNCTION("""COMPUTED_VALUE"""),44715)</f>
        <v>44715</v>
      </c>
      <c r="D140" s="1">
        <f ca="1">IFERROR(__xludf.DUMMYFUNCTION("""COMPUTED_VALUE"""),205)</f>
        <v>205</v>
      </c>
      <c r="E140" s="1">
        <f ca="1">IFERROR(__xludf.DUMMYFUNCTION("""COMPUTED_VALUE"""),26)</f>
        <v>26</v>
      </c>
      <c r="F140" s="1" t="str">
        <f ca="1">IFERROR(__xludf.DUMMYFUNCTION("""COMPUTED_VALUE"""),"ATL")</f>
        <v>ATL</v>
      </c>
      <c r="G140" s="1">
        <f ca="1">IFERROR(__xludf.DUMMYFUNCTION("""COMPUTED_VALUE"""),4)</f>
        <v>4</v>
      </c>
      <c r="H140" s="1">
        <f ca="1">IFERROR(__xludf.DUMMYFUNCTION("""COMPUTED_VALUE"""),4)</f>
        <v>4</v>
      </c>
      <c r="I140" s="1" t="str">
        <f ca="1">IFERROR(__xludf.DUMMYFUNCTION("""COMPUTED_VALUE"""),"Providence")</f>
        <v>Providence</v>
      </c>
      <c r="J140" s="1" t="str">
        <f ca="1">IFERROR(__xludf.DUMMYFUNCTION("""COMPUTED_VALUE"""),"2016 Rnd 1 Pick 5")</f>
        <v>2016 Rnd 1 Pick 5</v>
      </c>
      <c r="K140" s="1" t="str">
        <f ca="1">IFERROR(__xludf.DUMMYFUNCTION("""COMPUTED_VALUE"""),"United States")</f>
        <v>United States</v>
      </c>
    </row>
    <row r="141" spans="1:11" ht="13" x14ac:dyDescent="0.15">
      <c r="A141" s="1" t="str">
        <f ca="1">IFERROR(__xludf.DUMMYFUNCTION("""COMPUTED_VALUE"""),"Kevin Durant")</f>
        <v>Kevin Durant</v>
      </c>
      <c r="B141" s="1" t="str">
        <f ca="1">IFERROR(__xludf.DUMMYFUNCTION("""COMPUTED_VALUE"""),"SF")</f>
        <v>SF</v>
      </c>
      <c r="C141" s="2">
        <f ca="1">IFERROR(__xludf.DUMMYFUNCTION("""COMPUTED_VALUE"""),44722)</f>
        <v>44722</v>
      </c>
      <c r="D141" s="1">
        <f ca="1">IFERROR(__xludf.DUMMYFUNCTION("""COMPUTED_VALUE"""),225)</f>
        <v>225</v>
      </c>
      <c r="E141" s="1">
        <f ca="1">IFERROR(__xludf.DUMMYFUNCTION("""COMPUTED_VALUE"""),32)</f>
        <v>32</v>
      </c>
      <c r="F141" s="1" t="str">
        <f ca="1">IFERROR(__xludf.DUMMYFUNCTION("""COMPUTED_VALUE"""),"BRK")</f>
        <v>BRK</v>
      </c>
      <c r="G141" s="1">
        <f ca="1">IFERROR(__xludf.DUMMYFUNCTION("""COMPUTED_VALUE"""),35)</f>
        <v>35</v>
      </c>
      <c r="H141" s="1">
        <f ca="1">IFERROR(__xludf.DUMMYFUNCTION("""COMPUTED_VALUE"""),13)</f>
        <v>13</v>
      </c>
      <c r="I141" s="1" t="str">
        <f ca="1">IFERROR(__xludf.DUMMYFUNCTION("""COMPUTED_VALUE"""),"Texas")</f>
        <v>Texas</v>
      </c>
      <c r="J141" s="1" t="str">
        <f ca="1">IFERROR(__xludf.DUMMYFUNCTION("""COMPUTED_VALUE"""),"2007 Rnd 1 Pick 2")</f>
        <v>2007 Rnd 1 Pick 2</v>
      </c>
      <c r="K141" s="1" t="str">
        <f ca="1">IFERROR(__xludf.DUMMYFUNCTION("""COMPUTED_VALUE"""),"United States")</f>
        <v>United States</v>
      </c>
    </row>
    <row r="142" spans="1:11" ht="13" x14ac:dyDescent="0.15">
      <c r="A142" s="1" t="str">
        <f ca="1">IFERROR(__xludf.DUMMYFUNCTION("""COMPUTED_VALUE"""),"Anthony Edwards")</f>
        <v>Anthony Edwards</v>
      </c>
      <c r="B142" s="1" t="str">
        <f ca="1">IFERROR(__xludf.DUMMYFUNCTION("""COMPUTED_VALUE"""),"SF")</f>
        <v>SF</v>
      </c>
      <c r="C142" s="2">
        <f ca="1">IFERROR(__xludf.DUMMYFUNCTION("""COMPUTED_VALUE"""),44717)</f>
        <v>44717</v>
      </c>
      <c r="D142" s="1">
        <f ca="1">IFERROR(__xludf.DUMMYFUNCTION("""COMPUTED_VALUE"""),229)</f>
        <v>229</v>
      </c>
      <c r="E142" s="1">
        <f ca="1">IFERROR(__xludf.DUMMYFUNCTION("""COMPUTED_VALUE"""),19)</f>
        <v>19</v>
      </c>
      <c r="F142" s="1" t="str">
        <f ca="1">IFERROR(__xludf.DUMMYFUNCTION("""COMPUTED_VALUE"""),"MIN")</f>
        <v>MIN</v>
      </c>
      <c r="G142" s="1">
        <f ca="1">IFERROR(__xludf.DUMMYFUNCTION("""COMPUTED_VALUE"""),72)</f>
        <v>72</v>
      </c>
      <c r="H142" s="1">
        <f ca="1">IFERROR(__xludf.DUMMYFUNCTION("""COMPUTED_VALUE"""),0)</f>
        <v>0</v>
      </c>
      <c r="I142" s="1" t="str">
        <f ca="1">IFERROR(__xludf.DUMMYFUNCTION("""COMPUTED_VALUE"""),"Georgia")</f>
        <v>Georgia</v>
      </c>
      <c r="J142" s="1" t="str">
        <f ca="1">IFERROR(__xludf.DUMMYFUNCTION("""COMPUTED_VALUE"""),"2020 Rnd 1 Pick 1")</f>
        <v>2020 Rnd 1 Pick 1</v>
      </c>
      <c r="K142" s="1" t="str">
        <f ca="1">IFERROR(__xludf.DUMMYFUNCTION("""COMPUTED_VALUE"""),"United States")</f>
        <v>United States</v>
      </c>
    </row>
    <row r="143" spans="1:11" ht="13" x14ac:dyDescent="0.15">
      <c r="A143" s="1" t="str">
        <f ca="1">IFERROR(__xludf.DUMMYFUNCTION("""COMPUTED_VALUE"""),"Carsen Edwards")</f>
        <v>Carsen Edwards</v>
      </c>
      <c r="B143" s="1" t="str">
        <f ca="1">IFERROR(__xludf.DUMMYFUNCTION("""COMPUTED_VALUE"""),"PG")</f>
        <v>PG</v>
      </c>
      <c r="C143" s="2">
        <f ca="1">IFERROR(__xludf.DUMMYFUNCTION("""COMPUTED_VALUE"""),44692)</f>
        <v>44692</v>
      </c>
      <c r="D143" s="1">
        <f ca="1">IFERROR(__xludf.DUMMYFUNCTION("""COMPUTED_VALUE"""),200)</f>
        <v>200</v>
      </c>
      <c r="E143" s="1">
        <f ca="1">IFERROR(__xludf.DUMMYFUNCTION("""COMPUTED_VALUE"""),22)</f>
        <v>22</v>
      </c>
      <c r="F143" s="1" t="str">
        <f ca="1">IFERROR(__xludf.DUMMYFUNCTION("""COMPUTED_VALUE"""),"BOS")</f>
        <v>BOS</v>
      </c>
      <c r="G143" s="1">
        <f ca="1">IFERROR(__xludf.DUMMYFUNCTION("""COMPUTED_VALUE"""),31)</f>
        <v>31</v>
      </c>
      <c r="H143" s="1">
        <f ca="1">IFERROR(__xludf.DUMMYFUNCTION("""COMPUTED_VALUE"""),1)</f>
        <v>1</v>
      </c>
      <c r="I143" s="1" t="str">
        <f ca="1">IFERROR(__xludf.DUMMYFUNCTION("""COMPUTED_VALUE"""),"Purdue")</f>
        <v>Purdue</v>
      </c>
      <c r="J143" s="1" t="str">
        <f ca="1">IFERROR(__xludf.DUMMYFUNCTION("""COMPUTED_VALUE"""),"2019 Rnd 2 Pick 3")</f>
        <v>2019 Rnd 2 Pick 3</v>
      </c>
      <c r="K143" s="1" t="str">
        <f ca="1">IFERROR(__xludf.DUMMYFUNCTION("""COMPUTED_VALUE"""),"United States")</f>
        <v>United States</v>
      </c>
    </row>
    <row r="144" spans="1:11" ht="13" x14ac:dyDescent="0.15">
      <c r="A144" s="1" t="str">
        <f ca="1">IFERROR(__xludf.DUMMYFUNCTION("""COMPUTED_VALUE"""),"CJ Elleby")</f>
        <v>CJ Elleby</v>
      </c>
      <c r="B144" s="1" t="str">
        <f ca="1">IFERROR(__xludf.DUMMYFUNCTION("""COMPUTED_VALUE"""),"SF")</f>
        <v>SF</v>
      </c>
      <c r="C144" s="2">
        <f ca="1">IFERROR(__xludf.DUMMYFUNCTION("""COMPUTED_VALUE"""),44718)</f>
        <v>44718</v>
      </c>
      <c r="D144" s="1">
        <f ca="1">IFERROR(__xludf.DUMMYFUNCTION("""COMPUTED_VALUE"""),200)</f>
        <v>200</v>
      </c>
      <c r="E144" s="1">
        <f ca="1">IFERROR(__xludf.DUMMYFUNCTION("""COMPUTED_VALUE"""),20)</f>
        <v>20</v>
      </c>
      <c r="F144" s="1" t="str">
        <f ca="1">IFERROR(__xludf.DUMMYFUNCTION("""COMPUTED_VALUE"""),"POR")</f>
        <v>POR</v>
      </c>
      <c r="G144" s="1">
        <f ca="1">IFERROR(__xludf.DUMMYFUNCTION("""COMPUTED_VALUE"""),30)</f>
        <v>30</v>
      </c>
      <c r="H144" s="1">
        <f ca="1">IFERROR(__xludf.DUMMYFUNCTION("""COMPUTED_VALUE"""),0)</f>
        <v>0</v>
      </c>
      <c r="I144" s="1" t="str">
        <f ca="1">IFERROR(__xludf.DUMMYFUNCTION("""COMPUTED_VALUE"""),"Washington State")</f>
        <v>Washington State</v>
      </c>
      <c r="J144" s="1" t="str">
        <f ca="1">IFERROR(__xludf.DUMMYFUNCTION("""COMPUTED_VALUE"""),"2020 Rnd 2 Pick 16")</f>
        <v>2020 Rnd 2 Pick 16</v>
      </c>
      <c r="K144" s="1" t="str">
        <f ca="1">IFERROR(__xludf.DUMMYFUNCTION("""COMPUTED_VALUE"""),"United States")</f>
        <v>United States</v>
      </c>
    </row>
    <row r="145" spans="1:11" ht="13" x14ac:dyDescent="0.15">
      <c r="A145" s="1" t="str">
        <f ca="1">IFERROR(__xludf.DUMMYFUNCTION("""COMPUTED_VALUE"""),"Henry Ellenson")</f>
        <v>Henry Ellenson</v>
      </c>
      <c r="B145" s="1" t="str">
        <f ca="1">IFERROR(__xludf.DUMMYFUNCTION("""COMPUTED_VALUE"""),"PF")</f>
        <v>PF</v>
      </c>
      <c r="C145" s="2">
        <f ca="1">IFERROR(__xludf.DUMMYFUNCTION("""COMPUTED_VALUE"""),44722)</f>
        <v>44722</v>
      </c>
      <c r="D145" s="1">
        <f ca="1">IFERROR(__xludf.DUMMYFUNCTION("""COMPUTED_VALUE"""),240)</f>
        <v>240</v>
      </c>
      <c r="E145" s="1">
        <f ca="1">IFERROR(__xludf.DUMMYFUNCTION("""COMPUTED_VALUE"""),24)</f>
        <v>24</v>
      </c>
      <c r="F145" s="1" t="str">
        <f ca="1">IFERROR(__xludf.DUMMYFUNCTION("""COMPUTED_VALUE"""),"TOR")</f>
        <v>TOR</v>
      </c>
      <c r="G145" s="1">
        <f ca="1">IFERROR(__xludf.DUMMYFUNCTION("""COMPUTED_VALUE"""),2)</f>
        <v>2</v>
      </c>
      <c r="H145" s="1">
        <f ca="1">IFERROR(__xludf.DUMMYFUNCTION("""COMPUTED_VALUE"""),4)</f>
        <v>4</v>
      </c>
      <c r="I145" s="1" t="str">
        <f ca="1">IFERROR(__xludf.DUMMYFUNCTION("""COMPUTED_VALUE"""),"Marquette")</f>
        <v>Marquette</v>
      </c>
      <c r="J145" s="1" t="str">
        <f ca="1">IFERROR(__xludf.DUMMYFUNCTION("""COMPUTED_VALUE"""),"2016 Rnd 1 Pick 18")</f>
        <v>2016 Rnd 1 Pick 18</v>
      </c>
      <c r="K145" s="1" t="str">
        <f ca="1">IFERROR(__xludf.DUMMYFUNCTION("""COMPUTED_VALUE"""),"United States")</f>
        <v>United States</v>
      </c>
    </row>
    <row r="146" spans="1:11" ht="13" x14ac:dyDescent="0.15">
      <c r="A146" s="1" t="str">
        <f ca="1">IFERROR(__xludf.DUMMYFUNCTION("""COMPUTED_VALUE"""),"Wayne Ellington")</f>
        <v>Wayne Ellington</v>
      </c>
      <c r="B146" s="1" t="str">
        <f ca="1">IFERROR(__xludf.DUMMYFUNCTION("""COMPUTED_VALUE"""),"SG")</f>
        <v>SG</v>
      </c>
      <c r="C146" s="2">
        <f ca="1">IFERROR(__xludf.DUMMYFUNCTION("""COMPUTED_VALUE"""),44716)</f>
        <v>44716</v>
      </c>
      <c r="D146" s="1">
        <f ca="1">IFERROR(__xludf.DUMMYFUNCTION("""COMPUTED_VALUE"""),207)</f>
        <v>207</v>
      </c>
      <c r="E146" s="1">
        <f ca="1">IFERROR(__xludf.DUMMYFUNCTION("""COMPUTED_VALUE"""),33)</f>
        <v>33</v>
      </c>
      <c r="F146" s="1" t="str">
        <f ca="1">IFERROR(__xludf.DUMMYFUNCTION("""COMPUTED_VALUE"""),"DET")</f>
        <v>DET</v>
      </c>
      <c r="G146" s="1">
        <f ca="1">IFERROR(__xludf.DUMMYFUNCTION("""COMPUTED_VALUE"""),46)</f>
        <v>46</v>
      </c>
      <c r="H146" s="1">
        <f ca="1">IFERROR(__xludf.DUMMYFUNCTION("""COMPUTED_VALUE"""),11)</f>
        <v>11</v>
      </c>
      <c r="I146" s="1" t="str">
        <f ca="1">IFERROR(__xludf.DUMMYFUNCTION("""COMPUTED_VALUE"""),"North Carolina")</f>
        <v>North Carolina</v>
      </c>
      <c r="J146" s="1" t="str">
        <f ca="1">IFERROR(__xludf.DUMMYFUNCTION("""COMPUTED_VALUE"""),"2009 Rnd 1 Pick 28")</f>
        <v>2009 Rnd 1 Pick 28</v>
      </c>
      <c r="K146" s="1" t="str">
        <f ca="1">IFERROR(__xludf.DUMMYFUNCTION("""COMPUTED_VALUE"""),"United States")</f>
        <v>United States</v>
      </c>
    </row>
    <row r="147" spans="1:11" ht="13" x14ac:dyDescent="0.15">
      <c r="A147" s="1" t="str">
        <f ca="1">IFERROR(__xludf.DUMMYFUNCTION("""COMPUTED_VALUE"""),"Joel Embiid")</f>
        <v>Joel Embiid</v>
      </c>
      <c r="B147" s="1" t="str">
        <f ca="1">IFERROR(__xludf.DUMMYFUNCTION("""COMPUTED_VALUE"""),"C")</f>
        <v>C</v>
      </c>
      <c r="C147" s="1" t="str">
        <f ca="1">IFERROR(__xludf.DUMMYFUNCTION("""COMPUTED_VALUE"""),"7-0")</f>
        <v>7-0</v>
      </c>
      <c r="D147" s="1">
        <f ca="1">IFERROR(__xludf.DUMMYFUNCTION("""COMPUTED_VALUE"""),280)</f>
        <v>280</v>
      </c>
      <c r="E147" s="1">
        <f ca="1">IFERROR(__xludf.DUMMYFUNCTION("""COMPUTED_VALUE"""),26)</f>
        <v>26</v>
      </c>
      <c r="F147" s="1" t="str">
        <f ca="1">IFERROR(__xludf.DUMMYFUNCTION("""COMPUTED_VALUE"""),"PHI")</f>
        <v>PHI</v>
      </c>
      <c r="G147" s="1">
        <f ca="1">IFERROR(__xludf.DUMMYFUNCTION("""COMPUTED_VALUE"""),51)</f>
        <v>51</v>
      </c>
      <c r="H147" s="1">
        <f ca="1">IFERROR(__xludf.DUMMYFUNCTION("""COMPUTED_VALUE"""),6)</f>
        <v>6</v>
      </c>
      <c r="I147" s="1" t="str">
        <f ca="1">IFERROR(__xludf.DUMMYFUNCTION("""COMPUTED_VALUE"""),"Kansas")</f>
        <v>Kansas</v>
      </c>
      <c r="J147" s="1" t="str">
        <f ca="1">IFERROR(__xludf.DUMMYFUNCTION("""COMPUTED_VALUE"""),"2014 Rnd 1 Pick 3")</f>
        <v>2014 Rnd 1 Pick 3</v>
      </c>
      <c r="K147" s="1" t="str">
        <f ca="1">IFERROR(__xludf.DUMMYFUNCTION("""COMPUTED_VALUE"""),"Cameroon")</f>
        <v>Cameroon</v>
      </c>
    </row>
    <row r="148" spans="1:11" ht="13" x14ac:dyDescent="0.15">
      <c r="A148" s="1" t="str">
        <f ca="1">IFERROR(__xludf.DUMMYFUNCTION("""COMPUTED_VALUE"""),"James Ennis")</f>
        <v>James Ennis</v>
      </c>
      <c r="B148" s="1" t="str">
        <f ca="1">IFERROR(__xludf.DUMMYFUNCTION("""COMPUTED_VALUE"""),"GF")</f>
        <v>GF</v>
      </c>
      <c r="C148" s="2">
        <f ca="1">IFERROR(__xludf.DUMMYFUNCTION("""COMPUTED_VALUE"""),44718)</f>
        <v>44718</v>
      </c>
      <c r="D148" s="1">
        <f ca="1">IFERROR(__xludf.DUMMYFUNCTION("""COMPUTED_VALUE"""),215)</f>
        <v>215</v>
      </c>
      <c r="E148" s="1">
        <f ca="1">IFERROR(__xludf.DUMMYFUNCTION("""COMPUTED_VALUE"""),30)</f>
        <v>30</v>
      </c>
      <c r="F148" s="1" t="str">
        <f ca="1">IFERROR(__xludf.DUMMYFUNCTION("""COMPUTED_VALUE"""),"ORL")</f>
        <v>ORL</v>
      </c>
      <c r="G148" s="1">
        <f ca="1">IFERROR(__xludf.DUMMYFUNCTION("""COMPUTED_VALUE"""),41)</f>
        <v>41</v>
      </c>
      <c r="H148" s="1">
        <f ca="1">IFERROR(__xludf.DUMMYFUNCTION("""COMPUTED_VALUE"""),6)</f>
        <v>6</v>
      </c>
      <c r="I148" s="1" t="str">
        <f ca="1">IFERROR(__xludf.DUMMYFUNCTION("""COMPUTED_VALUE"""),"Long Beach State")</f>
        <v>Long Beach State</v>
      </c>
      <c r="J148" s="1" t="str">
        <f ca="1">IFERROR(__xludf.DUMMYFUNCTION("""COMPUTED_VALUE"""),"2013 Rnd 2 Pick 20")</f>
        <v>2013 Rnd 2 Pick 20</v>
      </c>
      <c r="K148" s="1" t="str">
        <f ca="1">IFERROR(__xludf.DUMMYFUNCTION("""COMPUTED_VALUE"""),"United States")</f>
        <v>United States</v>
      </c>
    </row>
    <row r="149" spans="1:11" ht="13" x14ac:dyDescent="0.15">
      <c r="A149" s="1" t="str">
        <f ca="1">IFERROR(__xludf.DUMMYFUNCTION("""COMPUTED_VALUE"""),"Drew Eubanks")</f>
        <v>Drew Eubanks</v>
      </c>
      <c r="B149" s="1" t="str">
        <f ca="1">IFERROR(__xludf.DUMMYFUNCTION("""COMPUTED_VALUE"""),"C")</f>
        <v>C</v>
      </c>
      <c r="C149" s="2">
        <f ca="1">IFERROR(__xludf.DUMMYFUNCTION("""COMPUTED_VALUE"""),44722)</f>
        <v>44722</v>
      </c>
      <c r="D149" s="1">
        <f ca="1">IFERROR(__xludf.DUMMYFUNCTION("""COMPUTED_VALUE"""),245)</f>
        <v>245</v>
      </c>
      <c r="E149" s="1">
        <f ca="1">IFERROR(__xludf.DUMMYFUNCTION("""COMPUTED_VALUE"""),24)</f>
        <v>24</v>
      </c>
      <c r="F149" s="1" t="str">
        <f ca="1">IFERROR(__xludf.DUMMYFUNCTION("""COMPUTED_VALUE"""),"SAS")</f>
        <v>SAS</v>
      </c>
      <c r="G149" s="1">
        <f ca="1">IFERROR(__xludf.DUMMYFUNCTION("""COMPUTED_VALUE"""),54)</f>
        <v>54</v>
      </c>
      <c r="H149" s="1">
        <f ca="1">IFERROR(__xludf.DUMMYFUNCTION("""COMPUTED_VALUE"""),2)</f>
        <v>2</v>
      </c>
      <c r="I149" s="1" t="str">
        <f ca="1">IFERROR(__xludf.DUMMYFUNCTION("""COMPUTED_VALUE"""),"Oregon State")</f>
        <v>Oregon State</v>
      </c>
      <c r="J149" s="1" t="str">
        <f ca="1">IFERROR(__xludf.DUMMYFUNCTION("""COMPUTED_VALUE"""),"2018 NBA Draft, Undrafted")</f>
        <v>2018 NBA Draft, Undrafted</v>
      </c>
      <c r="K149" s="1" t="str">
        <f ca="1">IFERROR(__xludf.DUMMYFUNCTION("""COMPUTED_VALUE"""),"United States")</f>
        <v>United States</v>
      </c>
    </row>
    <row r="150" spans="1:11" ht="13" x14ac:dyDescent="0.15">
      <c r="A150" s="1" t="str">
        <f ca="1">IFERROR(__xludf.DUMMYFUNCTION("""COMPUTED_VALUE"""),"Dante Exum")</f>
        <v>Dante Exum</v>
      </c>
      <c r="B150" s="1" t="str">
        <f ca="1">IFERROR(__xludf.DUMMYFUNCTION("""COMPUTED_VALUE"""),"PG")</f>
        <v>PG</v>
      </c>
      <c r="C150" s="2">
        <f ca="1">IFERROR(__xludf.DUMMYFUNCTION("""COMPUTED_VALUE"""),44717)</f>
        <v>44717</v>
      </c>
      <c r="D150" s="1">
        <f ca="1">IFERROR(__xludf.DUMMYFUNCTION("""COMPUTED_VALUE"""),214)</f>
        <v>214</v>
      </c>
      <c r="E150" s="1">
        <f ca="1">IFERROR(__xludf.DUMMYFUNCTION("""COMPUTED_VALUE"""),25)</f>
        <v>25</v>
      </c>
      <c r="F150" s="1" t="str">
        <f ca="1">IFERROR(__xludf.DUMMYFUNCTION("""COMPUTED_VALUE"""),"CLE")</f>
        <v>CLE</v>
      </c>
      <c r="G150" s="1">
        <f ca="1">IFERROR(__xludf.DUMMYFUNCTION("""COMPUTED_VALUE"""),6)</f>
        <v>6</v>
      </c>
      <c r="H150" s="1">
        <f ca="1">IFERROR(__xludf.DUMMYFUNCTION("""COMPUTED_VALUE"""),6)</f>
        <v>6</v>
      </c>
      <c r="I150" s="1" t="str">
        <f ca="1">IFERROR(__xludf.DUMMYFUNCTION("""COMPUTED_VALUE"""),"Australian Institute of Sport (Australian Capital Territory)")</f>
        <v>Australian Institute of Sport (Australian Capital Territory)</v>
      </c>
      <c r="J150" s="1" t="str">
        <f ca="1">IFERROR(__xludf.DUMMYFUNCTION("""COMPUTED_VALUE"""),"2014 Rnd 1 Pick 5")</f>
        <v>2014 Rnd 1 Pick 5</v>
      </c>
      <c r="K150" s="1" t="str">
        <f ca="1">IFERROR(__xludf.DUMMYFUNCTION("""COMPUTED_VALUE"""),"Australia")</f>
        <v>Australia</v>
      </c>
    </row>
    <row r="151" spans="1:11" ht="13" x14ac:dyDescent="0.15">
      <c r="A151" s="1" t="str">
        <f ca="1">IFERROR(__xludf.DUMMYFUNCTION("""COMPUTED_VALUE"""),"Tacko Fall")</f>
        <v>Tacko Fall</v>
      </c>
      <c r="B151" s="1" t="str">
        <f ca="1">IFERROR(__xludf.DUMMYFUNCTION("""COMPUTED_VALUE"""),"C")</f>
        <v>C</v>
      </c>
      <c r="C151" s="2">
        <f ca="1">IFERROR(__xludf.DUMMYFUNCTION("""COMPUTED_VALUE"""),44748)</f>
        <v>44748</v>
      </c>
      <c r="D151" s="1">
        <f ca="1">IFERROR(__xludf.DUMMYFUNCTION("""COMPUTED_VALUE"""),250)</f>
        <v>250</v>
      </c>
      <c r="E151" s="1">
        <f ca="1">IFERROR(__xludf.DUMMYFUNCTION("""COMPUTED_VALUE"""),25)</f>
        <v>25</v>
      </c>
      <c r="F151" s="1" t="str">
        <f ca="1">IFERROR(__xludf.DUMMYFUNCTION("""COMPUTED_VALUE"""),"BOS")</f>
        <v>BOS</v>
      </c>
      <c r="G151" s="1">
        <f ca="1">IFERROR(__xludf.DUMMYFUNCTION("""COMPUTED_VALUE"""),19)</f>
        <v>19</v>
      </c>
      <c r="H151" s="1">
        <f ca="1">IFERROR(__xludf.DUMMYFUNCTION("""COMPUTED_VALUE"""),1)</f>
        <v>1</v>
      </c>
      <c r="I151" s="1" t="str">
        <f ca="1">IFERROR(__xludf.DUMMYFUNCTION("""COMPUTED_VALUE"""),"UCF")</f>
        <v>UCF</v>
      </c>
      <c r="J151" s="1" t="str">
        <f ca="1">IFERROR(__xludf.DUMMYFUNCTION("""COMPUTED_VALUE"""),"2019 NBA Draft, Undrafted")</f>
        <v>2019 NBA Draft, Undrafted</v>
      </c>
      <c r="K151" s="1" t="str">
        <f ca="1">IFERROR(__xludf.DUMMYFUNCTION("""COMPUTED_VALUE"""),"Senegal")</f>
        <v>Senegal</v>
      </c>
    </row>
    <row r="152" spans="1:11" ht="13" x14ac:dyDescent="0.15">
      <c r="A152" s="1" t="str">
        <f ca="1">IFERROR(__xludf.DUMMYFUNCTION("""COMPUTED_VALUE"""),"Derrick Favors")</f>
        <v>Derrick Favors</v>
      </c>
      <c r="B152" s="1" t="str">
        <f ca="1">IFERROR(__xludf.DUMMYFUNCTION("""COMPUTED_VALUE"""),"FC")</f>
        <v>FC</v>
      </c>
      <c r="C152" s="2">
        <f ca="1">IFERROR(__xludf.DUMMYFUNCTION("""COMPUTED_VALUE"""),44722)</f>
        <v>44722</v>
      </c>
      <c r="D152" s="1">
        <f ca="1">IFERROR(__xludf.DUMMYFUNCTION("""COMPUTED_VALUE"""),265)</f>
        <v>265</v>
      </c>
      <c r="E152" s="1">
        <f ca="1">IFERROR(__xludf.DUMMYFUNCTION("""COMPUTED_VALUE"""),29)</f>
        <v>29</v>
      </c>
      <c r="F152" s="1" t="str">
        <f ca="1">IFERROR(__xludf.DUMMYFUNCTION("""COMPUTED_VALUE"""),"UTA")</f>
        <v>UTA</v>
      </c>
      <c r="G152" s="1">
        <f ca="1">IFERROR(__xludf.DUMMYFUNCTION("""COMPUTED_VALUE"""),68)</f>
        <v>68</v>
      </c>
      <c r="H152" s="1">
        <f ca="1">IFERROR(__xludf.DUMMYFUNCTION("""COMPUTED_VALUE"""),10)</f>
        <v>10</v>
      </c>
      <c r="I152" s="1" t="str">
        <f ca="1">IFERROR(__xludf.DUMMYFUNCTION("""COMPUTED_VALUE"""),"Georgia Tech")</f>
        <v>Georgia Tech</v>
      </c>
      <c r="J152" s="1" t="str">
        <f ca="1">IFERROR(__xludf.DUMMYFUNCTION("""COMPUTED_VALUE"""),"2010 Rnd 1 Pick 3")</f>
        <v>2010 Rnd 1 Pick 3</v>
      </c>
      <c r="K152" s="1" t="str">
        <f ca="1">IFERROR(__xludf.DUMMYFUNCTION("""COMPUTED_VALUE"""),"United States")</f>
        <v>United States</v>
      </c>
    </row>
    <row r="153" spans="1:11" ht="13" x14ac:dyDescent="0.15">
      <c r="A153" s="1" t="str">
        <f ca="1">IFERROR(__xludf.DUMMYFUNCTION("""COMPUTED_VALUE"""),"Cristiano Felicio")</f>
        <v>Cristiano Felicio</v>
      </c>
      <c r="B153" s="1" t="str">
        <f ca="1">IFERROR(__xludf.DUMMYFUNCTION("""COMPUTED_VALUE"""),"C")</f>
        <v>C</v>
      </c>
      <c r="C153" s="2">
        <f ca="1">IFERROR(__xludf.DUMMYFUNCTION("""COMPUTED_VALUE"""),44722)</f>
        <v>44722</v>
      </c>
      <c r="D153" s="1">
        <f ca="1">IFERROR(__xludf.DUMMYFUNCTION("""COMPUTED_VALUE"""),275)</f>
        <v>275</v>
      </c>
      <c r="E153" s="1">
        <f ca="1">IFERROR(__xludf.DUMMYFUNCTION("""COMPUTED_VALUE"""),28)</f>
        <v>28</v>
      </c>
      <c r="F153" s="1" t="str">
        <f ca="1">IFERROR(__xludf.DUMMYFUNCTION("""COMPUTED_VALUE"""),"CHI")</f>
        <v>CHI</v>
      </c>
      <c r="G153" s="1">
        <f ca="1">IFERROR(__xludf.DUMMYFUNCTION("""COMPUTED_VALUE"""),18)</f>
        <v>18</v>
      </c>
      <c r="H153" s="1">
        <f ca="1">IFERROR(__xludf.DUMMYFUNCTION("""COMPUTED_VALUE"""),5)</f>
        <v>5</v>
      </c>
      <c r="I153" s="1" t="str">
        <f ca="1">IFERROR(__xludf.DUMMYFUNCTION("""COMPUTED_VALUE"""),"Minas (Brazil)")</f>
        <v>Minas (Brazil)</v>
      </c>
      <c r="J153" s="1" t="str">
        <f ca="1">IFERROR(__xludf.DUMMYFUNCTION("""COMPUTED_VALUE"""),"2014 NBA Draft, Undrafted")</f>
        <v>2014 NBA Draft, Undrafted</v>
      </c>
      <c r="K153" s="1" t="str">
        <f ca="1">IFERROR(__xludf.DUMMYFUNCTION("""COMPUTED_VALUE"""),"Brazil")</f>
        <v>Brazil</v>
      </c>
    </row>
    <row r="154" spans="1:11" ht="13" x14ac:dyDescent="0.15">
      <c r="A154" s="1" t="str">
        <f ca="1">IFERROR(__xludf.DUMMYFUNCTION("""COMPUTED_VALUE"""),"Terrance Ferguson")</f>
        <v>Terrance Ferguson</v>
      </c>
      <c r="B154" s="1" t="str">
        <f ca="1">IFERROR(__xludf.DUMMYFUNCTION("""COMPUTED_VALUE"""),"SG")</f>
        <v>SG</v>
      </c>
      <c r="C154" s="2">
        <f ca="1">IFERROR(__xludf.DUMMYFUNCTION("""COMPUTED_VALUE"""),44719)</f>
        <v>44719</v>
      </c>
      <c r="D154" s="1">
        <f ca="1">IFERROR(__xludf.DUMMYFUNCTION("""COMPUTED_VALUE"""),190)</f>
        <v>190</v>
      </c>
      <c r="E154" s="1">
        <f ca="1">IFERROR(__xludf.DUMMYFUNCTION("""COMPUTED_VALUE"""),22)</f>
        <v>22</v>
      </c>
      <c r="F154" s="1" t="str">
        <f ca="1">IFERROR(__xludf.DUMMYFUNCTION("""COMPUTED_VALUE"""),"PHI")</f>
        <v>PHI</v>
      </c>
      <c r="G154" s="1">
        <f ca="1">IFERROR(__xludf.DUMMYFUNCTION("""COMPUTED_VALUE"""),13)</f>
        <v>13</v>
      </c>
      <c r="H154" s="1">
        <f ca="1">IFERROR(__xludf.DUMMYFUNCTION("""COMPUTED_VALUE"""),3)</f>
        <v>3</v>
      </c>
      <c r="I154" s="1" t="str">
        <f ca="1">IFERROR(__xludf.DUMMYFUNCTION("""COMPUTED_VALUE"""),"Adelaide (Australia)")</f>
        <v>Adelaide (Australia)</v>
      </c>
      <c r="J154" s="1" t="str">
        <f ca="1">IFERROR(__xludf.DUMMYFUNCTION("""COMPUTED_VALUE"""),"2017 Rnd 1 Pick 21")</f>
        <v>2017 Rnd 1 Pick 21</v>
      </c>
      <c r="K154" s="1" t="str">
        <f ca="1">IFERROR(__xludf.DUMMYFUNCTION("""COMPUTED_VALUE"""),"United States")</f>
        <v>United States</v>
      </c>
    </row>
    <row r="155" spans="1:11" ht="13" x14ac:dyDescent="0.15">
      <c r="A155" s="1" t="str">
        <f ca="1">IFERROR(__xludf.DUMMYFUNCTION("""COMPUTED_VALUE"""),"Bruno Fernando")</f>
        <v>Bruno Fernando</v>
      </c>
      <c r="B155" s="1" t="str">
        <f ca="1">IFERROR(__xludf.DUMMYFUNCTION("""COMPUTED_VALUE"""),"C")</f>
        <v>C</v>
      </c>
      <c r="C155" s="2">
        <f ca="1">IFERROR(__xludf.DUMMYFUNCTION("""COMPUTED_VALUE"""),44721)</f>
        <v>44721</v>
      </c>
      <c r="D155" s="1">
        <f ca="1">IFERROR(__xludf.DUMMYFUNCTION("""COMPUTED_VALUE"""),240)</f>
        <v>240</v>
      </c>
      <c r="E155" s="1">
        <f ca="1">IFERROR(__xludf.DUMMYFUNCTION("""COMPUTED_VALUE"""),22)</f>
        <v>22</v>
      </c>
      <c r="F155" s="1" t="str">
        <f ca="1">IFERROR(__xludf.DUMMYFUNCTION("""COMPUTED_VALUE"""),"ATL")</f>
        <v>ATL</v>
      </c>
      <c r="G155" s="1">
        <f ca="1">IFERROR(__xludf.DUMMYFUNCTION("""COMPUTED_VALUE"""),33)</f>
        <v>33</v>
      </c>
      <c r="H155" s="1">
        <f ca="1">IFERROR(__xludf.DUMMYFUNCTION("""COMPUTED_VALUE"""),1)</f>
        <v>1</v>
      </c>
      <c r="I155" s="1" t="str">
        <f ca="1">IFERROR(__xludf.DUMMYFUNCTION("""COMPUTED_VALUE"""),"Maryland")</f>
        <v>Maryland</v>
      </c>
      <c r="J155" s="1" t="str">
        <f ca="1">IFERROR(__xludf.DUMMYFUNCTION("""COMPUTED_VALUE"""),"2019 Rnd 2 Pick 4")</f>
        <v>2019 Rnd 2 Pick 4</v>
      </c>
      <c r="K155" s="1" t="str">
        <f ca="1">IFERROR(__xludf.DUMMYFUNCTION("""COMPUTED_VALUE"""),"Angola")</f>
        <v>Angola</v>
      </c>
    </row>
    <row r="156" spans="1:11" ht="13" x14ac:dyDescent="0.15">
      <c r="A156" s="1" t="str">
        <f ca="1">IFERROR(__xludf.DUMMYFUNCTION("""COMPUTED_VALUE"""),"Yogi Ferrell")</f>
        <v>Yogi Ferrell</v>
      </c>
      <c r="B156" s="1" t="str">
        <f ca="1">IFERROR(__xludf.DUMMYFUNCTION("""COMPUTED_VALUE"""),"G")</f>
        <v>G</v>
      </c>
      <c r="C156" s="1" t="str">
        <f ca="1">IFERROR(__xludf.DUMMYFUNCTION("""COMPUTED_VALUE"""),"6-0")</f>
        <v>6-0</v>
      </c>
      <c r="D156" s="1">
        <f ca="1">IFERROR(__xludf.DUMMYFUNCTION("""COMPUTED_VALUE"""),180)</f>
        <v>180</v>
      </c>
      <c r="E156" s="1">
        <f ca="1">IFERROR(__xludf.DUMMYFUNCTION("""COMPUTED_VALUE"""),27)</f>
        <v>27</v>
      </c>
      <c r="F156" s="1" t="str">
        <f ca="1">IFERROR(__xludf.DUMMYFUNCTION("""COMPUTED_VALUE"""),"CLE, LAC")</f>
        <v>CLE, LAC</v>
      </c>
      <c r="G156" s="1">
        <f ca="1">IFERROR(__xludf.DUMMYFUNCTION("""COMPUTED_VALUE"""),10)</f>
        <v>10</v>
      </c>
      <c r="H156" s="1">
        <f ca="1">IFERROR(__xludf.DUMMYFUNCTION("""COMPUTED_VALUE"""),4)</f>
        <v>4</v>
      </c>
      <c r="I156" s="1" t="str">
        <f ca="1">IFERROR(__xludf.DUMMYFUNCTION("""COMPUTED_VALUE"""),"Indiana")</f>
        <v>Indiana</v>
      </c>
      <c r="J156" s="1" t="str">
        <f ca="1">IFERROR(__xludf.DUMMYFUNCTION("""COMPUTED_VALUE"""),"2016 NBA Draft, Undrafted")</f>
        <v>2016 NBA Draft, Undrafted</v>
      </c>
      <c r="K156" s="1" t="str">
        <f ca="1">IFERROR(__xludf.DUMMYFUNCTION("""COMPUTED_VALUE"""),"United States")</f>
        <v>United States</v>
      </c>
    </row>
    <row r="157" spans="1:11" ht="13" x14ac:dyDescent="0.15">
      <c r="A157" s="1" t="str">
        <f ca="1">IFERROR(__xludf.DUMMYFUNCTION("""COMPUTED_VALUE"""),"Dorian Finney-Smith")</f>
        <v>Dorian Finney-Smith</v>
      </c>
      <c r="B157" s="1" t="str">
        <f ca="1">IFERROR(__xludf.DUMMYFUNCTION("""COMPUTED_VALUE"""),"SF")</f>
        <v>SF</v>
      </c>
      <c r="C157" s="2">
        <f ca="1">IFERROR(__xludf.DUMMYFUNCTION("""COMPUTED_VALUE"""),44719)</f>
        <v>44719</v>
      </c>
      <c r="D157" s="1">
        <f ca="1">IFERROR(__xludf.DUMMYFUNCTION("""COMPUTED_VALUE"""),220)</f>
        <v>220</v>
      </c>
      <c r="E157" s="1">
        <f ca="1">IFERROR(__xludf.DUMMYFUNCTION("""COMPUTED_VALUE"""),27)</f>
        <v>27</v>
      </c>
      <c r="F157" s="1" t="str">
        <f ca="1">IFERROR(__xludf.DUMMYFUNCTION("""COMPUTED_VALUE"""),"DAL")</f>
        <v>DAL</v>
      </c>
      <c r="G157" s="1">
        <f ca="1">IFERROR(__xludf.DUMMYFUNCTION("""COMPUTED_VALUE"""),60)</f>
        <v>60</v>
      </c>
      <c r="H157" s="1">
        <f ca="1">IFERROR(__xludf.DUMMYFUNCTION("""COMPUTED_VALUE"""),4)</f>
        <v>4</v>
      </c>
      <c r="I157" s="1" t="str">
        <f ca="1">IFERROR(__xludf.DUMMYFUNCTION("""COMPUTED_VALUE"""),"Florida")</f>
        <v>Florida</v>
      </c>
      <c r="J157" s="1" t="str">
        <f ca="1">IFERROR(__xludf.DUMMYFUNCTION("""COMPUTED_VALUE"""),"2016 NBA Draft, Undrafted")</f>
        <v>2016 NBA Draft, Undrafted</v>
      </c>
      <c r="K157" s="1" t="str">
        <f ca="1">IFERROR(__xludf.DUMMYFUNCTION("""COMPUTED_VALUE"""),"United States")</f>
        <v>United States</v>
      </c>
    </row>
    <row r="158" spans="1:11" ht="13" x14ac:dyDescent="0.15">
      <c r="A158" s="1" t="str">
        <f ca="1">IFERROR(__xludf.DUMMYFUNCTION("""COMPUTED_VALUE"""),"Malik Fitts")</f>
        <v>Malik Fitts</v>
      </c>
      <c r="B158" s="1" t="str">
        <f ca="1">IFERROR(__xludf.DUMMYFUNCTION("""COMPUTED_VALUE"""),"SF")</f>
        <v>SF</v>
      </c>
      <c r="C158" s="2">
        <f ca="1">IFERROR(__xludf.DUMMYFUNCTION("""COMPUTED_VALUE"""),44720)</f>
        <v>44720</v>
      </c>
      <c r="D158" s="1">
        <f ca="1">IFERROR(__xludf.DUMMYFUNCTION("""COMPUTED_VALUE"""),230)</f>
        <v>230</v>
      </c>
      <c r="E158" s="1">
        <f ca="1">IFERROR(__xludf.DUMMYFUNCTION("""COMPUTED_VALUE"""),23)</f>
        <v>23</v>
      </c>
      <c r="F158" s="1" t="str">
        <f ca="1">IFERROR(__xludf.DUMMYFUNCTION("""COMPUTED_VALUE"""),"LAC")</f>
        <v>LAC</v>
      </c>
      <c r="G158" s="1">
        <f ca="1">IFERROR(__xludf.DUMMYFUNCTION("""COMPUTED_VALUE"""),3)</f>
        <v>3</v>
      </c>
      <c r="H158" s="1">
        <f ca="1">IFERROR(__xludf.DUMMYFUNCTION("""COMPUTED_VALUE"""),0)</f>
        <v>0</v>
      </c>
      <c r="I158" s="1" t="str">
        <f ca="1">IFERROR(__xludf.DUMMYFUNCTION("""COMPUTED_VALUE"""),"Saint Mary's")</f>
        <v>Saint Mary's</v>
      </c>
      <c r="J158" s="1" t="str">
        <f ca="1">IFERROR(__xludf.DUMMYFUNCTION("""COMPUTED_VALUE"""),"2020 NBA Draft, Undrafted")</f>
        <v>2020 NBA Draft, Undrafted</v>
      </c>
      <c r="K158" s="1" t="str">
        <f ca="1">IFERROR(__xludf.DUMMYFUNCTION("""COMPUTED_VALUE"""),"United States")</f>
        <v>United States</v>
      </c>
    </row>
    <row r="159" spans="1:11" ht="13" x14ac:dyDescent="0.15">
      <c r="A159" s="1" t="str">
        <f ca="1">IFERROR(__xludf.DUMMYFUNCTION("""COMPUTED_VALUE"""),"Malachi Flynn")</f>
        <v>Malachi Flynn</v>
      </c>
      <c r="B159" s="1" t="str">
        <f ca="1">IFERROR(__xludf.DUMMYFUNCTION("""COMPUTED_VALUE"""),"PG")</f>
        <v>PG</v>
      </c>
      <c r="C159" s="2">
        <f ca="1">IFERROR(__xludf.DUMMYFUNCTION("""COMPUTED_VALUE"""),44713)</f>
        <v>44713</v>
      </c>
      <c r="D159" s="1">
        <f ca="1">IFERROR(__xludf.DUMMYFUNCTION("""COMPUTED_VALUE"""),185)</f>
        <v>185</v>
      </c>
      <c r="E159" s="1">
        <f ca="1">IFERROR(__xludf.DUMMYFUNCTION("""COMPUTED_VALUE"""),22)</f>
        <v>22</v>
      </c>
      <c r="F159" s="1" t="str">
        <f ca="1">IFERROR(__xludf.DUMMYFUNCTION("""COMPUTED_VALUE"""),"TOR")</f>
        <v>TOR</v>
      </c>
      <c r="G159" s="1">
        <f ca="1">IFERROR(__xludf.DUMMYFUNCTION("""COMPUTED_VALUE"""),47)</f>
        <v>47</v>
      </c>
      <c r="H159" s="1">
        <f ca="1">IFERROR(__xludf.DUMMYFUNCTION("""COMPUTED_VALUE"""),0)</f>
        <v>0</v>
      </c>
      <c r="I159" s="1" t="str">
        <f ca="1">IFERROR(__xludf.DUMMYFUNCTION("""COMPUTED_VALUE"""),"San Diego State")</f>
        <v>San Diego State</v>
      </c>
      <c r="J159" s="1" t="str">
        <f ca="1">IFERROR(__xludf.DUMMYFUNCTION("""COMPUTED_VALUE"""),"2020 Rnd 1 Pick 29")</f>
        <v>2020 Rnd 1 Pick 29</v>
      </c>
      <c r="K159" s="1" t="str">
        <f ca="1">IFERROR(__xludf.DUMMYFUNCTION("""COMPUTED_VALUE"""),"United States")</f>
        <v>United States</v>
      </c>
    </row>
    <row r="160" spans="1:11" ht="13" x14ac:dyDescent="0.15">
      <c r="A160" s="1" t="str">
        <f ca="1">IFERROR(__xludf.DUMMYFUNCTION("""COMPUTED_VALUE"""),"Bryn Forbes")</f>
        <v>Bryn Forbes</v>
      </c>
      <c r="B160" s="1" t="str">
        <f ca="1">IFERROR(__xludf.DUMMYFUNCTION("""COMPUTED_VALUE"""),"G")</f>
        <v>G</v>
      </c>
      <c r="C160" s="2">
        <f ca="1">IFERROR(__xludf.DUMMYFUNCTION("""COMPUTED_VALUE"""),44714)</f>
        <v>44714</v>
      </c>
      <c r="D160" s="1">
        <f ca="1">IFERROR(__xludf.DUMMYFUNCTION("""COMPUTED_VALUE"""),205)</f>
        <v>205</v>
      </c>
      <c r="E160" s="1">
        <f ca="1">IFERROR(__xludf.DUMMYFUNCTION("""COMPUTED_VALUE"""),27)</f>
        <v>27</v>
      </c>
      <c r="F160" s="1" t="str">
        <f ca="1">IFERROR(__xludf.DUMMYFUNCTION("""COMPUTED_VALUE"""),"MIL")</f>
        <v>MIL</v>
      </c>
      <c r="G160" s="1">
        <f ca="1">IFERROR(__xludf.DUMMYFUNCTION("""COMPUTED_VALUE"""),70)</f>
        <v>70</v>
      </c>
      <c r="H160" s="1">
        <f ca="1">IFERROR(__xludf.DUMMYFUNCTION("""COMPUTED_VALUE"""),4)</f>
        <v>4</v>
      </c>
      <c r="I160" s="1" t="str">
        <f ca="1">IFERROR(__xludf.DUMMYFUNCTION("""COMPUTED_VALUE"""),"Michigan State")</f>
        <v>Michigan State</v>
      </c>
      <c r="J160" s="1" t="str">
        <f ca="1">IFERROR(__xludf.DUMMYFUNCTION("""COMPUTED_VALUE"""),"2016 NBA Draft, Undrafted")</f>
        <v>2016 NBA Draft, Undrafted</v>
      </c>
      <c r="K160" s="1" t="str">
        <f ca="1">IFERROR(__xludf.DUMMYFUNCTION("""COMPUTED_VALUE"""),"United States")</f>
        <v>United States</v>
      </c>
    </row>
    <row r="161" spans="1:11" ht="13" x14ac:dyDescent="0.15">
      <c r="A161" s="1" t="str">
        <f ca="1">IFERROR(__xludf.DUMMYFUNCTION("""COMPUTED_VALUE"""),"Trent Forrest")</f>
        <v>Trent Forrest</v>
      </c>
      <c r="B161" s="1" t="str">
        <f ca="1">IFERROR(__xludf.DUMMYFUNCTION("""COMPUTED_VALUE"""),"SG")</f>
        <v>SG</v>
      </c>
      <c r="C161" s="2">
        <f ca="1">IFERROR(__xludf.DUMMYFUNCTION("""COMPUTED_VALUE"""),44716)</f>
        <v>44716</v>
      </c>
      <c r="D161" s="1">
        <f ca="1">IFERROR(__xludf.DUMMYFUNCTION("""COMPUTED_VALUE"""),210)</f>
        <v>210</v>
      </c>
      <c r="E161" s="1">
        <f ca="1">IFERROR(__xludf.DUMMYFUNCTION("""COMPUTED_VALUE"""),22)</f>
        <v>22</v>
      </c>
      <c r="F161" s="1" t="str">
        <f ca="1">IFERROR(__xludf.DUMMYFUNCTION("""COMPUTED_VALUE"""),"UTA")</f>
        <v>UTA</v>
      </c>
      <c r="G161" s="1">
        <f ca="1">IFERROR(__xludf.DUMMYFUNCTION("""COMPUTED_VALUE"""),30)</f>
        <v>30</v>
      </c>
      <c r="H161" s="1">
        <f ca="1">IFERROR(__xludf.DUMMYFUNCTION("""COMPUTED_VALUE"""),0)</f>
        <v>0</v>
      </c>
      <c r="I161" s="1" t="str">
        <f ca="1">IFERROR(__xludf.DUMMYFUNCTION("""COMPUTED_VALUE"""),"Florida State")</f>
        <v>Florida State</v>
      </c>
      <c r="J161" s="1" t="str">
        <f ca="1">IFERROR(__xludf.DUMMYFUNCTION("""COMPUTED_VALUE"""),"2020 NBA Draft, Undrafted")</f>
        <v>2020 NBA Draft, Undrafted</v>
      </c>
      <c r="K161" s="1" t="str">
        <f ca="1">IFERROR(__xludf.DUMMYFUNCTION("""COMPUTED_VALUE"""),"United States")</f>
        <v>United States</v>
      </c>
    </row>
    <row r="162" spans="1:11" ht="13" x14ac:dyDescent="0.15">
      <c r="A162" s="1" t="str">
        <f ca="1">IFERROR(__xludf.DUMMYFUNCTION("""COMPUTED_VALUE"""),"Evan Fournier")</f>
        <v>Evan Fournier</v>
      </c>
      <c r="B162" s="1" t="str">
        <f ca="1">IFERROR(__xludf.DUMMYFUNCTION("""COMPUTED_VALUE"""),"SG")</f>
        <v>SG</v>
      </c>
      <c r="C162" s="2">
        <f ca="1">IFERROR(__xludf.DUMMYFUNCTION("""COMPUTED_VALUE"""),44719)</f>
        <v>44719</v>
      </c>
      <c r="D162" s="1">
        <f ca="1">IFERROR(__xludf.DUMMYFUNCTION("""COMPUTED_VALUE"""),205)</f>
        <v>205</v>
      </c>
      <c r="E162" s="1">
        <f ca="1">IFERROR(__xludf.DUMMYFUNCTION("""COMPUTED_VALUE"""),28)</f>
        <v>28</v>
      </c>
      <c r="F162" s="1" t="str">
        <f ca="1">IFERROR(__xludf.DUMMYFUNCTION("""COMPUTED_VALUE"""),"BOS, ORL")</f>
        <v>BOS, ORL</v>
      </c>
      <c r="G162" s="1">
        <f ca="1">IFERROR(__xludf.DUMMYFUNCTION("""COMPUTED_VALUE"""),42)</f>
        <v>42</v>
      </c>
      <c r="H162" s="1">
        <f ca="1">IFERROR(__xludf.DUMMYFUNCTION("""COMPUTED_VALUE"""),8)</f>
        <v>8</v>
      </c>
      <c r="I162" s="1" t="str">
        <f ca="1">IFERROR(__xludf.DUMMYFUNCTION("""COMPUTED_VALUE"""),"Poitiers Basket 86 (France)")</f>
        <v>Poitiers Basket 86 (France)</v>
      </c>
      <c r="J162" s="1" t="str">
        <f ca="1">IFERROR(__xludf.DUMMYFUNCTION("""COMPUTED_VALUE"""),"2012 Rnd 1 Pick 20")</f>
        <v>2012 Rnd 1 Pick 20</v>
      </c>
      <c r="K162" s="1" t="str">
        <f ca="1">IFERROR(__xludf.DUMMYFUNCTION("""COMPUTED_VALUE"""),"France")</f>
        <v>France</v>
      </c>
    </row>
    <row r="163" spans="1:11" ht="13" x14ac:dyDescent="0.15">
      <c r="A163" s="1" t="str">
        <f ca="1">IFERROR(__xludf.DUMMYFUNCTION("""COMPUTED_VALUE"""),"De'Aaron Fox")</f>
        <v>De'Aaron Fox</v>
      </c>
      <c r="B163" s="1" t="str">
        <f ca="1">IFERROR(__xludf.DUMMYFUNCTION("""COMPUTED_VALUE"""),"PG")</f>
        <v>PG</v>
      </c>
      <c r="C163" s="2">
        <f ca="1">IFERROR(__xludf.DUMMYFUNCTION("""COMPUTED_VALUE"""),44715)</f>
        <v>44715</v>
      </c>
      <c r="D163" s="1">
        <f ca="1">IFERROR(__xludf.DUMMYFUNCTION("""COMPUTED_VALUE"""),185)</f>
        <v>185</v>
      </c>
      <c r="E163" s="1">
        <f ca="1">IFERROR(__xludf.DUMMYFUNCTION("""COMPUTED_VALUE"""),23)</f>
        <v>23</v>
      </c>
      <c r="F163" s="1" t="str">
        <f ca="1">IFERROR(__xludf.DUMMYFUNCTION("""COMPUTED_VALUE"""),"SAC")</f>
        <v>SAC</v>
      </c>
      <c r="G163" s="1">
        <f ca="1">IFERROR(__xludf.DUMMYFUNCTION("""COMPUTED_VALUE"""),58)</f>
        <v>58</v>
      </c>
      <c r="H163" s="1">
        <f ca="1">IFERROR(__xludf.DUMMYFUNCTION("""COMPUTED_VALUE"""),3)</f>
        <v>3</v>
      </c>
      <c r="I163" s="1" t="str">
        <f ca="1">IFERROR(__xludf.DUMMYFUNCTION("""COMPUTED_VALUE"""),"Kentucky")</f>
        <v>Kentucky</v>
      </c>
      <c r="J163" s="1" t="str">
        <f ca="1">IFERROR(__xludf.DUMMYFUNCTION("""COMPUTED_VALUE"""),"2017 Rnd 1 Pick 5")</f>
        <v>2017 Rnd 1 Pick 5</v>
      </c>
      <c r="K163" s="1" t="str">
        <f ca="1">IFERROR(__xludf.DUMMYFUNCTION("""COMPUTED_VALUE"""),"United States")</f>
        <v>United States</v>
      </c>
    </row>
    <row r="164" spans="1:11" ht="13" x14ac:dyDescent="0.15">
      <c r="A164" s="1" t="str">
        <f ca="1">IFERROR(__xludf.DUMMYFUNCTION("""COMPUTED_VALUE"""),"Robert Franks")</f>
        <v>Robert Franks</v>
      </c>
      <c r="B164" s="1" t="str">
        <f ca="1">IFERROR(__xludf.DUMMYFUNCTION("""COMPUTED_VALUE"""),"PF")</f>
        <v>PF</v>
      </c>
      <c r="C164" s="2">
        <f ca="1">IFERROR(__xludf.DUMMYFUNCTION("""COMPUTED_VALUE"""),44719)</f>
        <v>44719</v>
      </c>
      <c r="D164" s="1">
        <f ca="1">IFERROR(__xludf.DUMMYFUNCTION("""COMPUTED_VALUE"""),225)</f>
        <v>225</v>
      </c>
      <c r="E164" s="1">
        <f ca="1">IFERROR(__xludf.DUMMYFUNCTION("""COMPUTED_VALUE"""),24)</f>
        <v>24</v>
      </c>
      <c r="F164" s="1" t="str">
        <f ca="1">IFERROR(__xludf.DUMMYFUNCTION("""COMPUTED_VALUE"""),"ORL")</f>
        <v>ORL</v>
      </c>
      <c r="G164" s="1">
        <f ca="1">IFERROR(__xludf.DUMMYFUNCTION("""COMPUTED_VALUE"""),7)</f>
        <v>7</v>
      </c>
      <c r="H164" s="1">
        <f ca="1">IFERROR(__xludf.DUMMYFUNCTION("""COMPUTED_VALUE"""),1)</f>
        <v>1</v>
      </c>
      <c r="I164" s="1" t="str">
        <f ca="1">IFERROR(__xludf.DUMMYFUNCTION("""COMPUTED_VALUE"""),"Washington State")</f>
        <v>Washington State</v>
      </c>
      <c r="J164" s="1" t="str">
        <f ca="1">IFERROR(__xludf.DUMMYFUNCTION("""COMPUTED_VALUE"""),"2019 NBA Draft, Undrafted")</f>
        <v>2019 NBA Draft, Undrafted</v>
      </c>
      <c r="K164" s="1" t="str">
        <f ca="1">IFERROR(__xludf.DUMMYFUNCTION("""COMPUTED_VALUE"""),"United States")</f>
        <v>United States</v>
      </c>
    </row>
    <row r="165" spans="1:11" ht="13" x14ac:dyDescent="0.15">
      <c r="A165" s="1" t="str">
        <f ca="1">IFERROR(__xludf.DUMMYFUNCTION("""COMPUTED_VALUE"""),"Tim Frazier")</f>
        <v>Tim Frazier</v>
      </c>
      <c r="B165" s="1" t="str">
        <f ca="1">IFERROR(__xludf.DUMMYFUNCTION("""COMPUTED_VALUE"""),"G")</f>
        <v>G</v>
      </c>
      <c r="C165" s="1" t="str">
        <f ca="1">IFERROR(__xludf.DUMMYFUNCTION("""COMPUTED_VALUE"""),"6-0")</f>
        <v>6-0</v>
      </c>
      <c r="D165" s="1">
        <f ca="1">IFERROR(__xludf.DUMMYFUNCTION("""COMPUTED_VALUE"""),172)</f>
        <v>172</v>
      </c>
      <c r="E165" s="1">
        <f ca="1">IFERROR(__xludf.DUMMYFUNCTION("""COMPUTED_VALUE"""),30)</f>
        <v>30</v>
      </c>
      <c r="F165" s="1" t="str">
        <f ca="1">IFERROR(__xludf.DUMMYFUNCTION("""COMPUTED_VALUE"""),"MEM")</f>
        <v>MEM</v>
      </c>
      <c r="G165" s="1">
        <f ca="1">IFERROR(__xludf.DUMMYFUNCTION("""COMPUTED_VALUE"""),5)</f>
        <v>5</v>
      </c>
      <c r="H165" s="1">
        <f ca="1">IFERROR(__xludf.DUMMYFUNCTION("""COMPUTED_VALUE"""),6)</f>
        <v>6</v>
      </c>
      <c r="I165" s="1" t="str">
        <f ca="1">IFERROR(__xludf.DUMMYFUNCTION("""COMPUTED_VALUE"""),"Penn State")</f>
        <v>Penn State</v>
      </c>
      <c r="J165" s="1" t="str">
        <f ca="1">IFERROR(__xludf.DUMMYFUNCTION("""COMPUTED_VALUE"""),"2014 NBA Draft, Undrafted")</f>
        <v>2014 NBA Draft, Undrafted</v>
      </c>
      <c r="K165" s="1" t="str">
        <f ca="1">IFERROR(__xludf.DUMMYFUNCTION("""COMPUTED_VALUE"""),"United States")</f>
        <v>United States</v>
      </c>
    </row>
    <row r="166" spans="1:11" ht="13" x14ac:dyDescent="0.15">
      <c r="A166" s="1" t="str">
        <f ca="1">IFERROR(__xludf.DUMMYFUNCTION("""COMPUTED_VALUE"""),"Enes Freedom")</f>
        <v>Enes Freedom</v>
      </c>
      <c r="B166" s="1" t="str">
        <f ca="1">IFERROR(__xludf.DUMMYFUNCTION("""COMPUTED_VALUE"""),"F")</f>
        <v>F</v>
      </c>
      <c r="C166" s="2">
        <f ca="1">IFERROR(__xludf.DUMMYFUNCTION("""COMPUTED_VALUE"""),44722)</f>
        <v>44722</v>
      </c>
      <c r="D166" s="1">
        <f ca="1">IFERROR(__xludf.DUMMYFUNCTION("""COMPUTED_VALUE"""),250)</f>
        <v>250</v>
      </c>
      <c r="E166" s="1">
        <f ca="1">IFERROR(__xludf.DUMMYFUNCTION("""COMPUTED_VALUE"""),28)</f>
        <v>28</v>
      </c>
      <c r="F166" s="1" t="str">
        <f ca="1">IFERROR(__xludf.DUMMYFUNCTION("""COMPUTED_VALUE"""),"POR")</f>
        <v>POR</v>
      </c>
      <c r="G166" s="1">
        <f ca="1">IFERROR(__xludf.DUMMYFUNCTION("""COMPUTED_VALUE"""),72)</f>
        <v>72</v>
      </c>
      <c r="H166" s="1">
        <f ca="1">IFERROR(__xludf.DUMMYFUNCTION("""COMPUTED_VALUE"""),9)</f>
        <v>9</v>
      </c>
      <c r="I166" s="1" t="str">
        <f ca="1">IFERROR(__xludf.DUMMYFUNCTION("""COMPUTED_VALUE"""),"Kentucky")</f>
        <v>Kentucky</v>
      </c>
      <c r="J166" s="1" t="str">
        <f ca="1">IFERROR(__xludf.DUMMYFUNCTION("""COMPUTED_VALUE"""),"2011 Rnd 1 Pick 3")</f>
        <v>2011 Rnd 1 Pick 3</v>
      </c>
      <c r="K166" s="1" t="str">
        <f ca="1">IFERROR(__xludf.DUMMYFUNCTION("""COMPUTED_VALUE"""),"Switzerland
Turkey")</f>
        <v>Switzerland
Turkey</v>
      </c>
    </row>
    <row r="167" spans="1:11" ht="13" x14ac:dyDescent="0.15">
      <c r="A167" s="1" t="str">
        <f ca="1">IFERROR(__xludf.DUMMYFUNCTION("""COMPUTED_VALUE"""),"Markelle Fultz")</f>
        <v>Markelle Fultz</v>
      </c>
      <c r="B167" s="1" t="str">
        <f ca="1">IFERROR(__xludf.DUMMYFUNCTION("""COMPUTED_VALUE"""),"PG")</f>
        <v>PG</v>
      </c>
      <c r="C167" s="2">
        <f ca="1">IFERROR(__xludf.DUMMYFUNCTION("""COMPUTED_VALUE"""),44716)</f>
        <v>44716</v>
      </c>
      <c r="D167" s="1">
        <f ca="1">IFERROR(__xludf.DUMMYFUNCTION("""COMPUTED_VALUE"""),209)</f>
        <v>209</v>
      </c>
      <c r="E167" s="1">
        <f ca="1">IFERROR(__xludf.DUMMYFUNCTION("""COMPUTED_VALUE"""),22)</f>
        <v>22</v>
      </c>
      <c r="F167" s="1" t="str">
        <f ca="1">IFERROR(__xludf.DUMMYFUNCTION("""COMPUTED_VALUE"""),"ORL")</f>
        <v>ORL</v>
      </c>
      <c r="G167" s="1">
        <f ca="1">IFERROR(__xludf.DUMMYFUNCTION("""COMPUTED_VALUE"""),8)</f>
        <v>8</v>
      </c>
      <c r="H167" s="1">
        <f ca="1">IFERROR(__xludf.DUMMYFUNCTION("""COMPUTED_VALUE"""),3)</f>
        <v>3</v>
      </c>
      <c r="I167" s="1" t="str">
        <f ca="1">IFERROR(__xludf.DUMMYFUNCTION("""COMPUTED_VALUE"""),"Washington")</f>
        <v>Washington</v>
      </c>
      <c r="J167" s="1" t="str">
        <f ca="1">IFERROR(__xludf.DUMMYFUNCTION("""COMPUTED_VALUE"""),"2017 Rnd 1 Pick 1")</f>
        <v>2017 Rnd 1 Pick 1</v>
      </c>
      <c r="K167" s="1" t="str">
        <f ca="1">IFERROR(__xludf.DUMMYFUNCTION("""COMPUTED_VALUE"""),"United States")</f>
        <v>United States</v>
      </c>
    </row>
    <row r="168" spans="1:11" ht="13" x14ac:dyDescent="0.15">
      <c r="A168" s="1" t="str">
        <f ca="1">IFERROR(__xludf.DUMMYFUNCTION("""COMPUTED_VALUE"""),"Wenyen Gabriel")</f>
        <v>Wenyen Gabriel</v>
      </c>
      <c r="B168" s="1" t="str">
        <f ca="1">IFERROR(__xludf.DUMMYFUNCTION("""COMPUTED_VALUE"""),"PF")</f>
        <v>PF</v>
      </c>
      <c r="C168" s="2">
        <f ca="1">IFERROR(__xludf.DUMMYFUNCTION("""COMPUTED_VALUE"""),44721)</f>
        <v>44721</v>
      </c>
      <c r="D168" s="1">
        <f ca="1">IFERROR(__xludf.DUMMYFUNCTION("""COMPUTED_VALUE"""),205)</f>
        <v>205</v>
      </c>
      <c r="E168" s="1">
        <f ca="1">IFERROR(__xludf.DUMMYFUNCTION("""COMPUTED_VALUE"""),23)</f>
        <v>23</v>
      </c>
      <c r="F168" s="1" t="str">
        <f ca="1">IFERROR(__xludf.DUMMYFUNCTION("""COMPUTED_VALUE"""),"NOP")</f>
        <v>NOP</v>
      </c>
      <c r="G168" s="1">
        <f ca="1">IFERROR(__xludf.DUMMYFUNCTION("""COMPUTED_VALUE"""),21)</f>
        <v>21</v>
      </c>
      <c r="H168" s="1">
        <f ca="1">IFERROR(__xludf.DUMMYFUNCTION("""COMPUTED_VALUE"""),2)</f>
        <v>2</v>
      </c>
      <c r="I168" s="1" t="str">
        <f ca="1">IFERROR(__xludf.DUMMYFUNCTION("""COMPUTED_VALUE"""),"Kentucky")</f>
        <v>Kentucky</v>
      </c>
      <c r="J168" s="1" t="str">
        <f ca="1">IFERROR(__xludf.DUMMYFUNCTION("""COMPUTED_VALUE"""),"2018 NBA Draft, Undrafted")</f>
        <v>2018 NBA Draft, Undrafted</v>
      </c>
      <c r="K168" s="1" t="str">
        <f ca="1">IFERROR(__xludf.DUMMYFUNCTION("""COMPUTED_VALUE"""),"South Sudan")</f>
        <v>South Sudan</v>
      </c>
    </row>
    <row r="169" spans="1:11" ht="13" x14ac:dyDescent="0.15">
      <c r="A169" s="1" t="str">
        <f ca="1">IFERROR(__xludf.DUMMYFUNCTION("""COMPUTED_VALUE"""),"Daniel Gafford")</f>
        <v>Daniel Gafford</v>
      </c>
      <c r="B169" s="1" t="str">
        <f ca="1">IFERROR(__xludf.DUMMYFUNCTION("""COMPUTED_VALUE"""),"C")</f>
        <v>C</v>
      </c>
      <c r="C169" s="2">
        <f ca="1">IFERROR(__xludf.DUMMYFUNCTION("""COMPUTED_VALUE"""),44723)</f>
        <v>44723</v>
      </c>
      <c r="D169" s="1">
        <f ca="1">IFERROR(__xludf.DUMMYFUNCTION("""COMPUTED_VALUE"""),234)</f>
        <v>234</v>
      </c>
      <c r="E169" s="1">
        <f ca="1">IFERROR(__xludf.DUMMYFUNCTION("""COMPUTED_VALUE"""),22)</f>
        <v>22</v>
      </c>
      <c r="F169" s="1" t="str">
        <f ca="1">IFERROR(__xludf.DUMMYFUNCTION("""COMPUTED_VALUE"""),"CHI, WAS")</f>
        <v>CHI, WAS</v>
      </c>
      <c r="G169" s="1">
        <f ca="1">IFERROR(__xludf.DUMMYFUNCTION("""COMPUTED_VALUE"""),54)</f>
        <v>54</v>
      </c>
      <c r="H169" s="1">
        <f ca="1">IFERROR(__xludf.DUMMYFUNCTION("""COMPUTED_VALUE"""),1)</f>
        <v>1</v>
      </c>
      <c r="I169" s="1" t="str">
        <f ca="1">IFERROR(__xludf.DUMMYFUNCTION("""COMPUTED_VALUE"""),"Arkansas")</f>
        <v>Arkansas</v>
      </c>
      <c r="J169" s="1" t="str">
        <f ca="1">IFERROR(__xludf.DUMMYFUNCTION("""COMPUTED_VALUE"""),"2019 Rnd 2 Pick 8")</f>
        <v>2019 Rnd 2 Pick 8</v>
      </c>
      <c r="K169" s="1" t="str">
        <f ca="1">IFERROR(__xludf.DUMMYFUNCTION("""COMPUTED_VALUE"""),"United States")</f>
        <v>United States</v>
      </c>
    </row>
    <row r="170" spans="1:11" ht="13" x14ac:dyDescent="0.15">
      <c r="A170" s="1" t="str">
        <f ca="1">IFERROR(__xludf.DUMMYFUNCTION("""COMPUTED_VALUE"""),"Danilo Gallinari")</f>
        <v>Danilo Gallinari</v>
      </c>
      <c r="B170" s="1" t="str">
        <f ca="1">IFERROR(__xludf.DUMMYFUNCTION("""COMPUTED_VALUE"""),"SF")</f>
        <v>SF</v>
      </c>
      <c r="C170" s="2">
        <f ca="1">IFERROR(__xludf.DUMMYFUNCTION("""COMPUTED_VALUE"""),44722)</f>
        <v>44722</v>
      </c>
      <c r="D170" s="1">
        <f ca="1">IFERROR(__xludf.DUMMYFUNCTION("""COMPUTED_VALUE"""),233)</f>
        <v>233</v>
      </c>
      <c r="E170" s="1">
        <f ca="1">IFERROR(__xludf.DUMMYFUNCTION("""COMPUTED_VALUE"""),32)</f>
        <v>32</v>
      </c>
      <c r="F170" s="1" t="str">
        <f ca="1">IFERROR(__xludf.DUMMYFUNCTION("""COMPUTED_VALUE"""),"ATL")</f>
        <v>ATL</v>
      </c>
      <c r="G170" s="1">
        <f ca="1">IFERROR(__xludf.DUMMYFUNCTION("""COMPUTED_VALUE"""),51)</f>
        <v>51</v>
      </c>
      <c r="H170" s="1">
        <f ca="1">IFERROR(__xludf.DUMMYFUNCTION("""COMPUTED_VALUE"""),12)</f>
        <v>12</v>
      </c>
      <c r="I170" s="1" t="str">
        <f ca="1">IFERROR(__xludf.DUMMYFUNCTION("""COMPUTED_VALUE"""),"AX Armani Exchange Milan (Italy)")</f>
        <v>AX Armani Exchange Milan (Italy)</v>
      </c>
      <c r="J170" s="1" t="str">
        <f ca="1">IFERROR(__xludf.DUMMYFUNCTION("""COMPUTED_VALUE"""),"2008 Rnd 1 Pick 6")</f>
        <v>2008 Rnd 1 Pick 6</v>
      </c>
      <c r="K170" s="1" t="str">
        <f ca="1">IFERROR(__xludf.DUMMYFUNCTION("""COMPUTED_VALUE"""),"Italy")</f>
        <v>Italy</v>
      </c>
    </row>
    <row r="171" spans="1:11" ht="13" x14ac:dyDescent="0.15">
      <c r="A171" s="1" t="str">
        <f ca="1">IFERROR(__xludf.DUMMYFUNCTION("""COMPUTED_VALUE"""),"Langston Galloway")</f>
        <v>Langston Galloway</v>
      </c>
      <c r="B171" s="1" t="str">
        <f ca="1">IFERROR(__xludf.DUMMYFUNCTION("""COMPUTED_VALUE"""),"G")</f>
        <v>G</v>
      </c>
      <c r="C171" s="2">
        <f ca="1">IFERROR(__xludf.DUMMYFUNCTION("""COMPUTED_VALUE"""),44713)</f>
        <v>44713</v>
      </c>
      <c r="D171" s="1">
        <f ca="1">IFERROR(__xludf.DUMMYFUNCTION("""COMPUTED_VALUE"""),200)</f>
        <v>200</v>
      </c>
      <c r="E171" s="1">
        <f ca="1">IFERROR(__xludf.DUMMYFUNCTION("""COMPUTED_VALUE"""),29)</f>
        <v>29</v>
      </c>
      <c r="F171" s="1" t="str">
        <f ca="1">IFERROR(__xludf.DUMMYFUNCTION("""COMPUTED_VALUE"""),"PHX")</f>
        <v>PHX</v>
      </c>
      <c r="G171" s="1">
        <f ca="1">IFERROR(__xludf.DUMMYFUNCTION("""COMPUTED_VALUE"""),40)</f>
        <v>40</v>
      </c>
      <c r="H171" s="1">
        <f ca="1">IFERROR(__xludf.DUMMYFUNCTION("""COMPUTED_VALUE"""),6)</f>
        <v>6</v>
      </c>
      <c r="I171" s="1" t="str">
        <f ca="1">IFERROR(__xludf.DUMMYFUNCTION("""COMPUTED_VALUE"""),"Saint Joseph's")</f>
        <v>Saint Joseph's</v>
      </c>
      <c r="J171" s="1" t="str">
        <f ca="1">IFERROR(__xludf.DUMMYFUNCTION("""COMPUTED_VALUE"""),"2014 NBA Draft, Undrafted")</f>
        <v>2014 NBA Draft, Undrafted</v>
      </c>
      <c r="K171" s="1" t="str">
        <f ca="1">IFERROR(__xludf.DUMMYFUNCTION("""COMPUTED_VALUE"""),"United States")</f>
        <v>United States</v>
      </c>
    </row>
    <row r="172" spans="1:11" ht="13" x14ac:dyDescent="0.15">
      <c r="A172" s="1" t="str">
        <f ca="1">IFERROR(__xludf.DUMMYFUNCTION("""COMPUTED_VALUE"""),"Darius Garland")</f>
        <v>Darius Garland</v>
      </c>
      <c r="B172" s="1" t="str">
        <f ca="1">IFERROR(__xludf.DUMMYFUNCTION("""COMPUTED_VALUE"""),"G")</f>
        <v>G</v>
      </c>
      <c r="C172" s="2">
        <f ca="1">IFERROR(__xludf.DUMMYFUNCTION("""COMPUTED_VALUE"""),44713)</f>
        <v>44713</v>
      </c>
      <c r="D172" s="1">
        <f ca="1">IFERROR(__xludf.DUMMYFUNCTION("""COMPUTED_VALUE"""),186)</f>
        <v>186</v>
      </c>
      <c r="E172" s="1">
        <f ca="1">IFERROR(__xludf.DUMMYFUNCTION("""COMPUTED_VALUE"""),21)</f>
        <v>21</v>
      </c>
      <c r="F172" s="1" t="str">
        <f ca="1">IFERROR(__xludf.DUMMYFUNCTION("""COMPUTED_VALUE"""),"CLE")</f>
        <v>CLE</v>
      </c>
      <c r="G172" s="1">
        <f ca="1">IFERROR(__xludf.DUMMYFUNCTION("""COMPUTED_VALUE"""),54)</f>
        <v>54</v>
      </c>
      <c r="H172" s="1">
        <f ca="1">IFERROR(__xludf.DUMMYFUNCTION("""COMPUTED_VALUE"""),1)</f>
        <v>1</v>
      </c>
      <c r="I172" s="1" t="str">
        <f ca="1">IFERROR(__xludf.DUMMYFUNCTION("""COMPUTED_VALUE"""),"Vanderbilt")</f>
        <v>Vanderbilt</v>
      </c>
      <c r="J172" s="1" t="str">
        <f ca="1">IFERROR(__xludf.DUMMYFUNCTION("""COMPUTED_VALUE"""),"2019 Rnd 1 Pick 5")</f>
        <v>2019 Rnd 1 Pick 5</v>
      </c>
      <c r="K172" s="1" t="str">
        <f ca="1">IFERROR(__xludf.DUMMYFUNCTION("""COMPUTED_VALUE"""),"United States")</f>
        <v>United States</v>
      </c>
    </row>
    <row r="173" spans="1:11" ht="13" x14ac:dyDescent="0.15">
      <c r="A173" s="1" t="str">
        <f ca="1">IFERROR(__xludf.DUMMYFUNCTION("""COMPUTED_VALUE"""),"Marc Gasol")</f>
        <v>Marc Gasol</v>
      </c>
      <c r="B173" s="1" t="str">
        <f ca="1">IFERROR(__xludf.DUMMYFUNCTION("""COMPUTED_VALUE"""),"C")</f>
        <v>C</v>
      </c>
      <c r="C173" s="2">
        <f ca="1">IFERROR(__xludf.DUMMYFUNCTION("""COMPUTED_VALUE"""),44743)</f>
        <v>44743</v>
      </c>
      <c r="D173" s="1">
        <f ca="1">IFERROR(__xludf.DUMMYFUNCTION("""COMPUTED_VALUE"""),255)</f>
        <v>255</v>
      </c>
      <c r="E173" s="1">
        <f ca="1">IFERROR(__xludf.DUMMYFUNCTION("""COMPUTED_VALUE"""),36)</f>
        <v>36</v>
      </c>
      <c r="F173" s="1" t="str">
        <f ca="1">IFERROR(__xludf.DUMMYFUNCTION("""COMPUTED_VALUE"""),"LAL")</f>
        <v>LAL</v>
      </c>
      <c r="G173" s="1">
        <f ca="1">IFERROR(__xludf.DUMMYFUNCTION("""COMPUTED_VALUE"""),52)</f>
        <v>52</v>
      </c>
      <c r="H173" s="1">
        <f ca="1">IFERROR(__xludf.DUMMYFUNCTION("""COMPUTED_VALUE"""),12)</f>
        <v>12</v>
      </c>
      <c r="I173" s="1" t="str">
        <f ca="1">IFERROR(__xludf.DUMMYFUNCTION("""COMPUTED_VALUE"""),"CB Girona (Spain)")</f>
        <v>CB Girona (Spain)</v>
      </c>
      <c r="J173" s="1" t="str">
        <f ca="1">IFERROR(__xludf.DUMMYFUNCTION("""COMPUTED_VALUE"""),"2007 Rnd 2 Pick 18")</f>
        <v>2007 Rnd 2 Pick 18</v>
      </c>
      <c r="K173" s="1" t="str">
        <f ca="1">IFERROR(__xludf.DUMMYFUNCTION("""COMPUTED_VALUE"""),"Spain")</f>
        <v>Spain</v>
      </c>
    </row>
    <row r="174" spans="1:11" ht="13" x14ac:dyDescent="0.15">
      <c r="A174" s="1" t="str">
        <f ca="1">IFERROR(__xludf.DUMMYFUNCTION("""COMPUTED_VALUE"""),"Rudy Gay")</f>
        <v>Rudy Gay</v>
      </c>
      <c r="B174" s="1" t="str">
        <f ca="1">IFERROR(__xludf.DUMMYFUNCTION("""COMPUTED_VALUE"""),"SF")</f>
        <v>SF</v>
      </c>
      <c r="C174" s="2">
        <f ca="1">IFERROR(__xludf.DUMMYFUNCTION("""COMPUTED_VALUE"""),44720)</f>
        <v>44720</v>
      </c>
      <c r="D174" s="1">
        <f ca="1">IFERROR(__xludf.DUMMYFUNCTION("""COMPUTED_VALUE"""),240)</f>
        <v>240</v>
      </c>
      <c r="E174" s="1">
        <f ca="1">IFERROR(__xludf.DUMMYFUNCTION("""COMPUTED_VALUE"""),34)</f>
        <v>34</v>
      </c>
      <c r="F174" s="1" t="str">
        <f ca="1">IFERROR(__xludf.DUMMYFUNCTION("""COMPUTED_VALUE"""),"SAS")</f>
        <v>SAS</v>
      </c>
      <c r="G174" s="1">
        <f ca="1">IFERROR(__xludf.DUMMYFUNCTION("""COMPUTED_VALUE"""),63)</f>
        <v>63</v>
      </c>
      <c r="H174" s="1">
        <f ca="1">IFERROR(__xludf.DUMMYFUNCTION("""COMPUTED_VALUE"""),14)</f>
        <v>14</v>
      </c>
      <c r="I174" s="1" t="str">
        <f ca="1">IFERROR(__xludf.DUMMYFUNCTION("""COMPUTED_VALUE"""),"Connecticut")</f>
        <v>Connecticut</v>
      </c>
      <c r="J174" s="1" t="str">
        <f ca="1">IFERROR(__xludf.DUMMYFUNCTION("""COMPUTED_VALUE"""),"2006 Rnd 1 Pick 8")</f>
        <v>2006 Rnd 1 Pick 8</v>
      </c>
      <c r="K174" s="1" t="str">
        <f ca="1">IFERROR(__xludf.DUMMYFUNCTION("""COMPUTED_VALUE"""),"United States")</f>
        <v>United States</v>
      </c>
    </row>
    <row r="175" spans="1:11" ht="13" x14ac:dyDescent="0.15">
      <c r="A175" s="1" t="str">
        <f ca="1">IFERROR(__xludf.DUMMYFUNCTION("""COMPUTED_VALUE"""),"Paul George")</f>
        <v>Paul George</v>
      </c>
      <c r="B175" s="1" t="str">
        <f ca="1">IFERROR(__xludf.DUMMYFUNCTION("""COMPUTED_VALUE"""),"GF")</f>
        <v>GF</v>
      </c>
      <c r="C175" s="2">
        <f ca="1">IFERROR(__xludf.DUMMYFUNCTION("""COMPUTED_VALUE"""),44720)</f>
        <v>44720</v>
      </c>
      <c r="D175" s="1">
        <f ca="1">IFERROR(__xludf.DUMMYFUNCTION("""COMPUTED_VALUE"""),220)</f>
        <v>220</v>
      </c>
      <c r="E175" s="1">
        <f ca="1">IFERROR(__xludf.DUMMYFUNCTION("""COMPUTED_VALUE"""),30)</f>
        <v>30</v>
      </c>
      <c r="F175" s="1" t="str">
        <f ca="1">IFERROR(__xludf.DUMMYFUNCTION("""COMPUTED_VALUE"""),"LAC")</f>
        <v>LAC</v>
      </c>
      <c r="G175" s="1">
        <f ca="1">IFERROR(__xludf.DUMMYFUNCTION("""COMPUTED_VALUE"""),54)</f>
        <v>54</v>
      </c>
      <c r="H175" s="1">
        <f ca="1">IFERROR(__xludf.DUMMYFUNCTION("""COMPUTED_VALUE"""),10)</f>
        <v>10</v>
      </c>
      <c r="I175" s="1" t="str">
        <f ca="1">IFERROR(__xludf.DUMMYFUNCTION("""COMPUTED_VALUE"""),"Fresno State")</f>
        <v>Fresno State</v>
      </c>
      <c r="J175" s="1" t="str">
        <f ca="1">IFERROR(__xludf.DUMMYFUNCTION("""COMPUTED_VALUE"""),"2010 Rnd 1 Pick 10")</f>
        <v>2010 Rnd 1 Pick 10</v>
      </c>
      <c r="K175" s="1" t="str">
        <f ca="1">IFERROR(__xludf.DUMMYFUNCTION("""COMPUTED_VALUE"""),"United States")</f>
        <v>United States</v>
      </c>
    </row>
    <row r="176" spans="1:11" ht="13" x14ac:dyDescent="0.15">
      <c r="A176" s="1" t="str">
        <f ca="1">IFERROR(__xludf.DUMMYFUNCTION("""COMPUTED_VALUE"""),"Taj Gibson")</f>
        <v>Taj Gibson</v>
      </c>
      <c r="B176" s="1" t="str">
        <f ca="1">IFERROR(__xludf.DUMMYFUNCTION("""COMPUTED_VALUE"""),"F")</f>
        <v>F</v>
      </c>
      <c r="C176" s="2">
        <f ca="1">IFERROR(__xludf.DUMMYFUNCTION("""COMPUTED_VALUE"""),44721)</f>
        <v>44721</v>
      </c>
      <c r="D176" s="1">
        <f ca="1">IFERROR(__xludf.DUMMYFUNCTION("""COMPUTED_VALUE"""),232)</f>
        <v>232</v>
      </c>
      <c r="E176" s="1">
        <f ca="1">IFERROR(__xludf.DUMMYFUNCTION("""COMPUTED_VALUE"""),35)</f>
        <v>35</v>
      </c>
      <c r="F176" s="1" t="str">
        <f ca="1">IFERROR(__xludf.DUMMYFUNCTION("""COMPUTED_VALUE"""),"NYK")</f>
        <v>NYK</v>
      </c>
      <c r="G176" s="1">
        <f ca="1">IFERROR(__xludf.DUMMYFUNCTION("""COMPUTED_VALUE"""),45)</f>
        <v>45</v>
      </c>
      <c r="H176" s="1">
        <f ca="1">IFERROR(__xludf.DUMMYFUNCTION("""COMPUTED_VALUE"""),11)</f>
        <v>11</v>
      </c>
      <c r="I176" s="1" t="str">
        <f ca="1">IFERROR(__xludf.DUMMYFUNCTION("""COMPUTED_VALUE"""),"USC")</f>
        <v>USC</v>
      </c>
      <c r="J176" s="1" t="str">
        <f ca="1">IFERROR(__xludf.DUMMYFUNCTION("""COMPUTED_VALUE"""),"2009 Rnd 1 Pick 26")</f>
        <v>2009 Rnd 1 Pick 26</v>
      </c>
      <c r="K176" s="1" t="str">
        <f ca="1">IFERROR(__xludf.DUMMYFUNCTION("""COMPUTED_VALUE"""),"United States")</f>
        <v>United States</v>
      </c>
    </row>
    <row r="177" spans="1:11" ht="13" x14ac:dyDescent="0.15">
      <c r="A177" s="1" t="str">
        <f ca="1">IFERROR(__xludf.DUMMYFUNCTION("""COMPUTED_VALUE"""),"Harry Giles")</f>
        <v>Harry Giles</v>
      </c>
      <c r="B177" s="1" t="str">
        <f ca="1">IFERROR(__xludf.DUMMYFUNCTION("""COMPUTED_VALUE"""),"PF")</f>
        <v>PF</v>
      </c>
      <c r="C177" s="2">
        <f ca="1">IFERROR(__xludf.DUMMYFUNCTION("""COMPUTED_VALUE"""),44723)</f>
        <v>44723</v>
      </c>
      <c r="D177" s="1">
        <f ca="1">IFERROR(__xludf.DUMMYFUNCTION("""COMPUTED_VALUE"""),240)</f>
        <v>240</v>
      </c>
      <c r="E177" s="1">
        <f ca="1">IFERROR(__xludf.DUMMYFUNCTION("""COMPUTED_VALUE"""),22)</f>
        <v>22</v>
      </c>
      <c r="F177" s="1" t="str">
        <f ca="1">IFERROR(__xludf.DUMMYFUNCTION("""COMPUTED_VALUE"""),"POR")</f>
        <v>POR</v>
      </c>
      <c r="G177" s="1">
        <f ca="1">IFERROR(__xludf.DUMMYFUNCTION("""COMPUTED_VALUE"""),38)</f>
        <v>38</v>
      </c>
      <c r="H177" s="1">
        <f ca="1">IFERROR(__xludf.DUMMYFUNCTION("""COMPUTED_VALUE"""),3)</f>
        <v>3</v>
      </c>
      <c r="I177" s="1" t="str">
        <f ca="1">IFERROR(__xludf.DUMMYFUNCTION("""COMPUTED_VALUE"""),"Duke")</f>
        <v>Duke</v>
      </c>
      <c r="J177" s="1" t="str">
        <f ca="1">IFERROR(__xludf.DUMMYFUNCTION("""COMPUTED_VALUE"""),"2017 Rnd 1 Pick 20")</f>
        <v>2017 Rnd 1 Pick 20</v>
      </c>
      <c r="K177" s="1" t="str">
        <f ca="1">IFERROR(__xludf.DUMMYFUNCTION("""COMPUTED_VALUE"""),"United States")</f>
        <v>United States</v>
      </c>
    </row>
    <row r="178" spans="1:11" ht="13" x14ac:dyDescent="0.15">
      <c r="A178" s="1" t="str">
        <f ca="1">IFERROR(__xludf.DUMMYFUNCTION("""COMPUTED_VALUE"""),"Shai Gilgeous-Alexander")</f>
        <v>Shai Gilgeous-Alexander</v>
      </c>
      <c r="B178" s="1" t="str">
        <f ca="1">IFERROR(__xludf.DUMMYFUNCTION("""COMPUTED_VALUE"""),"PG")</f>
        <v>PG</v>
      </c>
      <c r="C178" s="2">
        <f ca="1">IFERROR(__xludf.DUMMYFUNCTION("""COMPUTED_VALUE"""),44718)</f>
        <v>44718</v>
      </c>
      <c r="D178" s="1">
        <f ca="1">IFERROR(__xludf.DUMMYFUNCTION("""COMPUTED_VALUE"""),181)</f>
        <v>181</v>
      </c>
      <c r="E178" s="1">
        <f ca="1">IFERROR(__xludf.DUMMYFUNCTION("""COMPUTED_VALUE"""),22)</f>
        <v>22</v>
      </c>
      <c r="F178" s="1" t="str">
        <f ca="1">IFERROR(__xludf.DUMMYFUNCTION("""COMPUTED_VALUE"""),"OKC")</f>
        <v>OKC</v>
      </c>
      <c r="G178" s="1">
        <f ca="1">IFERROR(__xludf.DUMMYFUNCTION("""COMPUTED_VALUE"""),35)</f>
        <v>35</v>
      </c>
      <c r="H178" s="1">
        <f ca="1">IFERROR(__xludf.DUMMYFUNCTION("""COMPUTED_VALUE"""),2)</f>
        <v>2</v>
      </c>
      <c r="I178" s="1" t="str">
        <f ca="1">IFERROR(__xludf.DUMMYFUNCTION("""COMPUTED_VALUE"""),"Kentucky")</f>
        <v>Kentucky</v>
      </c>
      <c r="J178" s="1" t="str">
        <f ca="1">IFERROR(__xludf.DUMMYFUNCTION("""COMPUTED_VALUE"""),"2018 Rnd 1 Pick 11")</f>
        <v>2018 Rnd 1 Pick 11</v>
      </c>
      <c r="K178" s="1" t="str">
        <f ca="1">IFERROR(__xludf.DUMMYFUNCTION("""COMPUTED_VALUE"""),"Canada")</f>
        <v>Canada</v>
      </c>
    </row>
    <row r="179" spans="1:11" ht="13" x14ac:dyDescent="0.15">
      <c r="A179" s="1" t="str">
        <f ca="1">IFERROR(__xludf.DUMMYFUNCTION("""COMPUTED_VALUE"""),"Anthony Gill")</f>
        <v>Anthony Gill</v>
      </c>
      <c r="B179" s="1" t="str">
        <f ca="1">IFERROR(__xludf.DUMMYFUNCTION("""COMPUTED_VALUE"""),"PF")</f>
        <v>PF</v>
      </c>
      <c r="C179" s="2">
        <f ca="1">IFERROR(__xludf.DUMMYFUNCTION("""COMPUTED_VALUE"""),44720)</f>
        <v>44720</v>
      </c>
      <c r="D179" s="1">
        <f ca="1">IFERROR(__xludf.DUMMYFUNCTION("""COMPUTED_VALUE"""),230)</f>
        <v>230</v>
      </c>
      <c r="E179" s="1">
        <f ca="1">IFERROR(__xludf.DUMMYFUNCTION("""COMPUTED_VALUE"""),28)</f>
        <v>28</v>
      </c>
      <c r="F179" s="1" t="str">
        <f ca="1">IFERROR(__xludf.DUMMYFUNCTION("""COMPUTED_VALUE"""),"WAS")</f>
        <v>WAS</v>
      </c>
      <c r="G179" s="1">
        <f ca="1">IFERROR(__xludf.DUMMYFUNCTION("""COMPUTED_VALUE"""),26)</f>
        <v>26</v>
      </c>
      <c r="H179" s="1">
        <f ca="1">IFERROR(__xludf.DUMMYFUNCTION("""COMPUTED_VALUE"""),0)</f>
        <v>0</v>
      </c>
      <c r="I179" s="1" t="str">
        <f ca="1">IFERROR(__xludf.DUMMYFUNCTION("""COMPUTED_VALUE"""),"Virginia")</f>
        <v>Virginia</v>
      </c>
      <c r="J179" s="1" t="str">
        <f ca="1">IFERROR(__xludf.DUMMYFUNCTION("""COMPUTED_VALUE"""),"2016 NBA Draft, Undrafted")</f>
        <v>2016 NBA Draft, Undrafted</v>
      </c>
      <c r="K179" s="1" t="str">
        <f ca="1">IFERROR(__xludf.DUMMYFUNCTION("""COMPUTED_VALUE"""),"United States")</f>
        <v>United States</v>
      </c>
    </row>
    <row r="180" spans="1:11" ht="13" x14ac:dyDescent="0.15">
      <c r="A180" s="1" t="str">
        <f ca="1">IFERROR(__xludf.DUMMYFUNCTION("""COMPUTED_VALUE"""),"Freddie Gillespie")</f>
        <v>Freddie Gillespie</v>
      </c>
      <c r="B180" s="1" t="str">
        <f ca="1">IFERROR(__xludf.DUMMYFUNCTION("""COMPUTED_VALUE"""),"F")</f>
        <v>F</v>
      </c>
      <c r="C180" s="2">
        <f ca="1">IFERROR(__xludf.DUMMYFUNCTION("""COMPUTED_VALUE"""),44721)</f>
        <v>44721</v>
      </c>
      <c r="D180" s="1">
        <f ca="1">IFERROR(__xludf.DUMMYFUNCTION("""COMPUTED_VALUE"""),245)</f>
        <v>245</v>
      </c>
      <c r="E180" s="1">
        <f ca="1">IFERROR(__xludf.DUMMYFUNCTION("""COMPUTED_VALUE"""),23)</f>
        <v>23</v>
      </c>
      <c r="F180" s="1" t="str">
        <f ca="1">IFERROR(__xludf.DUMMYFUNCTION("""COMPUTED_VALUE"""),"TOR")</f>
        <v>TOR</v>
      </c>
      <c r="G180" s="1">
        <f ca="1">IFERROR(__xludf.DUMMYFUNCTION("""COMPUTED_VALUE"""),20)</f>
        <v>20</v>
      </c>
      <c r="H180" s="1">
        <f ca="1">IFERROR(__xludf.DUMMYFUNCTION("""COMPUTED_VALUE"""),0)</f>
        <v>0</v>
      </c>
      <c r="I180" s="1" t="str">
        <f ca="1">IFERROR(__xludf.DUMMYFUNCTION("""COMPUTED_VALUE"""),"Baylor")</f>
        <v>Baylor</v>
      </c>
      <c r="J180" s="1" t="str">
        <f ca="1">IFERROR(__xludf.DUMMYFUNCTION("""COMPUTED_VALUE"""),"2020 NBA Draft, Undrafted")</f>
        <v>2020 NBA Draft, Undrafted</v>
      </c>
      <c r="K180" s="1" t="str">
        <f ca="1">IFERROR(__xludf.DUMMYFUNCTION("""COMPUTED_VALUE"""),"United States")</f>
        <v>United States</v>
      </c>
    </row>
    <row r="181" spans="1:11" ht="13" x14ac:dyDescent="0.15">
      <c r="A181" s="1" t="str">
        <f ca="1">IFERROR(__xludf.DUMMYFUNCTION("""COMPUTED_VALUE"""),"Rudy Gobert")</f>
        <v>Rudy Gobert</v>
      </c>
      <c r="B181" s="1" t="str">
        <f ca="1">IFERROR(__xludf.DUMMYFUNCTION("""COMPUTED_VALUE"""),"C")</f>
        <v>C</v>
      </c>
      <c r="C181" s="2">
        <f ca="1">IFERROR(__xludf.DUMMYFUNCTION("""COMPUTED_VALUE"""),44743)</f>
        <v>44743</v>
      </c>
      <c r="D181" s="1">
        <f ca="1">IFERROR(__xludf.DUMMYFUNCTION("""COMPUTED_VALUE"""),245)</f>
        <v>245</v>
      </c>
      <c r="E181" s="1">
        <f ca="1">IFERROR(__xludf.DUMMYFUNCTION("""COMPUTED_VALUE"""),28)</f>
        <v>28</v>
      </c>
      <c r="F181" s="1" t="str">
        <f ca="1">IFERROR(__xludf.DUMMYFUNCTION("""COMPUTED_VALUE"""),"UTA")</f>
        <v>UTA</v>
      </c>
      <c r="G181" s="1">
        <f ca="1">IFERROR(__xludf.DUMMYFUNCTION("""COMPUTED_VALUE"""),71)</f>
        <v>71</v>
      </c>
      <c r="H181" s="1">
        <f ca="1">IFERROR(__xludf.DUMMYFUNCTION("""COMPUTED_VALUE"""),7)</f>
        <v>7</v>
      </c>
      <c r="I181" s="1" t="str">
        <f ca="1">IFERROR(__xludf.DUMMYFUNCTION("""COMPUTED_VALUE"""),"Cholet Basket (France)")</f>
        <v>Cholet Basket (France)</v>
      </c>
      <c r="J181" s="1" t="str">
        <f ca="1">IFERROR(__xludf.DUMMYFUNCTION("""COMPUTED_VALUE"""),"2013 Rnd 1 Pick 27")</f>
        <v>2013 Rnd 1 Pick 27</v>
      </c>
      <c r="K181" s="1" t="str">
        <f ca="1">IFERROR(__xludf.DUMMYFUNCTION("""COMPUTED_VALUE"""),"France")</f>
        <v>France</v>
      </c>
    </row>
    <row r="182" spans="1:11" ht="13" x14ac:dyDescent="0.15">
      <c r="A182" s="1" t="str">
        <f ca="1">IFERROR(__xludf.DUMMYFUNCTION("""COMPUTED_VALUE"""),"Brandon Goodwin")</f>
        <v>Brandon Goodwin</v>
      </c>
      <c r="B182" s="1" t="str">
        <f ca="1">IFERROR(__xludf.DUMMYFUNCTION("""COMPUTED_VALUE"""),"PG")</f>
        <v>PG</v>
      </c>
      <c r="C182" s="1" t="str">
        <f ca="1">IFERROR(__xludf.DUMMYFUNCTION("""COMPUTED_VALUE"""),"6-0")</f>
        <v>6-0</v>
      </c>
      <c r="D182" s="1">
        <f ca="1">IFERROR(__xludf.DUMMYFUNCTION("""COMPUTED_VALUE"""),180)</f>
        <v>180</v>
      </c>
      <c r="E182" s="1">
        <f ca="1">IFERROR(__xludf.DUMMYFUNCTION("""COMPUTED_VALUE"""),25)</f>
        <v>25</v>
      </c>
      <c r="F182" s="1" t="str">
        <f ca="1">IFERROR(__xludf.DUMMYFUNCTION("""COMPUTED_VALUE"""),"ATL")</f>
        <v>ATL</v>
      </c>
      <c r="G182" s="1">
        <f ca="1">IFERROR(__xludf.DUMMYFUNCTION("""COMPUTED_VALUE"""),47)</f>
        <v>47</v>
      </c>
      <c r="H182" s="1">
        <f ca="1">IFERROR(__xludf.DUMMYFUNCTION("""COMPUTED_VALUE"""),2)</f>
        <v>2</v>
      </c>
      <c r="I182" s="1" t="str">
        <f ca="1">IFERROR(__xludf.DUMMYFUNCTION("""COMPUTED_VALUE"""),"Florida Gulf Coast")</f>
        <v>Florida Gulf Coast</v>
      </c>
      <c r="J182" s="1" t="str">
        <f ca="1">IFERROR(__xludf.DUMMYFUNCTION("""COMPUTED_VALUE"""),"2018 NBA Draft, Undrafted")</f>
        <v>2018 NBA Draft, Undrafted</v>
      </c>
      <c r="K182" s="1" t="str">
        <f ca="1">IFERROR(__xludf.DUMMYFUNCTION("""COMPUTED_VALUE"""),"United States")</f>
        <v>United States</v>
      </c>
    </row>
    <row r="183" spans="1:11" ht="13" x14ac:dyDescent="0.15">
      <c r="A183" s="1" t="str">
        <f ca="1">IFERROR(__xludf.DUMMYFUNCTION("""COMPUTED_VALUE"""),"Aaron Gordon")</f>
        <v>Aaron Gordon</v>
      </c>
      <c r="B183" s="1" t="str">
        <f ca="1">IFERROR(__xludf.DUMMYFUNCTION("""COMPUTED_VALUE"""),"F")</f>
        <v>F</v>
      </c>
      <c r="C183" s="2">
        <f ca="1">IFERROR(__xludf.DUMMYFUNCTION("""COMPUTED_VALUE"""),44720)</f>
        <v>44720</v>
      </c>
      <c r="D183" s="1">
        <f ca="1">IFERROR(__xludf.DUMMYFUNCTION("""COMPUTED_VALUE"""),235)</f>
        <v>235</v>
      </c>
      <c r="E183" s="1">
        <f ca="1">IFERROR(__xludf.DUMMYFUNCTION("""COMPUTED_VALUE"""),25)</f>
        <v>25</v>
      </c>
      <c r="F183" s="1" t="str">
        <f ca="1">IFERROR(__xludf.DUMMYFUNCTION("""COMPUTED_VALUE"""),"DEN, ORL")</f>
        <v>DEN, ORL</v>
      </c>
      <c r="G183" s="1">
        <f ca="1">IFERROR(__xludf.DUMMYFUNCTION("""COMPUTED_VALUE"""),50)</f>
        <v>50</v>
      </c>
      <c r="H183" s="1">
        <f ca="1">IFERROR(__xludf.DUMMYFUNCTION("""COMPUTED_VALUE"""),6)</f>
        <v>6</v>
      </c>
      <c r="I183" s="1" t="str">
        <f ca="1">IFERROR(__xludf.DUMMYFUNCTION("""COMPUTED_VALUE"""),"Arizona")</f>
        <v>Arizona</v>
      </c>
      <c r="J183" s="1" t="str">
        <f ca="1">IFERROR(__xludf.DUMMYFUNCTION("""COMPUTED_VALUE"""),"2014 Rnd 1 Pick 4")</f>
        <v>2014 Rnd 1 Pick 4</v>
      </c>
      <c r="K183" s="1" t="str">
        <f ca="1">IFERROR(__xludf.DUMMYFUNCTION("""COMPUTED_VALUE"""),"United States")</f>
        <v>United States</v>
      </c>
    </row>
    <row r="184" spans="1:11" ht="13" x14ac:dyDescent="0.15">
      <c r="A184" s="1" t="str">
        <f ca="1">IFERROR(__xludf.DUMMYFUNCTION("""COMPUTED_VALUE"""),"Eric Gordon")</f>
        <v>Eric Gordon</v>
      </c>
      <c r="B184" s="1" t="str">
        <f ca="1">IFERROR(__xludf.DUMMYFUNCTION("""COMPUTED_VALUE"""),"G")</f>
        <v>G</v>
      </c>
      <c r="C184" s="2">
        <f ca="1">IFERROR(__xludf.DUMMYFUNCTION("""COMPUTED_VALUE"""),44715)</f>
        <v>44715</v>
      </c>
      <c r="D184" s="1">
        <f ca="1">IFERROR(__xludf.DUMMYFUNCTION("""COMPUTED_VALUE"""),215)</f>
        <v>215</v>
      </c>
      <c r="E184" s="1">
        <f ca="1">IFERROR(__xludf.DUMMYFUNCTION("""COMPUTED_VALUE"""),32)</f>
        <v>32</v>
      </c>
      <c r="F184" s="1" t="str">
        <f ca="1">IFERROR(__xludf.DUMMYFUNCTION("""COMPUTED_VALUE"""),"HOU")</f>
        <v>HOU</v>
      </c>
      <c r="G184" s="1">
        <f ca="1">IFERROR(__xludf.DUMMYFUNCTION("""COMPUTED_VALUE"""),27)</f>
        <v>27</v>
      </c>
      <c r="H184" s="1">
        <f ca="1">IFERROR(__xludf.DUMMYFUNCTION("""COMPUTED_VALUE"""),12)</f>
        <v>12</v>
      </c>
      <c r="I184" s="1" t="str">
        <f ca="1">IFERROR(__xludf.DUMMYFUNCTION("""COMPUTED_VALUE"""),"Indiana")</f>
        <v>Indiana</v>
      </c>
      <c r="J184" s="1" t="str">
        <f ca="1">IFERROR(__xludf.DUMMYFUNCTION("""COMPUTED_VALUE"""),"2008 Rnd 1 Pick 7")</f>
        <v>2008 Rnd 1 Pick 7</v>
      </c>
      <c r="K184" s="1" t="str">
        <f ca="1">IFERROR(__xludf.DUMMYFUNCTION("""COMPUTED_VALUE"""),"United States")</f>
        <v>United States</v>
      </c>
    </row>
    <row r="185" spans="1:11" ht="13" x14ac:dyDescent="0.15">
      <c r="A185" s="1" t="str">
        <f ca="1">IFERROR(__xludf.DUMMYFUNCTION("""COMPUTED_VALUE"""),"Devonte' Graham")</f>
        <v>Devonte' Graham</v>
      </c>
      <c r="B185" s="1" t="str">
        <f ca="1">IFERROR(__xludf.DUMMYFUNCTION("""COMPUTED_VALUE"""),"PG")</f>
        <v>PG</v>
      </c>
      <c r="C185" s="2">
        <f ca="1">IFERROR(__xludf.DUMMYFUNCTION("""COMPUTED_VALUE"""),44713)</f>
        <v>44713</v>
      </c>
      <c r="D185" s="1">
        <f ca="1">IFERROR(__xludf.DUMMYFUNCTION("""COMPUTED_VALUE"""),185)</f>
        <v>185</v>
      </c>
      <c r="E185" s="1">
        <f ca="1">IFERROR(__xludf.DUMMYFUNCTION("""COMPUTED_VALUE"""),26)</f>
        <v>26</v>
      </c>
      <c r="F185" s="1" t="str">
        <f ca="1">IFERROR(__xludf.DUMMYFUNCTION("""COMPUTED_VALUE"""),"CHA")</f>
        <v>CHA</v>
      </c>
      <c r="G185" s="1">
        <f ca="1">IFERROR(__xludf.DUMMYFUNCTION("""COMPUTED_VALUE"""),55)</f>
        <v>55</v>
      </c>
      <c r="H185" s="1">
        <f ca="1">IFERROR(__xludf.DUMMYFUNCTION("""COMPUTED_VALUE"""),2)</f>
        <v>2</v>
      </c>
      <c r="I185" s="1" t="str">
        <f ca="1">IFERROR(__xludf.DUMMYFUNCTION("""COMPUTED_VALUE"""),"Kansas")</f>
        <v>Kansas</v>
      </c>
      <c r="J185" s="1" t="str">
        <f ca="1">IFERROR(__xludf.DUMMYFUNCTION("""COMPUTED_VALUE"""),"2018 Rnd 2 Pick 4")</f>
        <v>2018 Rnd 2 Pick 4</v>
      </c>
      <c r="K185" s="1" t="str">
        <f ca="1">IFERROR(__xludf.DUMMYFUNCTION("""COMPUTED_VALUE"""),"United States")</f>
        <v>United States</v>
      </c>
    </row>
    <row r="186" spans="1:11" ht="13" x14ac:dyDescent="0.15">
      <c r="A186" s="1" t="str">
        <f ca="1">IFERROR(__xludf.DUMMYFUNCTION("""COMPUTED_VALUE"""),"Jerami Grant")</f>
        <v>Jerami Grant</v>
      </c>
      <c r="B186" s="1" t="str">
        <f ca="1">IFERROR(__xludf.DUMMYFUNCTION("""COMPUTED_VALUE"""),"F")</f>
        <v>F</v>
      </c>
      <c r="C186" s="2">
        <f ca="1">IFERROR(__xludf.DUMMYFUNCTION("""COMPUTED_VALUE"""),44720)</f>
        <v>44720</v>
      </c>
      <c r="D186" s="1">
        <f ca="1">IFERROR(__xludf.DUMMYFUNCTION("""COMPUTED_VALUE"""),210)</f>
        <v>210</v>
      </c>
      <c r="E186" s="1">
        <f ca="1">IFERROR(__xludf.DUMMYFUNCTION("""COMPUTED_VALUE"""),26)</f>
        <v>26</v>
      </c>
      <c r="F186" s="1" t="str">
        <f ca="1">IFERROR(__xludf.DUMMYFUNCTION("""COMPUTED_VALUE"""),"DET")</f>
        <v>DET</v>
      </c>
      <c r="G186" s="1">
        <f ca="1">IFERROR(__xludf.DUMMYFUNCTION("""COMPUTED_VALUE"""),54)</f>
        <v>54</v>
      </c>
      <c r="H186" s="1">
        <f ca="1">IFERROR(__xludf.DUMMYFUNCTION("""COMPUTED_VALUE"""),6)</f>
        <v>6</v>
      </c>
      <c r="I186" s="1" t="str">
        <f ca="1">IFERROR(__xludf.DUMMYFUNCTION("""COMPUTED_VALUE"""),"Syracuse")</f>
        <v>Syracuse</v>
      </c>
      <c r="J186" s="1" t="str">
        <f ca="1">IFERROR(__xludf.DUMMYFUNCTION("""COMPUTED_VALUE"""),"2014 Rnd 2 Pick 9")</f>
        <v>2014 Rnd 2 Pick 9</v>
      </c>
      <c r="K186" s="1" t="str">
        <f ca="1">IFERROR(__xludf.DUMMYFUNCTION("""COMPUTED_VALUE"""),"United States")</f>
        <v>United States</v>
      </c>
    </row>
    <row r="187" spans="1:11" ht="13" x14ac:dyDescent="0.15">
      <c r="A187" s="1" t="str">
        <f ca="1">IFERROR(__xludf.DUMMYFUNCTION("""COMPUTED_VALUE"""),"Danny Green")</f>
        <v>Danny Green</v>
      </c>
      <c r="B187" s="1" t="str">
        <f ca="1">IFERROR(__xludf.DUMMYFUNCTION("""COMPUTED_VALUE"""),"SF")</f>
        <v>SF</v>
      </c>
      <c r="C187" s="2">
        <f ca="1">IFERROR(__xludf.DUMMYFUNCTION("""COMPUTED_VALUE"""),44718)</f>
        <v>44718</v>
      </c>
      <c r="D187" s="1">
        <f ca="1">IFERROR(__xludf.DUMMYFUNCTION("""COMPUTED_VALUE"""),220)</f>
        <v>220</v>
      </c>
      <c r="E187" s="1">
        <f ca="1">IFERROR(__xludf.DUMMYFUNCTION("""COMPUTED_VALUE"""),33)</f>
        <v>33</v>
      </c>
      <c r="F187" s="1" t="str">
        <f ca="1">IFERROR(__xludf.DUMMYFUNCTION("""COMPUTED_VALUE"""),"PHI")</f>
        <v>PHI</v>
      </c>
      <c r="G187" s="1">
        <f ca="1">IFERROR(__xludf.DUMMYFUNCTION("""COMPUTED_VALUE"""),69)</f>
        <v>69</v>
      </c>
      <c r="H187" s="1">
        <f ca="1">IFERROR(__xludf.DUMMYFUNCTION("""COMPUTED_VALUE"""),11)</f>
        <v>11</v>
      </c>
      <c r="I187" s="1" t="str">
        <f ca="1">IFERROR(__xludf.DUMMYFUNCTION("""COMPUTED_VALUE"""),"North Carolina")</f>
        <v>North Carolina</v>
      </c>
      <c r="J187" s="1" t="str">
        <f ca="1">IFERROR(__xludf.DUMMYFUNCTION("""COMPUTED_VALUE"""),"2009 Rnd 2 Pick 16")</f>
        <v>2009 Rnd 2 Pick 16</v>
      </c>
      <c r="K187" s="1" t="str">
        <f ca="1">IFERROR(__xludf.DUMMYFUNCTION("""COMPUTED_VALUE"""),"United States")</f>
        <v>United States</v>
      </c>
    </row>
    <row r="188" spans="1:11" ht="13" x14ac:dyDescent="0.15">
      <c r="A188" s="1" t="str">
        <f ca="1">IFERROR(__xludf.DUMMYFUNCTION("""COMPUTED_VALUE"""),"Draymond Green")</f>
        <v>Draymond Green</v>
      </c>
      <c r="B188" s="1" t="str">
        <f ca="1">IFERROR(__xludf.DUMMYFUNCTION("""COMPUTED_VALUE"""),"F")</f>
        <v>F</v>
      </c>
      <c r="C188" s="2">
        <f ca="1">IFERROR(__xludf.DUMMYFUNCTION("""COMPUTED_VALUE"""),44718)</f>
        <v>44718</v>
      </c>
      <c r="D188" s="1">
        <f ca="1">IFERROR(__xludf.DUMMYFUNCTION("""COMPUTED_VALUE"""),235)</f>
        <v>235</v>
      </c>
      <c r="E188" s="1">
        <f ca="1">IFERROR(__xludf.DUMMYFUNCTION("""COMPUTED_VALUE"""),30)</f>
        <v>30</v>
      </c>
      <c r="F188" s="1" t="str">
        <f ca="1">IFERROR(__xludf.DUMMYFUNCTION("""COMPUTED_VALUE"""),"GSW")</f>
        <v>GSW</v>
      </c>
      <c r="G188" s="1">
        <f ca="1">IFERROR(__xludf.DUMMYFUNCTION("""COMPUTED_VALUE"""),63)</f>
        <v>63</v>
      </c>
      <c r="H188" s="1">
        <f ca="1">IFERROR(__xludf.DUMMYFUNCTION("""COMPUTED_VALUE"""),8)</f>
        <v>8</v>
      </c>
      <c r="I188" s="1" t="str">
        <f ca="1">IFERROR(__xludf.DUMMYFUNCTION("""COMPUTED_VALUE"""),"Michigan State")</f>
        <v>Michigan State</v>
      </c>
      <c r="J188" s="1" t="str">
        <f ca="1">IFERROR(__xludf.DUMMYFUNCTION("""COMPUTED_VALUE"""),"2012 Rnd 2 Pick 5")</f>
        <v>2012 Rnd 2 Pick 5</v>
      </c>
      <c r="K188" s="1" t="str">
        <f ca="1">IFERROR(__xludf.DUMMYFUNCTION("""COMPUTED_VALUE"""),"United States")</f>
        <v>United States</v>
      </c>
    </row>
    <row r="189" spans="1:11" ht="13" x14ac:dyDescent="0.15">
      <c r="A189" s="1" t="str">
        <f ca="1">IFERROR(__xludf.DUMMYFUNCTION("""COMPUTED_VALUE"""),"JaMychal Green")</f>
        <v>JaMychal Green</v>
      </c>
      <c r="B189" s="1" t="str">
        <f ca="1">IFERROR(__xludf.DUMMYFUNCTION("""COMPUTED_VALUE"""),"PF")</f>
        <v>PF</v>
      </c>
      <c r="C189" s="2">
        <f ca="1">IFERROR(__xludf.DUMMYFUNCTION("""COMPUTED_VALUE"""),44720)</f>
        <v>44720</v>
      </c>
      <c r="D189" s="1">
        <f ca="1">IFERROR(__xludf.DUMMYFUNCTION("""COMPUTED_VALUE"""),227)</f>
        <v>227</v>
      </c>
      <c r="E189" s="1">
        <f ca="1">IFERROR(__xludf.DUMMYFUNCTION("""COMPUTED_VALUE"""),30)</f>
        <v>30</v>
      </c>
      <c r="F189" s="1" t="str">
        <f ca="1">IFERROR(__xludf.DUMMYFUNCTION("""COMPUTED_VALUE"""),"DEN")</f>
        <v>DEN</v>
      </c>
      <c r="G189" s="1">
        <f ca="1">IFERROR(__xludf.DUMMYFUNCTION("""COMPUTED_VALUE"""),58)</f>
        <v>58</v>
      </c>
      <c r="H189" s="1">
        <f ca="1">IFERROR(__xludf.DUMMYFUNCTION("""COMPUTED_VALUE"""),6)</f>
        <v>6</v>
      </c>
      <c r="I189" s="1" t="str">
        <f ca="1">IFERROR(__xludf.DUMMYFUNCTION("""COMPUTED_VALUE"""),"Alabama")</f>
        <v>Alabama</v>
      </c>
      <c r="J189" s="1" t="str">
        <f ca="1">IFERROR(__xludf.DUMMYFUNCTION("""COMPUTED_VALUE"""),"2012 NBA Draft, Undrafted")</f>
        <v>2012 NBA Draft, Undrafted</v>
      </c>
      <c r="K189" s="1" t="str">
        <f ca="1">IFERROR(__xludf.DUMMYFUNCTION("""COMPUTED_VALUE"""),"United States")</f>
        <v>United States</v>
      </c>
    </row>
    <row r="190" spans="1:11" ht="13" x14ac:dyDescent="0.15">
      <c r="A190" s="1" t="str">
        <f ca="1">IFERROR(__xludf.DUMMYFUNCTION("""COMPUTED_VALUE"""),"Javonte Green")</f>
        <v>Javonte Green</v>
      </c>
      <c r="B190" s="1" t="str">
        <f ca="1">IFERROR(__xludf.DUMMYFUNCTION("""COMPUTED_VALUE"""),"G")</f>
        <v>G</v>
      </c>
      <c r="C190" s="2">
        <f ca="1">IFERROR(__xludf.DUMMYFUNCTION("""COMPUTED_VALUE"""),44716)</f>
        <v>44716</v>
      </c>
      <c r="D190" s="1">
        <f ca="1">IFERROR(__xludf.DUMMYFUNCTION("""COMPUTED_VALUE"""),205)</f>
        <v>205</v>
      </c>
      <c r="E190" s="1">
        <f ca="1">IFERROR(__xludf.DUMMYFUNCTION("""COMPUTED_VALUE"""),27)</f>
        <v>27</v>
      </c>
      <c r="F190" s="1" t="str">
        <f ca="1">IFERROR(__xludf.DUMMYFUNCTION("""COMPUTED_VALUE"""),"BOS, CHI")</f>
        <v>BOS, CHI</v>
      </c>
      <c r="G190" s="1">
        <f ca="1">IFERROR(__xludf.DUMMYFUNCTION("""COMPUTED_VALUE"""),41)</f>
        <v>41</v>
      </c>
      <c r="H190" s="1">
        <f ca="1">IFERROR(__xludf.DUMMYFUNCTION("""COMPUTED_VALUE"""),1)</f>
        <v>1</v>
      </c>
      <c r="I190" s="1" t="str">
        <f ca="1">IFERROR(__xludf.DUMMYFUNCTION("""COMPUTED_VALUE"""),"Radford")</f>
        <v>Radford</v>
      </c>
      <c r="J190" s="1" t="str">
        <f ca="1">IFERROR(__xludf.DUMMYFUNCTION("""COMPUTED_VALUE"""),"2015 NBA Draft, Undrafted")</f>
        <v>2015 NBA Draft, Undrafted</v>
      </c>
      <c r="K190" s="1" t="str">
        <f ca="1">IFERROR(__xludf.DUMMYFUNCTION("""COMPUTED_VALUE"""),"United States
Montenegro")</f>
        <v>United States
Montenegro</v>
      </c>
    </row>
    <row r="191" spans="1:11" ht="13" x14ac:dyDescent="0.15">
      <c r="A191" s="1" t="str">
        <f ca="1">IFERROR(__xludf.DUMMYFUNCTION("""COMPUTED_VALUE"""),"Jeff Green")</f>
        <v>Jeff Green</v>
      </c>
      <c r="B191" s="1" t="str">
        <f ca="1">IFERROR(__xludf.DUMMYFUNCTION("""COMPUTED_VALUE"""),"F")</f>
        <v>F</v>
      </c>
      <c r="C191" s="2">
        <f ca="1">IFERROR(__xludf.DUMMYFUNCTION("""COMPUTED_VALUE"""),44720)</f>
        <v>44720</v>
      </c>
      <c r="D191" s="1">
        <f ca="1">IFERROR(__xludf.DUMMYFUNCTION("""COMPUTED_VALUE"""),235)</f>
        <v>235</v>
      </c>
      <c r="E191" s="1">
        <f ca="1">IFERROR(__xludf.DUMMYFUNCTION("""COMPUTED_VALUE"""),34)</f>
        <v>34</v>
      </c>
      <c r="F191" s="1" t="str">
        <f ca="1">IFERROR(__xludf.DUMMYFUNCTION("""COMPUTED_VALUE"""),"BRK")</f>
        <v>BRK</v>
      </c>
      <c r="G191" s="1">
        <f ca="1">IFERROR(__xludf.DUMMYFUNCTION("""COMPUTED_VALUE"""),68)</f>
        <v>68</v>
      </c>
      <c r="H191" s="1">
        <f ca="1">IFERROR(__xludf.DUMMYFUNCTION("""COMPUTED_VALUE"""),12)</f>
        <v>12</v>
      </c>
      <c r="I191" s="1" t="str">
        <f ca="1">IFERROR(__xludf.DUMMYFUNCTION("""COMPUTED_VALUE"""),"Georgetown")</f>
        <v>Georgetown</v>
      </c>
      <c r="J191" s="1" t="str">
        <f ca="1">IFERROR(__xludf.DUMMYFUNCTION("""COMPUTED_VALUE"""),"2007 Rnd 1 Pick 5")</f>
        <v>2007 Rnd 1 Pick 5</v>
      </c>
      <c r="K191" s="1" t="str">
        <f ca="1">IFERROR(__xludf.DUMMYFUNCTION("""COMPUTED_VALUE"""),"United States")</f>
        <v>United States</v>
      </c>
    </row>
    <row r="192" spans="1:11" ht="13" x14ac:dyDescent="0.15">
      <c r="A192" s="1" t="str">
        <f ca="1">IFERROR(__xludf.DUMMYFUNCTION("""COMPUTED_VALUE"""),"Josh Green")</f>
        <v>Josh Green</v>
      </c>
      <c r="B192" s="1" t="str">
        <f ca="1">IFERROR(__xludf.DUMMYFUNCTION("""COMPUTED_VALUE"""),"SG")</f>
        <v>SG</v>
      </c>
      <c r="C192" s="2">
        <f ca="1">IFERROR(__xludf.DUMMYFUNCTION("""COMPUTED_VALUE"""),44718)</f>
        <v>44718</v>
      </c>
      <c r="D192" s="1">
        <f ca="1">IFERROR(__xludf.DUMMYFUNCTION("""COMPUTED_VALUE"""),210)</f>
        <v>210</v>
      </c>
      <c r="E192" s="1">
        <f ca="1">IFERROR(__xludf.DUMMYFUNCTION("""COMPUTED_VALUE"""),20)</f>
        <v>20</v>
      </c>
      <c r="F192" s="1" t="str">
        <f ca="1">IFERROR(__xludf.DUMMYFUNCTION("""COMPUTED_VALUE"""),"DAL")</f>
        <v>DAL</v>
      </c>
      <c r="G192" s="1">
        <f ca="1">IFERROR(__xludf.DUMMYFUNCTION("""COMPUTED_VALUE"""),39)</f>
        <v>39</v>
      </c>
      <c r="H192" s="1">
        <f ca="1">IFERROR(__xludf.DUMMYFUNCTION("""COMPUTED_VALUE"""),0)</f>
        <v>0</v>
      </c>
      <c r="I192" s="1" t="str">
        <f ca="1">IFERROR(__xludf.DUMMYFUNCTION("""COMPUTED_VALUE"""),"Arizona")</f>
        <v>Arizona</v>
      </c>
      <c r="J192" s="1" t="str">
        <f ca="1">IFERROR(__xludf.DUMMYFUNCTION("""COMPUTED_VALUE"""),"2020 Rnd 1 Pick 18")</f>
        <v>2020 Rnd 1 Pick 18</v>
      </c>
      <c r="K192" s="1" t="str">
        <f ca="1">IFERROR(__xludf.DUMMYFUNCTION("""COMPUTED_VALUE"""),"United States
Australia")</f>
        <v>United States
Australia</v>
      </c>
    </row>
    <row r="193" spans="1:11" ht="13" x14ac:dyDescent="0.15">
      <c r="A193" s="1" t="str">
        <f ca="1">IFERROR(__xludf.DUMMYFUNCTION("""COMPUTED_VALUE"""),"Blake Griffin")</f>
        <v>Blake Griffin</v>
      </c>
      <c r="B193" s="1" t="str">
        <f ca="1">IFERROR(__xludf.DUMMYFUNCTION("""COMPUTED_VALUE"""),"PF")</f>
        <v>PF</v>
      </c>
      <c r="C193" s="2">
        <f ca="1">IFERROR(__xludf.DUMMYFUNCTION("""COMPUTED_VALUE"""),44721)</f>
        <v>44721</v>
      </c>
      <c r="D193" s="1">
        <f ca="1">IFERROR(__xludf.DUMMYFUNCTION("""COMPUTED_VALUE"""),246)</f>
        <v>246</v>
      </c>
      <c r="E193" s="1">
        <f ca="1">IFERROR(__xludf.DUMMYFUNCTION("""COMPUTED_VALUE"""),31)</f>
        <v>31</v>
      </c>
      <c r="F193" s="1" t="str">
        <f ca="1">IFERROR(__xludf.DUMMYFUNCTION("""COMPUTED_VALUE"""),"BRK, DET")</f>
        <v>BRK, DET</v>
      </c>
      <c r="G193" s="1">
        <f ca="1">IFERROR(__xludf.DUMMYFUNCTION("""COMPUTED_VALUE"""),46)</f>
        <v>46</v>
      </c>
      <c r="H193" s="1">
        <f ca="1">IFERROR(__xludf.DUMMYFUNCTION("""COMPUTED_VALUE"""),11)</f>
        <v>11</v>
      </c>
      <c r="I193" s="1" t="str">
        <f ca="1">IFERROR(__xludf.DUMMYFUNCTION("""COMPUTED_VALUE"""),"Oklahoma")</f>
        <v>Oklahoma</v>
      </c>
      <c r="J193" s="1" t="str">
        <f ca="1">IFERROR(__xludf.DUMMYFUNCTION("""COMPUTED_VALUE"""),"2009 Rnd 1 Pick 1")</f>
        <v>2009 Rnd 1 Pick 1</v>
      </c>
      <c r="K193" s="1" t="str">
        <f ca="1">IFERROR(__xludf.DUMMYFUNCTION("""COMPUTED_VALUE"""),"United States")</f>
        <v>United States</v>
      </c>
    </row>
    <row r="194" spans="1:11" ht="13" x14ac:dyDescent="0.15">
      <c r="A194" s="1" t="str">
        <f ca="1">IFERROR(__xludf.DUMMYFUNCTION("""COMPUTED_VALUE"""),"Kyle Guy")</f>
        <v>Kyle Guy</v>
      </c>
      <c r="B194" s="1" t="str">
        <f ca="1">IFERROR(__xludf.DUMMYFUNCTION("""COMPUTED_VALUE"""),"SG")</f>
        <v>SG</v>
      </c>
      <c r="C194" s="2">
        <f ca="1">IFERROR(__xludf.DUMMYFUNCTION("""COMPUTED_VALUE"""),44713)</f>
        <v>44713</v>
      </c>
      <c r="D194" s="1">
        <f ca="1">IFERROR(__xludf.DUMMYFUNCTION("""COMPUTED_VALUE"""),167)</f>
        <v>167</v>
      </c>
      <c r="E194" s="1">
        <f ca="1">IFERROR(__xludf.DUMMYFUNCTION("""COMPUTED_VALUE"""),23)</f>
        <v>23</v>
      </c>
      <c r="F194" s="1" t="str">
        <f ca="1">IFERROR(__xludf.DUMMYFUNCTION("""COMPUTED_VALUE"""),"SAC")</f>
        <v>SAC</v>
      </c>
      <c r="G194" s="1">
        <f ca="1">IFERROR(__xludf.DUMMYFUNCTION("""COMPUTED_VALUE"""),31)</f>
        <v>31</v>
      </c>
      <c r="H194" s="1">
        <f ca="1">IFERROR(__xludf.DUMMYFUNCTION("""COMPUTED_VALUE"""),1)</f>
        <v>1</v>
      </c>
      <c r="I194" s="1" t="str">
        <f ca="1">IFERROR(__xludf.DUMMYFUNCTION("""COMPUTED_VALUE"""),"Virginia")</f>
        <v>Virginia</v>
      </c>
      <c r="J194" s="1" t="str">
        <f ca="1">IFERROR(__xludf.DUMMYFUNCTION("""COMPUTED_VALUE"""),"2019 Rnd 2 Pick 25")</f>
        <v>2019 Rnd 2 Pick 25</v>
      </c>
      <c r="K194" s="1" t="str">
        <f ca="1">IFERROR(__xludf.DUMMYFUNCTION("""COMPUTED_VALUE"""),"United States")</f>
        <v>United States</v>
      </c>
    </row>
    <row r="195" spans="1:11" ht="13" x14ac:dyDescent="0.15">
      <c r="A195" s="1" t="str">
        <f ca="1">IFERROR(__xludf.DUMMYFUNCTION("""COMPUTED_VALUE"""),"Rui Hachimura")</f>
        <v>Rui Hachimura</v>
      </c>
      <c r="B195" s="1" t="str">
        <f ca="1">IFERROR(__xludf.DUMMYFUNCTION("""COMPUTED_VALUE"""),"F")</f>
        <v>F</v>
      </c>
      <c r="C195" s="2">
        <f ca="1">IFERROR(__xludf.DUMMYFUNCTION("""COMPUTED_VALUE"""),44720)</f>
        <v>44720</v>
      </c>
      <c r="D195" s="1">
        <f ca="1">IFERROR(__xludf.DUMMYFUNCTION("""COMPUTED_VALUE"""),230)</f>
        <v>230</v>
      </c>
      <c r="E195" s="1">
        <f ca="1">IFERROR(__xludf.DUMMYFUNCTION("""COMPUTED_VALUE"""),23)</f>
        <v>23</v>
      </c>
      <c r="F195" s="1" t="str">
        <f ca="1">IFERROR(__xludf.DUMMYFUNCTION("""COMPUTED_VALUE"""),"WAS")</f>
        <v>WAS</v>
      </c>
      <c r="G195" s="1">
        <f ca="1">IFERROR(__xludf.DUMMYFUNCTION("""COMPUTED_VALUE"""),57)</f>
        <v>57</v>
      </c>
      <c r="H195" s="1">
        <f ca="1">IFERROR(__xludf.DUMMYFUNCTION("""COMPUTED_VALUE"""),1)</f>
        <v>1</v>
      </c>
      <c r="I195" s="1" t="str">
        <f ca="1">IFERROR(__xludf.DUMMYFUNCTION("""COMPUTED_VALUE"""),"Gonzaga")</f>
        <v>Gonzaga</v>
      </c>
      <c r="J195" s="1" t="str">
        <f ca="1">IFERROR(__xludf.DUMMYFUNCTION("""COMPUTED_VALUE"""),"2019 Rnd 1 Pick 9")</f>
        <v>2019 Rnd 1 Pick 9</v>
      </c>
      <c r="K195" s="1" t="str">
        <f ca="1">IFERROR(__xludf.DUMMYFUNCTION("""COMPUTED_VALUE"""),"Japan")</f>
        <v>Japan</v>
      </c>
    </row>
    <row r="196" spans="1:11" ht="13" x14ac:dyDescent="0.15">
      <c r="A196" s="1" t="str">
        <f ca="1">IFERROR(__xludf.DUMMYFUNCTION("""COMPUTED_VALUE"""),"Ashton Hagans")</f>
        <v>Ashton Hagans</v>
      </c>
      <c r="B196" s="1" t="str">
        <f ca="1">IFERROR(__xludf.DUMMYFUNCTION("""COMPUTED_VALUE"""),"PG")</f>
        <v>PG</v>
      </c>
      <c r="C196" s="2">
        <f ca="1">IFERROR(__xludf.DUMMYFUNCTION("""COMPUTED_VALUE"""),44715)</f>
        <v>44715</v>
      </c>
      <c r="D196" s="1">
        <f ca="1">IFERROR(__xludf.DUMMYFUNCTION("""COMPUTED_VALUE"""),190)</f>
        <v>190</v>
      </c>
      <c r="E196" s="1">
        <f ca="1">IFERROR(__xludf.DUMMYFUNCTION("""COMPUTED_VALUE"""),21)</f>
        <v>21</v>
      </c>
      <c r="F196" s="1" t="str">
        <f ca="1">IFERROR(__xludf.DUMMYFUNCTION("""COMPUTED_VALUE"""),"MIN")</f>
        <v>MIN</v>
      </c>
      <c r="G196" s="1">
        <f ca="1">IFERROR(__xludf.DUMMYFUNCTION("""COMPUTED_VALUE"""),2)</f>
        <v>2</v>
      </c>
      <c r="H196" s="1">
        <f ca="1">IFERROR(__xludf.DUMMYFUNCTION("""COMPUTED_VALUE"""),0)</f>
        <v>0</v>
      </c>
      <c r="I196" s="1" t="str">
        <f ca="1">IFERROR(__xludf.DUMMYFUNCTION("""COMPUTED_VALUE"""),"Kentucky")</f>
        <v>Kentucky</v>
      </c>
      <c r="J196" s="1" t="str">
        <f ca="1">IFERROR(__xludf.DUMMYFUNCTION("""COMPUTED_VALUE"""),"2020 NBA Draft, Undrafted")</f>
        <v>2020 NBA Draft, Undrafted</v>
      </c>
      <c r="K196" s="1" t="str">
        <f ca="1">IFERROR(__xludf.DUMMYFUNCTION("""COMPUTED_VALUE"""),"United States")</f>
        <v>United States</v>
      </c>
    </row>
    <row r="197" spans="1:11" ht="13" x14ac:dyDescent="0.15">
      <c r="A197" s="1" t="str">
        <f ca="1">IFERROR(__xludf.DUMMYFUNCTION("""COMPUTED_VALUE"""),"Tyrese Haliburton")</f>
        <v>Tyrese Haliburton</v>
      </c>
      <c r="B197" s="1" t="str">
        <f ca="1">IFERROR(__xludf.DUMMYFUNCTION("""COMPUTED_VALUE"""),"PG")</f>
        <v>PG</v>
      </c>
      <c r="C197" s="2">
        <f ca="1">IFERROR(__xludf.DUMMYFUNCTION("""COMPUTED_VALUE"""),44717)</f>
        <v>44717</v>
      </c>
      <c r="D197" s="1">
        <f ca="1">IFERROR(__xludf.DUMMYFUNCTION("""COMPUTED_VALUE"""),172)</f>
        <v>172</v>
      </c>
      <c r="E197" s="1">
        <f ca="1">IFERROR(__xludf.DUMMYFUNCTION("""COMPUTED_VALUE"""),20)</f>
        <v>20</v>
      </c>
      <c r="F197" s="1" t="str">
        <f ca="1">IFERROR(__xludf.DUMMYFUNCTION("""COMPUTED_VALUE"""),"SAC")</f>
        <v>SAC</v>
      </c>
      <c r="G197" s="1">
        <f ca="1">IFERROR(__xludf.DUMMYFUNCTION("""COMPUTED_VALUE"""),58)</f>
        <v>58</v>
      </c>
      <c r="H197" s="1">
        <f ca="1">IFERROR(__xludf.DUMMYFUNCTION("""COMPUTED_VALUE"""),0)</f>
        <v>0</v>
      </c>
      <c r="I197" s="1" t="str">
        <f ca="1">IFERROR(__xludf.DUMMYFUNCTION("""COMPUTED_VALUE"""),"Iowa State")</f>
        <v>Iowa State</v>
      </c>
      <c r="J197" s="1" t="str">
        <f ca="1">IFERROR(__xludf.DUMMYFUNCTION("""COMPUTED_VALUE"""),"2020 Rnd 1 Pick 12")</f>
        <v>2020 Rnd 1 Pick 12</v>
      </c>
      <c r="K197" s="1" t="str">
        <f ca="1">IFERROR(__xludf.DUMMYFUNCTION("""COMPUTED_VALUE"""),"United States")</f>
        <v>United States</v>
      </c>
    </row>
    <row r="198" spans="1:11" ht="13" x14ac:dyDescent="0.15">
      <c r="A198" s="1" t="str">
        <f ca="1">IFERROR(__xludf.DUMMYFUNCTION("""COMPUTED_VALUE"""),"Donta Hall")</f>
        <v>Donta Hall</v>
      </c>
      <c r="B198" s="1" t="str">
        <f ca="1">IFERROR(__xludf.DUMMYFUNCTION("""COMPUTED_VALUE"""),"PF")</f>
        <v>PF</v>
      </c>
      <c r="C198" s="2">
        <f ca="1">IFERROR(__xludf.DUMMYFUNCTION("""COMPUTED_VALUE"""),44721)</f>
        <v>44721</v>
      </c>
      <c r="D198" s="1">
        <f ca="1">IFERROR(__xludf.DUMMYFUNCTION("""COMPUTED_VALUE"""),229)</f>
        <v>229</v>
      </c>
      <c r="E198" s="1">
        <f ca="1">IFERROR(__xludf.DUMMYFUNCTION("""COMPUTED_VALUE"""),23)</f>
        <v>23</v>
      </c>
      <c r="F198" s="1" t="str">
        <f ca="1">IFERROR(__xludf.DUMMYFUNCTION("""COMPUTED_VALUE"""),"ORL")</f>
        <v>ORL</v>
      </c>
      <c r="G198" s="1">
        <f ca="1">IFERROR(__xludf.DUMMYFUNCTION("""COMPUTED_VALUE"""),13)</f>
        <v>13</v>
      </c>
      <c r="H198" s="1">
        <f ca="1">IFERROR(__xludf.DUMMYFUNCTION("""COMPUTED_VALUE"""),1)</f>
        <v>1</v>
      </c>
      <c r="I198" s="1" t="str">
        <f ca="1">IFERROR(__xludf.DUMMYFUNCTION("""COMPUTED_VALUE"""),"Alabama")</f>
        <v>Alabama</v>
      </c>
      <c r="J198" s="1" t="str">
        <f ca="1">IFERROR(__xludf.DUMMYFUNCTION("""COMPUTED_VALUE"""),"2019 NBA Draft, Undrafted")</f>
        <v>2019 NBA Draft, Undrafted</v>
      </c>
      <c r="K198" s="1" t="str">
        <f ca="1">IFERROR(__xludf.DUMMYFUNCTION("""COMPUTED_VALUE"""),"United States")</f>
        <v>United States</v>
      </c>
    </row>
    <row r="199" spans="1:11" ht="13" x14ac:dyDescent="0.15">
      <c r="A199" s="1" t="str">
        <f ca="1">IFERROR(__xludf.DUMMYFUNCTION("""COMPUTED_VALUE"""),"Josh Hall")</f>
        <v>Josh Hall</v>
      </c>
      <c r="B199" s="1" t="str">
        <f ca="1">IFERROR(__xludf.DUMMYFUNCTION("""COMPUTED_VALUE"""),"F")</f>
        <v>F</v>
      </c>
      <c r="C199" s="2">
        <f ca="1">IFERROR(__xludf.DUMMYFUNCTION("""COMPUTED_VALUE"""),44721)</f>
        <v>44721</v>
      </c>
      <c r="D199" s="1">
        <f ca="1">IFERROR(__xludf.DUMMYFUNCTION("""COMPUTED_VALUE"""),190)</f>
        <v>190</v>
      </c>
      <c r="E199" s="1">
        <f ca="1">IFERROR(__xludf.DUMMYFUNCTION("""COMPUTED_VALUE"""),20)</f>
        <v>20</v>
      </c>
      <c r="F199" s="1" t="str">
        <f ca="1">IFERROR(__xludf.DUMMYFUNCTION("""COMPUTED_VALUE"""),"OKC")</f>
        <v>OKC</v>
      </c>
      <c r="G199" s="1">
        <f ca="1">IFERROR(__xludf.DUMMYFUNCTION("""COMPUTED_VALUE"""),21)</f>
        <v>21</v>
      </c>
      <c r="H199" s="1">
        <f ca="1">IFERROR(__xludf.DUMMYFUNCTION("""COMPUTED_VALUE"""),0)</f>
        <v>0</v>
      </c>
      <c r="I199" s="1" t="str">
        <f ca="1">IFERROR(__xludf.DUMMYFUNCTION("""COMPUTED_VALUE"""),"Moravian Prep (North Carolina)")</f>
        <v>Moravian Prep (North Carolina)</v>
      </c>
      <c r="J199" s="1" t="str">
        <f ca="1">IFERROR(__xludf.DUMMYFUNCTION("""COMPUTED_VALUE"""),"2020 NBA Draft, Undrafted")</f>
        <v>2020 NBA Draft, Undrafted</v>
      </c>
      <c r="K199" s="1" t="str">
        <f ca="1">IFERROR(__xludf.DUMMYFUNCTION("""COMPUTED_VALUE"""),"United States")</f>
        <v>United States</v>
      </c>
    </row>
    <row r="200" spans="1:11" ht="13" x14ac:dyDescent="0.15">
      <c r="A200" s="1" t="str">
        <f ca="1">IFERROR(__xludf.DUMMYFUNCTION("""COMPUTED_VALUE"""),"RJ Hampton")</f>
        <v>RJ Hampton</v>
      </c>
      <c r="B200" s="1" t="str">
        <f ca="1">IFERROR(__xludf.DUMMYFUNCTION("""COMPUTED_VALUE"""),"G")</f>
        <v>G</v>
      </c>
      <c r="C200" s="2">
        <f ca="1">IFERROR(__xludf.DUMMYFUNCTION("""COMPUTED_VALUE"""),44718)</f>
        <v>44718</v>
      </c>
      <c r="D200" s="1">
        <f ca="1">IFERROR(__xludf.DUMMYFUNCTION("""COMPUTED_VALUE"""),190)</f>
        <v>190</v>
      </c>
      <c r="E200" s="1">
        <f ca="1">IFERROR(__xludf.DUMMYFUNCTION("""COMPUTED_VALUE"""),20)</f>
        <v>20</v>
      </c>
      <c r="F200" s="1" t="str">
        <f ca="1">IFERROR(__xludf.DUMMYFUNCTION("""COMPUTED_VALUE"""),"DEN, ORL")</f>
        <v>DEN, ORL</v>
      </c>
      <c r="G200" s="1">
        <f ca="1">IFERROR(__xludf.DUMMYFUNCTION("""COMPUTED_VALUE"""),51)</f>
        <v>51</v>
      </c>
      <c r="H200" s="1">
        <f ca="1">IFERROR(__xludf.DUMMYFUNCTION("""COMPUTED_VALUE"""),0)</f>
        <v>0</v>
      </c>
      <c r="I200" s="1" t="str">
        <f ca="1">IFERROR(__xludf.DUMMYFUNCTION("""COMPUTED_VALUE"""),"New Zealand (New Zealand)")</f>
        <v>New Zealand (New Zealand)</v>
      </c>
      <c r="J200" s="1" t="str">
        <f ca="1">IFERROR(__xludf.DUMMYFUNCTION("""COMPUTED_VALUE"""),"2020 Rnd 1 Pick 24")</f>
        <v>2020 Rnd 1 Pick 24</v>
      </c>
      <c r="K200" s="1" t="str">
        <f ca="1">IFERROR(__xludf.DUMMYFUNCTION("""COMPUTED_VALUE"""),"United States")</f>
        <v>United States</v>
      </c>
    </row>
    <row r="201" spans="1:11" ht="13" x14ac:dyDescent="0.15">
      <c r="A201" s="1" t="str">
        <f ca="1">IFERROR(__xludf.DUMMYFUNCTION("""COMPUTED_VALUE"""),"Tim Hardaway Jr.")</f>
        <v>Tim Hardaway Jr.</v>
      </c>
      <c r="B201" s="1" t="str">
        <f ca="1">IFERROR(__xludf.DUMMYFUNCTION("""COMPUTED_VALUE"""),"SG")</f>
        <v>SG</v>
      </c>
      <c r="C201" s="2">
        <f ca="1">IFERROR(__xludf.DUMMYFUNCTION("""COMPUTED_VALUE"""),44717)</f>
        <v>44717</v>
      </c>
      <c r="D201" s="1">
        <f ca="1">IFERROR(__xludf.DUMMYFUNCTION("""COMPUTED_VALUE"""),205)</f>
        <v>205</v>
      </c>
      <c r="E201" s="1">
        <f ca="1">IFERROR(__xludf.DUMMYFUNCTION("""COMPUTED_VALUE"""),28)</f>
        <v>28</v>
      </c>
      <c r="F201" s="1" t="str">
        <f ca="1">IFERROR(__xludf.DUMMYFUNCTION("""COMPUTED_VALUE"""),"DAL")</f>
        <v>DAL</v>
      </c>
      <c r="G201" s="1">
        <f ca="1">IFERROR(__xludf.DUMMYFUNCTION("""COMPUTED_VALUE"""),70)</f>
        <v>70</v>
      </c>
      <c r="H201" s="1">
        <f ca="1">IFERROR(__xludf.DUMMYFUNCTION("""COMPUTED_VALUE"""),7)</f>
        <v>7</v>
      </c>
      <c r="I201" s="1" t="str">
        <f ca="1">IFERROR(__xludf.DUMMYFUNCTION("""COMPUTED_VALUE"""),"Michigan")</f>
        <v>Michigan</v>
      </c>
      <c r="J201" s="1" t="str">
        <f ca="1">IFERROR(__xludf.DUMMYFUNCTION("""COMPUTED_VALUE"""),"2013 Rnd 1 Pick 24")</f>
        <v>2013 Rnd 1 Pick 24</v>
      </c>
      <c r="K201" s="1" t="str">
        <f ca="1">IFERROR(__xludf.DUMMYFUNCTION("""COMPUTED_VALUE"""),"United States")</f>
        <v>United States</v>
      </c>
    </row>
    <row r="202" spans="1:11" ht="13" x14ac:dyDescent="0.15">
      <c r="A202" s="1" t="str">
        <f ca="1">IFERROR(__xludf.DUMMYFUNCTION("""COMPUTED_VALUE"""),"James Harden")</f>
        <v>James Harden</v>
      </c>
      <c r="B202" s="1" t="str">
        <f ca="1">IFERROR(__xludf.DUMMYFUNCTION("""COMPUTED_VALUE"""),"SG")</f>
        <v>SG</v>
      </c>
      <c r="C202" s="2">
        <f ca="1">IFERROR(__xludf.DUMMYFUNCTION("""COMPUTED_VALUE"""),44717)</f>
        <v>44717</v>
      </c>
      <c r="D202" s="1">
        <f ca="1">IFERROR(__xludf.DUMMYFUNCTION("""COMPUTED_VALUE"""),220)</f>
        <v>220</v>
      </c>
      <c r="E202" s="1">
        <f ca="1">IFERROR(__xludf.DUMMYFUNCTION("""COMPUTED_VALUE"""),31)</f>
        <v>31</v>
      </c>
      <c r="F202" s="1" t="str">
        <f ca="1">IFERROR(__xludf.DUMMYFUNCTION("""COMPUTED_VALUE"""),"BRK, HOU")</f>
        <v>BRK, HOU</v>
      </c>
      <c r="G202" s="1">
        <f ca="1">IFERROR(__xludf.DUMMYFUNCTION("""COMPUTED_VALUE"""),44)</f>
        <v>44</v>
      </c>
      <c r="H202" s="1">
        <f ca="1">IFERROR(__xludf.DUMMYFUNCTION("""COMPUTED_VALUE"""),11)</f>
        <v>11</v>
      </c>
      <c r="I202" s="1" t="str">
        <f ca="1">IFERROR(__xludf.DUMMYFUNCTION("""COMPUTED_VALUE"""),"Arizona State")</f>
        <v>Arizona State</v>
      </c>
      <c r="J202" s="1" t="str">
        <f ca="1">IFERROR(__xludf.DUMMYFUNCTION("""COMPUTED_VALUE"""),"2009 Rnd 1 Pick 3")</f>
        <v>2009 Rnd 1 Pick 3</v>
      </c>
      <c r="K202" s="1" t="str">
        <f ca="1">IFERROR(__xludf.DUMMYFUNCTION("""COMPUTED_VALUE"""),"United States")</f>
        <v>United States</v>
      </c>
    </row>
    <row r="203" spans="1:11" ht="13" x14ac:dyDescent="0.15">
      <c r="A203" s="1" t="str">
        <f ca="1">IFERROR(__xludf.DUMMYFUNCTION("""COMPUTED_VALUE"""),"Maurice Harkless")</f>
        <v>Maurice Harkless</v>
      </c>
      <c r="B203" s="1" t="str">
        <f ca="1">IFERROR(__xludf.DUMMYFUNCTION("""COMPUTED_VALUE"""),"F")</f>
        <v>F</v>
      </c>
      <c r="C203" s="2">
        <f ca="1">IFERROR(__xludf.DUMMYFUNCTION("""COMPUTED_VALUE"""),44721)</f>
        <v>44721</v>
      </c>
      <c r="D203" s="1">
        <f ca="1">IFERROR(__xludf.DUMMYFUNCTION("""COMPUTED_VALUE"""),220)</f>
        <v>220</v>
      </c>
      <c r="E203" s="1">
        <f ca="1">IFERROR(__xludf.DUMMYFUNCTION("""COMPUTED_VALUE"""),27)</f>
        <v>27</v>
      </c>
      <c r="F203" s="1" t="str">
        <f ca="1">IFERROR(__xludf.DUMMYFUNCTION("""COMPUTED_VALUE"""),"MIA, SAC")</f>
        <v>MIA, SAC</v>
      </c>
      <c r="G203" s="1">
        <f ca="1">IFERROR(__xludf.DUMMYFUNCTION("""COMPUTED_VALUE"""),37)</f>
        <v>37</v>
      </c>
      <c r="H203" s="1">
        <f ca="1">IFERROR(__xludf.DUMMYFUNCTION("""COMPUTED_VALUE"""),8)</f>
        <v>8</v>
      </c>
      <c r="I203" s="1" t="str">
        <f ca="1">IFERROR(__xludf.DUMMYFUNCTION("""COMPUTED_VALUE"""),"St. John's")</f>
        <v>St. John's</v>
      </c>
      <c r="J203" s="1" t="str">
        <f ca="1">IFERROR(__xludf.DUMMYFUNCTION("""COMPUTED_VALUE"""),"2012 Rnd 1 Pick 15")</f>
        <v>2012 Rnd 1 Pick 15</v>
      </c>
      <c r="K203" s="1" t="str">
        <f ca="1">IFERROR(__xludf.DUMMYFUNCTION("""COMPUTED_VALUE"""),"United States
Puerto Rico")</f>
        <v>United States
Puerto Rico</v>
      </c>
    </row>
    <row r="204" spans="1:11" ht="13" x14ac:dyDescent="0.15">
      <c r="A204" s="1" t="str">
        <f ca="1">IFERROR(__xludf.DUMMYFUNCTION("""COMPUTED_VALUE"""),"Jared Harper")</f>
        <v>Jared Harper</v>
      </c>
      <c r="B204" s="1" t="str">
        <f ca="1">IFERROR(__xludf.DUMMYFUNCTION("""COMPUTED_VALUE"""),"PG")</f>
        <v>PG</v>
      </c>
      <c r="C204" s="1" t="str">
        <f ca="1">IFERROR(__xludf.DUMMYFUNCTION("""COMPUTED_VALUE"""),"6-0")</f>
        <v>6-0</v>
      </c>
      <c r="D204" s="1">
        <f ca="1">IFERROR(__xludf.DUMMYFUNCTION("""COMPUTED_VALUE"""),175)</f>
        <v>175</v>
      </c>
      <c r="E204" s="1">
        <f ca="1">IFERROR(__xludf.DUMMYFUNCTION("""COMPUTED_VALUE"""),23)</f>
        <v>23</v>
      </c>
      <c r="F204" s="1" t="str">
        <f ca="1">IFERROR(__xludf.DUMMYFUNCTION("""COMPUTED_VALUE"""),"NYK")</f>
        <v>NYK</v>
      </c>
      <c r="G204" s="1">
        <f ca="1">IFERROR(__xludf.DUMMYFUNCTION("""COMPUTED_VALUE"""),8)</f>
        <v>8</v>
      </c>
      <c r="H204" s="1">
        <f ca="1">IFERROR(__xludf.DUMMYFUNCTION("""COMPUTED_VALUE"""),1)</f>
        <v>1</v>
      </c>
      <c r="I204" s="1" t="str">
        <f ca="1">IFERROR(__xludf.DUMMYFUNCTION("""COMPUTED_VALUE"""),"Auburn")</f>
        <v>Auburn</v>
      </c>
      <c r="J204" s="1" t="str">
        <f ca="1">IFERROR(__xludf.DUMMYFUNCTION("""COMPUTED_VALUE"""),"2019 NBA Draft, Undrafted")</f>
        <v>2019 NBA Draft, Undrafted</v>
      </c>
      <c r="K204" s="1" t="str">
        <f ca="1">IFERROR(__xludf.DUMMYFUNCTION("""COMPUTED_VALUE"""),"United States")</f>
        <v>United States</v>
      </c>
    </row>
    <row r="205" spans="1:11" ht="13" x14ac:dyDescent="0.15">
      <c r="A205" s="1" t="str">
        <f ca="1">IFERROR(__xludf.DUMMYFUNCTION("""COMPUTED_VALUE"""),"Montrezl Harrell")</f>
        <v>Montrezl Harrell</v>
      </c>
      <c r="B205" s="1" t="str">
        <f ca="1">IFERROR(__xludf.DUMMYFUNCTION("""COMPUTED_VALUE"""),"F")</f>
        <v>F</v>
      </c>
      <c r="C205" s="2">
        <f ca="1">IFERROR(__xludf.DUMMYFUNCTION("""COMPUTED_VALUE"""),44719)</f>
        <v>44719</v>
      </c>
      <c r="D205" s="1">
        <f ca="1">IFERROR(__xludf.DUMMYFUNCTION("""COMPUTED_VALUE"""),240)</f>
        <v>240</v>
      </c>
      <c r="E205" s="1">
        <f ca="1">IFERROR(__xludf.DUMMYFUNCTION("""COMPUTED_VALUE"""),27)</f>
        <v>27</v>
      </c>
      <c r="F205" s="1" t="str">
        <f ca="1">IFERROR(__xludf.DUMMYFUNCTION("""COMPUTED_VALUE"""),"LAL")</f>
        <v>LAL</v>
      </c>
      <c r="G205" s="1">
        <f ca="1">IFERROR(__xludf.DUMMYFUNCTION("""COMPUTED_VALUE"""),69)</f>
        <v>69</v>
      </c>
      <c r="H205" s="1">
        <f ca="1">IFERROR(__xludf.DUMMYFUNCTION("""COMPUTED_VALUE"""),5)</f>
        <v>5</v>
      </c>
      <c r="I205" s="1" t="str">
        <f ca="1">IFERROR(__xludf.DUMMYFUNCTION("""COMPUTED_VALUE"""),"Louisville")</f>
        <v>Louisville</v>
      </c>
      <c r="J205" s="1" t="str">
        <f ca="1">IFERROR(__xludf.DUMMYFUNCTION("""COMPUTED_VALUE"""),"2015 Rnd 2 Pick 2")</f>
        <v>2015 Rnd 2 Pick 2</v>
      </c>
      <c r="K205" s="1" t="str">
        <f ca="1">IFERROR(__xludf.DUMMYFUNCTION("""COMPUTED_VALUE"""),"United States")</f>
        <v>United States</v>
      </c>
    </row>
    <row r="206" spans="1:11" ht="13" x14ac:dyDescent="0.15">
      <c r="A206" s="1" t="str">
        <f ca="1">IFERROR(__xludf.DUMMYFUNCTION("""COMPUTED_VALUE"""),"Gary Harris")</f>
        <v>Gary Harris</v>
      </c>
      <c r="B206" s="1" t="str">
        <f ca="1">IFERROR(__xludf.DUMMYFUNCTION("""COMPUTED_VALUE"""),"SG")</f>
        <v>SG</v>
      </c>
      <c r="C206" s="2">
        <f ca="1">IFERROR(__xludf.DUMMYFUNCTION("""COMPUTED_VALUE"""),44716)</f>
        <v>44716</v>
      </c>
      <c r="D206" s="1">
        <f ca="1">IFERROR(__xludf.DUMMYFUNCTION("""COMPUTED_VALUE"""),205)</f>
        <v>205</v>
      </c>
      <c r="E206" s="1">
        <f ca="1">IFERROR(__xludf.DUMMYFUNCTION("""COMPUTED_VALUE"""),26)</f>
        <v>26</v>
      </c>
      <c r="F206" s="1" t="str">
        <f ca="1">IFERROR(__xludf.DUMMYFUNCTION("""COMPUTED_VALUE"""),"DEN, ORL")</f>
        <v>DEN, ORL</v>
      </c>
      <c r="G206" s="1">
        <f ca="1">IFERROR(__xludf.DUMMYFUNCTION("""COMPUTED_VALUE"""),39)</f>
        <v>39</v>
      </c>
      <c r="H206" s="1">
        <f ca="1">IFERROR(__xludf.DUMMYFUNCTION("""COMPUTED_VALUE"""),6)</f>
        <v>6</v>
      </c>
      <c r="I206" s="1" t="str">
        <f ca="1">IFERROR(__xludf.DUMMYFUNCTION("""COMPUTED_VALUE"""),"Michigan State")</f>
        <v>Michigan State</v>
      </c>
      <c r="J206" s="1" t="str">
        <f ca="1">IFERROR(__xludf.DUMMYFUNCTION("""COMPUTED_VALUE"""),"2014 Rnd 1 Pick 19")</f>
        <v>2014 Rnd 1 Pick 19</v>
      </c>
      <c r="K206" s="1" t="str">
        <f ca="1">IFERROR(__xludf.DUMMYFUNCTION("""COMPUTED_VALUE"""),"United States")</f>
        <v>United States</v>
      </c>
    </row>
    <row r="207" spans="1:11" ht="13" x14ac:dyDescent="0.15">
      <c r="A207" s="1" t="str">
        <f ca="1">IFERROR(__xludf.DUMMYFUNCTION("""COMPUTED_VALUE"""),"Jalen Harris")</f>
        <v>Jalen Harris</v>
      </c>
      <c r="B207" s="1" t="str">
        <f ca="1">IFERROR(__xludf.DUMMYFUNCTION("""COMPUTED_VALUE"""),"SG")</f>
        <v>SG</v>
      </c>
      <c r="C207" s="2">
        <f ca="1">IFERROR(__xludf.DUMMYFUNCTION("""COMPUTED_VALUE"""),44717)</f>
        <v>44717</v>
      </c>
      <c r="D207" s="1">
        <f ca="1">IFERROR(__xludf.DUMMYFUNCTION("""COMPUTED_VALUE"""),195)</f>
        <v>195</v>
      </c>
      <c r="E207" s="1">
        <f ca="1">IFERROR(__xludf.DUMMYFUNCTION("""COMPUTED_VALUE"""),22)</f>
        <v>22</v>
      </c>
      <c r="F207" s="1" t="str">
        <f ca="1">IFERROR(__xludf.DUMMYFUNCTION("""COMPUTED_VALUE"""),"TOR")</f>
        <v>TOR</v>
      </c>
      <c r="G207" s="1">
        <f ca="1">IFERROR(__xludf.DUMMYFUNCTION("""COMPUTED_VALUE"""),13)</f>
        <v>13</v>
      </c>
      <c r="H207" s="1">
        <f ca="1">IFERROR(__xludf.DUMMYFUNCTION("""COMPUTED_VALUE"""),0)</f>
        <v>0</v>
      </c>
      <c r="I207" s="1" t="str">
        <f ca="1">IFERROR(__xludf.DUMMYFUNCTION("""COMPUTED_VALUE"""),"Nevada")</f>
        <v>Nevada</v>
      </c>
      <c r="J207" s="1" t="str">
        <f ca="1">IFERROR(__xludf.DUMMYFUNCTION("""COMPUTED_VALUE"""),"2020 Rnd 2 Pick 29")</f>
        <v>2020 Rnd 2 Pick 29</v>
      </c>
      <c r="K207" s="1" t="str">
        <f ca="1">IFERROR(__xludf.DUMMYFUNCTION("""COMPUTED_VALUE"""),"United States")</f>
        <v>United States</v>
      </c>
    </row>
    <row r="208" spans="1:11" ht="13" x14ac:dyDescent="0.15">
      <c r="A208" s="1" t="str">
        <f ca="1">IFERROR(__xludf.DUMMYFUNCTION("""COMPUTED_VALUE"""),"Joe Harris")</f>
        <v>Joe Harris</v>
      </c>
      <c r="B208" s="1" t="str">
        <f ca="1">IFERROR(__xludf.DUMMYFUNCTION("""COMPUTED_VALUE"""),"SG")</f>
        <v>SG</v>
      </c>
      <c r="C208" s="2">
        <f ca="1">IFERROR(__xludf.DUMMYFUNCTION("""COMPUTED_VALUE"""),44718)</f>
        <v>44718</v>
      </c>
      <c r="D208" s="1">
        <f ca="1">IFERROR(__xludf.DUMMYFUNCTION("""COMPUTED_VALUE"""),220)</f>
        <v>220</v>
      </c>
      <c r="E208" s="1">
        <f ca="1">IFERROR(__xludf.DUMMYFUNCTION("""COMPUTED_VALUE"""),29)</f>
        <v>29</v>
      </c>
      <c r="F208" s="1" t="str">
        <f ca="1">IFERROR(__xludf.DUMMYFUNCTION("""COMPUTED_VALUE"""),"BRK")</f>
        <v>BRK</v>
      </c>
      <c r="G208" s="1">
        <f ca="1">IFERROR(__xludf.DUMMYFUNCTION("""COMPUTED_VALUE"""),69)</f>
        <v>69</v>
      </c>
      <c r="H208" s="1">
        <f ca="1">IFERROR(__xludf.DUMMYFUNCTION("""COMPUTED_VALUE"""),6)</f>
        <v>6</v>
      </c>
      <c r="I208" s="1" t="str">
        <f ca="1">IFERROR(__xludf.DUMMYFUNCTION("""COMPUTED_VALUE"""),"Virginia")</f>
        <v>Virginia</v>
      </c>
      <c r="J208" s="1" t="str">
        <f ca="1">IFERROR(__xludf.DUMMYFUNCTION("""COMPUTED_VALUE"""),"2014 Rnd 2 Pick 3")</f>
        <v>2014 Rnd 2 Pick 3</v>
      </c>
      <c r="K208" s="1" t="str">
        <f ca="1">IFERROR(__xludf.DUMMYFUNCTION("""COMPUTED_VALUE"""),"United States")</f>
        <v>United States</v>
      </c>
    </row>
    <row r="209" spans="1:11" ht="13" x14ac:dyDescent="0.15">
      <c r="A209" s="1" t="str">
        <f ca="1">IFERROR(__xludf.DUMMYFUNCTION("""COMPUTED_VALUE"""),"Tobias Harris")</f>
        <v>Tobias Harris</v>
      </c>
      <c r="B209" s="1" t="str">
        <f ca="1">IFERROR(__xludf.DUMMYFUNCTION("""COMPUTED_VALUE"""),"F")</f>
        <v>F</v>
      </c>
      <c r="C209" s="2">
        <f ca="1">IFERROR(__xludf.DUMMYFUNCTION("""COMPUTED_VALUE"""),44719)</f>
        <v>44719</v>
      </c>
      <c r="D209" s="1">
        <f ca="1">IFERROR(__xludf.DUMMYFUNCTION("""COMPUTED_VALUE"""),230)</f>
        <v>230</v>
      </c>
      <c r="E209" s="1">
        <f ca="1">IFERROR(__xludf.DUMMYFUNCTION("""COMPUTED_VALUE"""),28)</f>
        <v>28</v>
      </c>
      <c r="F209" s="1" t="str">
        <f ca="1">IFERROR(__xludf.DUMMYFUNCTION("""COMPUTED_VALUE"""),"PHI")</f>
        <v>PHI</v>
      </c>
      <c r="G209" s="1">
        <f ca="1">IFERROR(__xludf.DUMMYFUNCTION("""COMPUTED_VALUE"""),62)</f>
        <v>62</v>
      </c>
      <c r="H209" s="1">
        <f ca="1">IFERROR(__xludf.DUMMYFUNCTION("""COMPUTED_VALUE"""),9)</f>
        <v>9</v>
      </c>
      <c r="I209" s="1" t="str">
        <f ca="1">IFERROR(__xludf.DUMMYFUNCTION("""COMPUTED_VALUE"""),"Tennessee")</f>
        <v>Tennessee</v>
      </c>
      <c r="J209" s="1" t="str">
        <f ca="1">IFERROR(__xludf.DUMMYFUNCTION("""COMPUTED_VALUE"""),"2011 Rnd 1 Pick 19")</f>
        <v>2011 Rnd 1 Pick 19</v>
      </c>
      <c r="K209" s="1" t="str">
        <f ca="1">IFERROR(__xludf.DUMMYFUNCTION("""COMPUTED_VALUE"""),"United States")</f>
        <v>United States</v>
      </c>
    </row>
    <row r="210" spans="1:11" ht="13" x14ac:dyDescent="0.15">
      <c r="A210" s="1" t="str">
        <f ca="1">IFERROR(__xludf.DUMMYFUNCTION("""COMPUTED_VALUE"""),"Shaquille Harrison")</f>
        <v>Shaquille Harrison</v>
      </c>
      <c r="B210" s="1" t="str">
        <f ca="1">IFERROR(__xludf.DUMMYFUNCTION("""COMPUTED_VALUE"""),"G")</f>
        <v>G</v>
      </c>
      <c r="C210" s="2">
        <f ca="1">IFERROR(__xludf.DUMMYFUNCTION("""COMPUTED_VALUE"""),44715)</f>
        <v>44715</v>
      </c>
      <c r="D210" s="1">
        <f ca="1">IFERROR(__xludf.DUMMYFUNCTION("""COMPUTED_VALUE"""),195)</f>
        <v>195</v>
      </c>
      <c r="E210" s="1">
        <f ca="1">IFERROR(__xludf.DUMMYFUNCTION("""COMPUTED_VALUE"""),27)</f>
        <v>27</v>
      </c>
      <c r="F210" s="1" t="str">
        <f ca="1">IFERROR(__xludf.DUMMYFUNCTION("""COMPUTED_VALUE"""),"DEN, UTH")</f>
        <v>DEN, UTH</v>
      </c>
      <c r="G210" s="1">
        <f ca="1">IFERROR(__xludf.DUMMYFUNCTION("""COMPUTED_VALUE"""),34)</f>
        <v>34</v>
      </c>
      <c r="H210" s="1">
        <f ca="1">IFERROR(__xludf.DUMMYFUNCTION("""COMPUTED_VALUE"""),3)</f>
        <v>3</v>
      </c>
      <c r="I210" s="1" t="str">
        <f ca="1">IFERROR(__xludf.DUMMYFUNCTION("""COMPUTED_VALUE"""),"Tulsa")</f>
        <v>Tulsa</v>
      </c>
      <c r="J210" s="1" t="str">
        <f ca="1">IFERROR(__xludf.DUMMYFUNCTION("""COMPUTED_VALUE"""),"2016 NBA Draft, Undrafted")</f>
        <v>2016 NBA Draft, Undrafted</v>
      </c>
      <c r="K210" s="1" t="str">
        <f ca="1">IFERROR(__xludf.DUMMYFUNCTION("""COMPUTED_VALUE"""),"United States")</f>
        <v>United States</v>
      </c>
    </row>
    <row r="211" spans="1:11" ht="13" x14ac:dyDescent="0.15">
      <c r="A211" s="1" t="str">
        <f ca="1">IFERROR(__xludf.DUMMYFUNCTION("""COMPUTED_VALUE"""),"Josh Hart")</f>
        <v>Josh Hart</v>
      </c>
      <c r="B211" s="1" t="str">
        <f ca="1">IFERROR(__xludf.DUMMYFUNCTION("""COMPUTED_VALUE"""),"SG")</f>
        <v>SG</v>
      </c>
      <c r="C211" s="2">
        <f ca="1">IFERROR(__xludf.DUMMYFUNCTION("""COMPUTED_VALUE"""),44717)</f>
        <v>44717</v>
      </c>
      <c r="D211" s="1">
        <f ca="1">IFERROR(__xludf.DUMMYFUNCTION("""COMPUTED_VALUE"""),215)</f>
        <v>215</v>
      </c>
      <c r="E211" s="1">
        <f ca="1">IFERROR(__xludf.DUMMYFUNCTION("""COMPUTED_VALUE"""),25)</f>
        <v>25</v>
      </c>
      <c r="F211" s="1" t="str">
        <f ca="1">IFERROR(__xludf.DUMMYFUNCTION("""COMPUTED_VALUE"""),"NOP")</f>
        <v>NOP</v>
      </c>
      <c r="G211" s="1">
        <f ca="1">IFERROR(__xludf.DUMMYFUNCTION("""COMPUTED_VALUE"""),47)</f>
        <v>47</v>
      </c>
      <c r="H211" s="1">
        <f ca="1">IFERROR(__xludf.DUMMYFUNCTION("""COMPUTED_VALUE"""),3)</f>
        <v>3</v>
      </c>
      <c r="I211" s="1" t="str">
        <f ca="1">IFERROR(__xludf.DUMMYFUNCTION("""COMPUTED_VALUE"""),"Villanova")</f>
        <v>Villanova</v>
      </c>
      <c r="J211" s="1" t="str">
        <f ca="1">IFERROR(__xludf.DUMMYFUNCTION("""COMPUTED_VALUE"""),"2017 Rnd 1 Pick 30")</f>
        <v>2017 Rnd 1 Pick 30</v>
      </c>
      <c r="K211" s="1" t="str">
        <f ca="1">IFERROR(__xludf.DUMMYFUNCTION("""COMPUTED_VALUE"""),"United States")</f>
        <v>United States</v>
      </c>
    </row>
    <row r="212" spans="1:11" ht="13" x14ac:dyDescent="0.15">
      <c r="A212" s="1" t="str">
        <f ca="1">IFERROR(__xludf.DUMMYFUNCTION("""COMPUTED_VALUE"""),"Isaiah Hartenstein")</f>
        <v>Isaiah Hartenstein</v>
      </c>
      <c r="B212" s="1" t="str">
        <f ca="1">IFERROR(__xludf.DUMMYFUNCTION("""COMPUTED_VALUE"""),"PF")</f>
        <v>PF</v>
      </c>
      <c r="C212" s="1" t="str">
        <f ca="1">IFERROR(__xludf.DUMMYFUNCTION("""COMPUTED_VALUE"""),"7-0")</f>
        <v>7-0</v>
      </c>
      <c r="D212" s="1">
        <f ca="1">IFERROR(__xludf.DUMMYFUNCTION("""COMPUTED_VALUE"""),250)</f>
        <v>250</v>
      </c>
      <c r="E212" s="1">
        <f ca="1">IFERROR(__xludf.DUMMYFUNCTION("""COMPUTED_VALUE"""),22)</f>
        <v>22</v>
      </c>
      <c r="F212" s="1" t="str">
        <f ca="1">IFERROR(__xludf.DUMMYFUNCTION("""COMPUTED_VALUE"""),"CLE, DEN")</f>
        <v>CLE, DEN</v>
      </c>
      <c r="G212" s="1">
        <f ca="1">IFERROR(__xludf.DUMMYFUNCTION("""COMPUTED_VALUE"""),46)</f>
        <v>46</v>
      </c>
      <c r="H212" s="1">
        <f ca="1">IFERROR(__xludf.DUMMYFUNCTION("""COMPUTED_VALUE"""),2)</f>
        <v>2</v>
      </c>
      <c r="I212" s="1" t="str">
        <f ca="1">IFERROR(__xludf.DUMMYFUNCTION("""COMPUTED_VALUE"""),"Zalgiris (Lithuania)")</f>
        <v>Zalgiris (Lithuania)</v>
      </c>
      <c r="J212" s="1" t="str">
        <f ca="1">IFERROR(__xludf.DUMMYFUNCTION("""COMPUTED_VALUE"""),"2017 Rnd 2 Pick 13")</f>
        <v>2017 Rnd 2 Pick 13</v>
      </c>
      <c r="K212" s="1" t="str">
        <f ca="1">IFERROR(__xludf.DUMMYFUNCTION("""COMPUTED_VALUE"""),"United States
Germany")</f>
        <v>United States
Germany</v>
      </c>
    </row>
    <row r="213" spans="1:11" ht="13" x14ac:dyDescent="0.15">
      <c r="A213" s="1" t="str">
        <f ca="1">IFERROR(__xludf.DUMMYFUNCTION("""COMPUTED_VALUE"""),"Udonis Haslem")</f>
        <v>Udonis Haslem</v>
      </c>
      <c r="B213" s="1" t="str">
        <f ca="1">IFERROR(__xludf.DUMMYFUNCTION("""COMPUTED_VALUE"""),"FC")</f>
        <v>FC</v>
      </c>
      <c r="C213" s="2">
        <f ca="1">IFERROR(__xludf.DUMMYFUNCTION("""COMPUTED_VALUE"""),44720)</f>
        <v>44720</v>
      </c>
      <c r="D213" s="1">
        <f ca="1">IFERROR(__xludf.DUMMYFUNCTION("""COMPUTED_VALUE"""),235)</f>
        <v>235</v>
      </c>
      <c r="E213" s="1">
        <f ca="1">IFERROR(__xludf.DUMMYFUNCTION("""COMPUTED_VALUE"""),40)</f>
        <v>40</v>
      </c>
      <c r="F213" s="1" t="str">
        <f ca="1">IFERROR(__xludf.DUMMYFUNCTION("""COMPUTED_VALUE"""),"MIA")</f>
        <v>MIA</v>
      </c>
      <c r="G213" s="1">
        <f ca="1">IFERROR(__xludf.DUMMYFUNCTION("""COMPUTED_VALUE"""),1)</f>
        <v>1</v>
      </c>
      <c r="H213" s="1">
        <f ca="1">IFERROR(__xludf.DUMMYFUNCTION("""COMPUTED_VALUE"""),17)</f>
        <v>17</v>
      </c>
      <c r="I213" s="1" t="str">
        <f ca="1">IFERROR(__xludf.DUMMYFUNCTION("""COMPUTED_VALUE"""),"Florida")</f>
        <v>Florida</v>
      </c>
      <c r="J213" s="1" t="str">
        <f ca="1">IFERROR(__xludf.DUMMYFUNCTION("""COMPUTED_VALUE"""),"2002 NBA Draft, Undrafted")</f>
        <v>2002 NBA Draft, Undrafted</v>
      </c>
      <c r="K213" s="1" t="str">
        <f ca="1">IFERROR(__xludf.DUMMYFUNCTION("""COMPUTED_VALUE"""),"United States")</f>
        <v>United States</v>
      </c>
    </row>
    <row r="214" spans="1:11" ht="13" x14ac:dyDescent="0.15">
      <c r="A214" s="1" t="str">
        <f ca="1">IFERROR(__xludf.DUMMYFUNCTION("""COMPUTED_VALUE"""),"Jaxson Hayes")</f>
        <v>Jaxson Hayes</v>
      </c>
      <c r="B214" s="1" t="str">
        <f ca="1">IFERROR(__xludf.DUMMYFUNCTION("""COMPUTED_VALUE"""),"PF")</f>
        <v>PF</v>
      </c>
      <c r="C214" s="2">
        <f ca="1">IFERROR(__xludf.DUMMYFUNCTION("""COMPUTED_VALUE"""),44723)</f>
        <v>44723</v>
      </c>
      <c r="D214" s="1">
        <f ca="1">IFERROR(__xludf.DUMMYFUNCTION("""COMPUTED_VALUE"""),220)</f>
        <v>220</v>
      </c>
      <c r="E214" s="1">
        <f ca="1">IFERROR(__xludf.DUMMYFUNCTION("""COMPUTED_VALUE"""),20)</f>
        <v>20</v>
      </c>
      <c r="F214" s="1" t="str">
        <f ca="1">IFERROR(__xludf.DUMMYFUNCTION("""COMPUTED_VALUE"""),"NOP")</f>
        <v>NOP</v>
      </c>
      <c r="G214" s="1">
        <f ca="1">IFERROR(__xludf.DUMMYFUNCTION("""COMPUTED_VALUE"""),60)</f>
        <v>60</v>
      </c>
      <c r="H214" s="1">
        <f ca="1">IFERROR(__xludf.DUMMYFUNCTION("""COMPUTED_VALUE"""),1)</f>
        <v>1</v>
      </c>
      <c r="I214" s="1" t="str">
        <f ca="1">IFERROR(__xludf.DUMMYFUNCTION("""COMPUTED_VALUE"""),"Texas")</f>
        <v>Texas</v>
      </c>
      <c r="J214" s="1" t="str">
        <f ca="1">IFERROR(__xludf.DUMMYFUNCTION("""COMPUTED_VALUE"""),"2019 Rnd 1 Pick 8")</f>
        <v>2019 Rnd 1 Pick 8</v>
      </c>
      <c r="K214" s="1" t="str">
        <f ca="1">IFERROR(__xludf.DUMMYFUNCTION("""COMPUTED_VALUE"""),"United States")</f>
        <v>United States</v>
      </c>
    </row>
    <row r="215" spans="1:11" ht="13" x14ac:dyDescent="0.15">
      <c r="A215" s="1" t="str">
        <f ca="1">IFERROR(__xludf.DUMMYFUNCTION("""COMPUTED_VALUE"""),"Killian Hayes")</f>
        <v>Killian Hayes</v>
      </c>
      <c r="B215" s="1" t="str">
        <f ca="1">IFERROR(__xludf.DUMMYFUNCTION("""COMPUTED_VALUE"""),"G")</f>
        <v>G</v>
      </c>
      <c r="C215" s="2">
        <f ca="1">IFERROR(__xludf.DUMMYFUNCTION("""COMPUTED_VALUE"""),44717)</f>
        <v>44717</v>
      </c>
      <c r="D215" s="1">
        <f ca="1">IFERROR(__xludf.DUMMYFUNCTION("""COMPUTED_VALUE"""),195)</f>
        <v>195</v>
      </c>
      <c r="E215" s="1">
        <f ca="1">IFERROR(__xludf.DUMMYFUNCTION("""COMPUTED_VALUE"""),19)</f>
        <v>19</v>
      </c>
      <c r="F215" s="1" t="str">
        <f ca="1">IFERROR(__xludf.DUMMYFUNCTION("""COMPUTED_VALUE"""),"DET")</f>
        <v>DET</v>
      </c>
      <c r="G215" s="1">
        <f ca="1">IFERROR(__xludf.DUMMYFUNCTION("""COMPUTED_VALUE"""),26)</f>
        <v>26</v>
      </c>
      <c r="H215" s="1">
        <f ca="1">IFERROR(__xludf.DUMMYFUNCTION("""COMPUTED_VALUE"""),0)</f>
        <v>0</v>
      </c>
      <c r="I215" s="1" t="str">
        <f ca="1">IFERROR(__xludf.DUMMYFUNCTION("""COMPUTED_VALUE"""),"Ratiopharm Ulm (Germany)")</f>
        <v>Ratiopharm Ulm (Germany)</v>
      </c>
      <c r="J215" s="1" t="str">
        <f ca="1">IFERROR(__xludf.DUMMYFUNCTION("""COMPUTED_VALUE"""),"2020 Rnd 1 Pick 7")</f>
        <v>2020 Rnd 1 Pick 7</v>
      </c>
      <c r="K215" s="1" t="str">
        <f ca="1">IFERROR(__xludf.DUMMYFUNCTION("""COMPUTED_VALUE"""),"France
United States")</f>
        <v>France
United States</v>
      </c>
    </row>
    <row r="216" spans="1:11" ht="13" x14ac:dyDescent="0.15">
      <c r="A216" s="1" t="str">
        <f ca="1">IFERROR(__xludf.DUMMYFUNCTION("""COMPUTED_VALUE"""),"Gordon Hayward")</f>
        <v>Gordon Hayward</v>
      </c>
      <c r="B216" s="1" t="str">
        <f ca="1">IFERROR(__xludf.DUMMYFUNCTION("""COMPUTED_VALUE"""),"GF")</f>
        <v>GF</v>
      </c>
      <c r="C216" s="2">
        <f ca="1">IFERROR(__xludf.DUMMYFUNCTION("""COMPUTED_VALUE"""),44719)</f>
        <v>44719</v>
      </c>
      <c r="D216" s="1">
        <f ca="1">IFERROR(__xludf.DUMMYFUNCTION("""COMPUTED_VALUE"""),230)</f>
        <v>230</v>
      </c>
      <c r="E216" s="1">
        <f ca="1">IFERROR(__xludf.DUMMYFUNCTION("""COMPUTED_VALUE"""),30)</f>
        <v>30</v>
      </c>
      <c r="F216" s="1" t="str">
        <f ca="1">IFERROR(__xludf.DUMMYFUNCTION("""COMPUTED_VALUE"""),"CHA")</f>
        <v>CHA</v>
      </c>
      <c r="G216" s="1">
        <f ca="1">IFERROR(__xludf.DUMMYFUNCTION("""COMPUTED_VALUE"""),44)</f>
        <v>44</v>
      </c>
      <c r="H216" s="1">
        <f ca="1">IFERROR(__xludf.DUMMYFUNCTION("""COMPUTED_VALUE"""),10)</f>
        <v>10</v>
      </c>
      <c r="I216" s="1" t="str">
        <f ca="1">IFERROR(__xludf.DUMMYFUNCTION("""COMPUTED_VALUE"""),"Butler")</f>
        <v>Butler</v>
      </c>
      <c r="J216" s="1" t="str">
        <f ca="1">IFERROR(__xludf.DUMMYFUNCTION("""COMPUTED_VALUE"""),"2010 Rnd 1 Pick 9")</f>
        <v>2010 Rnd 1 Pick 9</v>
      </c>
      <c r="K216" s="1" t="str">
        <f ca="1">IFERROR(__xludf.DUMMYFUNCTION("""COMPUTED_VALUE"""),"United States")</f>
        <v>United States</v>
      </c>
    </row>
    <row r="217" spans="1:11" ht="13" x14ac:dyDescent="0.15">
      <c r="A217" s="1" t="str">
        <f ca="1">IFERROR(__xludf.DUMMYFUNCTION("""COMPUTED_VALUE"""),"Juancho Hernangomez")</f>
        <v>Juancho Hernangomez</v>
      </c>
      <c r="B217" s="1" t="str">
        <f ca="1">IFERROR(__xludf.DUMMYFUNCTION("""COMPUTED_VALUE"""),"F")</f>
        <v>F</v>
      </c>
      <c r="C217" s="2">
        <f ca="1">IFERROR(__xludf.DUMMYFUNCTION("""COMPUTED_VALUE"""),44721)</f>
        <v>44721</v>
      </c>
      <c r="D217" s="1">
        <f ca="1">IFERROR(__xludf.DUMMYFUNCTION("""COMPUTED_VALUE"""),214)</f>
        <v>214</v>
      </c>
      <c r="E217" s="1">
        <f ca="1">IFERROR(__xludf.DUMMYFUNCTION("""COMPUTED_VALUE"""),25)</f>
        <v>25</v>
      </c>
      <c r="F217" s="1" t="str">
        <f ca="1">IFERROR(__xludf.DUMMYFUNCTION("""COMPUTED_VALUE"""),"MIN")</f>
        <v>MIN</v>
      </c>
      <c r="G217" s="1">
        <f ca="1">IFERROR(__xludf.DUMMYFUNCTION("""COMPUTED_VALUE"""),52)</f>
        <v>52</v>
      </c>
      <c r="H217" s="1">
        <f ca="1">IFERROR(__xludf.DUMMYFUNCTION("""COMPUTED_VALUE"""),4)</f>
        <v>4</v>
      </c>
      <c r="I217" s="1" t="str">
        <f ca="1">IFERROR(__xludf.DUMMYFUNCTION("""COMPUTED_VALUE"""),"Movistar Estudiantes (Spain)")</f>
        <v>Movistar Estudiantes (Spain)</v>
      </c>
      <c r="J217" s="1" t="str">
        <f ca="1">IFERROR(__xludf.DUMMYFUNCTION("""COMPUTED_VALUE"""),"2016 Rnd 1 Pick 15")</f>
        <v>2016 Rnd 1 Pick 15</v>
      </c>
      <c r="K217" s="1" t="str">
        <f ca="1">IFERROR(__xludf.DUMMYFUNCTION("""COMPUTED_VALUE"""),"Spain")</f>
        <v>Spain</v>
      </c>
    </row>
    <row r="218" spans="1:11" ht="13" x14ac:dyDescent="0.15">
      <c r="A218" s="1" t="str">
        <f ca="1">IFERROR(__xludf.DUMMYFUNCTION("""COMPUTED_VALUE"""),"Willy Hernangomez")</f>
        <v>Willy Hernangomez</v>
      </c>
      <c r="B218" s="1" t="str">
        <f ca="1">IFERROR(__xludf.DUMMYFUNCTION("""COMPUTED_VALUE"""),"C")</f>
        <v>C</v>
      </c>
      <c r="C218" s="2">
        <f ca="1">IFERROR(__xludf.DUMMYFUNCTION("""COMPUTED_VALUE"""),44723)</f>
        <v>44723</v>
      </c>
      <c r="D218" s="1">
        <f ca="1">IFERROR(__xludf.DUMMYFUNCTION("""COMPUTED_VALUE"""),250)</f>
        <v>250</v>
      </c>
      <c r="E218" s="1">
        <f ca="1">IFERROR(__xludf.DUMMYFUNCTION("""COMPUTED_VALUE"""),26)</f>
        <v>26</v>
      </c>
      <c r="F218" s="1" t="str">
        <f ca="1">IFERROR(__xludf.DUMMYFUNCTION("""COMPUTED_VALUE"""),"NOP")</f>
        <v>NOP</v>
      </c>
      <c r="G218" s="1">
        <f ca="1">IFERROR(__xludf.DUMMYFUNCTION("""COMPUTED_VALUE"""),47)</f>
        <v>47</v>
      </c>
      <c r="H218" s="1">
        <f ca="1">IFERROR(__xludf.DUMMYFUNCTION("""COMPUTED_VALUE"""),4)</f>
        <v>4</v>
      </c>
      <c r="I218" s="1" t="str">
        <f ca="1">IFERROR(__xludf.DUMMYFUNCTION("""COMPUTED_VALUE"""),"Cajasol Seville U18 (Spain)")</f>
        <v>Cajasol Seville U18 (Spain)</v>
      </c>
      <c r="J218" s="1" t="str">
        <f ca="1">IFERROR(__xludf.DUMMYFUNCTION("""COMPUTED_VALUE"""),"2015 Rnd 2 Pick 5")</f>
        <v>2015 Rnd 2 Pick 5</v>
      </c>
      <c r="K218" s="1" t="str">
        <f ca="1">IFERROR(__xludf.DUMMYFUNCTION("""COMPUTED_VALUE"""),"Spain")</f>
        <v>Spain</v>
      </c>
    </row>
    <row r="219" spans="1:11" ht="13" x14ac:dyDescent="0.15">
      <c r="A219" s="1" t="str">
        <f ca="1">IFERROR(__xludf.DUMMYFUNCTION("""COMPUTED_VALUE"""),"Tyler Herro")</f>
        <v>Tyler Herro</v>
      </c>
      <c r="B219" s="1" t="str">
        <f ca="1">IFERROR(__xludf.DUMMYFUNCTION("""COMPUTED_VALUE"""),"SG")</f>
        <v>SG</v>
      </c>
      <c r="C219" s="2">
        <f ca="1">IFERROR(__xludf.DUMMYFUNCTION("""COMPUTED_VALUE"""),44718)</f>
        <v>44718</v>
      </c>
      <c r="D219" s="1">
        <f ca="1">IFERROR(__xludf.DUMMYFUNCTION("""COMPUTED_VALUE"""),195)</f>
        <v>195</v>
      </c>
      <c r="E219" s="1">
        <f ca="1">IFERROR(__xludf.DUMMYFUNCTION("""COMPUTED_VALUE"""),21)</f>
        <v>21</v>
      </c>
      <c r="F219" s="1" t="str">
        <f ca="1">IFERROR(__xludf.DUMMYFUNCTION("""COMPUTED_VALUE"""),"MIA")</f>
        <v>MIA</v>
      </c>
      <c r="G219" s="1">
        <f ca="1">IFERROR(__xludf.DUMMYFUNCTION("""COMPUTED_VALUE"""),54)</f>
        <v>54</v>
      </c>
      <c r="H219" s="1">
        <f ca="1">IFERROR(__xludf.DUMMYFUNCTION("""COMPUTED_VALUE"""),1)</f>
        <v>1</v>
      </c>
      <c r="I219" s="1" t="str">
        <f ca="1">IFERROR(__xludf.DUMMYFUNCTION("""COMPUTED_VALUE"""),"Kentucky")</f>
        <v>Kentucky</v>
      </c>
      <c r="J219" s="1" t="str">
        <f ca="1">IFERROR(__xludf.DUMMYFUNCTION("""COMPUTED_VALUE"""),"2019 Rnd 1 Pick 13")</f>
        <v>2019 Rnd 1 Pick 13</v>
      </c>
      <c r="K219" s="1" t="str">
        <f ca="1">IFERROR(__xludf.DUMMYFUNCTION("""COMPUTED_VALUE"""),"United States")</f>
        <v>United States</v>
      </c>
    </row>
    <row r="220" spans="1:11" ht="13" x14ac:dyDescent="0.15">
      <c r="A220" s="1" t="str">
        <f ca="1">IFERROR(__xludf.DUMMYFUNCTION("""COMPUTED_VALUE"""),"Buddy Hield")</f>
        <v>Buddy Hield</v>
      </c>
      <c r="B220" s="1" t="str">
        <f ca="1">IFERROR(__xludf.DUMMYFUNCTION("""COMPUTED_VALUE"""),"G")</f>
        <v>G</v>
      </c>
      <c r="C220" s="2">
        <f ca="1">IFERROR(__xludf.DUMMYFUNCTION("""COMPUTED_VALUE"""),44716)</f>
        <v>44716</v>
      </c>
      <c r="D220" s="1">
        <f ca="1">IFERROR(__xludf.DUMMYFUNCTION("""COMPUTED_VALUE"""),220)</f>
        <v>220</v>
      </c>
      <c r="E220" s="1">
        <f ca="1">IFERROR(__xludf.DUMMYFUNCTION("""COMPUTED_VALUE"""),28)</f>
        <v>28</v>
      </c>
      <c r="F220" s="1" t="str">
        <f ca="1">IFERROR(__xludf.DUMMYFUNCTION("""COMPUTED_VALUE"""),"SAC")</f>
        <v>SAC</v>
      </c>
      <c r="G220" s="1">
        <f ca="1">IFERROR(__xludf.DUMMYFUNCTION("""COMPUTED_VALUE"""),71)</f>
        <v>71</v>
      </c>
      <c r="H220" s="1">
        <f ca="1">IFERROR(__xludf.DUMMYFUNCTION("""COMPUTED_VALUE"""),4)</f>
        <v>4</v>
      </c>
      <c r="I220" s="1" t="str">
        <f ca="1">IFERROR(__xludf.DUMMYFUNCTION("""COMPUTED_VALUE"""),"Oklahoma")</f>
        <v>Oklahoma</v>
      </c>
      <c r="J220" s="1" t="str">
        <f ca="1">IFERROR(__xludf.DUMMYFUNCTION("""COMPUTED_VALUE"""),"2016 Rnd 1 Pick 6")</f>
        <v>2016 Rnd 1 Pick 6</v>
      </c>
      <c r="K220" s="1" t="str">
        <f ca="1">IFERROR(__xludf.DUMMYFUNCTION("""COMPUTED_VALUE"""),"Bahamas")</f>
        <v>Bahamas</v>
      </c>
    </row>
    <row r="221" spans="1:11" ht="13" x14ac:dyDescent="0.15">
      <c r="A221" s="1" t="str">
        <f ca="1">IFERROR(__xludf.DUMMYFUNCTION("""COMPUTED_VALUE"""),"George Hill")</f>
        <v>George Hill</v>
      </c>
      <c r="B221" s="1" t="str">
        <f ca="1">IFERROR(__xludf.DUMMYFUNCTION("""COMPUTED_VALUE"""),"G")</f>
        <v>G</v>
      </c>
      <c r="C221" s="2">
        <f ca="1">IFERROR(__xludf.DUMMYFUNCTION("""COMPUTED_VALUE"""),44715)</f>
        <v>44715</v>
      </c>
      <c r="D221" s="1">
        <f ca="1">IFERROR(__xludf.DUMMYFUNCTION("""COMPUTED_VALUE"""),188)</f>
        <v>188</v>
      </c>
      <c r="E221" s="1">
        <f ca="1">IFERROR(__xludf.DUMMYFUNCTION("""COMPUTED_VALUE"""),34)</f>
        <v>34</v>
      </c>
      <c r="F221" s="1" t="str">
        <f ca="1">IFERROR(__xludf.DUMMYFUNCTION("""COMPUTED_VALUE"""),"OKC, PHL")</f>
        <v>OKC, PHL</v>
      </c>
      <c r="G221" s="1">
        <f ca="1">IFERROR(__xludf.DUMMYFUNCTION("""COMPUTED_VALUE"""),30)</f>
        <v>30</v>
      </c>
      <c r="H221" s="1">
        <f ca="1">IFERROR(__xludf.DUMMYFUNCTION("""COMPUTED_VALUE"""),12)</f>
        <v>12</v>
      </c>
      <c r="I221" s="1" t="str">
        <f ca="1">IFERROR(__xludf.DUMMYFUNCTION("""COMPUTED_VALUE"""),"IUPUI")</f>
        <v>IUPUI</v>
      </c>
      <c r="J221" s="1" t="str">
        <f ca="1">IFERROR(__xludf.DUMMYFUNCTION("""COMPUTED_VALUE"""),"2008 Rnd 1 Pick 26")</f>
        <v>2008 Rnd 1 Pick 26</v>
      </c>
      <c r="K221" s="1" t="str">
        <f ca="1">IFERROR(__xludf.DUMMYFUNCTION("""COMPUTED_VALUE"""),"United States")</f>
        <v>United States</v>
      </c>
    </row>
    <row r="222" spans="1:11" ht="13" x14ac:dyDescent="0.15">
      <c r="A222" s="1" t="str">
        <f ca="1">IFERROR(__xludf.DUMMYFUNCTION("""COMPUTED_VALUE"""),"Solomon Hill")</f>
        <v>Solomon Hill</v>
      </c>
      <c r="B222" s="1" t="str">
        <f ca="1">IFERROR(__xludf.DUMMYFUNCTION("""COMPUTED_VALUE"""),"SF")</f>
        <v>SF</v>
      </c>
      <c r="C222" s="2">
        <f ca="1">IFERROR(__xludf.DUMMYFUNCTION("""COMPUTED_VALUE"""),44718)</f>
        <v>44718</v>
      </c>
      <c r="D222" s="1">
        <f ca="1">IFERROR(__xludf.DUMMYFUNCTION("""COMPUTED_VALUE"""),226)</f>
        <v>226</v>
      </c>
      <c r="E222" s="1">
        <f ca="1">IFERROR(__xludf.DUMMYFUNCTION("""COMPUTED_VALUE"""),29)</f>
        <v>29</v>
      </c>
      <c r="F222" s="1" t="str">
        <f ca="1">IFERROR(__xludf.DUMMYFUNCTION("""COMPUTED_VALUE"""),"ATL")</f>
        <v>ATL</v>
      </c>
      <c r="G222" s="1">
        <f ca="1">IFERROR(__xludf.DUMMYFUNCTION("""COMPUTED_VALUE"""),71)</f>
        <v>71</v>
      </c>
      <c r="H222" s="1">
        <f ca="1">IFERROR(__xludf.DUMMYFUNCTION("""COMPUTED_VALUE"""),7)</f>
        <v>7</v>
      </c>
      <c r="I222" s="1" t="str">
        <f ca="1">IFERROR(__xludf.DUMMYFUNCTION("""COMPUTED_VALUE"""),"Arizona")</f>
        <v>Arizona</v>
      </c>
      <c r="J222" s="1" t="str">
        <f ca="1">IFERROR(__xludf.DUMMYFUNCTION("""COMPUTED_VALUE"""),"2013 Rnd 1 Pick 23")</f>
        <v>2013 Rnd 1 Pick 23</v>
      </c>
      <c r="K222" s="1" t="str">
        <f ca="1">IFERROR(__xludf.DUMMYFUNCTION("""COMPUTED_VALUE"""),"United States")</f>
        <v>United States</v>
      </c>
    </row>
    <row r="223" spans="1:11" ht="13" x14ac:dyDescent="0.15">
      <c r="A223" s="1" t="str">
        <f ca="1">IFERROR(__xludf.DUMMYFUNCTION("""COMPUTED_VALUE"""),"Nate Hinton")</f>
        <v>Nate Hinton</v>
      </c>
      <c r="B223" s="1" t="str">
        <f ca="1">IFERROR(__xludf.DUMMYFUNCTION("""COMPUTED_VALUE"""),"SF")</f>
        <v>SF</v>
      </c>
      <c r="C223" s="2">
        <f ca="1">IFERROR(__xludf.DUMMYFUNCTION("""COMPUTED_VALUE"""),44717)</f>
        <v>44717</v>
      </c>
      <c r="D223" s="1">
        <f ca="1">IFERROR(__xludf.DUMMYFUNCTION("""COMPUTED_VALUE"""),210)</f>
        <v>210</v>
      </c>
      <c r="E223" s="1">
        <f ca="1">IFERROR(__xludf.DUMMYFUNCTION("""COMPUTED_VALUE"""),21)</f>
        <v>21</v>
      </c>
      <c r="F223" s="1" t="str">
        <f ca="1">IFERROR(__xludf.DUMMYFUNCTION("""COMPUTED_VALUE"""),"DAL")</f>
        <v>DAL</v>
      </c>
      <c r="G223" s="1">
        <f ca="1">IFERROR(__xludf.DUMMYFUNCTION("""COMPUTED_VALUE"""),21)</f>
        <v>21</v>
      </c>
      <c r="H223" s="1">
        <f ca="1">IFERROR(__xludf.DUMMYFUNCTION("""COMPUTED_VALUE"""),0)</f>
        <v>0</v>
      </c>
      <c r="I223" s="1" t="str">
        <f ca="1">IFERROR(__xludf.DUMMYFUNCTION("""COMPUTED_VALUE"""),"Houston")</f>
        <v>Houston</v>
      </c>
      <c r="J223" s="1" t="str">
        <f ca="1">IFERROR(__xludf.DUMMYFUNCTION("""COMPUTED_VALUE"""),"2020 NBA Draft, Undrafted")</f>
        <v>2020 NBA Draft, Undrafted</v>
      </c>
      <c r="K223" s="1" t="str">
        <f ca="1">IFERROR(__xludf.DUMMYFUNCTION("""COMPUTED_VALUE"""),"United States")</f>
        <v>United States</v>
      </c>
    </row>
    <row r="224" spans="1:11" ht="13" x14ac:dyDescent="0.15">
      <c r="A224" s="1" t="str">
        <f ca="1">IFERROR(__xludf.DUMMYFUNCTION("""COMPUTED_VALUE"""),"Jaylen Hoard")</f>
        <v>Jaylen Hoard</v>
      </c>
      <c r="B224" s="1" t="str">
        <f ca="1">IFERROR(__xludf.DUMMYFUNCTION("""COMPUTED_VALUE"""),"PF")</f>
        <v>PF</v>
      </c>
      <c r="C224" s="2">
        <f ca="1">IFERROR(__xludf.DUMMYFUNCTION("""COMPUTED_VALUE"""),44720)</f>
        <v>44720</v>
      </c>
      <c r="D224" s="1">
        <f ca="1">IFERROR(__xludf.DUMMYFUNCTION("""COMPUTED_VALUE"""),216)</f>
        <v>216</v>
      </c>
      <c r="E224" s="1">
        <f ca="1">IFERROR(__xludf.DUMMYFUNCTION("""COMPUTED_VALUE"""),21)</f>
        <v>21</v>
      </c>
      <c r="F224" s="1" t="str">
        <f ca="1">IFERROR(__xludf.DUMMYFUNCTION("""COMPUTED_VALUE"""),"OKC")</f>
        <v>OKC</v>
      </c>
      <c r="G224" s="1">
        <f ca="1">IFERROR(__xludf.DUMMYFUNCTION("""COMPUTED_VALUE"""),19)</f>
        <v>19</v>
      </c>
      <c r="H224" s="1">
        <f ca="1">IFERROR(__xludf.DUMMYFUNCTION("""COMPUTED_VALUE"""),1)</f>
        <v>1</v>
      </c>
      <c r="I224" s="1" t="str">
        <f ca="1">IFERROR(__xludf.DUMMYFUNCTION("""COMPUTED_VALUE"""),"Wake Forest")</f>
        <v>Wake Forest</v>
      </c>
      <c r="J224" s="1" t="str">
        <f ca="1">IFERROR(__xludf.DUMMYFUNCTION("""COMPUTED_VALUE"""),"2019 NBA Draft, Undrafted")</f>
        <v>2019 NBA Draft, Undrafted</v>
      </c>
      <c r="K224" s="1" t="str">
        <f ca="1">IFERROR(__xludf.DUMMYFUNCTION("""COMPUTED_VALUE"""),"France")</f>
        <v>France</v>
      </c>
    </row>
    <row r="225" spans="1:11" ht="13" x14ac:dyDescent="0.15">
      <c r="A225" s="1" t="str">
        <f ca="1">IFERROR(__xludf.DUMMYFUNCTION("""COMPUTED_VALUE"""),"Aaron Holiday")</f>
        <v>Aaron Holiday</v>
      </c>
      <c r="B225" s="1" t="str">
        <f ca="1">IFERROR(__xludf.DUMMYFUNCTION("""COMPUTED_VALUE"""),"PG")</f>
        <v>PG</v>
      </c>
      <c r="C225" s="1" t="str">
        <f ca="1">IFERROR(__xludf.DUMMYFUNCTION("""COMPUTED_VALUE"""),"6-0")</f>
        <v>6-0</v>
      </c>
      <c r="D225" s="1">
        <f ca="1">IFERROR(__xludf.DUMMYFUNCTION("""COMPUTED_VALUE"""),185)</f>
        <v>185</v>
      </c>
      <c r="E225" s="1">
        <f ca="1">IFERROR(__xludf.DUMMYFUNCTION("""COMPUTED_VALUE"""),24)</f>
        <v>24</v>
      </c>
      <c r="F225" s="1" t="str">
        <f ca="1">IFERROR(__xludf.DUMMYFUNCTION("""COMPUTED_VALUE"""),"IND")</f>
        <v>IND</v>
      </c>
      <c r="G225" s="1">
        <f ca="1">IFERROR(__xludf.DUMMYFUNCTION("""COMPUTED_VALUE"""),66)</f>
        <v>66</v>
      </c>
      <c r="H225" s="1">
        <f ca="1">IFERROR(__xludf.DUMMYFUNCTION("""COMPUTED_VALUE"""),2)</f>
        <v>2</v>
      </c>
      <c r="I225" s="1" t="str">
        <f ca="1">IFERROR(__xludf.DUMMYFUNCTION("""COMPUTED_VALUE"""),"UCLA")</f>
        <v>UCLA</v>
      </c>
      <c r="J225" s="1" t="str">
        <f ca="1">IFERROR(__xludf.DUMMYFUNCTION("""COMPUTED_VALUE"""),"2018 Rnd 1 Pick 23")</f>
        <v>2018 Rnd 1 Pick 23</v>
      </c>
      <c r="K225" s="1" t="str">
        <f ca="1">IFERROR(__xludf.DUMMYFUNCTION("""COMPUTED_VALUE"""),"United States")</f>
        <v>United States</v>
      </c>
    </row>
    <row r="226" spans="1:11" ht="13" x14ac:dyDescent="0.15">
      <c r="A226" s="1" t="str">
        <f ca="1">IFERROR(__xludf.DUMMYFUNCTION("""COMPUTED_VALUE"""),"Jrue Holiday")</f>
        <v>Jrue Holiday</v>
      </c>
      <c r="B226" s="1" t="str">
        <f ca="1">IFERROR(__xludf.DUMMYFUNCTION("""COMPUTED_VALUE"""),"G")</f>
        <v>G</v>
      </c>
      <c r="C226" s="2">
        <f ca="1">IFERROR(__xludf.DUMMYFUNCTION("""COMPUTED_VALUE"""),44716)</f>
        <v>44716</v>
      </c>
      <c r="D226" s="1">
        <f ca="1">IFERROR(__xludf.DUMMYFUNCTION("""COMPUTED_VALUE"""),205)</f>
        <v>205</v>
      </c>
      <c r="E226" s="1">
        <f ca="1">IFERROR(__xludf.DUMMYFUNCTION("""COMPUTED_VALUE"""),30)</f>
        <v>30</v>
      </c>
      <c r="F226" s="1" t="str">
        <f ca="1">IFERROR(__xludf.DUMMYFUNCTION("""COMPUTED_VALUE"""),"MIL")</f>
        <v>MIL</v>
      </c>
      <c r="G226" s="1">
        <f ca="1">IFERROR(__xludf.DUMMYFUNCTION("""COMPUTED_VALUE"""),59)</f>
        <v>59</v>
      </c>
      <c r="H226" s="1">
        <f ca="1">IFERROR(__xludf.DUMMYFUNCTION("""COMPUTED_VALUE"""),11)</f>
        <v>11</v>
      </c>
      <c r="I226" s="1" t="str">
        <f ca="1">IFERROR(__xludf.DUMMYFUNCTION("""COMPUTED_VALUE"""),"UCLA")</f>
        <v>UCLA</v>
      </c>
      <c r="J226" s="1" t="str">
        <f ca="1">IFERROR(__xludf.DUMMYFUNCTION("""COMPUTED_VALUE"""),"2009 Rnd 1 Pick 17")</f>
        <v>2009 Rnd 1 Pick 17</v>
      </c>
      <c r="K226" s="1" t="str">
        <f ca="1">IFERROR(__xludf.DUMMYFUNCTION("""COMPUTED_VALUE"""),"United States")</f>
        <v>United States</v>
      </c>
    </row>
    <row r="227" spans="1:11" ht="13" x14ac:dyDescent="0.15">
      <c r="A227" s="1" t="str">
        <f ca="1">IFERROR(__xludf.DUMMYFUNCTION("""COMPUTED_VALUE"""),"Justin Holiday")</f>
        <v>Justin Holiday</v>
      </c>
      <c r="B227" s="1" t="str">
        <f ca="1">IFERROR(__xludf.DUMMYFUNCTION("""COMPUTED_VALUE"""),"SF")</f>
        <v>SF</v>
      </c>
      <c r="C227" s="2">
        <f ca="1">IFERROR(__xludf.DUMMYFUNCTION("""COMPUTED_VALUE"""),44718)</f>
        <v>44718</v>
      </c>
      <c r="D227" s="1">
        <f ca="1">IFERROR(__xludf.DUMMYFUNCTION("""COMPUTED_VALUE"""),181)</f>
        <v>181</v>
      </c>
      <c r="E227" s="1">
        <f ca="1">IFERROR(__xludf.DUMMYFUNCTION("""COMPUTED_VALUE"""),31)</f>
        <v>31</v>
      </c>
      <c r="F227" s="1" t="str">
        <f ca="1">IFERROR(__xludf.DUMMYFUNCTION("""COMPUTED_VALUE"""),"IND")</f>
        <v>IND</v>
      </c>
      <c r="G227" s="1">
        <f ca="1">IFERROR(__xludf.DUMMYFUNCTION("""COMPUTED_VALUE"""),72)</f>
        <v>72</v>
      </c>
      <c r="H227" s="1">
        <f ca="1">IFERROR(__xludf.DUMMYFUNCTION("""COMPUTED_VALUE"""),7)</f>
        <v>7</v>
      </c>
      <c r="I227" s="1" t="str">
        <f ca="1">IFERROR(__xludf.DUMMYFUNCTION("""COMPUTED_VALUE"""),"Washington")</f>
        <v>Washington</v>
      </c>
      <c r="J227" s="1" t="str">
        <f ca="1">IFERROR(__xludf.DUMMYFUNCTION("""COMPUTED_VALUE"""),"2011 NBA Draft, Undrafted")</f>
        <v>2011 NBA Draft, Undrafted</v>
      </c>
      <c r="K227" s="1" t="str">
        <f ca="1">IFERROR(__xludf.DUMMYFUNCTION("""COMPUTED_VALUE"""),"United States")</f>
        <v>United States</v>
      </c>
    </row>
    <row r="228" spans="1:11" ht="13" x14ac:dyDescent="0.15">
      <c r="A228" s="1" t="str">
        <f ca="1">IFERROR(__xludf.DUMMYFUNCTION("""COMPUTED_VALUE"""),"Rondae Hollis-Jefferson")</f>
        <v>Rondae Hollis-Jefferson</v>
      </c>
      <c r="B228" s="1" t="str">
        <f ca="1">IFERROR(__xludf.DUMMYFUNCTION("""COMPUTED_VALUE"""),"SF")</f>
        <v>SF</v>
      </c>
      <c r="C228" s="2">
        <f ca="1">IFERROR(__xludf.DUMMYFUNCTION("""COMPUTED_VALUE"""),44718)</f>
        <v>44718</v>
      </c>
      <c r="D228" s="1">
        <f ca="1">IFERROR(__xludf.DUMMYFUNCTION("""COMPUTED_VALUE"""),217)</f>
        <v>217</v>
      </c>
      <c r="E228" s="1">
        <f ca="1">IFERROR(__xludf.DUMMYFUNCTION("""COMPUTED_VALUE"""),26)</f>
        <v>26</v>
      </c>
      <c r="F228" s="1" t="str">
        <f ca="1">IFERROR(__xludf.DUMMYFUNCTION("""COMPUTED_VALUE"""),"POR")</f>
        <v>POR</v>
      </c>
      <c r="G228" s="1">
        <f ca="1">IFERROR(__xludf.DUMMYFUNCTION("""COMPUTED_VALUE"""),11)</f>
        <v>11</v>
      </c>
      <c r="H228" s="1">
        <f ca="1">IFERROR(__xludf.DUMMYFUNCTION("""COMPUTED_VALUE"""),5)</f>
        <v>5</v>
      </c>
      <c r="I228" s="1" t="str">
        <f ca="1">IFERROR(__xludf.DUMMYFUNCTION("""COMPUTED_VALUE"""),"Arizona")</f>
        <v>Arizona</v>
      </c>
      <c r="J228" s="1" t="str">
        <f ca="1">IFERROR(__xludf.DUMMYFUNCTION("""COMPUTED_VALUE"""),"2015 Rnd 1 Pick 23")</f>
        <v>2015 Rnd 1 Pick 23</v>
      </c>
      <c r="K228" s="1" t="str">
        <f ca="1">IFERROR(__xludf.DUMMYFUNCTION("""COMPUTED_VALUE"""),"United States")</f>
        <v>United States</v>
      </c>
    </row>
    <row r="229" spans="1:11" ht="13" x14ac:dyDescent="0.15">
      <c r="A229" s="1" t="str">
        <f ca="1">IFERROR(__xludf.DUMMYFUNCTION("""COMPUTED_VALUE"""),"Richaun Holmes")</f>
        <v>Richaun Holmes</v>
      </c>
      <c r="B229" s="1" t="str">
        <f ca="1">IFERROR(__xludf.DUMMYFUNCTION("""COMPUTED_VALUE"""),"F")</f>
        <v>F</v>
      </c>
      <c r="C229" s="2">
        <f ca="1">IFERROR(__xludf.DUMMYFUNCTION("""COMPUTED_VALUE"""),44722)</f>
        <v>44722</v>
      </c>
      <c r="D229" s="1">
        <f ca="1">IFERROR(__xludf.DUMMYFUNCTION("""COMPUTED_VALUE"""),240)</f>
        <v>240</v>
      </c>
      <c r="E229" s="1">
        <f ca="1">IFERROR(__xludf.DUMMYFUNCTION("""COMPUTED_VALUE"""),27)</f>
        <v>27</v>
      </c>
      <c r="F229" s="1" t="str">
        <f ca="1">IFERROR(__xludf.DUMMYFUNCTION("""COMPUTED_VALUE"""),"SAC")</f>
        <v>SAC</v>
      </c>
      <c r="G229" s="1">
        <f ca="1">IFERROR(__xludf.DUMMYFUNCTION("""COMPUTED_VALUE"""),61)</f>
        <v>61</v>
      </c>
      <c r="H229" s="1">
        <f ca="1">IFERROR(__xludf.DUMMYFUNCTION("""COMPUTED_VALUE"""),5)</f>
        <v>5</v>
      </c>
      <c r="I229" s="1" t="str">
        <f ca="1">IFERROR(__xludf.DUMMYFUNCTION("""COMPUTED_VALUE"""),"Bowling Green")</f>
        <v>Bowling Green</v>
      </c>
      <c r="J229" s="1" t="str">
        <f ca="1">IFERROR(__xludf.DUMMYFUNCTION("""COMPUTED_VALUE"""),"2015 Rnd 2 Pick 7")</f>
        <v>2015 Rnd 2 Pick 7</v>
      </c>
      <c r="K229" s="1" t="str">
        <f ca="1">IFERROR(__xludf.DUMMYFUNCTION("""COMPUTED_VALUE"""),"United States")</f>
        <v>United States</v>
      </c>
    </row>
    <row r="230" spans="1:11" ht="13" x14ac:dyDescent="0.15">
      <c r="A230" s="1" t="str">
        <f ca="1">IFERROR(__xludf.DUMMYFUNCTION("""COMPUTED_VALUE"""),"Rodney Hood")</f>
        <v>Rodney Hood</v>
      </c>
      <c r="B230" s="1" t="str">
        <f ca="1">IFERROR(__xludf.DUMMYFUNCTION("""COMPUTED_VALUE"""),"F")</f>
        <v>F</v>
      </c>
      <c r="C230" s="2">
        <f ca="1">IFERROR(__xludf.DUMMYFUNCTION("""COMPUTED_VALUE"""),44720)</f>
        <v>44720</v>
      </c>
      <c r="D230" s="1">
        <f ca="1">IFERROR(__xludf.DUMMYFUNCTION("""COMPUTED_VALUE"""),205)</f>
        <v>205</v>
      </c>
      <c r="E230" s="1">
        <f ca="1">IFERROR(__xludf.DUMMYFUNCTION("""COMPUTED_VALUE"""),28)</f>
        <v>28</v>
      </c>
      <c r="F230" s="1" t="str">
        <f ca="1">IFERROR(__xludf.DUMMYFUNCTION("""COMPUTED_VALUE"""),"POR, TOR")</f>
        <v>POR, TOR</v>
      </c>
      <c r="G230" s="1">
        <f ca="1">IFERROR(__xludf.DUMMYFUNCTION("""COMPUTED_VALUE"""),55)</f>
        <v>55</v>
      </c>
      <c r="H230" s="1">
        <f ca="1">IFERROR(__xludf.DUMMYFUNCTION("""COMPUTED_VALUE"""),6)</f>
        <v>6</v>
      </c>
      <c r="I230" s="1" t="str">
        <f ca="1">IFERROR(__xludf.DUMMYFUNCTION("""COMPUTED_VALUE"""),"Duke")</f>
        <v>Duke</v>
      </c>
      <c r="J230" s="1" t="str">
        <f ca="1">IFERROR(__xludf.DUMMYFUNCTION("""COMPUTED_VALUE"""),"2014 Rnd 1 Pick 23")</f>
        <v>2014 Rnd 1 Pick 23</v>
      </c>
      <c r="K230" s="1" t="str">
        <f ca="1">IFERROR(__xludf.DUMMYFUNCTION("""COMPUTED_VALUE"""),"United States")</f>
        <v>United States</v>
      </c>
    </row>
    <row r="231" spans="1:11" ht="13" x14ac:dyDescent="0.15">
      <c r="A231" s="1" t="str">
        <f ca="1">IFERROR(__xludf.DUMMYFUNCTION("""COMPUTED_VALUE"""),"Al Horford")</f>
        <v>Al Horford</v>
      </c>
      <c r="B231" s="1" t="str">
        <f ca="1">IFERROR(__xludf.DUMMYFUNCTION("""COMPUTED_VALUE"""),"FC")</f>
        <v>FC</v>
      </c>
      <c r="C231" s="2">
        <f ca="1">IFERROR(__xludf.DUMMYFUNCTION("""COMPUTED_VALUE"""),44721)</f>
        <v>44721</v>
      </c>
      <c r="D231" s="1">
        <f ca="1">IFERROR(__xludf.DUMMYFUNCTION("""COMPUTED_VALUE"""),240)</f>
        <v>240</v>
      </c>
      <c r="E231" s="1">
        <f ca="1">IFERROR(__xludf.DUMMYFUNCTION("""COMPUTED_VALUE"""),34)</f>
        <v>34</v>
      </c>
      <c r="F231" s="1" t="str">
        <f ca="1">IFERROR(__xludf.DUMMYFUNCTION("""COMPUTED_VALUE"""),"OKC")</f>
        <v>OKC</v>
      </c>
      <c r="G231" s="1">
        <f ca="1">IFERROR(__xludf.DUMMYFUNCTION("""COMPUTED_VALUE"""),28)</f>
        <v>28</v>
      </c>
      <c r="H231" s="1">
        <f ca="1">IFERROR(__xludf.DUMMYFUNCTION("""COMPUTED_VALUE"""),13)</f>
        <v>13</v>
      </c>
      <c r="I231" s="1" t="str">
        <f ca="1">IFERROR(__xludf.DUMMYFUNCTION("""COMPUTED_VALUE"""),"Florida")</f>
        <v>Florida</v>
      </c>
      <c r="J231" s="1" t="str">
        <f ca="1">IFERROR(__xludf.DUMMYFUNCTION("""COMPUTED_VALUE"""),"2007 Rnd 1 Pick 3")</f>
        <v>2007 Rnd 1 Pick 3</v>
      </c>
      <c r="K231" s="1" t="str">
        <f ca="1">IFERROR(__xludf.DUMMYFUNCTION("""COMPUTED_VALUE"""),"Dominican Republic
United States")</f>
        <v>Dominican Republic
United States</v>
      </c>
    </row>
    <row r="232" spans="1:11" ht="13" x14ac:dyDescent="0.15">
      <c r="A232" s="1" t="str">
        <f ca="1">IFERROR(__xludf.DUMMYFUNCTION("""COMPUTED_VALUE"""),"Talen Horton-Tucker")</f>
        <v>Talen Horton-Tucker</v>
      </c>
      <c r="B232" s="1" t="str">
        <f ca="1">IFERROR(__xludf.DUMMYFUNCTION("""COMPUTED_VALUE"""),"SF")</f>
        <v>SF</v>
      </c>
      <c r="C232" s="2">
        <f ca="1">IFERROR(__xludf.DUMMYFUNCTION("""COMPUTED_VALUE"""),44716)</f>
        <v>44716</v>
      </c>
      <c r="D232" s="1">
        <f ca="1">IFERROR(__xludf.DUMMYFUNCTION("""COMPUTED_VALUE"""),233)</f>
        <v>233</v>
      </c>
      <c r="E232" s="1">
        <f ca="1">IFERROR(__xludf.DUMMYFUNCTION("""COMPUTED_VALUE"""),20)</f>
        <v>20</v>
      </c>
      <c r="F232" s="1" t="str">
        <f ca="1">IFERROR(__xludf.DUMMYFUNCTION("""COMPUTED_VALUE"""),"LAL")</f>
        <v>LAL</v>
      </c>
      <c r="G232" s="1">
        <f ca="1">IFERROR(__xludf.DUMMYFUNCTION("""COMPUTED_VALUE"""),65)</f>
        <v>65</v>
      </c>
      <c r="H232" s="1">
        <f ca="1">IFERROR(__xludf.DUMMYFUNCTION("""COMPUTED_VALUE"""),1)</f>
        <v>1</v>
      </c>
      <c r="I232" s="1" t="str">
        <f ca="1">IFERROR(__xludf.DUMMYFUNCTION("""COMPUTED_VALUE"""),"Iowa State")</f>
        <v>Iowa State</v>
      </c>
      <c r="J232" s="1" t="str">
        <f ca="1">IFERROR(__xludf.DUMMYFUNCTION("""COMPUTED_VALUE"""),"2019 Rnd 2 Pick 16")</f>
        <v>2019 Rnd 2 Pick 16</v>
      </c>
      <c r="K232" s="1" t="str">
        <f ca="1">IFERROR(__xludf.DUMMYFUNCTION("""COMPUTED_VALUE"""),"United States")</f>
        <v>United States</v>
      </c>
    </row>
    <row r="233" spans="1:11" ht="13" x14ac:dyDescent="0.15">
      <c r="A233" s="1" t="str">
        <f ca="1">IFERROR(__xludf.DUMMYFUNCTION("""COMPUTED_VALUE"""),"Danuel House")</f>
        <v>Danuel House</v>
      </c>
      <c r="B233" s="1" t="str">
        <f ca="1">IFERROR(__xludf.DUMMYFUNCTION("""COMPUTED_VALUE"""),"F")</f>
        <v>F</v>
      </c>
      <c r="C233" s="2">
        <f ca="1">IFERROR(__xludf.DUMMYFUNCTION("""COMPUTED_VALUE"""),44718)</f>
        <v>44718</v>
      </c>
      <c r="D233" s="1">
        <f ca="1">IFERROR(__xludf.DUMMYFUNCTION("""COMPUTED_VALUE"""),215)</f>
        <v>215</v>
      </c>
      <c r="E233" s="1">
        <f ca="1">IFERROR(__xludf.DUMMYFUNCTION("""COMPUTED_VALUE"""),27)</f>
        <v>27</v>
      </c>
      <c r="F233" s="1" t="str">
        <f ca="1">IFERROR(__xludf.DUMMYFUNCTION("""COMPUTED_VALUE"""),"HOU")</f>
        <v>HOU</v>
      </c>
      <c r="G233" s="1">
        <f ca="1">IFERROR(__xludf.DUMMYFUNCTION("""COMPUTED_VALUE"""),36)</f>
        <v>36</v>
      </c>
      <c r="H233" s="1">
        <f ca="1">IFERROR(__xludf.DUMMYFUNCTION("""COMPUTED_VALUE"""),4)</f>
        <v>4</v>
      </c>
      <c r="I233" s="1" t="str">
        <f ca="1">IFERROR(__xludf.DUMMYFUNCTION("""COMPUTED_VALUE"""),"Texas A&amp;M")</f>
        <v>Texas A&amp;M</v>
      </c>
      <c r="J233" s="1" t="str">
        <f ca="1">IFERROR(__xludf.DUMMYFUNCTION("""COMPUTED_VALUE"""),"2016 NBA Draft, Undrafted")</f>
        <v>2016 NBA Draft, Undrafted</v>
      </c>
      <c r="K233" s="1" t="str">
        <f ca="1">IFERROR(__xludf.DUMMYFUNCTION("""COMPUTED_VALUE"""),"United States")</f>
        <v>United States</v>
      </c>
    </row>
    <row r="234" spans="1:11" ht="13" x14ac:dyDescent="0.15">
      <c r="A234" s="1" t="str">
        <f ca="1">IFERROR(__xludf.DUMMYFUNCTION("""COMPUTED_VALUE"""),"Dwight Howard")</f>
        <v>Dwight Howard</v>
      </c>
      <c r="B234" s="1" t="str">
        <f ca="1">IFERROR(__xludf.DUMMYFUNCTION("""COMPUTED_VALUE"""),"C")</f>
        <v>C</v>
      </c>
      <c r="C234" s="2">
        <f ca="1">IFERROR(__xludf.DUMMYFUNCTION("""COMPUTED_VALUE"""),44723)</f>
        <v>44723</v>
      </c>
      <c r="D234" s="1">
        <f ca="1">IFERROR(__xludf.DUMMYFUNCTION("""COMPUTED_VALUE"""),265)</f>
        <v>265</v>
      </c>
      <c r="E234" s="1">
        <f ca="1">IFERROR(__xludf.DUMMYFUNCTION("""COMPUTED_VALUE"""),35)</f>
        <v>35</v>
      </c>
      <c r="F234" s="1" t="str">
        <f ca="1">IFERROR(__xludf.DUMMYFUNCTION("""COMPUTED_VALUE"""),"PHI")</f>
        <v>PHI</v>
      </c>
      <c r="G234" s="1">
        <f ca="1">IFERROR(__xludf.DUMMYFUNCTION("""COMPUTED_VALUE"""),69)</f>
        <v>69</v>
      </c>
      <c r="H234" s="1">
        <f ca="1">IFERROR(__xludf.DUMMYFUNCTION("""COMPUTED_VALUE"""),16)</f>
        <v>16</v>
      </c>
      <c r="I234" s="1" t="str">
        <f ca="1">IFERROR(__xludf.DUMMYFUNCTION("""COMPUTED_VALUE"""),"Southwest Atlanta Christian Academy (Georgia)")</f>
        <v>Southwest Atlanta Christian Academy (Georgia)</v>
      </c>
      <c r="J234" s="1" t="str">
        <f ca="1">IFERROR(__xludf.DUMMYFUNCTION("""COMPUTED_VALUE"""),"2004 Rnd 1 Pick 1")</f>
        <v>2004 Rnd 1 Pick 1</v>
      </c>
      <c r="K234" s="1" t="str">
        <f ca="1">IFERROR(__xludf.DUMMYFUNCTION("""COMPUTED_VALUE"""),"United States")</f>
        <v>United States</v>
      </c>
    </row>
    <row r="235" spans="1:11" ht="13" x14ac:dyDescent="0.15">
      <c r="A235" s="1" t="str">
        <f ca="1">IFERROR(__xludf.DUMMYFUNCTION("""COMPUTED_VALUE"""),"Markus Howard")</f>
        <v>Markus Howard</v>
      </c>
      <c r="B235" s="1" t="str">
        <f ca="1">IFERROR(__xludf.DUMMYFUNCTION("""COMPUTED_VALUE"""),"SG")</f>
        <v>SG</v>
      </c>
      <c r="C235" s="2">
        <f ca="1">IFERROR(__xludf.DUMMYFUNCTION("""COMPUTED_VALUE"""),44692)</f>
        <v>44692</v>
      </c>
      <c r="D235" s="1">
        <f ca="1">IFERROR(__xludf.DUMMYFUNCTION("""COMPUTED_VALUE"""),180)</f>
        <v>180</v>
      </c>
      <c r="E235" s="1">
        <f ca="1">IFERROR(__xludf.DUMMYFUNCTION("""COMPUTED_VALUE"""),21)</f>
        <v>21</v>
      </c>
      <c r="F235" s="1" t="str">
        <f ca="1">IFERROR(__xludf.DUMMYFUNCTION("""COMPUTED_VALUE"""),"DEN")</f>
        <v>DEN</v>
      </c>
      <c r="G235" s="1">
        <f ca="1">IFERROR(__xludf.DUMMYFUNCTION("""COMPUTED_VALUE"""),37)</f>
        <v>37</v>
      </c>
      <c r="H235" s="1">
        <f ca="1">IFERROR(__xludf.DUMMYFUNCTION("""COMPUTED_VALUE"""),0)</f>
        <v>0</v>
      </c>
      <c r="I235" s="1" t="str">
        <f ca="1">IFERROR(__xludf.DUMMYFUNCTION("""COMPUTED_VALUE"""),"Marquette")</f>
        <v>Marquette</v>
      </c>
      <c r="J235" s="1" t="str">
        <f ca="1">IFERROR(__xludf.DUMMYFUNCTION("""COMPUTED_VALUE"""),"2020 NBA Draft, Undrafted")</f>
        <v>2020 NBA Draft, Undrafted</v>
      </c>
      <c r="K235" s="1" t="str">
        <f ca="1">IFERROR(__xludf.DUMMYFUNCTION("""COMPUTED_VALUE"""),"United States")</f>
        <v>United States</v>
      </c>
    </row>
    <row r="236" spans="1:11" ht="13" x14ac:dyDescent="0.15">
      <c r="A236" s="1" t="str">
        <f ca="1">IFERROR(__xludf.DUMMYFUNCTION("""COMPUTED_VALUE"""),"Kevin Huerter")</f>
        <v>Kevin Huerter</v>
      </c>
      <c r="B236" s="1" t="str">
        <f ca="1">IFERROR(__xludf.DUMMYFUNCTION("""COMPUTED_VALUE"""),"SF")</f>
        <v>SF</v>
      </c>
      <c r="C236" s="2">
        <f ca="1">IFERROR(__xludf.DUMMYFUNCTION("""COMPUTED_VALUE"""),44719)</f>
        <v>44719</v>
      </c>
      <c r="D236" s="1">
        <f ca="1">IFERROR(__xludf.DUMMYFUNCTION("""COMPUTED_VALUE"""),190)</f>
        <v>190</v>
      </c>
      <c r="E236" s="1">
        <f ca="1">IFERROR(__xludf.DUMMYFUNCTION("""COMPUTED_VALUE"""),22)</f>
        <v>22</v>
      </c>
      <c r="F236" s="1" t="str">
        <f ca="1">IFERROR(__xludf.DUMMYFUNCTION("""COMPUTED_VALUE"""),"ATL")</f>
        <v>ATL</v>
      </c>
      <c r="G236" s="1">
        <f ca="1">IFERROR(__xludf.DUMMYFUNCTION("""COMPUTED_VALUE"""),69)</f>
        <v>69</v>
      </c>
      <c r="H236" s="1">
        <f ca="1">IFERROR(__xludf.DUMMYFUNCTION("""COMPUTED_VALUE"""),2)</f>
        <v>2</v>
      </c>
      <c r="I236" s="1" t="str">
        <f ca="1">IFERROR(__xludf.DUMMYFUNCTION("""COMPUTED_VALUE"""),"Maryland")</f>
        <v>Maryland</v>
      </c>
      <c r="J236" s="1" t="str">
        <f ca="1">IFERROR(__xludf.DUMMYFUNCTION("""COMPUTED_VALUE"""),"2018 Rnd 1 Pick 19")</f>
        <v>2018 Rnd 1 Pick 19</v>
      </c>
      <c r="K236" s="1" t="str">
        <f ca="1">IFERROR(__xludf.DUMMYFUNCTION("""COMPUTED_VALUE"""),"United States")</f>
        <v>United States</v>
      </c>
    </row>
    <row r="237" spans="1:11" ht="13" x14ac:dyDescent="0.15">
      <c r="A237" s="1" t="str">
        <f ca="1">IFERROR(__xludf.DUMMYFUNCTION("""COMPUTED_VALUE"""),"Elijah Hughes")</f>
        <v>Elijah Hughes</v>
      </c>
      <c r="B237" s="1" t="str">
        <f ca="1">IFERROR(__xludf.DUMMYFUNCTION("""COMPUTED_VALUE"""),"SF")</f>
        <v>SF</v>
      </c>
      <c r="C237" s="2">
        <f ca="1">IFERROR(__xludf.DUMMYFUNCTION("""COMPUTED_VALUE"""),44718)</f>
        <v>44718</v>
      </c>
      <c r="D237" s="1">
        <f ca="1">IFERROR(__xludf.DUMMYFUNCTION("""COMPUTED_VALUE"""),215)</f>
        <v>215</v>
      </c>
      <c r="E237" s="1">
        <f ca="1">IFERROR(__xludf.DUMMYFUNCTION("""COMPUTED_VALUE"""),22)</f>
        <v>22</v>
      </c>
      <c r="F237" s="1" t="str">
        <f ca="1">IFERROR(__xludf.DUMMYFUNCTION("""COMPUTED_VALUE"""),"UTA")</f>
        <v>UTA</v>
      </c>
      <c r="G237" s="1">
        <f ca="1">IFERROR(__xludf.DUMMYFUNCTION("""COMPUTED_VALUE"""),18)</f>
        <v>18</v>
      </c>
      <c r="H237" s="1">
        <f ca="1">IFERROR(__xludf.DUMMYFUNCTION("""COMPUTED_VALUE"""),0)</f>
        <v>0</v>
      </c>
      <c r="I237" s="1" t="str">
        <f ca="1">IFERROR(__xludf.DUMMYFUNCTION("""COMPUTED_VALUE"""),"Syracuse")</f>
        <v>Syracuse</v>
      </c>
      <c r="J237" s="1" t="str">
        <f ca="1">IFERROR(__xludf.DUMMYFUNCTION("""COMPUTED_VALUE"""),"2020 Rnd 2 Pick 9")</f>
        <v>2020 Rnd 2 Pick 9</v>
      </c>
      <c r="K237" s="1" t="str">
        <f ca="1">IFERROR(__xludf.DUMMYFUNCTION("""COMPUTED_VALUE"""),"United States")</f>
        <v>United States</v>
      </c>
    </row>
    <row r="238" spans="1:11" ht="13" x14ac:dyDescent="0.15">
      <c r="A238" s="1" t="str">
        <f ca="1">IFERROR(__xludf.DUMMYFUNCTION("""COMPUTED_VALUE"""),"De'Andre Hunter")</f>
        <v>De'Andre Hunter</v>
      </c>
      <c r="B238" s="1" t="str">
        <f ca="1">IFERROR(__xludf.DUMMYFUNCTION("""COMPUTED_VALUE"""),"PF")</f>
        <v>PF</v>
      </c>
      <c r="C238" s="2">
        <f ca="1">IFERROR(__xludf.DUMMYFUNCTION("""COMPUTED_VALUE"""),44719)</f>
        <v>44719</v>
      </c>
      <c r="D238" s="1">
        <f ca="1">IFERROR(__xludf.DUMMYFUNCTION("""COMPUTED_VALUE"""),225)</f>
        <v>225</v>
      </c>
      <c r="E238" s="1">
        <f ca="1">IFERROR(__xludf.DUMMYFUNCTION("""COMPUTED_VALUE"""),23)</f>
        <v>23</v>
      </c>
      <c r="F238" s="1" t="str">
        <f ca="1">IFERROR(__xludf.DUMMYFUNCTION("""COMPUTED_VALUE"""),"ATL")</f>
        <v>ATL</v>
      </c>
      <c r="G238" s="1">
        <f ca="1">IFERROR(__xludf.DUMMYFUNCTION("""COMPUTED_VALUE"""),23)</f>
        <v>23</v>
      </c>
      <c r="H238" s="1">
        <f ca="1">IFERROR(__xludf.DUMMYFUNCTION("""COMPUTED_VALUE"""),1)</f>
        <v>1</v>
      </c>
      <c r="I238" s="1" t="str">
        <f ca="1">IFERROR(__xludf.DUMMYFUNCTION("""COMPUTED_VALUE"""),"Virginia")</f>
        <v>Virginia</v>
      </c>
      <c r="J238" s="1" t="str">
        <f ca="1">IFERROR(__xludf.DUMMYFUNCTION("""COMPUTED_VALUE"""),"2019 Rnd 1 Pick 4")</f>
        <v>2019 Rnd 1 Pick 4</v>
      </c>
      <c r="K238" s="1" t="str">
        <f ca="1">IFERROR(__xludf.DUMMYFUNCTION("""COMPUTED_VALUE"""),"United States")</f>
        <v>United States</v>
      </c>
    </row>
    <row r="239" spans="1:11" ht="13" x14ac:dyDescent="0.15">
      <c r="A239" s="1" t="str">
        <f ca="1">IFERROR(__xludf.DUMMYFUNCTION("""COMPUTED_VALUE"""),"Chandler Hutchison")</f>
        <v>Chandler Hutchison</v>
      </c>
      <c r="B239" s="1" t="str">
        <f ca="1">IFERROR(__xludf.DUMMYFUNCTION("""COMPUTED_VALUE"""),"SG")</f>
        <v>SG</v>
      </c>
      <c r="C239" s="2">
        <f ca="1">IFERROR(__xludf.DUMMYFUNCTION("""COMPUTED_VALUE"""),44719)</f>
        <v>44719</v>
      </c>
      <c r="D239" s="1">
        <f ca="1">IFERROR(__xludf.DUMMYFUNCTION("""COMPUTED_VALUE"""),197)</f>
        <v>197</v>
      </c>
      <c r="E239" s="1">
        <f ca="1">IFERROR(__xludf.DUMMYFUNCTION("""COMPUTED_VALUE"""),24)</f>
        <v>24</v>
      </c>
      <c r="F239" s="1" t="str">
        <f ca="1">IFERROR(__xludf.DUMMYFUNCTION("""COMPUTED_VALUE"""),"CHI, WAS")</f>
        <v>CHI, WAS</v>
      </c>
      <c r="G239" s="1">
        <f ca="1">IFERROR(__xludf.DUMMYFUNCTION("""COMPUTED_VALUE"""),25)</f>
        <v>25</v>
      </c>
      <c r="H239" s="1">
        <f ca="1">IFERROR(__xludf.DUMMYFUNCTION("""COMPUTED_VALUE"""),2)</f>
        <v>2</v>
      </c>
      <c r="I239" s="1" t="str">
        <f ca="1">IFERROR(__xludf.DUMMYFUNCTION("""COMPUTED_VALUE"""),"Boise State")</f>
        <v>Boise State</v>
      </c>
      <c r="J239" s="1" t="str">
        <f ca="1">IFERROR(__xludf.DUMMYFUNCTION("""COMPUTED_VALUE"""),"2018 Rnd 1 Pick 22")</f>
        <v>2018 Rnd 1 Pick 22</v>
      </c>
      <c r="K239" s="1" t="str">
        <f ca="1">IFERROR(__xludf.DUMMYFUNCTION("""COMPUTED_VALUE"""),"United States")</f>
        <v>United States</v>
      </c>
    </row>
    <row r="240" spans="1:11" ht="13" x14ac:dyDescent="0.15">
      <c r="A240" s="1" t="str">
        <f ca="1">IFERROR(__xludf.DUMMYFUNCTION("""COMPUTED_VALUE"""),"Serge Ibaka")</f>
        <v>Serge Ibaka</v>
      </c>
      <c r="B240" s="1" t="str">
        <f ca="1">IFERROR(__xludf.DUMMYFUNCTION("""COMPUTED_VALUE"""),"C")</f>
        <v>C</v>
      </c>
      <c r="C240" s="2">
        <f ca="1">IFERROR(__xludf.DUMMYFUNCTION("""COMPUTED_VALUE"""),44722)</f>
        <v>44722</v>
      </c>
      <c r="D240" s="1">
        <f ca="1">IFERROR(__xludf.DUMMYFUNCTION("""COMPUTED_VALUE"""),235)</f>
        <v>235</v>
      </c>
      <c r="E240" s="1">
        <f ca="1">IFERROR(__xludf.DUMMYFUNCTION("""COMPUTED_VALUE"""),31)</f>
        <v>31</v>
      </c>
      <c r="F240" s="1" t="str">
        <f ca="1">IFERROR(__xludf.DUMMYFUNCTION("""COMPUTED_VALUE"""),"LAC")</f>
        <v>LAC</v>
      </c>
      <c r="G240" s="1">
        <f ca="1">IFERROR(__xludf.DUMMYFUNCTION("""COMPUTED_VALUE"""),41)</f>
        <v>41</v>
      </c>
      <c r="H240" s="1">
        <f ca="1">IFERROR(__xludf.DUMMYFUNCTION("""COMPUTED_VALUE"""),11)</f>
        <v>11</v>
      </c>
      <c r="I240" s="1" t="str">
        <f ca="1">IFERROR(__xludf.DUMMYFUNCTION("""COMPUTED_VALUE"""),"CB L'Hospitalet (Spain)")</f>
        <v>CB L'Hospitalet (Spain)</v>
      </c>
      <c r="J240" s="1" t="str">
        <f ca="1">IFERROR(__xludf.DUMMYFUNCTION("""COMPUTED_VALUE"""),"2008 Rnd 1 Pick 24")</f>
        <v>2008 Rnd 1 Pick 24</v>
      </c>
      <c r="K240" s="1" t="str">
        <f ca="1">IFERROR(__xludf.DUMMYFUNCTION("""COMPUTED_VALUE"""),"Republic of the Congo
Spain")</f>
        <v>Republic of the Congo
Spain</v>
      </c>
    </row>
    <row r="241" spans="1:11" ht="13" x14ac:dyDescent="0.15">
      <c r="A241" s="1" t="str">
        <f ca="1">IFERROR(__xludf.DUMMYFUNCTION("""COMPUTED_VALUE"""),"Andre Iguodala")</f>
        <v>Andre Iguodala</v>
      </c>
      <c r="B241" s="1" t="str">
        <f ca="1">IFERROR(__xludf.DUMMYFUNCTION("""COMPUTED_VALUE"""),"SF")</f>
        <v>SF</v>
      </c>
      <c r="C241" s="2">
        <f ca="1">IFERROR(__xludf.DUMMYFUNCTION("""COMPUTED_VALUE"""),44718)</f>
        <v>44718</v>
      </c>
      <c r="D241" s="1">
        <f ca="1">IFERROR(__xludf.DUMMYFUNCTION("""COMPUTED_VALUE"""),215)</f>
        <v>215</v>
      </c>
      <c r="E241" s="1">
        <f ca="1">IFERROR(__xludf.DUMMYFUNCTION("""COMPUTED_VALUE"""),37)</f>
        <v>37</v>
      </c>
      <c r="F241" s="1" t="str">
        <f ca="1">IFERROR(__xludf.DUMMYFUNCTION("""COMPUTED_VALUE"""),"MIA")</f>
        <v>MIA</v>
      </c>
      <c r="G241" s="1">
        <f ca="1">IFERROR(__xludf.DUMMYFUNCTION("""COMPUTED_VALUE"""),63)</f>
        <v>63</v>
      </c>
      <c r="H241" s="1">
        <f ca="1">IFERROR(__xludf.DUMMYFUNCTION("""COMPUTED_VALUE"""),16)</f>
        <v>16</v>
      </c>
      <c r="I241" s="1" t="str">
        <f ca="1">IFERROR(__xludf.DUMMYFUNCTION("""COMPUTED_VALUE"""),"Arizona")</f>
        <v>Arizona</v>
      </c>
      <c r="J241" s="1" t="str">
        <f ca="1">IFERROR(__xludf.DUMMYFUNCTION("""COMPUTED_VALUE"""),"2004 Rnd 1 Pick 9")</f>
        <v>2004 Rnd 1 Pick 9</v>
      </c>
      <c r="K241" s="1" t="str">
        <f ca="1">IFERROR(__xludf.DUMMYFUNCTION("""COMPUTED_VALUE"""),"United States")</f>
        <v>United States</v>
      </c>
    </row>
    <row r="242" spans="1:11" ht="13" x14ac:dyDescent="0.15">
      <c r="A242" s="1" t="str">
        <f ca="1">IFERROR(__xludf.DUMMYFUNCTION("""COMPUTED_VALUE"""),"Ersan Ilyasova")</f>
        <v>Ersan Ilyasova</v>
      </c>
      <c r="B242" s="1" t="str">
        <f ca="1">IFERROR(__xludf.DUMMYFUNCTION("""COMPUTED_VALUE"""),"F")</f>
        <v>F</v>
      </c>
      <c r="C242" s="2">
        <f ca="1">IFERROR(__xludf.DUMMYFUNCTION("""COMPUTED_VALUE"""),44722)</f>
        <v>44722</v>
      </c>
      <c r="D242" s="1">
        <f ca="1">IFERROR(__xludf.DUMMYFUNCTION("""COMPUTED_VALUE"""),235)</f>
        <v>235</v>
      </c>
      <c r="E242" s="1">
        <f ca="1">IFERROR(__xludf.DUMMYFUNCTION("""COMPUTED_VALUE"""),33)</f>
        <v>33</v>
      </c>
      <c r="F242" s="1" t="str">
        <f ca="1">IFERROR(__xludf.DUMMYFUNCTION("""COMPUTED_VALUE"""),"UTA")</f>
        <v>UTA</v>
      </c>
      <c r="G242" s="1">
        <f ca="1">IFERROR(__xludf.DUMMYFUNCTION("""COMPUTED_VALUE"""),17)</f>
        <v>17</v>
      </c>
      <c r="H242" s="1">
        <f ca="1">IFERROR(__xludf.DUMMYFUNCTION("""COMPUTED_VALUE"""),13)</f>
        <v>13</v>
      </c>
      <c r="I242" s="1" t="str">
        <f ca="1">IFERROR(__xludf.DUMMYFUNCTION("""COMPUTED_VALUE"""),"Alpella B.K. (Turkey)")</f>
        <v>Alpella B.K. (Turkey)</v>
      </c>
      <c r="J242" s="1" t="str">
        <f ca="1">IFERROR(__xludf.DUMMYFUNCTION("""COMPUTED_VALUE"""),"2005 Rnd 2 Pick 6")</f>
        <v>2005 Rnd 2 Pick 6</v>
      </c>
      <c r="K242" s="1" t="str">
        <f ca="1">IFERROR(__xludf.DUMMYFUNCTION("""COMPUTED_VALUE"""),"Turkey")</f>
        <v>Turkey</v>
      </c>
    </row>
    <row r="243" spans="1:11" ht="13" x14ac:dyDescent="0.15">
      <c r="A243" s="1" t="str">
        <f ca="1">IFERROR(__xludf.DUMMYFUNCTION("""COMPUTED_VALUE"""),"Joe Ingles")</f>
        <v>Joe Ingles</v>
      </c>
      <c r="B243" s="1" t="str">
        <f ca="1">IFERROR(__xludf.DUMMYFUNCTION("""COMPUTED_VALUE"""),"F")</f>
        <v>F</v>
      </c>
      <c r="C243" s="2">
        <f ca="1">IFERROR(__xludf.DUMMYFUNCTION("""COMPUTED_VALUE"""),44720)</f>
        <v>44720</v>
      </c>
      <c r="D243" s="1">
        <f ca="1">IFERROR(__xludf.DUMMYFUNCTION("""COMPUTED_VALUE"""),226)</f>
        <v>226</v>
      </c>
      <c r="E243" s="1">
        <f ca="1">IFERROR(__xludf.DUMMYFUNCTION("""COMPUTED_VALUE"""),33)</f>
        <v>33</v>
      </c>
      <c r="F243" s="1" t="str">
        <f ca="1">IFERROR(__xludf.DUMMYFUNCTION("""COMPUTED_VALUE"""),"UTA")</f>
        <v>UTA</v>
      </c>
      <c r="G243" s="1">
        <f ca="1">IFERROR(__xludf.DUMMYFUNCTION("""COMPUTED_VALUE"""),67)</f>
        <v>67</v>
      </c>
      <c r="H243" s="1">
        <f ca="1">IFERROR(__xludf.DUMMYFUNCTION("""COMPUTED_VALUE"""),6)</f>
        <v>6</v>
      </c>
      <c r="I243" s="1" t="str">
        <f ca="1">IFERROR(__xludf.DUMMYFUNCTION("""COMPUTED_VALUE"""),"Melbourne South (Australia)")</f>
        <v>Melbourne South (Australia)</v>
      </c>
      <c r="J243" s="1" t="str">
        <f ca="1">IFERROR(__xludf.DUMMYFUNCTION("""COMPUTED_VALUE"""),"2009 NBA Draft, Undrafted")</f>
        <v>2009 NBA Draft, Undrafted</v>
      </c>
      <c r="K243" s="1" t="str">
        <f ca="1">IFERROR(__xludf.DUMMYFUNCTION("""COMPUTED_VALUE"""),"Australia")</f>
        <v>Australia</v>
      </c>
    </row>
    <row r="244" spans="1:11" ht="13" x14ac:dyDescent="0.15">
      <c r="A244" s="1" t="str">
        <f ca="1">IFERROR(__xludf.DUMMYFUNCTION("""COMPUTED_VALUE"""),"Brandon Ingram")</f>
        <v>Brandon Ingram</v>
      </c>
      <c r="B244" s="1" t="str">
        <f ca="1">IFERROR(__xludf.DUMMYFUNCTION("""COMPUTED_VALUE"""),"SF")</f>
        <v>SF</v>
      </c>
      <c r="C244" s="2">
        <f ca="1">IFERROR(__xludf.DUMMYFUNCTION("""COMPUTED_VALUE"""),44719)</f>
        <v>44719</v>
      </c>
      <c r="D244" s="1">
        <f ca="1">IFERROR(__xludf.DUMMYFUNCTION("""COMPUTED_VALUE"""),190)</f>
        <v>190</v>
      </c>
      <c r="E244" s="1">
        <f ca="1">IFERROR(__xludf.DUMMYFUNCTION("""COMPUTED_VALUE"""),23)</f>
        <v>23</v>
      </c>
      <c r="F244" s="1" t="str">
        <f ca="1">IFERROR(__xludf.DUMMYFUNCTION("""COMPUTED_VALUE"""),"NOP")</f>
        <v>NOP</v>
      </c>
      <c r="G244" s="1">
        <f ca="1">IFERROR(__xludf.DUMMYFUNCTION("""COMPUTED_VALUE"""),61)</f>
        <v>61</v>
      </c>
      <c r="H244" s="1">
        <f ca="1">IFERROR(__xludf.DUMMYFUNCTION("""COMPUTED_VALUE"""),4)</f>
        <v>4</v>
      </c>
      <c r="I244" s="1" t="str">
        <f ca="1">IFERROR(__xludf.DUMMYFUNCTION("""COMPUTED_VALUE"""),"Duke")</f>
        <v>Duke</v>
      </c>
      <c r="J244" s="1" t="str">
        <f ca="1">IFERROR(__xludf.DUMMYFUNCTION("""COMPUTED_VALUE"""),"2016 Rnd 1 Pick 2")</f>
        <v>2016 Rnd 1 Pick 2</v>
      </c>
      <c r="K244" s="1" t="str">
        <f ca="1">IFERROR(__xludf.DUMMYFUNCTION("""COMPUTED_VALUE"""),"United States")</f>
        <v>United States</v>
      </c>
    </row>
    <row r="245" spans="1:11" ht="13" x14ac:dyDescent="0.15">
      <c r="A245" s="1" t="str">
        <f ca="1">IFERROR(__xludf.DUMMYFUNCTION("""COMPUTED_VALUE"""),"Kyrie Irving")</f>
        <v>Kyrie Irving</v>
      </c>
      <c r="B245" s="1" t="str">
        <f ca="1">IFERROR(__xludf.DUMMYFUNCTION("""COMPUTED_VALUE"""),"G")</f>
        <v>G</v>
      </c>
      <c r="C245" s="2">
        <f ca="1">IFERROR(__xludf.DUMMYFUNCTION("""COMPUTED_VALUE"""),44714)</f>
        <v>44714</v>
      </c>
      <c r="D245" s="1">
        <f ca="1">IFERROR(__xludf.DUMMYFUNCTION("""COMPUTED_VALUE"""),195)</f>
        <v>195</v>
      </c>
      <c r="E245" s="1">
        <f ca="1">IFERROR(__xludf.DUMMYFUNCTION("""COMPUTED_VALUE"""),28)</f>
        <v>28</v>
      </c>
      <c r="F245" s="1" t="str">
        <f ca="1">IFERROR(__xludf.DUMMYFUNCTION("""COMPUTED_VALUE"""),"BRK")</f>
        <v>BRK</v>
      </c>
      <c r="G245" s="1">
        <f ca="1">IFERROR(__xludf.DUMMYFUNCTION("""COMPUTED_VALUE"""),54)</f>
        <v>54</v>
      </c>
      <c r="H245" s="1">
        <f ca="1">IFERROR(__xludf.DUMMYFUNCTION("""COMPUTED_VALUE"""),9)</f>
        <v>9</v>
      </c>
      <c r="I245" s="1" t="str">
        <f ca="1">IFERROR(__xludf.DUMMYFUNCTION("""COMPUTED_VALUE"""),"Duke")</f>
        <v>Duke</v>
      </c>
      <c r="J245" s="1" t="str">
        <f ca="1">IFERROR(__xludf.DUMMYFUNCTION("""COMPUTED_VALUE"""),"2011 Rnd 1 Pick 1")</f>
        <v>2011 Rnd 1 Pick 1</v>
      </c>
      <c r="K245" s="1" t="str">
        <f ca="1">IFERROR(__xludf.DUMMYFUNCTION("""COMPUTED_VALUE"""),"United States
Australia")</f>
        <v>United States
Australia</v>
      </c>
    </row>
    <row r="246" spans="1:11" ht="13" x14ac:dyDescent="0.15">
      <c r="A246" s="1" t="str">
        <f ca="1">IFERROR(__xludf.DUMMYFUNCTION("""COMPUTED_VALUE"""),"Wesley Iwundu")</f>
        <v>Wesley Iwundu</v>
      </c>
      <c r="B246" s="1" t="str">
        <f ca="1">IFERROR(__xludf.DUMMYFUNCTION("""COMPUTED_VALUE"""),"F")</f>
        <v>F</v>
      </c>
      <c r="C246" s="2">
        <f ca="1">IFERROR(__xludf.DUMMYFUNCTION("""COMPUTED_VALUE"""),44719)</f>
        <v>44719</v>
      </c>
      <c r="D246" s="1">
        <f ca="1">IFERROR(__xludf.DUMMYFUNCTION("""COMPUTED_VALUE"""),195)</f>
        <v>195</v>
      </c>
      <c r="E246" s="1">
        <f ca="1">IFERROR(__xludf.DUMMYFUNCTION("""COMPUTED_VALUE"""),26)</f>
        <v>26</v>
      </c>
      <c r="F246" s="1" t="str">
        <f ca="1">IFERROR(__xludf.DUMMYFUNCTION("""COMPUTED_VALUE"""),"DAL, NOP")</f>
        <v>DAL, NOP</v>
      </c>
      <c r="G246" s="1">
        <f ca="1">IFERROR(__xludf.DUMMYFUNCTION("""COMPUTED_VALUE"""),41)</f>
        <v>41</v>
      </c>
      <c r="H246" s="1">
        <f ca="1">IFERROR(__xludf.DUMMYFUNCTION("""COMPUTED_VALUE"""),3)</f>
        <v>3</v>
      </c>
      <c r="I246" s="1" t="str">
        <f ca="1">IFERROR(__xludf.DUMMYFUNCTION("""COMPUTED_VALUE"""),"Kansas State")</f>
        <v>Kansas State</v>
      </c>
      <c r="J246" s="1" t="str">
        <f ca="1">IFERROR(__xludf.DUMMYFUNCTION("""COMPUTED_VALUE"""),"2017 Rnd 2 Pick 3")</f>
        <v>2017 Rnd 2 Pick 3</v>
      </c>
      <c r="K246" s="1" t="str">
        <f ca="1">IFERROR(__xludf.DUMMYFUNCTION("""COMPUTED_VALUE"""),"United States")</f>
        <v>United States</v>
      </c>
    </row>
    <row r="247" spans="1:11" ht="13" x14ac:dyDescent="0.15">
      <c r="A247" s="1" t="str">
        <f ca="1">IFERROR(__xludf.DUMMYFUNCTION("""COMPUTED_VALUE"""),"Frank Jackson")</f>
        <v>Frank Jackson</v>
      </c>
      <c r="B247" s="1" t="str">
        <f ca="1">IFERROR(__xludf.DUMMYFUNCTION("""COMPUTED_VALUE"""),"SG")</f>
        <v>SG</v>
      </c>
      <c r="C247" s="2">
        <f ca="1">IFERROR(__xludf.DUMMYFUNCTION("""COMPUTED_VALUE"""),44715)</f>
        <v>44715</v>
      </c>
      <c r="D247" s="1">
        <f ca="1">IFERROR(__xludf.DUMMYFUNCTION("""COMPUTED_VALUE"""),205)</f>
        <v>205</v>
      </c>
      <c r="E247" s="1">
        <f ca="1">IFERROR(__xludf.DUMMYFUNCTION("""COMPUTED_VALUE"""),22)</f>
        <v>22</v>
      </c>
      <c r="F247" s="1" t="str">
        <f ca="1">IFERROR(__xludf.DUMMYFUNCTION("""COMPUTED_VALUE"""),"DET")</f>
        <v>DET</v>
      </c>
      <c r="G247" s="1">
        <f ca="1">IFERROR(__xludf.DUMMYFUNCTION("""COMPUTED_VALUE"""),40)</f>
        <v>40</v>
      </c>
      <c r="H247" s="1">
        <f ca="1">IFERROR(__xludf.DUMMYFUNCTION("""COMPUTED_VALUE"""),3)</f>
        <v>3</v>
      </c>
      <c r="I247" s="1" t="str">
        <f ca="1">IFERROR(__xludf.DUMMYFUNCTION("""COMPUTED_VALUE"""),"Duke")</f>
        <v>Duke</v>
      </c>
      <c r="J247" s="1" t="str">
        <f ca="1">IFERROR(__xludf.DUMMYFUNCTION("""COMPUTED_VALUE"""),"2017 Rnd 2 Pick 1")</f>
        <v>2017 Rnd 2 Pick 1</v>
      </c>
      <c r="K247" s="1" t="str">
        <f ca="1">IFERROR(__xludf.DUMMYFUNCTION("""COMPUTED_VALUE"""),"United States")</f>
        <v>United States</v>
      </c>
    </row>
    <row r="248" spans="1:11" ht="13" x14ac:dyDescent="0.15">
      <c r="A248" s="1" t="str">
        <f ca="1">IFERROR(__xludf.DUMMYFUNCTION("""COMPUTED_VALUE"""),"Josh Jackson")</f>
        <v>Josh Jackson</v>
      </c>
      <c r="B248" s="1" t="str">
        <f ca="1">IFERROR(__xludf.DUMMYFUNCTION("""COMPUTED_VALUE"""),"SF")</f>
        <v>SF</v>
      </c>
      <c r="C248" s="2">
        <f ca="1">IFERROR(__xludf.DUMMYFUNCTION("""COMPUTED_VALUE"""),44720)</f>
        <v>44720</v>
      </c>
      <c r="D248" s="1">
        <f ca="1">IFERROR(__xludf.DUMMYFUNCTION("""COMPUTED_VALUE"""),207)</f>
        <v>207</v>
      </c>
      <c r="E248" s="1">
        <f ca="1">IFERROR(__xludf.DUMMYFUNCTION("""COMPUTED_VALUE"""),24)</f>
        <v>24</v>
      </c>
      <c r="F248" s="1" t="str">
        <f ca="1">IFERROR(__xludf.DUMMYFUNCTION("""COMPUTED_VALUE"""),"DET")</f>
        <v>DET</v>
      </c>
      <c r="G248" s="1">
        <f ca="1">IFERROR(__xludf.DUMMYFUNCTION("""COMPUTED_VALUE"""),62)</f>
        <v>62</v>
      </c>
      <c r="H248" s="1">
        <f ca="1">IFERROR(__xludf.DUMMYFUNCTION("""COMPUTED_VALUE"""),3)</f>
        <v>3</v>
      </c>
      <c r="I248" s="1" t="str">
        <f ca="1">IFERROR(__xludf.DUMMYFUNCTION("""COMPUTED_VALUE"""),"Kansas")</f>
        <v>Kansas</v>
      </c>
      <c r="J248" s="1" t="str">
        <f ca="1">IFERROR(__xludf.DUMMYFUNCTION("""COMPUTED_VALUE"""),"2017 Rnd 1 Pick 4")</f>
        <v>2017 Rnd 1 Pick 4</v>
      </c>
      <c r="K248" s="1" t="str">
        <f ca="1">IFERROR(__xludf.DUMMYFUNCTION("""COMPUTED_VALUE"""),"United States")</f>
        <v>United States</v>
      </c>
    </row>
    <row r="249" spans="1:11" ht="13" x14ac:dyDescent="0.15">
      <c r="A249" s="1" t="str">
        <f ca="1">IFERROR(__xludf.DUMMYFUNCTION("""COMPUTED_VALUE"""),"Jaren Jackson Jr.")</f>
        <v>Jaren Jackson Jr.</v>
      </c>
      <c r="B249" s="1" t="str">
        <f ca="1">IFERROR(__xludf.DUMMYFUNCTION("""COMPUTED_VALUE"""),"PF")</f>
        <v>PF</v>
      </c>
      <c r="C249" s="2">
        <f ca="1">IFERROR(__xludf.DUMMYFUNCTION("""COMPUTED_VALUE"""),44723)</f>
        <v>44723</v>
      </c>
      <c r="D249" s="1">
        <f ca="1">IFERROR(__xludf.DUMMYFUNCTION("""COMPUTED_VALUE"""),242)</f>
        <v>242</v>
      </c>
      <c r="E249" s="1">
        <f ca="1">IFERROR(__xludf.DUMMYFUNCTION("""COMPUTED_VALUE"""),21)</f>
        <v>21</v>
      </c>
      <c r="F249" s="1" t="str">
        <f ca="1">IFERROR(__xludf.DUMMYFUNCTION("""COMPUTED_VALUE"""),"MEM")</f>
        <v>MEM</v>
      </c>
      <c r="G249" s="1">
        <f ca="1">IFERROR(__xludf.DUMMYFUNCTION("""COMPUTED_VALUE"""),11)</f>
        <v>11</v>
      </c>
      <c r="H249" s="1">
        <f ca="1">IFERROR(__xludf.DUMMYFUNCTION("""COMPUTED_VALUE"""),2)</f>
        <v>2</v>
      </c>
      <c r="I249" s="1" t="str">
        <f ca="1">IFERROR(__xludf.DUMMYFUNCTION("""COMPUTED_VALUE"""),"Michigan State")</f>
        <v>Michigan State</v>
      </c>
      <c r="J249" s="1" t="str">
        <f ca="1">IFERROR(__xludf.DUMMYFUNCTION("""COMPUTED_VALUE"""),"2018 Rnd 1 Pick 4")</f>
        <v>2018 Rnd 1 Pick 4</v>
      </c>
      <c r="K249" s="1" t="str">
        <f ca="1">IFERROR(__xludf.DUMMYFUNCTION("""COMPUTED_VALUE"""),"United States")</f>
        <v>United States</v>
      </c>
    </row>
    <row r="250" spans="1:11" ht="13" x14ac:dyDescent="0.15">
      <c r="A250" s="1" t="str">
        <f ca="1">IFERROR(__xludf.DUMMYFUNCTION("""COMPUTED_VALUE"""),"Justin Jackson")</f>
        <v>Justin Jackson</v>
      </c>
      <c r="B250" s="1" t="str">
        <f ca="1">IFERROR(__xludf.DUMMYFUNCTION("""COMPUTED_VALUE"""),"F")</f>
        <v>F</v>
      </c>
      <c r="C250" s="2">
        <f ca="1">IFERROR(__xludf.DUMMYFUNCTION("""COMPUTED_VALUE"""),44720)</f>
        <v>44720</v>
      </c>
      <c r="D250" s="1">
        <f ca="1">IFERROR(__xludf.DUMMYFUNCTION("""COMPUTED_VALUE"""),210)</f>
        <v>210</v>
      </c>
      <c r="E250" s="1">
        <f ca="1">IFERROR(__xludf.DUMMYFUNCTION("""COMPUTED_VALUE"""),25)</f>
        <v>25</v>
      </c>
      <c r="F250" s="1" t="str">
        <f ca="1">IFERROR(__xludf.DUMMYFUNCTION("""COMPUTED_VALUE"""),"MIL, OKC")</f>
        <v>MIL, OKC</v>
      </c>
      <c r="G250" s="1">
        <f ca="1">IFERROR(__xludf.DUMMYFUNCTION("""COMPUTED_VALUE"""),34)</f>
        <v>34</v>
      </c>
      <c r="H250" s="1">
        <f ca="1">IFERROR(__xludf.DUMMYFUNCTION("""COMPUTED_VALUE"""),3)</f>
        <v>3</v>
      </c>
      <c r="I250" s="1" t="str">
        <f ca="1">IFERROR(__xludf.DUMMYFUNCTION("""COMPUTED_VALUE"""),"North Carolina")</f>
        <v>North Carolina</v>
      </c>
      <c r="J250" s="1" t="str">
        <f ca="1">IFERROR(__xludf.DUMMYFUNCTION("""COMPUTED_VALUE"""),"2017 Rnd 1 Pick 15")</f>
        <v>2017 Rnd 1 Pick 15</v>
      </c>
      <c r="K250" s="1" t="str">
        <f ca="1">IFERROR(__xludf.DUMMYFUNCTION("""COMPUTED_VALUE"""),"United States")</f>
        <v>United States</v>
      </c>
    </row>
    <row r="251" spans="1:11" ht="13" x14ac:dyDescent="0.15">
      <c r="A251" s="1" t="str">
        <f ca="1">IFERROR(__xludf.DUMMYFUNCTION("""COMPUTED_VALUE"""),"Reggie Jackson")</f>
        <v>Reggie Jackson</v>
      </c>
      <c r="B251" s="1" t="str">
        <f ca="1">IFERROR(__xludf.DUMMYFUNCTION("""COMPUTED_VALUE"""),"G")</f>
        <v>G</v>
      </c>
      <c r="C251" s="2">
        <f ca="1">IFERROR(__xludf.DUMMYFUNCTION("""COMPUTED_VALUE"""),44714)</f>
        <v>44714</v>
      </c>
      <c r="D251" s="1">
        <f ca="1">IFERROR(__xludf.DUMMYFUNCTION("""COMPUTED_VALUE"""),208)</f>
        <v>208</v>
      </c>
      <c r="E251" s="1">
        <f ca="1">IFERROR(__xludf.DUMMYFUNCTION("""COMPUTED_VALUE"""),30)</f>
        <v>30</v>
      </c>
      <c r="F251" s="1" t="str">
        <f ca="1">IFERROR(__xludf.DUMMYFUNCTION("""COMPUTED_VALUE"""),"LAC")</f>
        <v>LAC</v>
      </c>
      <c r="G251" s="1">
        <f ca="1">IFERROR(__xludf.DUMMYFUNCTION("""COMPUTED_VALUE"""),67)</f>
        <v>67</v>
      </c>
      <c r="H251" s="1">
        <f ca="1">IFERROR(__xludf.DUMMYFUNCTION("""COMPUTED_VALUE"""),9)</f>
        <v>9</v>
      </c>
      <c r="I251" s="1" t="str">
        <f ca="1">IFERROR(__xludf.DUMMYFUNCTION("""COMPUTED_VALUE"""),"Boston College")</f>
        <v>Boston College</v>
      </c>
      <c r="J251" s="1" t="str">
        <f ca="1">IFERROR(__xludf.DUMMYFUNCTION("""COMPUTED_VALUE"""),"2011 Rnd 1 Pick 24")</f>
        <v>2011 Rnd 1 Pick 24</v>
      </c>
      <c r="K251" s="1" t="str">
        <f ca="1">IFERROR(__xludf.DUMMYFUNCTION("""COMPUTED_VALUE"""),"Italy
United States")</f>
        <v>Italy
United States</v>
      </c>
    </row>
    <row r="252" spans="1:11" ht="13" x14ac:dyDescent="0.15">
      <c r="A252" s="1" t="str">
        <f ca="1">IFERROR(__xludf.DUMMYFUNCTION("""COMPUTED_VALUE"""),"Justin James")</f>
        <v>Justin James</v>
      </c>
      <c r="B252" s="1" t="str">
        <f ca="1">IFERROR(__xludf.DUMMYFUNCTION("""COMPUTED_VALUE"""),"SG")</f>
        <v>SG</v>
      </c>
      <c r="C252" s="2">
        <f ca="1">IFERROR(__xludf.DUMMYFUNCTION("""COMPUTED_VALUE"""),44719)</f>
        <v>44719</v>
      </c>
      <c r="D252" s="1">
        <f ca="1">IFERROR(__xludf.DUMMYFUNCTION("""COMPUTED_VALUE"""),190)</f>
        <v>190</v>
      </c>
      <c r="E252" s="1">
        <f ca="1">IFERROR(__xludf.DUMMYFUNCTION("""COMPUTED_VALUE"""),24)</f>
        <v>24</v>
      </c>
      <c r="F252" s="1" t="str">
        <f ca="1">IFERROR(__xludf.DUMMYFUNCTION("""COMPUTED_VALUE"""),"SAC")</f>
        <v>SAC</v>
      </c>
      <c r="G252" s="1">
        <f ca="1">IFERROR(__xludf.DUMMYFUNCTION("""COMPUTED_VALUE"""),36)</f>
        <v>36</v>
      </c>
      <c r="H252" s="1">
        <f ca="1">IFERROR(__xludf.DUMMYFUNCTION("""COMPUTED_VALUE"""),1)</f>
        <v>1</v>
      </c>
      <c r="I252" s="1" t="str">
        <f ca="1">IFERROR(__xludf.DUMMYFUNCTION("""COMPUTED_VALUE"""),"Wyoming")</f>
        <v>Wyoming</v>
      </c>
      <c r="J252" s="1" t="str">
        <f ca="1">IFERROR(__xludf.DUMMYFUNCTION("""COMPUTED_VALUE"""),"2019 Rnd 2 Pick 10")</f>
        <v>2019 Rnd 2 Pick 10</v>
      </c>
      <c r="K252" s="1" t="str">
        <f ca="1">IFERROR(__xludf.DUMMYFUNCTION("""COMPUTED_VALUE"""),"United States")</f>
        <v>United States</v>
      </c>
    </row>
    <row r="253" spans="1:11" ht="13" x14ac:dyDescent="0.15">
      <c r="A253" s="1" t="str">
        <f ca="1">IFERROR(__xludf.DUMMYFUNCTION("""COMPUTED_VALUE"""),"LeBron James")</f>
        <v>LeBron James</v>
      </c>
      <c r="B253" s="1" t="str">
        <f ca="1">IFERROR(__xludf.DUMMYFUNCTION("""COMPUTED_VALUE"""),"F")</f>
        <v>F</v>
      </c>
      <c r="C253" s="2">
        <f ca="1">IFERROR(__xludf.DUMMYFUNCTION("""COMPUTED_VALUE"""),44720)</f>
        <v>44720</v>
      </c>
      <c r="D253" s="1">
        <f ca="1">IFERROR(__xludf.DUMMYFUNCTION("""COMPUTED_VALUE"""),250)</f>
        <v>250</v>
      </c>
      <c r="E253" s="1">
        <f ca="1">IFERROR(__xludf.DUMMYFUNCTION("""COMPUTED_VALUE"""),36)</f>
        <v>36</v>
      </c>
      <c r="F253" s="1" t="str">
        <f ca="1">IFERROR(__xludf.DUMMYFUNCTION("""COMPUTED_VALUE"""),"LAL")</f>
        <v>LAL</v>
      </c>
      <c r="G253" s="1">
        <f ca="1">IFERROR(__xludf.DUMMYFUNCTION("""COMPUTED_VALUE"""),45)</f>
        <v>45</v>
      </c>
      <c r="H253" s="1">
        <f ca="1">IFERROR(__xludf.DUMMYFUNCTION("""COMPUTED_VALUE"""),17)</f>
        <v>17</v>
      </c>
      <c r="I253" s="1" t="str">
        <f ca="1">IFERROR(__xludf.DUMMYFUNCTION("""COMPUTED_VALUE"""),"St. Vincent St. Mary High School (Ohio)")</f>
        <v>St. Vincent St. Mary High School (Ohio)</v>
      </c>
      <c r="J253" s="1" t="str">
        <f ca="1">IFERROR(__xludf.DUMMYFUNCTION("""COMPUTED_VALUE"""),"2003 Rnd 1 Pick 1")</f>
        <v>2003 Rnd 1 Pick 1</v>
      </c>
      <c r="K253" s="1" t="str">
        <f ca="1">IFERROR(__xludf.DUMMYFUNCTION("""COMPUTED_VALUE"""),"United States")</f>
        <v>United States</v>
      </c>
    </row>
    <row r="254" spans="1:11" ht="13" x14ac:dyDescent="0.15">
      <c r="A254" s="1" t="str">
        <f ca="1">IFERROR(__xludf.DUMMYFUNCTION("""COMPUTED_VALUE"""),"Mike James")</f>
        <v>Mike James</v>
      </c>
      <c r="B254" s="1" t="str">
        <f ca="1">IFERROR(__xludf.DUMMYFUNCTION("""COMPUTED_VALUE"""),"PG")</f>
        <v>PG</v>
      </c>
      <c r="C254" s="2">
        <f ca="1">IFERROR(__xludf.DUMMYFUNCTION("""COMPUTED_VALUE"""),44713)</f>
        <v>44713</v>
      </c>
      <c r="D254" s="1">
        <f ca="1">IFERROR(__xludf.DUMMYFUNCTION("""COMPUTED_VALUE"""),190)</f>
        <v>190</v>
      </c>
      <c r="E254" s="1">
        <f ca="1">IFERROR(__xludf.DUMMYFUNCTION("""COMPUTED_VALUE"""),30)</f>
        <v>30</v>
      </c>
      <c r="F254" s="1" t="str">
        <f ca="1">IFERROR(__xludf.DUMMYFUNCTION("""COMPUTED_VALUE"""),"BRK")</f>
        <v>BRK</v>
      </c>
      <c r="G254" s="1">
        <f ca="1">IFERROR(__xludf.DUMMYFUNCTION("""COMPUTED_VALUE"""),13)</f>
        <v>13</v>
      </c>
      <c r="H254" s="1">
        <f ca="1">IFERROR(__xludf.DUMMYFUNCTION("""COMPUTED_VALUE"""),1)</f>
        <v>1</v>
      </c>
      <c r="I254" s="1" t="str">
        <f ca="1">IFERROR(__xludf.DUMMYFUNCTION("""COMPUTED_VALUE"""),"Lamar")</f>
        <v>Lamar</v>
      </c>
      <c r="J254" s="1" t="str">
        <f ca="1">IFERROR(__xludf.DUMMYFUNCTION("""COMPUTED_VALUE"""),"2012 NBA Draft, Undrafted")</f>
        <v>2012 NBA Draft, Undrafted</v>
      </c>
      <c r="K254" s="1" t="str">
        <f ca="1">IFERROR(__xludf.DUMMYFUNCTION("""COMPUTED_VALUE"""),"United States")</f>
        <v>United States</v>
      </c>
    </row>
    <row r="255" spans="1:11" ht="13" x14ac:dyDescent="0.15">
      <c r="A255" s="1" t="str">
        <f ca="1">IFERROR(__xludf.DUMMYFUNCTION("""COMPUTED_VALUE"""),"DaQuan Jeffries")</f>
        <v>DaQuan Jeffries</v>
      </c>
      <c r="B255" s="1" t="str">
        <f ca="1">IFERROR(__xludf.DUMMYFUNCTION("""COMPUTED_VALUE"""),"SF")</f>
        <v>SF</v>
      </c>
      <c r="C255" s="2">
        <f ca="1">IFERROR(__xludf.DUMMYFUNCTION("""COMPUTED_VALUE"""),44717)</f>
        <v>44717</v>
      </c>
      <c r="D255" s="1">
        <f ca="1">IFERROR(__xludf.DUMMYFUNCTION("""COMPUTED_VALUE"""),225)</f>
        <v>225</v>
      </c>
      <c r="E255" s="1">
        <f ca="1">IFERROR(__xludf.DUMMYFUNCTION("""COMPUTED_VALUE"""),23)</f>
        <v>23</v>
      </c>
      <c r="F255" s="1" t="str">
        <f ca="1">IFERROR(__xludf.DUMMYFUNCTION("""COMPUTED_VALUE"""),"HOU, SAC")</f>
        <v>HOU, SAC</v>
      </c>
      <c r="G255" s="1">
        <f ca="1">IFERROR(__xludf.DUMMYFUNCTION("""COMPUTED_VALUE"""),31)</f>
        <v>31</v>
      </c>
      <c r="H255" s="1">
        <f ca="1">IFERROR(__xludf.DUMMYFUNCTION("""COMPUTED_VALUE"""),1)</f>
        <v>1</v>
      </c>
      <c r="I255" s="1" t="str">
        <f ca="1">IFERROR(__xludf.DUMMYFUNCTION("""COMPUTED_VALUE"""),"Tulsa")</f>
        <v>Tulsa</v>
      </c>
      <c r="J255" s="1" t="str">
        <f ca="1">IFERROR(__xludf.DUMMYFUNCTION("""COMPUTED_VALUE"""),"2019 NBA Draft, Undrafted")</f>
        <v>2019 NBA Draft, Undrafted</v>
      </c>
      <c r="K255" s="1" t="str">
        <f ca="1">IFERROR(__xludf.DUMMYFUNCTION("""COMPUTED_VALUE"""),"United States")</f>
        <v>United States</v>
      </c>
    </row>
    <row r="256" spans="1:11" ht="13" x14ac:dyDescent="0.15">
      <c r="A256" s="1" t="str">
        <f ca="1">IFERROR(__xludf.DUMMYFUNCTION("""COMPUTED_VALUE"""),"Ty Jerome")</f>
        <v>Ty Jerome</v>
      </c>
      <c r="B256" s="1" t="str">
        <f ca="1">IFERROR(__xludf.DUMMYFUNCTION("""COMPUTED_VALUE"""),"PG")</f>
        <v>PG</v>
      </c>
      <c r="C256" s="2">
        <f ca="1">IFERROR(__xludf.DUMMYFUNCTION("""COMPUTED_VALUE"""),44717)</f>
        <v>44717</v>
      </c>
      <c r="D256" s="1">
        <f ca="1">IFERROR(__xludf.DUMMYFUNCTION("""COMPUTED_VALUE"""),195)</f>
        <v>195</v>
      </c>
      <c r="E256" s="1">
        <f ca="1">IFERROR(__xludf.DUMMYFUNCTION("""COMPUTED_VALUE"""),23)</f>
        <v>23</v>
      </c>
      <c r="F256" s="1" t="str">
        <f ca="1">IFERROR(__xludf.DUMMYFUNCTION("""COMPUTED_VALUE"""),"OKC")</f>
        <v>OKC</v>
      </c>
      <c r="G256" s="1">
        <f ca="1">IFERROR(__xludf.DUMMYFUNCTION("""COMPUTED_VALUE"""),33)</f>
        <v>33</v>
      </c>
      <c r="H256" s="1">
        <f ca="1">IFERROR(__xludf.DUMMYFUNCTION("""COMPUTED_VALUE"""),1)</f>
        <v>1</v>
      </c>
      <c r="I256" s="1" t="str">
        <f ca="1">IFERROR(__xludf.DUMMYFUNCTION("""COMPUTED_VALUE"""),"Virginia")</f>
        <v>Virginia</v>
      </c>
      <c r="J256" s="1" t="str">
        <f ca="1">IFERROR(__xludf.DUMMYFUNCTION("""COMPUTED_VALUE"""),"2019 Rnd 1 Pick 24")</f>
        <v>2019 Rnd 1 Pick 24</v>
      </c>
      <c r="K256" s="1" t="str">
        <f ca="1">IFERROR(__xludf.DUMMYFUNCTION("""COMPUTED_VALUE"""),"United States")</f>
        <v>United States</v>
      </c>
    </row>
    <row r="257" spans="1:11" ht="13" x14ac:dyDescent="0.15">
      <c r="A257" s="1" t="str">
        <f ca="1">IFERROR(__xludf.DUMMYFUNCTION("""COMPUTED_VALUE"""),"Isaiah Joe")</f>
        <v>Isaiah Joe</v>
      </c>
      <c r="B257" s="1" t="str">
        <f ca="1">IFERROR(__xludf.DUMMYFUNCTION("""COMPUTED_VALUE"""),"SG")</f>
        <v>SG</v>
      </c>
      <c r="C257" s="2">
        <f ca="1">IFERROR(__xludf.DUMMYFUNCTION("""COMPUTED_VALUE"""),44715)</f>
        <v>44715</v>
      </c>
      <c r="D257" s="1">
        <f ca="1">IFERROR(__xludf.DUMMYFUNCTION("""COMPUTED_VALUE"""),174)</f>
        <v>174</v>
      </c>
      <c r="E257" s="1">
        <f ca="1">IFERROR(__xludf.DUMMYFUNCTION("""COMPUTED_VALUE"""),21)</f>
        <v>21</v>
      </c>
      <c r="F257" s="1" t="str">
        <f ca="1">IFERROR(__xludf.DUMMYFUNCTION("""COMPUTED_VALUE"""),"PHI")</f>
        <v>PHI</v>
      </c>
      <c r="G257" s="1">
        <f ca="1">IFERROR(__xludf.DUMMYFUNCTION("""COMPUTED_VALUE"""),41)</f>
        <v>41</v>
      </c>
      <c r="H257" s="1">
        <f ca="1">IFERROR(__xludf.DUMMYFUNCTION("""COMPUTED_VALUE"""),0)</f>
        <v>0</v>
      </c>
      <c r="I257" s="1" t="str">
        <f ca="1">IFERROR(__xludf.DUMMYFUNCTION("""COMPUTED_VALUE"""),"Arkansas")</f>
        <v>Arkansas</v>
      </c>
      <c r="J257" s="1" t="str">
        <f ca="1">IFERROR(__xludf.DUMMYFUNCTION("""COMPUTED_VALUE"""),"2020 Rnd 2 Pick 19")</f>
        <v>2020 Rnd 2 Pick 19</v>
      </c>
      <c r="K257" s="1" t="str">
        <f ca="1">IFERROR(__xludf.DUMMYFUNCTION("""COMPUTED_VALUE"""),"United States")</f>
        <v>United States</v>
      </c>
    </row>
    <row r="258" spans="1:11" ht="13" x14ac:dyDescent="0.15">
      <c r="A258" s="1" t="str">
        <f ca="1">IFERROR(__xludf.DUMMYFUNCTION("""COMPUTED_VALUE"""),"Alize Johnson")</f>
        <v>Alize Johnson</v>
      </c>
      <c r="B258" s="1" t="str">
        <f ca="1">IFERROR(__xludf.DUMMYFUNCTION("""COMPUTED_VALUE"""),"SF")</f>
        <v>SF</v>
      </c>
      <c r="C258" s="2">
        <f ca="1">IFERROR(__xludf.DUMMYFUNCTION("""COMPUTED_VALUE"""),44719)</f>
        <v>44719</v>
      </c>
      <c r="D258" s="1">
        <f ca="1">IFERROR(__xludf.DUMMYFUNCTION("""COMPUTED_VALUE"""),212)</f>
        <v>212</v>
      </c>
      <c r="E258" s="1">
        <f ca="1">IFERROR(__xludf.DUMMYFUNCTION("""COMPUTED_VALUE"""),24)</f>
        <v>24</v>
      </c>
      <c r="F258" s="1" t="str">
        <f ca="1">IFERROR(__xludf.DUMMYFUNCTION("""COMPUTED_VALUE"""),"BRK")</f>
        <v>BRK</v>
      </c>
      <c r="G258" s="1">
        <f ca="1">IFERROR(__xludf.DUMMYFUNCTION("""COMPUTED_VALUE"""),18)</f>
        <v>18</v>
      </c>
      <c r="H258" s="1">
        <f ca="1">IFERROR(__xludf.DUMMYFUNCTION("""COMPUTED_VALUE"""),2)</f>
        <v>2</v>
      </c>
      <c r="I258" s="1" t="str">
        <f ca="1">IFERROR(__xludf.DUMMYFUNCTION("""COMPUTED_VALUE"""),"Missouri State")</f>
        <v>Missouri State</v>
      </c>
      <c r="J258" s="1" t="str">
        <f ca="1">IFERROR(__xludf.DUMMYFUNCTION("""COMPUTED_VALUE"""),"2018 Rnd 2 Pick 20")</f>
        <v>2018 Rnd 2 Pick 20</v>
      </c>
      <c r="K258" s="1" t="str">
        <f ca="1">IFERROR(__xludf.DUMMYFUNCTION("""COMPUTED_VALUE"""),"United States")</f>
        <v>United States</v>
      </c>
    </row>
    <row r="259" spans="1:11" ht="13" x14ac:dyDescent="0.15">
      <c r="A259" s="1" t="str">
        <f ca="1">IFERROR(__xludf.DUMMYFUNCTION("""COMPUTED_VALUE"""),"Cameron Johnson")</f>
        <v>Cameron Johnson</v>
      </c>
      <c r="B259" s="1" t="str">
        <f ca="1">IFERROR(__xludf.DUMMYFUNCTION("""COMPUTED_VALUE"""),"G")</f>
        <v>G</v>
      </c>
      <c r="C259" s="2">
        <f ca="1">IFERROR(__xludf.DUMMYFUNCTION("""COMPUTED_VALUE"""),44721)</f>
        <v>44721</v>
      </c>
      <c r="D259" s="1">
        <f ca="1">IFERROR(__xludf.DUMMYFUNCTION("""COMPUTED_VALUE"""),210)</f>
        <v>210</v>
      </c>
      <c r="E259" s="1">
        <f ca="1">IFERROR(__xludf.DUMMYFUNCTION("""COMPUTED_VALUE"""),24)</f>
        <v>24</v>
      </c>
      <c r="F259" s="1" t="str">
        <f ca="1">IFERROR(__xludf.DUMMYFUNCTION("""COMPUTED_VALUE"""),"PHX")</f>
        <v>PHX</v>
      </c>
      <c r="G259" s="1">
        <f ca="1">IFERROR(__xludf.DUMMYFUNCTION("""COMPUTED_VALUE"""),60)</f>
        <v>60</v>
      </c>
      <c r="H259" s="1">
        <f ca="1">IFERROR(__xludf.DUMMYFUNCTION("""COMPUTED_VALUE"""),1)</f>
        <v>1</v>
      </c>
      <c r="I259" s="1" t="str">
        <f ca="1">IFERROR(__xludf.DUMMYFUNCTION("""COMPUTED_VALUE"""),"North Carolina")</f>
        <v>North Carolina</v>
      </c>
      <c r="J259" s="1" t="str">
        <f ca="1">IFERROR(__xludf.DUMMYFUNCTION("""COMPUTED_VALUE"""),"2019 Rnd 1 Pick 11")</f>
        <v>2019 Rnd 1 Pick 11</v>
      </c>
      <c r="K259" s="1" t="str">
        <f ca="1">IFERROR(__xludf.DUMMYFUNCTION("""COMPUTED_VALUE"""),"United States")</f>
        <v>United States</v>
      </c>
    </row>
    <row r="260" spans="1:11" ht="13" x14ac:dyDescent="0.15">
      <c r="A260" s="1" t="str">
        <f ca="1">IFERROR(__xludf.DUMMYFUNCTION("""COMPUTED_VALUE"""),"James Johnson")</f>
        <v>James Johnson</v>
      </c>
      <c r="B260" s="1" t="str">
        <f ca="1">IFERROR(__xludf.DUMMYFUNCTION("""COMPUTED_VALUE"""),"F")</f>
        <v>F</v>
      </c>
      <c r="C260" s="2">
        <f ca="1">IFERROR(__xludf.DUMMYFUNCTION("""COMPUTED_VALUE"""),44719)</f>
        <v>44719</v>
      </c>
      <c r="D260" s="1">
        <f ca="1">IFERROR(__xludf.DUMMYFUNCTION("""COMPUTED_VALUE"""),235)</f>
        <v>235</v>
      </c>
      <c r="E260" s="1">
        <f ca="1">IFERROR(__xludf.DUMMYFUNCTION("""COMPUTED_VALUE"""),34)</f>
        <v>34</v>
      </c>
      <c r="F260" s="1" t="str">
        <f ca="1">IFERROR(__xludf.DUMMYFUNCTION("""COMPUTED_VALUE"""),"DAL, NOP")</f>
        <v>DAL, NOP</v>
      </c>
      <c r="G260" s="1">
        <f ca="1">IFERROR(__xludf.DUMMYFUNCTION("""COMPUTED_VALUE"""),51)</f>
        <v>51</v>
      </c>
      <c r="H260" s="1">
        <f ca="1">IFERROR(__xludf.DUMMYFUNCTION("""COMPUTED_VALUE"""),11)</f>
        <v>11</v>
      </c>
      <c r="I260" s="1" t="str">
        <f ca="1">IFERROR(__xludf.DUMMYFUNCTION("""COMPUTED_VALUE"""),"Wake Forest")</f>
        <v>Wake Forest</v>
      </c>
      <c r="J260" s="1" t="str">
        <f ca="1">IFERROR(__xludf.DUMMYFUNCTION("""COMPUTED_VALUE"""),"2009 Rnd 1 Pick 16")</f>
        <v>2009 Rnd 1 Pick 16</v>
      </c>
      <c r="K260" s="1" t="str">
        <f ca="1">IFERROR(__xludf.DUMMYFUNCTION("""COMPUTED_VALUE"""),"United States")</f>
        <v>United States</v>
      </c>
    </row>
    <row r="261" spans="1:11" ht="13" x14ac:dyDescent="0.15">
      <c r="A261" s="1" t="str">
        <f ca="1">IFERROR(__xludf.DUMMYFUNCTION("""COMPUTED_VALUE"""),"Keldon Johnson")</f>
        <v>Keldon Johnson</v>
      </c>
      <c r="B261" s="1" t="str">
        <f ca="1">IFERROR(__xludf.DUMMYFUNCTION("""COMPUTED_VALUE"""),"SF")</f>
        <v>SF</v>
      </c>
      <c r="C261" s="2">
        <f ca="1">IFERROR(__xludf.DUMMYFUNCTION("""COMPUTED_VALUE"""),44718)</f>
        <v>44718</v>
      </c>
      <c r="D261" s="1">
        <f ca="1">IFERROR(__xludf.DUMMYFUNCTION("""COMPUTED_VALUE"""),210)</f>
        <v>210</v>
      </c>
      <c r="E261" s="1">
        <f ca="1">IFERROR(__xludf.DUMMYFUNCTION("""COMPUTED_VALUE"""),21)</f>
        <v>21</v>
      </c>
      <c r="F261" s="1" t="str">
        <f ca="1">IFERROR(__xludf.DUMMYFUNCTION("""COMPUTED_VALUE"""),"SAS")</f>
        <v>SAS</v>
      </c>
      <c r="G261" s="1">
        <f ca="1">IFERROR(__xludf.DUMMYFUNCTION("""COMPUTED_VALUE"""),69)</f>
        <v>69</v>
      </c>
      <c r="H261" s="1">
        <f ca="1">IFERROR(__xludf.DUMMYFUNCTION("""COMPUTED_VALUE"""),1)</f>
        <v>1</v>
      </c>
      <c r="I261" s="1" t="str">
        <f ca="1">IFERROR(__xludf.DUMMYFUNCTION("""COMPUTED_VALUE"""),"Kentucky")</f>
        <v>Kentucky</v>
      </c>
      <c r="J261" s="1" t="str">
        <f ca="1">IFERROR(__xludf.DUMMYFUNCTION("""COMPUTED_VALUE"""),"2019 Rnd 1 Pick 29")</f>
        <v>2019 Rnd 1 Pick 29</v>
      </c>
      <c r="K261" s="1" t="str">
        <f ca="1">IFERROR(__xludf.DUMMYFUNCTION("""COMPUTED_VALUE"""),"United States")</f>
        <v>United States</v>
      </c>
    </row>
    <row r="262" spans="1:11" ht="13" x14ac:dyDescent="0.15">
      <c r="A262" s="1" t="str">
        <f ca="1">IFERROR(__xludf.DUMMYFUNCTION("""COMPUTED_VALUE"""),"Stanley Johnson")</f>
        <v>Stanley Johnson</v>
      </c>
      <c r="B262" s="1" t="str">
        <f ca="1">IFERROR(__xludf.DUMMYFUNCTION("""COMPUTED_VALUE"""),"G")</f>
        <v>G</v>
      </c>
      <c r="C262" s="2">
        <f ca="1">IFERROR(__xludf.DUMMYFUNCTION("""COMPUTED_VALUE"""),44718)</f>
        <v>44718</v>
      </c>
      <c r="D262" s="1">
        <f ca="1">IFERROR(__xludf.DUMMYFUNCTION("""COMPUTED_VALUE"""),242)</f>
        <v>242</v>
      </c>
      <c r="E262" s="1">
        <f ca="1">IFERROR(__xludf.DUMMYFUNCTION("""COMPUTED_VALUE"""),24)</f>
        <v>24</v>
      </c>
      <c r="F262" s="1" t="str">
        <f ca="1">IFERROR(__xludf.DUMMYFUNCTION("""COMPUTED_VALUE"""),"TOR")</f>
        <v>TOR</v>
      </c>
      <c r="G262" s="1">
        <f ca="1">IFERROR(__xludf.DUMMYFUNCTION("""COMPUTED_VALUE"""),61)</f>
        <v>61</v>
      </c>
      <c r="H262" s="1">
        <f ca="1">IFERROR(__xludf.DUMMYFUNCTION("""COMPUTED_VALUE"""),5)</f>
        <v>5</v>
      </c>
      <c r="I262" s="1" t="str">
        <f ca="1">IFERROR(__xludf.DUMMYFUNCTION("""COMPUTED_VALUE"""),"Arizona")</f>
        <v>Arizona</v>
      </c>
      <c r="J262" s="1" t="str">
        <f ca="1">IFERROR(__xludf.DUMMYFUNCTION("""COMPUTED_VALUE"""),"2015 Rnd 1 Pick 8")</f>
        <v>2015 Rnd 1 Pick 8</v>
      </c>
      <c r="K262" s="1" t="str">
        <f ca="1">IFERROR(__xludf.DUMMYFUNCTION("""COMPUTED_VALUE"""),"United States")</f>
        <v>United States</v>
      </c>
    </row>
    <row r="263" spans="1:11" ht="13" x14ac:dyDescent="0.15">
      <c r="A263" s="1" t="str">
        <f ca="1">IFERROR(__xludf.DUMMYFUNCTION("""COMPUTED_VALUE"""),"Tyler Johnson")</f>
        <v>Tyler Johnson</v>
      </c>
      <c r="B263" s="1" t="str">
        <f ca="1">IFERROR(__xludf.DUMMYFUNCTION("""COMPUTED_VALUE"""),"G")</f>
        <v>G</v>
      </c>
      <c r="C263" s="2">
        <f ca="1">IFERROR(__xludf.DUMMYFUNCTION("""COMPUTED_VALUE"""),44716)</f>
        <v>44716</v>
      </c>
      <c r="D263" s="1">
        <f ca="1">IFERROR(__xludf.DUMMYFUNCTION("""COMPUTED_VALUE"""),190)</f>
        <v>190</v>
      </c>
      <c r="E263" s="1">
        <f ca="1">IFERROR(__xludf.DUMMYFUNCTION("""COMPUTED_VALUE"""),28)</f>
        <v>28</v>
      </c>
      <c r="F263" s="1" t="str">
        <f ca="1">IFERROR(__xludf.DUMMYFUNCTION("""COMPUTED_VALUE"""),"BRK")</f>
        <v>BRK</v>
      </c>
      <c r="G263" s="1">
        <f ca="1">IFERROR(__xludf.DUMMYFUNCTION("""COMPUTED_VALUE"""),39)</f>
        <v>39</v>
      </c>
      <c r="H263" s="1">
        <f ca="1">IFERROR(__xludf.DUMMYFUNCTION("""COMPUTED_VALUE"""),6)</f>
        <v>6</v>
      </c>
      <c r="I263" s="1" t="str">
        <f ca="1">IFERROR(__xludf.DUMMYFUNCTION("""COMPUTED_VALUE"""),"Fresno State")</f>
        <v>Fresno State</v>
      </c>
      <c r="J263" s="1" t="str">
        <f ca="1">IFERROR(__xludf.DUMMYFUNCTION("""COMPUTED_VALUE"""),"2014 NBA Draft, Undrafted")</f>
        <v>2014 NBA Draft, Undrafted</v>
      </c>
      <c r="K263" s="1" t="str">
        <f ca="1">IFERROR(__xludf.DUMMYFUNCTION("""COMPUTED_VALUE"""),"United States")</f>
        <v>United States</v>
      </c>
    </row>
    <row r="264" spans="1:11" ht="13" x14ac:dyDescent="0.15">
      <c r="A264" s="1" t="str">
        <f ca="1">IFERROR(__xludf.DUMMYFUNCTION("""COMPUTED_VALUE"""),"Nikola Jokic")</f>
        <v>Nikola Jokic</v>
      </c>
      <c r="B264" s="1" t="str">
        <f ca="1">IFERROR(__xludf.DUMMYFUNCTION("""COMPUTED_VALUE"""),"C")</f>
        <v>C</v>
      </c>
      <c r="C264" s="1" t="str">
        <f ca="1">IFERROR(__xludf.DUMMYFUNCTION("""COMPUTED_VALUE"""),"7-0")</f>
        <v>7-0</v>
      </c>
      <c r="D264" s="1">
        <f ca="1">IFERROR(__xludf.DUMMYFUNCTION("""COMPUTED_VALUE"""),284)</f>
        <v>284</v>
      </c>
      <c r="E264" s="1">
        <f ca="1">IFERROR(__xludf.DUMMYFUNCTION("""COMPUTED_VALUE"""),26)</f>
        <v>26</v>
      </c>
      <c r="F264" s="1" t="str">
        <f ca="1">IFERROR(__xludf.DUMMYFUNCTION("""COMPUTED_VALUE"""),"DEN")</f>
        <v>DEN</v>
      </c>
      <c r="G264" s="1">
        <f ca="1">IFERROR(__xludf.DUMMYFUNCTION("""COMPUTED_VALUE"""),72)</f>
        <v>72</v>
      </c>
      <c r="H264" s="1">
        <f ca="1">IFERROR(__xludf.DUMMYFUNCTION("""COMPUTED_VALUE"""),5)</f>
        <v>5</v>
      </c>
      <c r="I264" s="1" t="str">
        <f ca="1">IFERROR(__xludf.DUMMYFUNCTION("""COMPUTED_VALUE"""),"KK Mega Bemax (Serbia)")</f>
        <v>KK Mega Bemax (Serbia)</v>
      </c>
      <c r="J264" s="1" t="str">
        <f ca="1">IFERROR(__xludf.DUMMYFUNCTION("""COMPUTED_VALUE"""),"2014 Rnd 2 Pick 11")</f>
        <v>2014 Rnd 2 Pick 11</v>
      </c>
      <c r="K264" s="1" t="str">
        <f ca="1">IFERROR(__xludf.DUMMYFUNCTION("""COMPUTED_VALUE"""),"Serbia")</f>
        <v>Serbia</v>
      </c>
    </row>
    <row r="265" spans="1:11" ht="13" x14ac:dyDescent="0.15">
      <c r="A265" s="1" t="str">
        <f ca="1">IFERROR(__xludf.DUMMYFUNCTION("""COMPUTED_VALUE"""),"Damian Jones")</f>
        <v>Damian Jones</v>
      </c>
      <c r="B265" s="1" t="str">
        <f ca="1">IFERROR(__xludf.DUMMYFUNCTION("""COMPUTED_VALUE"""),"PF")</f>
        <v>PF</v>
      </c>
      <c r="C265" s="1" t="str">
        <f ca="1">IFERROR(__xludf.DUMMYFUNCTION("""COMPUTED_VALUE"""),"7-0")</f>
        <v>7-0</v>
      </c>
      <c r="D265" s="1">
        <f ca="1">IFERROR(__xludf.DUMMYFUNCTION("""COMPUTED_VALUE"""),245)</f>
        <v>245</v>
      </c>
      <c r="E265" s="1">
        <f ca="1">IFERROR(__xludf.DUMMYFUNCTION("""COMPUTED_VALUE"""),25)</f>
        <v>25</v>
      </c>
      <c r="F265" s="1" t="str">
        <f ca="1">IFERROR(__xludf.DUMMYFUNCTION("""COMPUTED_VALUE"""),"LAL, PHX, SAC")</f>
        <v>LAL, PHX, SAC</v>
      </c>
      <c r="G265" s="1">
        <f ca="1">IFERROR(__xludf.DUMMYFUNCTION("""COMPUTED_VALUE"""),39)</f>
        <v>39</v>
      </c>
      <c r="H265" s="1">
        <f ca="1">IFERROR(__xludf.DUMMYFUNCTION("""COMPUTED_VALUE"""),4)</f>
        <v>4</v>
      </c>
      <c r="I265" s="1" t="str">
        <f ca="1">IFERROR(__xludf.DUMMYFUNCTION("""COMPUTED_VALUE"""),"Vanderbilt")</f>
        <v>Vanderbilt</v>
      </c>
      <c r="J265" s="1" t="str">
        <f ca="1">IFERROR(__xludf.DUMMYFUNCTION("""COMPUTED_VALUE"""),"2016 Rnd 1 Pick 30")</f>
        <v>2016 Rnd 1 Pick 30</v>
      </c>
      <c r="K265" s="1" t="str">
        <f ca="1">IFERROR(__xludf.DUMMYFUNCTION("""COMPUTED_VALUE"""),"United States")</f>
        <v>United States</v>
      </c>
    </row>
    <row r="266" spans="1:11" ht="13" x14ac:dyDescent="0.15">
      <c r="A266" s="1" t="str">
        <f ca="1">IFERROR(__xludf.DUMMYFUNCTION("""COMPUTED_VALUE"""),"Derrick Jones")</f>
        <v>Derrick Jones</v>
      </c>
      <c r="B266" s="1" t="str">
        <f ca="1">IFERROR(__xludf.DUMMYFUNCTION("""COMPUTED_VALUE"""),"SF")</f>
        <v>SF</v>
      </c>
      <c r="C266" s="2">
        <f ca="1">IFERROR(__xludf.DUMMYFUNCTION("""COMPUTED_VALUE"""),44718)</f>
        <v>44718</v>
      </c>
      <c r="D266" s="1">
        <f ca="1">IFERROR(__xludf.DUMMYFUNCTION("""COMPUTED_VALUE"""),210)</f>
        <v>210</v>
      </c>
      <c r="E266" s="1">
        <f ca="1">IFERROR(__xludf.DUMMYFUNCTION("""COMPUTED_VALUE"""),24)</f>
        <v>24</v>
      </c>
      <c r="F266" s="1" t="str">
        <f ca="1">IFERROR(__xludf.DUMMYFUNCTION("""COMPUTED_VALUE"""),"POR")</f>
        <v>POR</v>
      </c>
      <c r="G266" s="1">
        <f ca="1">IFERROR(__xludf.DUMMYFUNCTION("""COMPUTED_VALUE"""),58)</f>
        <v>58</v>
      </c>
      <c r="H266" s="1">
        <f ca="1">IFERROR(__xludf.DUMMYFUNCTION("""COMPUTED_VALUE"""),4)</f>
        <v>4</v>
      </c>
      <c r="I266" s="1" t="str">
        <f ca="1">IFERROR(__xludf.DUMMYFUNCTION("""COMPUTED_VALUE"""),"UNLV")</f>
        <v>UNLV</v>
      </c>
      <c r="J266" s="1" t="str">
        <f ca="1">IFERROR(__xludf.DUMMYFUNCTION("""COMPUTED_VALUE"""),"2016 NBA Draft, Undrafted")</f>
        <v>2016 NBA Draft, Undrafted</v>
      </c>
      <c r="K266" s="1" t="str">
        <f ca="1">IFERROR(__xludf.DUMMYFUNCTION("""COMPUTED_VALUE"""),"United States")</f>
        <v>United States</v>
      </c>
    </row>
    <row r="267" spans="1:11" ht="13" x14ac:dyDescent="0.15">
      <c r="A267" s="1" t="str">
        <f ca="1">IFERROR(__xludf.DUMMYFUNCTION("""COMPUTED_VALUE"""),"Mason Jones")</f>
        <v>Mason Jones</v>
      </c>
      <c r="B267" s="1" t="str">
        <f ca="1">IFERROR(__xludf.DUMMYFUNCTION("""COMPUTED_VALUE"""),"G")</f>
        <v>G</v>
      </c>
      <c r="C267" s="2">
        <f ca="1">IFERROR(__xludf.DUMMYFUNCTION("""COMPUTED_VALUE"""),44716)</f>
        <v>44716</v>
      </c>
      <c r="D267" s="1">
        <f ca="1">IFERROR(__xludf.DUMMYFUNCTION("""COMPUTED_VALUE"""),200)</f>
        <v>200</v>
      </c>
      <c r="E267" s="1">
        <f ca="1">IFERROR(__xludf.DUMMYFUNCTION("""COMPUTED_VALUE"""),22)</f>
        <v>22</v>
      </c>
      <c r="F267" s="1" t="str">
        <f ca="1">IFERROR(__xludf.DUMMYFUNCTION("""COMPUTED_VALUE"""),"HOU, PHL")</f>
        <v>HOU, PHL</v>
      </c>
      <c r="G267" s="1">
        <f ca="1">IFERROR(__xludf.DUMMYFUNCTION("""COMPUTED_VALUE"""),32)</f>
        <v>32</v>
      </c>
      <c r="H267" s="1">
        <f ca="1">IFERROR(__xludf.DUMMYFUNCTION("""COMPUTED_VALUE"""),0)</f>
        <v>0</v>
      </c>
      <c r="I267" s="1" t="str">
        <f ca="1">IFERROR(__xludf.DUMMYFUNCTION("""COMPUTED_VALUE"""),"Arkansas")</f>
        <v>Arkansas</v>
      </c>
      <c r="J267" s="1" t="str">
        <f ca="1">IFERROR(__xludf.DUMMYFUNCTION("""COMPUTED_VALUE"""),"2020 NBA Draft, Undrafted")</f>
        <v>2020 NBA Draft, Undrafted</v>
      </c>
      <c r="K267" s="1" t="str">
        <f ca="1">IFERROR(__xludf.DUMMYFUNCTION("""COMPUTED_VALUE"""),"United States")</f>
        <v>United States</v>
      </c>
    </row>
    <row r="268" spans="1:11" ht="13" x14ac:dyDescent="0.15">
      <c r="A268" s="1" t="str">
        <f ca="1">IFERROR(__xludf.DUMMYFUNCTION("""COMPUTED_VALUE"""),"Tre Jones")</f>
        <v>Tre Jones</v>
      </c>
      <c r="B268" s="1" t="str">
        <f ca="1">IFERROR(__xludf.DUMMYFUNCTION("""COMPUTED_VALUE"""),"PG")</f>
        <v>PG</v>
      </c>
      <c r="C268" s="2">
        <f ca="1">IFERROR(__xludf.DUMMYFUNCTION("""COMPUTED_VALUE"""),44715)</f>
        <v>44715</v>
      </c>
      <c r="D268" s="1">
        <f ca="1">IFERROR(__xludf.DUMMYFUNCTION("""COMPUTED_VALUE"""),185)</f>
        <v>185</v>
      </c>
      <c r="E268" s="1">
        <f ca="1">IFERROR(__xludf.DUMMYFUNCTION("""COMPUTED_VALUE"""),21)</f>
        <v>21</v>
      </c>
      <c r="F268" s="1" t="str">
        <f ca="1">IFERROR(__xludf.DUMMYFUNCTION("""COMPUTED_VALUE"""),"SAS")</f>
        <v>SAS</v>
      </c>
      <c r="G268" s="1">
        <f ca="1">IFERROR(__xludf.DUMMYFUNCTION("""COMPUTED_VALUE"""),37)</f>
        <v>37</v>
      </c>
      <c r="H268" s="1">
        <f ca="1">IFERROR(__xludf.DUMMYFUNCTION("""COMPUTED_VALUE"""),0)</f>
        <v>0</v>
      </c>
      <c r="I268" s="1" t="str">
        <f ca="1">IFERROR(__xludf.DUMMYFUNCTION("""COMPUTED_VALUE"""),"Duke")</f>
        <v>Duke</v>
      </c>
      <c r="J268" s="1" t="str">
        <f ca="1">IFERROR(__xludf.DUMMYFUNCTION("""COMPUTED_VALUE"""),"2020 Rnd 2 Pick 11")</f>
        <v>2020 Rnd 2 Pick 11</v>
      </c>
      <c r="K268" s="1" t="str">
        <f ca="1">IFERROR(__xludf.DUMMYFUNCTION("""COMPUTED_VALUE"""),"United States")</f>
        <v>United States</v>
      </c>
    </row>
    <row r="269" spans="1:11" ht="13" x14ac:dyDescent="0.15">
      <c r="A269" s="1" t="str">
        <f ca="1">IFERROR(__xludf.DUMMYFUNCTION("""COMPUTED_VALUE"""),"Tyus Jones")</f>
        <v>Tyus Jones</v>
      </c>
      <c r="B269" s="1" t="str">
        <f ca="1">IFERROR(__xludf.DUMMYFUNCTION("""COMPUTED_VALUE"""),"PG")</f>
        <v>PG</v>
      </c>
      <c r="C269" s="2">
        <f ca="1">IFERROR(__xludf.DUMMYFUNCTION("""COMPUTED_VALUE"""),44713)</f>
        <v>44713</v>
      </c>
      <c r="D269" s="1">
        <f ca="1">IFERROR(__xludf.DUMMYFUNCTION("""COMPUTED_VALUE"""),196)</f>
        <v>196</v>
      </c>
      <c r="E269" s="1">
        <f ca="1">IFERROR(__xludf.DUMMYFUNCTION("""COMPUTED_VALUE"""),24)</f>
        <v>24</v>
      </c>
      <c r="F269" s="1" t="str">
        <f ca="1">IFERROR(__xludf.DUMMYFUNCTION("""COMPUTED_VALUE"""),"MEM")</f>
        <v>MEM</v>
      </c>
      <c r="G269" s="1">
        <f ca="1">IFERROR(__xludf.DUMMYFUNCTION("""COMPUTED_VALUE"""),70)</f>
        <v>70</v>
      </c>
      <c r="H269" s="1">
        <f ca="1">IFERROR(__xludf.DUMMYFUNCTION("""COMPUTED_VALUE"""),5)</f>
        <v>5</v>
      </c>
      <c r="I269" s="1" t="str">
        <f ca="1">IFERROR(__xludf.DUMMYFUNCTION("""COMPUTED_VALUE"""),"Duke")</f>
        <v>Duke</v>
      </c>
      <c r="J269" s="1" t="str">
        <f ca="1">IFERROR(__xludf.DUMMYFUNCTION("""COMPUTED_VALUE"""),"2015 Rnd 1 Pick 24")</f>
        <v>2015 Rnd 1 Pick 24</v>
      </c>
      <c r="K269" s="1" t="str">
        <f ca="1">IFERROR(__xludf.DUMMYFUNCTION("""COMPUTED_VALUE"""),"United States")</f>
        <v>United States</v>
      </c>
    </row>
    <row r="270" spans="1:11" ht="13" x14ac:dyDescent="0.15">
      <c r="A270" s="1" t="str">
        <f ca="1">IFERROR(__xludf.DUMMYFUNCTION("""COMPUTED_VALUE"""),"DeAndre Jordan")</f>
        <v>DeAndre Jordan</v>
      </c>
      <c r="B270" s="1" t="str">
        <f ca="1">IFERROR(__xludf.DUMMYFUNCTION("""COMPUTED_VALUE"""),"C")</f>
        <v>C</v>
      </c>
      <c r="C270" s="2">
        <f ca="1">IFERROR(__xludf.DUMMYFUNCTION("""COMPUTED_VALUE"""),44723)</f>
        <v>44723</v>
      </c>
      <c r="D270" s="1">
        <f ca="1">IFERROR(__xludf.DUMMYFUNCTION("""COMPUTED_VALUE"""),265)</f>
        <v>265</v>
      </c>
      <c r="E270" s="1">
        <f ca="1">IFERROR(__xludf.DUMMYFUNCTION("""COMPUTED_VALUE"""),32)</f>
        <v>32</v>
      </c>
      <c r="F270" s="1" t="str">
        <f ca="1">IFERROR(__xludf.DUMMYFUNCTION("""COMPUTED_VALUE"""),"BRK")</f>
        <v>BRK</v>
      </c>
      <c r="G270" s="1">
        <f ca="1">IFERROR(__xludf.DUMMYFUNCTION("""COMPUTED_VALUE"""),57)</f>
        <v>57</v>
      </c>
      <c r="H270" s="1">
        <f ca="1">IFERROR(__xludf.DUMMYFUNCTION("""COMPUTED_VALUE"""),12)</f>
        <v>12</v>
      </c>
      <c r="I270" s="1" t="str">
        <f ca="1">IFERROR(__xludf.DUMMYFUNCTION("""COMPUTED_VALUE"""),"Texas A&amp;M")</f>
        <v>Texas A&amp;M</v>
      </c>
      <c r="J270" s="1" t="str">
        <f ca="1">IFERROR(__xludf.DUMMYFUNCTION("""COMPUTED_VALUE"""),"2008 Rnd 2 Pick 5")</f>
        <v>2008 Rnd 2 Pick 5</v>
      </c>
      <c r="K270" s="1" t="str">
        <f ca="1">IFERROR(__xludf.DUMMYFUNCTION("""COMPUTED_VALUE"""),"United States")</f>
        <v>United States</v>
      </c>
    </row>
    <row r="271" spans="1:11" ht="13" x14ac:dyDescent="0.15">
      <c r="A271" s="1" t="str">
        <f ca="1">IFERROR(__xludf.DUMMYFUNCTION("""COMPUTED_VALUE"""),"Cory Joseph")</f>
        <v>Cory Joseph</v>
      </c>
      <c r="B271" s="1" t="str">
        <f ca="1">IFERROR(__xludf.DUMMYFUNCTION("""COMPUTED_VALUE"""),"PG")</f>
        <v>PG</v>
      </c>
      <c r="C271" s="2">
        <f ca="1">IFERROR(__xludf.DUMMYFUNCTION("""COMPUTED_VALUE"""),44715)</f>
        <v>44715</v>
      </c>
      <c r="D271" s="1">
        <f ca="1">IFERROR(__xludf.DUMMYFUNCTION("""COMPUTED_VALUE"""),200)</f>
        <v>200</v>
      </c>
      <c r="E271" s="1">
        <f ca="1">IFERROR(__xludf.DUMMYFUNCTION("""COMPUTED_VALUE"""),29)</f>
        <v>29</v>
      </c>
      <c r="F271" s="1" t="str">
        <f ca="1">IFERROR(__xludf.DUMMYFUNCTION("""COMPUTED_VALUE"""),"DET, SAC")</f>
        <v>DET, SAC</v>
      </c>
      <c r="G271" s="1">
        <f ca="1">IFERROR(__xludf.DUMMYFUNCTION("""COMPUTED_VALUE"""),63)</f>
        <v>63</v>
      </c>
      <c r="H271" s="1">
        <f ca="1">IFERROR(__xludf.DUMMYFUNCTION("""COMPUTED_VALUE"""),9)</f>
        <v>9</v>
      </c>
      <c r="I271" s="1" t="str">
        <f ca="1">IFERROR(__xludf.DUMMYFUNCTION("""COMPUTED_VALUE"""),"Texas")</f>
        <v>Texas</v>
      </c>
      <c r="J271" s="1" t="str">
        <f ca="1">IFERROR(__xludf.DUMMYFUNCTION("""COMPUTED_VALUE"""),"2011 Rnd 1 Pick 29")</f>
        <v>2011 Rnd 1 Pick 29</v>
      </c>
      <c r="K271" s="1" t="str">
        <f ca="1">IFERROR(__xludf.DUMMYFUNCTION("""COMPUTED_VALUE"""),"Canada")</f>
        <v>Canada</v>
      </c>
    </row>
    <row r="272" spans="1:11" ht="13" x14ac:dyDescent="0.15">
      <c r="A272" s="1" t="str">
        <f ca="1">IFERROR(__xludf.DUMMYFUNCTION("""COMPUTED_VALUE"""),"Mfiondu Kabengele")</f>
        <v>Mfiondu Kabengele</v>
      </c>
      <c r="B272" s="1" t="str">
        <f ca="1">IFERROR(__xludf.DUMMYFUNCTION("""COMPUTED_VALUE"""),"SF")</f>
        <v>SF</v>
      </c>
      <c r="C272" s="2">
        <f ca="1">IFERROR(__xludf.DUMMYFUNCTION("""COMPUTED_VALUE"""),44722)</f>
        <v>44722</v>
      </c>
      <c r="D272" s="1">
        <f ca="1">IFERROR(__xludf.DUMMYFUNCTION("""COMPUTED_VALUE"""),250)</f>
        <v>250</v>
      </c>
      <c r="E272" s="1">
        <f ca="1">IFERROR(__xludf.DUMMYFUNCTION("""COMPUTED_VALUE"""),23)</f>
        <v>23</v>
      </c>
      <c r="F272" s="1" t="str">
        <f ca="1">IFERROR(__xludf.DUMMYFUNCTION("""COMPUTED_VALUE"""),"CLE, LAC")</f>
        <v>CLE, LAC</v>
      </c>
      <c r="G272" s="1">
        <f ca="1">IFERROR(__xludf.DUMMYFUNCTION("""COMPUTED_VALUE"""),39)</f>
        <v>39</v>
      </c>
      <c r="H272" s="1">
        <f ca="1">IFERROR(__xludf.DUMMYFUNCTION("""COMPUTED_VALUE"""),1)</f>
        <v>1</v>
      </c>
      <c r="I272" s="1" t="str">
        <f ca="1">IFERROR(__xludf.DUMMYFUNCTION("""COMPUTED_VALUE"""),"Florida State")</f>
        <v>Florida State</v>
      </c>
      <c r="J272" s="1" t="str">
        <f ca="1">IFERROR(__xludf.DUMMYFUNCTION("""COMPUTED_VALUE"""),"2019 Rnd 1 Pick 27")</f>
        <v>2019 Rnd 1 Pick 27</v>
      </c>
      <c r="K272" s="1" t="str">
        <f ca="1">IFERROR(__xludf.DUMMYFUNCTION("""COMPUTED_VALUE"""),"Canada")</f>
        <v>Canada</v>
      </c>
    </row>
    <row r="273" spans="1:11" ht="13" x14ac:dyDescent="0.15">
      <c r="A273" s="1" t="str">
        <f ca="1">IFERROR(__xludf.DUMMYFUNCTION("""COMPUTED_VALUE"""),"Frank Kaminsky")</f>
        <v>Frank Kaminsky</v>
      </c>
      <c r="B273" s="1" t="str">
        <f ca="1">IFERROR(__xludf.DUMMYFUNCTION("""COMPUTED_VALUE"""),"F")</f>
        <v>F</v>
      </c>
      <c r="C273" s="1" t="str">
        <f ca="1">IFERROR(__xludf.DUMMYFUNCTION("""COMPUTED_VALUE"""),"7-0")</f>
        <v>7-0</v>
      </c>
      <c r="D273" s="1">
        <f ca="1">IFERROR(__xludf.DUMMYFUNCTION("""COMPUTED_VALUE"""),242)</f>
        <v>242</v>
      </c>
      <c r="E273" s="1">
        <f ca="1">IFERROR(__xludf.DUMMYFUNCTION("""COMPUTED_VALUE"""),27)</f>
        <v>27</v>
      </c>
      <c r="F273" s="1" t="str">
        <f ca="1">IFERROR(__xludf.DUMMYFUNCTION("""COMPUTED_VALUE"""),"PHX")</f>
        <v>PHX</v>
      </c>
      <c r="G273" s="1">
        <f ca="1">IFERROR(__xludf.DUMMYFUNCTION("""COMPUTED_VALUE"""),47)</f>
        <v>47</v>
      </c>
      <c r="H273" s="1">
        <f ca="1">IFERROR(__xludf.DUMMYFUNCTION("""COMPUTED_VALUE"""),5)</f>
        <v>5</v>
      </c>
      <c r="I273" s="1" t="str">
        <f ca="1">IFERROR(__xludf.DUMMYFUNCTION("""COMPUTED_VALUE"""),"Wisconsin")</f>
        <v>Wisconsin</v>
      </c>
      <c r="J273" s="1" t="str">
        <f ca="1">IFERROR(__xludf.DUMMYFUNCTION("""COMPUTED_VALUE"""),"2015 Rnd 1 Pick 9")</f>
        <v>2015 Rnd 1 Pick 9</v>
      </c>
      <c r="K273" s="1" t="str">
        <f ca="1">IFERROR(__xludf.DUMMYFUNCTION("""COMPUTED_VALUE"""),"United States")</f>
        <v>United States</v>
      </c>
    </row>
    <row r="274" spans="1:11" ht="13" x14ac:dyDescent="0.15">
      <c r="A274" s="1" t="str">
        <f ca="1">IFERROR(__xludf.DUMMYFUNCTION("""COMPUTED_VALUE"""),"Luke Kennard")</f>
        <v>Luke Kennard</v>
      </c>
      <c r="B274" s="1" t="str">
        <f ca="1">IFERROR(__xludf.DUMMYFUNCTION("""COMPUTED_VALUE"""),"SG")</f>
        <v>SG</v>
      </c>
      <c r="C274" s="2">
        <f ca="1">IFERROR(__xludf.DUMMYFUNCTION("""COMPUTED_VALUE"""),44717)</f>
        <v>44717</v>
      </c>
      <c r="D274" s="1">
        <f ca="1">IFERROR(__xludf.DUMMYFUNCTION("""COMPUTED_VALUE"""),206)</f>
        <v>206</v>
      </c>
      <c r="E274" s="1">
        <f ca="1">IFERROR(__xludf.DUMMYFUNCTION("""COMPUTED_VALUE"""),24)</f>
        <v>24</v>
      </c>
      <c r="F274" s="1" t="str">
        <f ca="1">IFERROR(__xludf.DUMMYFUNCTION("""COMPUTED_VALUE"""),"LAC")</f>
        <v>LAC</v>
      </c>
      <c r="G274" s="1">
        <f ca="1">IFERROR(__xludf.DUMMYFUNCTION("""COMPUTED_VALUE"""),63)</f>
        <v>63</v>
      </c>
      <c r="H274" s="1">
        <f ca="1">IFERROR(__xludf.DUMMYFUNCTION("""COMPUTED_VALUE"""),3)</f>
        <v>3</v>
      </c>
      <c r="I274" s="1" t="str">
        <f ca="1">IFERROR(__xludf.DUMMYFUNCTION("""COMPUTED_VALUE"""),"Duke")</f>
        <v>Duke</v>
      </c>
      <c r="J274" s="1" t="str">
        <f ca="1">IFERROR(__xludf.DUMMYFUNCTION("""COMPUTED_VALUE"""),"2017 Rnd 1 Pick 12")</f>
        <v>2017 Rnd 1 Pick 12</v>
      </c>
      <c r="K274" s="1" t="str">
        <f ca="1">IFERROR(__xludf.DUMMYFUNCTION("""COMPUTED_VALUE"""),"United States")</f>
        <v>United States</v>
      </c>
    </row>
    <row r="275" spans="1:11" ht="13" x14ac:dyDescent="0.15">
      <c r="A275" s="1" t="str">
        <f ca="1">IFERROR(__xludf.DUMMYFUNCTION("""COMPUTED_VALUE"""),"Louis King")</f>
        <v>Louis King</v>
      </c>
      <c r="B275" s="1" t="str">
        <f ca="1">IFERROR(__xludf.DUMMYFUNCTION("""COMPUTED_VALUE"""),"SF")</f>
        <v>SF</v>
      </c>
      <c r="C275" s="2">
        <f ca="1">IFERROR(__xludf.DUMMYFUNCTION("""COMPUTED_VALUE"""),44719)</f>
        <v>44719</v>
      </c>
      <c r="D275" s="1">
        <f ca="1">IFERROR(__xludf.DUMMYFUNCTION("""COMPUTED_VALUE"""),205)</f>
        <v>205</v>
      </c>
      <c r="E275" s="1">
        <f ca="1">IFERROR(__xludf.DUMMYFUNCTION("""COMPUTED_VALUE"""),21)</f>
        <v>21</v>
      </c>
      <c r="F275" s="1" t="str">
        <f ca="1">IFERROR(__xludf.DUMMYFUNCTION("""COMPUTED_VALUE"""),"SAC")</f>
        <v>SAC</v>
      </c>
      <c r="G275" s="1">
        <f ca="1">IFERROR(__xludf.DUMMYFUNCTION("""COMPUTED_VALUE"""),6)</f>
        <v>6</v>
      </c>
      <c r="H275" s="1">
        <f ca="1">IFERROR(__xludf.DUMMYFUNCTION("""COMPUTED_VALUE"""),1)</f>
        <v>1</v>
      </c>
      <c r="I275" s="1" t="str">
        <f ca="1">IFERROR(__xludf.DUMMYFUNCTION("""COMPUTED_VALUE"""),"Oregon")</f>
        <v>Oregon</v>
      </c>
      <c r="J275" s="1" t="str">
        <f ca="1">IFERROR(__xludf.DUMMYFUNCTION("""COMPUTED_VALUE"""),"2019 NBA Draft, Undrafted")</f>
        <v>2019 NBA Draft, Undrafted</v>
      </c>
      <c r="K275" s="1" t="str">
        <f ca="1">IFERROR(__xludf.DUMMYFUNCTION("""COMPUTED_VALUE"""),"United States")</f>
        <v>United States</v>
      </c>
    </row>
    <row r="276" spans="1:11" ht="13" x14ac:dyDescent="0.15">
      <c r="A276" s="1" t="str">
        <f ca="1">IFERROR(__xludf.DUMMYFUNCTION("""COMPUTED_VALUE"""),"Maxi Kleber")</f>
        <v>Maxi Kleber</v>
      </c>
      <c r="B276" s="1" t="str">
        <f ca="1">IFERROR(__xludf.DUMMYFUNCTION("""COMPUTED_VALUE"""),"PF")</f>
        <v>PF</v>
      </c>
      <c r="C276" s="2">
        <f ca="1">IFERROR(__xludf.DUMMYFUNCTION("""COMPUTED_VALUE"""),44722)</f>
        <v>44722</v>
      </c>
      <c r="D276" s="1">
        <f ca="1">IFERROR(__xludf.DUMMYFUNCTION("""COMPUTED_VALUE"""),240)</f>
        <v>240</v>
      </c>
      <c r="E276" s="1">
        <f ca="1">IFERROR(__xludf.DUMMYFUNCTION("""COMPUTED_VALUE"""),29)</f>
        <v>29</v>
      </c>
      <c r="F276" s="1" t="str">
        <f ca="1">IFERROR(__xludf.DUMMYFUNCTION("""COMPUTED_VALUE"""),"DAL")</f>
        <v>DAL</v>
      </c>
      <c r="G276" s="1">
        <f ca="1">IFERROR(__xludf.DUMMYFUNCTION("""COMPUTED_VALUE"""),50)</f>
        <v>50</v>
      </c>
      <c r="H276" s="1">
        <f ca="1">IFERROR(__xludf.DUMMYFUNCTION("""COMPUTED_VALUE"""),3)</f>
        <v>3</v>
      </c>
      <c r="I276" s="1" t="str">
        <f ca="1">IFERROR(__xludf.DUMMYFUNCTION("""COMPUTED_VALUE"""),"s.Oliver Baskets (Germany)")</f>
        <v>s.Oliver Baskets (Germany)</v>
      </c>
      <c r="J276" s="1" t="str">
        <f ca="1">IFERROR(__xludf.DUMMYFUNCTION("""COMPUTED_VALUE"""),"2014 NBA Draft, Undrafted")</f>
        <v>2014 NBA Draft, Undrafted</v>
      </c>
      <c r="K276" s="1" t="str">
        <f ca="1">IFERROR(__xludf.DUMMYFUNCTION("""COMPUTED_VALUE"""),"Germany")</f>
        <v>Germany</v>
      </c>
    </row>
    <row r="277" spans="1:11" ht="13" x14ac:dyDescent="0.15">
      <c r="A277" s="1" t="str">
        <f ca="1">IFERROR(__xludf.DUMMYFUNCTION("""COMPUTED_VALUE"""),"Nathan Knight")</f>
        <v>Nathan Knight</v>
      </c>
      <c r="B277" s="1" t="str">
        <f ca="1">IFERROR(__xludf.DUMMYFUNCTION("""COMPUTED_VALUE"""),"PF")</f>
        <v>PF</v>
      </c>
      <c r="C277" s="2">
        <f ca="1">IFERROR(__xludf.DUMMYFUNCTION("""COMPUTED_VALUE"""),44720)</f>
        <v>44720</v>
      </c>
      <c r="D277" s="1">
        <f ca="1">IFERROR(__xludf.DUMMYFUNCTION("""COMPUTED_VALUE"""),244)</f>
        <v>244</v>
      </c>
      <c r="E277" s="1">
        <f ca="1">IFERROR(__xludf.DUMMYFUNCTION("""COMPUTED_VALUE"""),23)</f>
        <v>23</v>
      </c>
      <c r="F277" s="1" t="str">
        <f ca="1">IFERROR(__xludf.DUMMYFUNCTION("""COMPUTED_VALUE"""),"ATL")</f>
        <v>ATL</v>
      </c>
      <c r="G277" s="1">
        <f ca="1">IFERROR(__xludf.DUMMYFUNCTION("""COMPUTED_VALUE"""),33)</f>
        <v>33</v>
      </c>
      <c r="H277" s="1">
        <f ca="1">IFERROR(__xludf.DUMMYFUNCTION("""COMPUTED_VALUE"""),0)</f>
        <v>0</v>
      </c>
      <c r="I277" s="1" t="str">
        <f ca="1">IFERROR(__xludf.DUMMYFUNCTION("""COMPUTED_VALUE"""),"William &amp; Mary")</f>
        <v>William &amp; Mary</v>
      </c>
      <c r="J277" s="1" t="str">
        <f ca="1">IFERROR(__xludf.DUMMYFUNCTION("""COMPUTED_VALUE"""),"2020 NBA Draft, Undrafted")</f>
        <v>2020 NBA Draft, Undrafted</v>
      </c>
      <c r="K277" s="1" t="str">
        <f ca="1">IFERROR(__xludf.DUMMYFUNCTION("""COMPUTED_VALUE"""),"United States")</f>
        <v>United States</v>
      </c>
    </row>
    <row r="278" spans="1:11" ht="13" x14ac:dyDescent="0.15">
      <c r="A278" s="1" t="str">
        <f ca="1">IFERROR(__xludf.DUMMYFUNCTION("""COMPUTED_VALUE"""),"Kevin Knox")</f>
        <v>Kevin Knox</v>
      </c>
      <c r="B278" s="1" t="str">
        <f ca="1">IFERROR(__xludf.DUMMYFUNCTION("""COMPUTED_VALUE"""),"SF")</f>
        <v>SF</v>
      </c>
      <c r="C278" s="2">
        <f ca="1">IFERROR(__xludf.DUMMYFUNCTION("""COMPUTED_VALUE"""),44721)</f>
        <v>44721</v>
      </c>
      <c r="D278" s="1">
        <f ca="1">IFERROR(__xludf.DUMMYFUNCTION("""COMPUTED_VALUE"""),215)</f>
        <v>215</v>
      </c>
      <c r="E278" s="1">
        <f ca="1">IFERROR(__xludf.DUMMYFUNCTION("""COMPUTED_VALUE"""),21)</f>
        <v>21</v>
      </c>
      <c r="F278" s="1" t="str">
        <f ca="1">IFERROR(__xludf.DUMMYFUNCTION("""COMPUTED_VALUE"""),"NYK")</f>
        <v>NYK</v>
      </c>
      <c r="G278" s="1">
        <f ca="1">IFERROR(__xludf.DUMMYFUNCTION("""COMPUTED_VALUE"""),42)</f>
        <v>42</v>
      </c>
      <c r="H278" s="1">
        <f ca="1">IFERROR(__xludf.DUMMYFUNCTION("""COMPUTED_VALUE"""),2)</f>
        <v>2</v>
      </c>
      <c r="I278" s="1" t="str">
        <f ca="1">IFERROR(__xludf.DUMMYFUNCTION("""COMPUTED_VALUE"""),"Kentucky")</f>
        <v>Kentucky</v>
      </c>
      <c r="J278" s="1" t="str">
        <f ca="1">IFERROR(__xludf.DUMMYFUNCTION("""COMPUTED_VALUE"""),"2018 Rnd 1 Pick 9")</f>
        <v>2018 Rnd 1 Pick 9</v>
      </c>
      <c r="K278" s="1" t="str">
        <f ca="1">IFERROR(__xludf.DUMMYFUNCTION("""COMPUTED_VALUE"""),"United States")</f>
        <v>United States</v>
      </c>
    </row>
    <row r="279" spans="1:11" ht="13" x14ac:dyDescent="0.15">
      <c r="A279" s="1" t="str">
        <f ca="1">IFERROR(__xludf.DUMMYFUNCTION("""COMPUTED_VALUE"""),"John Konchar")</f>
        <v>John Konchar</v>
      </c>
      <c r="B279" s="1" t="str">
        <f ca="1">IFERROR(__xludf.DUMMYFUNCTION("""COMPUTED_VALUE"""),"G")</f>
        <v>G</v>
      </c>
      <c r="C279" s="2">
        <f ca="1">IFERROR(__xludf.DUMMYFUNCTION("""COMPUTED_VALUE"""),44717)</f>
        <v>44717</v>
      </c>
      <c r="D279" s="1">
        <f ca="1">IFERROR(__xludf.DUMMYFUNCTION("""COMPUTED_VALUE"""),210)</f>
        <v>210</v>
      </c>
      <c r="E279" s="1">
        <f ca="1">IFERROR(__xludf.DUMMYFUNCTION("""COMPUTED_VALUE"""),24)</f>
        <v>24</v>
      </c>
      <c r="F279" s="1" t="str">
        <f ca="1">IFERROR(__xludf.DUMMYFUNCTION("""COMPUTED_VALUE"""),"MEM")</f>
        <v>MEM</v>
      </c>
      <c r="G279" s="1">
        <f ca="1">IFERROR(__xludf.DUMMYFUNCTION("""COMPUTED_VALUE"""),43)</f>
        <v>43</v>
      </c>
      <c r="H279" s="1">
        <f ca="1">IFERROR(__xludf.DUMMYFUNCTION("""COMPUTED_VALUE"""),1)</f>
        <v>1</v>
      </c>
      <c r="I279" s="1" t="str">
        <f ca="1">IFERROR(__xludf.DUMMYFUNCTION("""COMPUTED_VALUE"""),"Fort Wayne")</f>
        <v>Fort Wayne</v>
      </c>
      <c r="J279" s="1" t="str">
        <f ca="1">IFERROR(__xludf.DUMMYFUNCTION("""COMPUTED_VALUE"""),"2019 NBA Draft, Undrafted")</f>
        <v>2019 NBA Draft, Undrafted</v>
      </c>
      <c r="K279" s="1" t="str">
        <f ca="1">IFERROR(__xludf.DUMMYFUNCTION("""COMPUTED_VALUE"""),"United States")</f>
        <v>United States</v>
      </c>
    </row>
    <row r="280" spans="1:11" ht="13" x14ac:dyDescent="0.15">
      <c r="A280" s="1" t="str">
        <f ca="1">IFERROR(__xludf.DUMMYFUNCTION("""COMPUTED_VALUE"""),"Furkan Korkmaz")</f>
        <v>Furkan Korkmaz</v>
      </c>
      <c r="B280" s="1" t="str">
        <f ca="1">IFERROR(__xludf.DUMMYFUNCTION("""COMPUTED_VALUE"""),"SG")</f>
        <v>SG</v>
      </c>
      <c r="C280" s="2">
        <f ca="1">IFERROR(__xludf.DUMMYFUNCTION("""COMPUTED_VALUE"""),44719)</f>
        <v>44719</v>
      </c>
      <c r="D280" s="1">
        <f ca="1">IFERROR(__xludf.DUMMYFUNCTION("""COMPUTED_VALUE"""),210)</f>
        <v>210</v>
      </c>
      <c r="E280" s="1">
        <f ca="1">IFERROR(__xludf.DUMMYFUNCTION("""COMPUTED_VALUE"""),23)</f>
        <v>23</v>
      </c>
      <c r="F280" s="1" t="str">
        <f ca="1">IFERROR(__xludf.DUMMYFUNCTION("""COMPUTED_VALUE"""),"PHI")</f>
        <v>PHI</v>
      </c>
      <c r="G280" s="1">
        <f ca="1">IFERROR(__xludf.DUMMYFUNCTION("""COMPUTED_VALUE"""),55)</f>
        <v>55</v>
      </c>
      <c r="H280" s="1">
        <f ca="1">IFERROR(__xludf.DUMMYFUNCTION("""COMPUTED_VALUE"""),3)</f>
        <v>3</v>
      </c>
      <c r="I280" s="1" t="str">
        <f ca="1">IFERROR(__xludf.DUMMYFUNCTION("""COMPUTED_VALUE"""),"Anadolu Efes (Turkey)")</f>
        <v>Anadolu Efes (Turkey)</v>
      </c>
      <c r="J280" s="1" t="str">
        <f ca="1">IFERROR(__xludf.DUMMYFUNCTION("""COMPUTED_VALUE"""),"2016 Rnd 1 Pick 26")</f>
        <v>2016 Rnd 1 Pick 26</v>
      </c>
      <c r="K280" s="1" t="str">
        <f ca="1">IFERROR(__xludf.DUMMYFUNCTION("""COMPUTED_VALUE"""),"Turkey")</f>
        <v>Turkey</v>
      </c>
    </row>
    <row r="281" spans="1:11" ht="13" x14ac:dyDescent="0.15">
      <c r="A281" s="1" t="str">
        <f ca="1">IFERROR(__xludf.DUMMYFUNCTION("""COMPUTED_VALUE"""),"Luke Kornet")</f>
        <v>Luke Kornet</v>
      </c>
      <c r="B281" s="1" t="str">
        <f ca="1">IFERROR(__xludf.DUMMYFUNCTION("""COMPUTED_VALUE"""),"F")</f>
        <v>F</v>
      </c>
      <c r="C281" s="2">
        <f ca="1">IFERROR(__xludf.DUMMYFUNCTION("""COMPUTED_VALUE"""),44743)</f>
        <v>44743</v>
      </c>
      <c r="D281" s="1">
        <f ca="1">IFERROR(__xludf.DUMMYFUNCTION("""COMPUTED_VALUE"""),250)</f>
        <v>250</v>
      </c>
      <c r="E281" s="1">
        <f ca="1">IFERROR(__xludf.DUMMYFUNCTION("""COMPUTED_VALUE"""),25)</f>
        <v>25</v>
      </c>
      <c r="F281" s="1" t="str">
        <f ca="1">IFERROR(__xludf.DUMMYFUNCTION("""COMPUTED_VALUE"""),"BOS, CHI")</f>
        <v>BOS, CHI</v>
      </c>
      <c r="G281" s="1">
        <f ca="1">IFERROR(__xludf.DUMMYFUNCTION("""COMPUTED_VALUE"""),31)</f>
        <v>31</v>
      </c>
      <c r="H281" s="1">
        <f ca="1">IFERROR(__xludf.DUMMYFUNCTION("""COMPUTED_VALUE"""),3)</f>
        <v>3</v>
      </c>
      <c r="I281" s="1" t="str">
        <f ca="1">IFERROR(__xludf.DUMMYFUNCTION("""COMPUTED_VALUE"""),"Vanderbilt")</f>
        <v>Vanderbilt</v>
      </c>
      <c r="J281" s="1" t="str">
        <f ca="1">IFERROR(__xludf.DUMMYFUNCTION("""COMPUTED_VALUE"""),"2017 NBA Draft, Undrafted")</f>
        <v>2017 NBA Draft, Undrafted</v>
      </c>
      <c r="K281" s="1" t="str">
        <f ca="1">IFERROR(__xludf.DUMMYFUNCTION("""COMPUTED_VALUE"""),"United States")</f>
        <v>United States</v>
      </c>
    </row>
    <row r="282" spans="1:11" ht="13" x14ac:dyDescent="0.15">
      <c r="A282" s="1" t="str">
        <f ca="1">IFERROR(__xludf.DUMMYFUNCTION("""COMPUTED_VALUE"""),"Rodions Kurucs")</f>
        <v>Rodions Kurucs</v>
      </c>
      <c r="B282" s="1" t="str">
        <f ca="1">IFERROR(__xludf.DUMMYFUNCTION("""COMPUTED_VALUE"""),"SF")</f>
        <v>SF</v>
      </c>
      <c r="C282" s="2">
        <f ca="1">IFERROR(__xludf.DUMMYFUNCTION("""COMPUTED_VALUE"""),44721)</f>
        <v>44721</v>
      </c>
      <c r="D282" s="1">
        <f ca="1">IFERROR(__xludf.DUMMYFUNCTION("""COMPUTED_VALUE"""),230)</f>
        <v>230</v>
      </c>
      <c r="E282" s="1">
        <f ca="1">IFERROR(__xludf.DUMMYFUNCTION("""COMPUTED_VALUE"""),23)</f>
        <v>23</v>
      </c>
      <c r="F282" s="1" t="str">
        <f ca="1">IFERROR(__xludf.DUMMYFUNCTION("""COMPUTED_VALUE"""),"BRK, HOU, MIL")</f>
        <v>BRK, HOU, MIL</v>
      </c>
      <c r="G282" s="1">
        <f ca="1">IFERROR(__xludf.DUMMYFUNCTION("""COMPUTED_VALUE"""),21)</f>
        <v>21</v>
      </c>
      <c r="H282" s="1">
        <f ca="1">IFERROR(__xludf.DUMMYFUNCTION("""COMPUTED_VALUE"""),2)</f>
        <v>2</v>
      </c>
      <c r="I282" s="1" t="str">
        <f ca="1">IFERROR(__xludf.DUMMYFUNCTION("""COMPUTED_VALUE"""),"Barca (Spain)")</f>
        <v>Barca (Spain)</v>
      </c>
      <c r="J282" s="1" t="str">
        <f ca="1">IFERROR(__xludf.DUMMYFUNCTION("""COMPUTED_VALUE"""),"2018 Rnd 2 Pick 10")</f>
        <v>2018 Rnd 2 Pick 10</v>
      </c>
      <c r="K282" s="1" t="str">
        <f ca="1">IFERROR(__xludf.DUMMYFUNCTION("""COMPUTED_VALUE"""),"Latvia")</f>
        <v>Latvia</v>
      </c>
    </row>
    <row r="283" spans="1:11" ht="13" x14ac:dyDescent="0.15">
      <c r="A283" s="1" t="str">
        <f ca="1">IFERROR(__xludf.DUMMYFUNCTION("""COMPUTED_VALUE"""),"Kyle Kuzma")</f>
        <v>Kyle Kuzma</v>
      </c>
      <c r="B283" s="1" t="str">
        <f ca="1">IFERROR(__xludf.DUMMYFUNCTION("""COMPUTED_VALUE"""),"F")</f>
        <v>F</v>
      </c>
      <c r="C283" s="2">
        <f ca="1">IFERROR(__xludf.DUMMYFUNCTION("""COMPUTED_VALUE"""),44722)</f>
        <v>44722</v>
      </c>
      <c r="D283" s="1">
        <f ca="1">IFERROR(__xludf.DUMMYFUNCTION("""COMPUTED_VALUE"""),221)</f>
        <v>221</v>
      </c>
      <c r="E283" s="1">
        <f ca="1">IFERROR(__xludf.DUMMYFUNCTION("""COMPUTED_VALUE"""),25)</f>
        <v>25</v>
      </c>
      <c r="F283" s="1" t="str">
        <f ca="1">IFERROR(__xludf.DUMMYFUNCTION("""COMPUTED_VALUE"""),"LAL")</f>
        <v>LAL</v>
      </c>
      <c r="G283" s="1">
        <f ca="1">IFERROR(__xludf.DUMMYFUNCTION("""COMPUTED_VALUE"""),68)</f>
        <v>68</v>
      </c>
      <c r="H283" s="1">
        <f ca="1">IFERROR(__xludf.DUMMYFUNCTION("""COMPUTED_VALUE"""),3)</f>
        <v>3</v>
      </c>
      <c r="I283" s="1" t="str">
        <f ca="1">IFERROR(__xludf.DUMMYFUNCTION("""COMPUTED_VALUE"""),"Utah")</f>
        <v>Utah</v>
      </c>
      <c r="J283" s="1" t="str">
        <f ca="1">IFERROR(__xludf.DUMMYFUNCTION("""COMPUTED_VALUE"""),"2017 Rnd 1 Pick 27")</f>
        <v>2017 Rnd 1 Pick 27</v>
      </c>
      <c r="K283" s="1" t="str">
        <f ca="1">IFERROR(__xludf.DUMMYFUNCTION("""COMPUTED_VALUE"""),"United States")</f>
        <v>United States</v>
      </c>
    </row>
    <row r="284" spans="1:11" ht="13" x14ac:dyDescent="0.15">
      <c r="A284" s="1" t="str">
        <f ca="1">IFERROR(__xludf.DUMMYFUNCTION("""COMPUTED_VALUE"""),"Zach LaVine")</f>
        <v>Zach LaVine</v>
      </c>
      <c r="B284" s="1" t="str">
        <f ca="1">IFERROR(__xludf.DUMMYFUNCTION("""COMPUTED_VALUE"""),"SG")</f>
        <v>SG</v>
      </c>
      <c r="C284" s="2">
        <f ca="1">IFERROR(__xludf.DUMMYFUNCTION("""COMPUTED_VALUE"""),44717)</f>
        <v>44717</v>
      </c>
      <c r="D284" s="1">
        <f ca="1">IFERROR(__xludf.DUMMYFUNCTION("""COMPUTED_VALUE"""),202)</f>
        <v>202</v>
      </c>
      <c r="E284" s="1">
        <f ca="1">IFERROR(__xludf.DUMMYFUNCTION("""COMPUTED_VALUE"""),25)</f>
        <v>25</v>
      </c>
      <c r="F284" s="1" t="str">
        <f ca="1">IFERROR(__xludf.DUMMYFUNCTION("""COMPUTED_VALUE"""),"CHI")</f>
        <v>CHI</v>
      </c>
      <c r="G284" s="1">
        <f ca="1">IFERROR(__xludf.DUMMYFUNCTION("""COMPUTED_VALUE"""),58)</f>
        <v>58</v>
      </c>
      <c r="H284" s="1">
        <f ca="1">IFERROR(__xludf.DUMMYFUNCTION("""COMPUTED_VALUE"""),6)</f>
        <v>6</v>
      </c>
      <c r="I284" s="1" t="str">
        <f ca="1">IFERROR(__xludf.DUMMYFUNCTION("""COMPUTED_VALUE"""),"UCLA")</f>
        <v>UCLA</v>
      </c>
      <c r="J284" s="1" t="str">
        <f ca="1">IFERROR(__xludf.DUMMYFUNCTION("""COMPUTED_VALUE"""),"2014 Rnd 1 Pick 13")</f>
        <v>2014 Rnd 1 Pick 13</v>
      </c>
      <c r="K284" s="1" t="str">
        <f ca="1">IFERROR(__xludf.DUMMYFUNCTION("""COMPUTED_VALUE"""),"United States")</f>
        <v>United States</v>
      </c>
    </row>
    <row r="285" spans="1:11" ht="13" x14ac:dyDescent="0.15">
      <c r="A285" s="1" t="str">
        <f ca="1">IFERROR(__xludf.DUMMYFUNCTION("""COMPUTED_VALUE"""),"Anthony Lamb")</f>
        <v>Anthony Lamb</v>
      </c>
      <c r="B285" s="1" t="str">
        <f ca="1">IFERROR(__xludf.DUMMYFUNCTION("""COMPUTED_VALUE"""),"PF")</f>
        <v>PF</v>
      </c>
      <c r="C285" s="2">
        <f ca="1">IFERROR(__xludf.DUMMYFUNCTION("""COMPUTED_VALUE"""),44718)</f>
        <v>44718</v>
      </c>
      <c r="D285" s="1">
        <f ca="1">IFERROR(__xludf.DUMMYFUNCTION("""COMPUTED_VALUE"""),225)</f>
        <v>225</v>
      </c>
      <c r="E285" s="1">
        <f ca="1">IFERROR(__xludf.DUMMYFUNCTION("""COMPUTED_VALUE"""),23)</f>
        <v>23</v>
      </c>
      <c r="F285" s="1" t="str">
        <f ca="1">IFERROR(__xludf.DUMMYFUNCTION("""COMPUTED_VALUE"""),"HOU")</f>
        <v>HOU</v>
      </c>
      <c r="G285" s="1">
        <f ca="1">IFERROR(__xludf.DUMMYFUNCTION("""COMPUTED_VALUE"""),24)</f>
        <v>24</v>
      </c>
      <c r="H285" s="1">
        <f ca="1">IFERROR(__xludf.DUMMYFUNCTION("""COMPUTED_VALUE"""),0)</f>
        <v>0</v>
      </c>
      <c r="I285" s="1" t="str">
        <f ca="1">IFERROR(__xludf.DUMMYFUNCTION("""COMPUTED_VALUE"""),"Vermont")</f>
        <v>Vermont</v>
      </c>
      <c r="J285" s="1" t="str">
        <f ca="1">IFERROR(__xludf.DUMMYFUNCTION("""COMPUTED_VALUE"""),"2020 NBA Draft, Undrafted")</f>
        <v>2020 NBA Draft, Undrafted</v>
      </c>
      <c r="K285" s="1" t="str">
        <f ca="1">IFERROR(__xludf.DUMMYFUNCTION("""COMPUTED_VALUE"""),"United States")</f>
        <v>United States</v>
      </c>
    </row>
    <row r="286" spans="1:11" ht="13" x14ac:dyDescent="0.15">
      <c r="A286" s="1" t="str">
        <f ca="1">IFERROR(__xludf.DUMMYFUNCTION("""COMPUTED_VALUE"""),"Jeremy Lamb")</f>
        <v>Jeremy Lamb</v>
      </c>
      <c r="B286" s="1" t="str">
        <f ca="1">IFERROR(__xludf.DUMMYFUNCTION("""COMPUTED_VALUE"""),"SG")</f>
        <v>SG</v>
      </c>
      <c r="C286" s="2">
        <f ca="1">IFERROR(__xludf.DUMMYFUNCTION("""COMPUTED_VALUE"""),44717)</f>
        <v>44717</v>
      </c>
      <c r="D286" s="1">
        <f ca="1">IFERROR(__xludf.DUMMYFUNCTION("""COMPUTED_VALUE"""),185)</f>
        <v>185</v>
      </c>
      <c r="E286" s="1">
        <f ca="1">IFERROR(__xludf.DUMMYFUNCTION("""COMPUTED_VALUE"""),28)</f>
        <v>28</v>
      </c>
      <c r="F286" s="1" t="str">
        <f ca="1">IFERROR(__xludf.DUMMYFUNCTION("""COMPUTED_VALUE"""),"IND")</f>
        <v>IND</v>
      </c>
      <c r="G286" s="1">
        <f ca="1">IFERROR(__xludf.DUMMYFUNCTION("""COMPUTED_VALUE"""),36)</f>
        <v>36</v>
      </c>
      <c r="H286" s="1">
        <f ca="1">IFERROR(__xludf.DUMMYFUNCTION("""COMPUTED_VALUE"""),8)</f>
        <v>8</v>
      </c>
      <c r="I286" s="1" t="str">
        <f ca="1">IFERROR(__xludf.DUMMYFUNCTION("""COMPUTED_VALUE"""),"Connecticut")</f>
        <v>Connecticut</v>
      </c>
      <c r="J286" s="1" t="str">
        <f ca="1">IFERROR(__xludf.DUMMYFUNCTION("""COMPUTED_VALUE"""),"2012 Rnd 1 Pick 12")</f>
        <v>2012 Rnd 1 Pick 12</v>
      </c>
      <c r="K286" s="1" t="str">
        <f ca="1">IFERROR(__xludf.DUMMYFUNCTION("""COMPUTED_VALUE"""),"United States")</f>
        <v>United States</v>
      </c>
    </row>
    <row r="287" spans="1:11" ht="13" x14ac:dyDescent="0.15">
      <c r="A287" s="1" t="str">
        <f ca="1">IFERROR(__xludf.DUMMYFUNCTION("""COMPUTED_VALUE"""),"Romeo Langford")</f>
        <v>Romeo Langford</v>
      </c>
      <c r="B287" s="1" t="str">
        <f ca="1">IFERROR(__xludf.DUMMYFUNCTION("""COMPUTED_VALUE"""),"SG")</f>
        <v>SG</v>
      </c>
      <c r="C287" s="2">
        <f ca="1">IFERROR(__xludf.DUMMYFUNCTION("""COMPUTED_VALUE"""),44716)</f>
        <v>44716</v>
      </c>
      <c r="D287" s="1">
        <f ca="1">IFERROR(__xludf.DUMMYFUNCTION("""COMPUTED_VALUE"""),215)</f>
        <v>215</v>
      </c>
      <c r="E287" s="1">
        <f ca="1">IFERROR(__xludf.DUMMYFUNCTION("""COMPUTED_VALUE"""),21)</f>
        <v>21</v>
      </c>
      <c r="F287" s="1" t="str">
        <f ca="1">IFERROR(__xludf.DUMMYFUNCTION("""COMPUTED_VALUE"""),"BOS")</f>
        <v>BOS</v>
      </c>
      <c r="G287" s="1">
        <f ca="1">IFERROR(__xludf.DUMMYFUNCTION("""COMPUTED_VALUE"""),18)</f>
        <v>18</v>
      </c>
      <c r="H287" s="1">
        <f ca="1">IFERROR(__xludf.DUMMYFUNCTION("""COMPUTED_VALUE"""),1)</f>
        <v>1</v>
      </c>
      <c r="I287" s="1" t="str">
        <f ca="1">IFERROR(__xludf.DUMMYFUNCTION("""COMPUTED_VALUE"""),"Indiana")</f>
        <v>Indiana</v>
      </c>
      <c r="J287" s="1" t="str">
        <f ca="1">IFERROR(__xludf.DUMMYFUNCTION("""COMPUTED_VALUE"""),"2019 Rnd 1 Pick 14")</f>
        <v>2019 Rnd 1 Pick 14</v>
      </c>
      <c r="K287" s="1" t="str">
        <f ca="1">IFERROR(__xludf.DUMMYFUNCTION("""COMPUTED_VALUE"""),"United States")</f>
        <v>United States</v>
      </c>
    </row>
    <row r="288" spans="1:11" ht="13" x14ac:dyDescent="0.15">
      <c r="A288" s="1" t="str">
        <f ca="1">IFERROR(__xludf.DUMMYFUNCTION("""COMPUTED_VALUE"""),"Jake Layman")</f>
        <v>Jake Layman</v>
      </c>
      <c r="B288" s="1" t="str">
        <f ca="1">IFERROR(__xludf.DUMMYFUNCTION("""COMPUTED_VALUE"""),"SF")</f>
        <v>SF</v>
      </c>
      <c r="C288" s="2">
        <f ca="1">IFERROR(__xludf.DUMMYFUNCTION("""COMPUTED_VALUE"""),44720)</f>
        <v>44720</v>
      </c>
      <c r="D288" s="1">
        <f ca="1">IFERROR(__xludf.DUMMYFUNCTION("""COMPUTED_VALUE"""),212)</f>
        <v>212</v>
      </c>
      <c r="E288" s="1">
        <f ca="1">IFERROR(__xludf.DUMMYFUNCTION("""COMPUTED_VALUE"""),26)</f>
        <v>26</v>
      </c>
      <c r="F288" s="1" t="str">
        <f ca="1">IFERROR(__xludf.DUMMYFUNCTION("""COMPUTED_VALUE"""),"MIN")</f>
        <v>MIN</v>
      </c>
      <c r="G288" s="1">
        <f ca="1">IFERROR(__xludf.DUMMYFUNCTION("""COMPUTED_VALUE"""),45)</f>
        <v>45</v>
      </c>
      <c r="H288" s="1">
        <f ca="1">IFERROR(__xludf.DUMMYFUNCTION("""COMPUTED_VALUE"""),4)</f>
        <v>4</v>
      </c>
      <c r="I288" s="1" t="str">
        <f ca="1">IFERROR(__xludf.DUMMYFUNCTION("""COMPUTED_VALUE"""),"Maryland")</f>
        <v>Maryland</v>
      </c>
      <c r="J288" s="1" t="str">
        <f ca="1">IFERROR(__xludf.DUMMYFUNCTION("""COMPUTED_VALUE"""),"2016 Rnd 2 Pick 17")</f>
        <v>2016 Rnd 2 Pick 17</v>
      </c>
      <c r="K288" s="1" t="str">
        <f ca="1">IFERROR(__xludf.DUMMYFUNCTION("""COMPUTED_VALUE"""),"United States")</f>
        <v>United States</v>
      </c>
    </row>
    <row r="289" spans="1:11" ht="13" x14ac:dyDescent="0.15">
      <c r="A289" s="1" t="str">
        <f ca="1">IFERROR(__xludf.DUMMYFUNCTION("""COMPUTED_VALUE"""),"Caris LeVert")</f>
        <v>Caris LeVert</v>
      </c>
      <c r="B289" s="1" t="str">
        <f ca="1">IFERROR(__xludf.DUMMYFUNCTION("""COMPUTED_VALUE"""),"G")</f>
        <v>G</v>
      </c>
      <c r="C289" s="2">
        <f ca="1">IFERROR(__xludf.DUMMYFUNCTION("""COMPUTED_VALUE"""),44718)</f>
        <v>44718</v>
      </c>
      <c r="D289" s="1">
        <f ca="1">IFERROR(__xludf.DUMMYFUNCTION("""COMPUTED_VALUE"""),205)</f>
        <v>205</v>
      </c>
      <c r="E289" s="1">
        <f ca="1">IFERROR(__xludf.DUMMYFUNCTION("""COMPUTED_VALUE"""),26)</f>
        <v>26</v>
      </c>
      <c r="F289" s="1" t="str">
        <f ca="1">IFERROR(__xludf.DUMMYFUNCTION("""COMPUTED_VALUE"""),"BRK, IND")</f>
        <v>BRK, IND</v>
      </c>
      <c r="G289" s="1">
        <f ca="1">IFERROR(__xludf.DUMMYFUNCTION("""COMPUTED_VALUE"""),47)</f>
        <v>47</v>
      </c>
      <c r="H289" s="1">
        <f ca="1">IFERROR(__xludf.DUMMYFUNCTION("""COMPUTED_VALUE"""),4)</f>
        <v>4</v>
      </c>
      <c r="I289" s="1" t="str">
        <f ca="1">IFERROR(__xludf.DUMMYFUNCTION("""COMPUTED_VALUE"""),"Michigan")</f>
        <v>Michigan</v>
      </c>
      <c r="J289" s="1" t="str">
        <f ca="1">IFERROR(__xludf.DUMMYFUNCTION("""COMPUTED_VALUE"""),"2016 Rnd 1 Pick 20")</f>
        <v>2016 Rnd 1 Pick 20</v>
      </c>
      <c r="K289" s="1" t="str">
        <f ca="1">IFERROR(__xludf.DUMMYFUNCTION("""COMPUTED_VALUE"""),"United States")</f>
        <v>United States</v>
      </c>
    </row>
    <row r="290" spans="1:11" ht="13" x14ac:dyDescent="0.15">
      <c r="A290" s="1" t="str">
        <f ca="1">IFERROR(__xludf.DUMMYFUNCTION("""COMPUTED_VALUE"""),"TJ Leaf")</f>
        <v>TJ Leaf</v>
      </c>
      <c r="B290" s="1" t="str">
        <f ca="1">IFERROR(__xludf.DUMMYFUNCTION("""COMPUTED_VALUE"""),"PF")</f>
        <v>PF</v>
      </c>
      <c r="C290" s="2">
        <f ca="1">IFERROR(__xludf.DUMMYFUNCTION("""COMPUTED_VALUE"""),44722)</f>
        <v>44722</v>
      </c>
      <c r="D290" s="1">
        <f ca="1">IFERROR(__xludf.DUMMYFUNCTION("""COMPUTED_VALUE"""),225)</f>
        <v>225</v>
      </c>
      <c r="E290" s="1">
        <f ca="1">IFERROR(__xludf.DUMMYFUNCTION("""COMPUTED_VALUE"""),23)</f>
        <v>23</v>
      </c>
      <c r="F290" s="1" t="str">
        <f ca="1">IFERROR(__xludf.DUMMYFUNCTION("""COMPUTED_VALUE"""),"POR")</f>
        <v>POR</v>
      </c>
      <c r="G290" s="1">
        <f ca="1">IFERROR(__xludf.DUMMYFUNCTION("""COMPUTED_VALUE"""),7)</f>
        <v>7</v>
      </c>
      <c r="H290" s="1">
        <f ca="1">IFERROR(__xludf.DUMMYFUNCTION("""COMPUTED_VALUE"""),3)</f>
        <v>3</v>
      </c>
      <c r="I290" s="1" t="str">
        <f ca="1">IFERROR(__xludf.DUMMYFUNCTION("""COMPUTED_VALUE"""),"UCLA")</f>
        <v>UCLA</v>
      </c>
      <c r="J290" s="1" t="str">
        <f ca="1">IFERROR(__xludf.DUMMYFUNCTION("""COMPUTED_VALUE"""),"2017 Rnd 1 Pick 18")</f>
        <v>2017 Rnd 1 Pick 18</v>
      </c>
      <c r="K290" s="1" t="str">
        <f ca="1">IFERROR(__xludf.DUMMYFUNCTION("""COMPUTED_VALUE"""),"United States
Israel")</f>
        <v>United States
Israel</v>
      </c>
    </row>
    <row r="291" spans="1:11" ht="13" x14ac:dyDescent="0.15">
      <c r="A291" s="1" t="str">
        <f ca="1">IFERROR(__xludf.DUMMYFUNCTION("""COMPUTED_VALUE"""),"Jalen Lecque")</f>
        <v>Jalen Lecque</v>
      </c>
      <c r="B291" s="1" t="str">
        <f ca="1">IFERROR(__xludf.DUMMYFUNCTION("""COMPUTED_VALUE"""),"SG")</f>
        <v>SG</v>
      </c>
      <c r="C291" s="2">
        <f ca="1">IFERROR(__xludf.DUMMYFUNCTION("""COMPUTED_VALUE"""),44716)</f>
        <v>44716</v>
      </c>
      <c r="D291" s="1">
        <f ca="1">IFERROR(__xludf.DUMMYFUNCTION("""COMPUTED_VALUE"""),185)</f>
        <v>185</v>
      </c>
      <c r="E291" s="1">
        <f ca="1">IFERROR(__xludf.DUMMYFUNCTION("""COMPUTED_VALUE"""),20)</f>
        <v>20</v>
      </c>
      <c r="F291" s="1" t="str">
        <f ca="1">IFERROR(__xludf.DUMMYFUNCTION("""COMPUTED_VALUE"""),"IND")</f>
        <v>IND</v>
      </c>
      <c r="G291" s="1">
        <f ca="1">IFERROR(__xludf.DUMMYFUNCTION("""COMPUTED_VALUE"""),4)</f>
        <v>4</v>
      </c>
      <c r="H291" s="1">
        <f ca="1">IFERROR(__xludf.DUMMYFUNCTION("""COMPUTED_VALUE"""),1)</f>
        <v>1</v>
      </c>
      <c r="I291" s="1"/>
      <c r="J291" s="1" t="str">
        <f ca="1">IFERROR(__xludf.DUMMYFUNCTION("""COMPUTED_VALUE"""),"2019 NBA Draft, Undrafted")</f>
        <v>2019 NBA Draft, Undrafted</v>
      </c>
      <c r="K291" s="1" t="str">
        <f ca="1">IFERROR(__xludf.DUMMYFUNCTION("""COMPUTED_VALUE"""),"United States")</f>
        <v>United States</v>
      </c>
    </row>
    <row r="292" spans="1:11" ht="13" x14ac:dyDescent="0.15">
      <c r="A292" s="1" t="str">
        <f ca="1">IFERROR(__xludf.DUMMYFUNCTION("""COMPUTED_VALUE"""),"Damion Lee")</f>
        <v>Damion Lee</v>
      </c>
      <c r="B292" s="1" t="str">
        <f ca="1">IFERROR(__xludf.DUMMYFUNCTION("""COMPUTED_VALUE"""),"G")</f>
        <v>G</v>
      </c>
      <c r="C292" s="2">
        <f ca="1">IFERROR(__xludf.DUMMYFUNCTION("""COMPUTED_VALUE"""),44717)</f>
        <v>44717</v>
      </c>
      <c r="D292" s="1">
        <f ca="1">IFERROR(__xludf.DUMMYFUNCTION("""COMPUTED_VALUE"""),203)</f>
        <v>203</v>
      </c>
      <c r="E292" s="1">
        <f ca="1">IFERROR(__xludf.DUMMYFUNCTION("""COMPUTED_VALUE"""),28)</f>
        <v>28</v>
      </c>
      <c r="F292" s="1" t="str">
        <f ca="1">IFERROR(__xludf.DUMMYFUNCTION("""COMPUTED_VALUE"""),"GSW")</f>
        <v>GSW</v>
      </c>
      <c r="G292" s="1">
        <f ca="1">IFERROR(__xludf.DUMMYFUNCTION("""COMPUTED_VALUE"""),57)</f>
        <v>57</v>
      </c>
      <c r="H292" s="1">
        <f ca="1">IFERROR(__xludf.DUMMYFUNCTION("""COMPUTED_VALUE"""),3)</f>
        <v>3</v>
      </c>
      <c r="I292" s="1" t="str">
        <f ca="1">IFERROR(__xludf.DUMMYFUNCTION("""COMPUTED_VALUE"""),"Louisville")</f>
        <v>Louisville</v>
      </c>
      <c r="J292" s="1" t="str">
        <f ca="1">IFERROR(__xludf.DUMMYFUNCTION("""COMPUTED_VALUE"""),"2016 NBA Draft, Undrafted")</f>
        <v>2016 NBA Draft, Undrafted</v>
      </c>
      <c r="K292" s="1" t="str">
        <f ca="1">IFERROR(__xludf.DUMMYFUNCTION("""COMPUTED_VALUE"""),"United States")</f>
        <v>United States</v>
      </c>
    </row>
    <row r="293" spans="1:11" ht="13" x14ac:dyDescent="0.15">
      <c r="A293" s="1" t="str">
        <f ca="1">IFERROR(__xludf.DUMMYFUNCTION("""COMPUTED_VALUE"""),"Saben Lee")</f>
        <v>Saben Lee</v>
      </c>
      <c r="B293" s="1" t="str">
        <f ca="1">IFERROR(__xludf.DUMMYFUNCTION("""COMPUTED_VALUE"""),"PG")</f>
        <v>PG</v>
      </c>
      <c r="C293" s="2">
        <f ca="1">IFERROR(__xludf.DUMMYFUNCTION("""COMPUTED_VALUE"""),44714)</f>
        <v>44714</v>
      </c>
      <c r="D293" s="1">
        <f ca="1">IFERROR(__xludf.DUMMYFUNCTION("""COMPUTED_VALUE"""),183)</f>
        <v>183</v>
      </c>
      <c r="E293" s="1">
        <f ca="1">IFERROR(__xludf.DUMMYFUNCTION("""COMPUTED_VALUE"""),21)</f>
        <v>21</v>
      </c>
      <c r="F293" s="1" t="str">
        <f ca="1">IFERROR(__xludf.DUMMYFUNCTION("""COMPUTED_VALUE"""),"DET")</f>
        <v>DET</v>
      </c>
      <c r="G293" s="1">
        <f ca="1">IFERROR(__xludf.DUMMYFUNCTION("""COMPUTED_VALUE"""),48)</f>
        <v>48</v>
      </c>
      <c r="H293" s="1">
        <f ca="1">IFERROR(__xludf.DUMMYFUNCTION("""COMPUTED_VALUE"""),0)</f>
        <v>0</v>
      </c>
      <c r="I293" s="1" t="str">
        <f ca="1">IFERROR(__xludf.DUMMYFUNCTION("""COMPUTED_VALUE"""),"Vanderbilt")</f>
        <v>Vanderbilt</v>
      </c>
      <c r="J293" s="1" t="str">
        <f ca="1">IFERROR(__xludf.DUMMYFUNCTION("""COMPUTED_VALUE"""),"2020 Rnd 2 Pick 8")</f>
        <v>2020 Rnd 2 Pick 8</v>
      </c>
      <c r="K293" s="1" t="str">
        <f ca="1">IFERROR(__xludf.DUMMYFUNCTION("""COMPUTED_VALUE"""),"United States")</f>
        <v>United States</v>
      </c>
    </row>
    <row r="294" spans="1:11" ht="13" x14ac:dyDescent="0.15">
      <c r="A294" s="1" t="str">
        <f ca="1">IFERROR(__xludf.DUMMYFUNCTION("""COMPUTED_VALUE"""),"Alex Len")</f>
        <v>Alex Len</v>
      </c>
      <c r="B294" s="1" t="str">
        <f ca="1">IFERROR(__xludf.DUMMYFUNCTION("""COMPUTED_VALUE"""),"C")</f>
        <v>C</v>
      </c>
      <c r="C294" s="1" t="str">
        <f ca="1">IFERROR(__xludf.DUMMYFUNCTION("""COMPUTED_VALUE"""),"7-0")</f>
        <v>7-0</v>
      </c>
      <c r="D294" s="1">
        <f ca="1">IFERROR(__xludf.DUMMYFUNCTION("""COMPUTED_VALUE"""),250)</f>
        <v>250</v>
      </c>
      <c r="E294" s="1">
        <f ca="1">IFERROR(__xludf.DUMMYFUNCTION("""COMPUTED_VALUE"""),27)</f>
        <v>27</v>
      </c>
      <c r="F294" s="1" t="str">
        <f ca="1">IFERROR(__xludf.DUMMYFUNCTION("""COMPUTED_VALUE"""),"TOR, WAS")</f>
        <v>TOR, WAS</v>
      </c>
      <c r="G294" s="1">
        <f ca="1">IFERROR(__xludf.DUMMYFUNCTION("""COMPUTED_VALUE"""),64)</f>
        <v>64</v>
      </c>
      <c r="H294" s="1">
        <f ca="1">IFERROR(__xludf.DUMMYFUNCTION("""COMPUTED_VALUE"""),7)</f>
        <v>7</v>
      </c>
      <c r="I294" s="1" t="str">
        <f ca="1">IFERROR(__xludf.DUMMYFUNCTION("""COMPUTED_VALUE"""),"Maryland")</f>
        <v>Maryland</v>
      </c>
      <c r="J294" s="1" t="str">
        <f ca="1">IFERROR(__xludf.DUMMYFUNCTION("""COMPUTED_VALUE"""),"2013 Rnd 1 Pick 5")</f>
        <v>2013 Rnd 1 Pick 5</v>
      </c>
      <c r="K294" s="1" t="str">
        <f ca="1">IFERROR(__xludf.DUMMYFUNCTION("""COMPUTED_VALUE"""),"Ukraine")</f>
        <v>Ukraine</v>
      </c>
    </row>
    <row r="295" spans="1:11" ht="13" x14ac:dyDescent="0.15">
      <c r="A295" s="1" t="str">
        <f ca="1">IFERROR(__xludf.DUMMYFUNCTION("""COMPUTED_VALUE"""),"Kawhi Leonard")</f>
        <v>Kawhi Leonard</v>
      </c>
      <c r="B295" s="1" t="str">
        <f ca="1">IFERROR(__xludf.DUMMYFUNCTION("""COMPUTED_VALUE"""),"F")</f>
        <v>F</v>
      </c>
      <c r="C295" s="2">
        <f ca="1">IFERROR(__xludf.DUMMYFUNCTION("""COMPUTED_VALUE"""),44719)</f>
        <v>44719</v>
      </c>
      <c r="D295" s="1">
        <f ca="1">IFERROR(__xludf.DUMMYFUNCTION("""COMPUTED_VALUE"""),225)</f>
        <v>225</v>
      </c>
      <c r="E295" s="1">
        <f ca="1">IFERROR(__xludf.DUMMYFUNCTION("""COMPUTED_VALUE"""),29)</f>
        <v>29</v>
      </c>
      <c r="F295" s="1" t="str">
        <f ca="1">IFERROR(__xludf.DUMMYFUNCTION("""COMPUTED_VALUE"""),"LAC")</f>
        <v>LAC</v>
      </c>
      <c r="G295" s="1">
        <f ca="1">IFERROR(__xludf.DUMMYFUNCTION("""COMPUTED_VALUE"""),52)</f>
        <v>52</v>
      </c>
      <c r="H295" s="1">
        <f ca="1">IFERROR(__xludf.DUMMYFUNCTION("""COMPUTED_VALUE"""),9)</f>
        <v>9</v>
      </c>
      <c r="I295" s="1" t="str">
        <f ca="1">IFERROR(__xludf.DUMMYFUNCTION("""COMPUTED_VALUE"""),"San Diego State")</f>
        <v>San Diego State</v>
      </c>
      <c r="J295" s="1" t="str">
        <f ca="1">IFERROR(__xludf.DUMMYFUNCTION("""COMPUTED_VALUE"""),"2011 Rnd 1 Pick 15")</f>
        <v>2011 Rnd 1 Pick 15</v>
      </c>
      <c r="K295" s="1" t="str">
        <f ca="1">IFERROR(__xludf.DUMMYFUNCTION("""COMPUTED_VALUE"""),"United States")</f>
        <v>United States</v>
      </c>
    </row>
    <row r="296" spans="1:11" ht="13" x14ac:dyDescent="0.15">
      <c r="A296" s="1" t="str">
        <f ca="1">IFERROR(__xludf.DUMMYFUNCTION("""COMPUTED_VALUE"""),"Meyers Leonard")</f>
        <v>Meyers Leonard</v>
      </c>
      <c r="B296" s="1" t="str">
        <f ca="1">IFERROR(__xludf.DUMMYFUNCTION("""COMPUTED_VALUE"""),"C")</f>
        <v>C</v>
      </c>
      <c r="C296" s="2">
        <f ca="1">IFERROR(__xludf.DUMMYFUNCTION("""COMPUTED_VALUE"""),44743)</f>
        <v>44743</v>
      </c>
      <c r="D296" s="1">
        <f ca="1">IFERROR(__xludf.DUMMYFUNCTION("""COMPUTED_VALUE"""),255)</f>
        <v>255</v>
      </c>
      <c r="E296" s="1">
        <f ca="1">IFERROR(__xludf.DUMMYFUNCTION("""COMPUTED_VALUE"""),29)</f>
        <v>29</v>
      </c>
      <c r="F296" s="1" t="str">
        <f ca="1">IFERROR(__xludf.DUMMYFUNCTION("""COMPUTED_VALUE"""),"MIA")</f>
        <v>MIA</v>
      </c>
      <c r="G296" s="1">
        <f ca="1">IFERROR(__xludf.DUMMYFUNCTION("""COMPUTED_VALUE"""),3)</f>
        <v>3</v>
      </c>
      <c r="H296" s="1">
        <f ca="1">IFERROR(__xludf.DUMMYFUNCTION("""COMPUTED_VALUE"""),8)</f>
        <v>8</v>
      </c>
      <c r="I296" s="1" t="str">
        <f ca="1">IFERROR(__xludf.DUMMYFUNCTION("""COMPUTED_VALUE"""),"Illinois")</f>
        <v>Illinois</v>
      </c>
      <c r="J296" s="1" t="str">
        <f ca="1">IFERROR(__xludf.DUMMYFUNCTION("""COMPUTED_VALUE"""),"2012 Rnd 1 Pick 11")</f>
        <v>2012 Rnd 1 Pick 11</v>
      </c>
      <c r="K296" s="1" t="str">
        <f ca="1">IFERROR(__xludf.DUMMYFUNCTION("""COMPUTED_VALUE"""),"United States")</f>
        <v>United States</v>
      </c>
    </row>
    <row r="297" spans="1:11" ht="13" x14ac:dyDescent="0.15">
      <c r="A297" s="1" t="str">
        <f ca="1">IFERROR(__xludf.DUMMYFUNCTION("""COMPUTED_VALUE"""),"Kira Lewis Jr.")</f>
        <v>Kira Lewis Jr.</v>
      </c>
      <c r="B297" s="1" t="str">
        <f ca="1">IFERROR(__xludf.DUMMYFUNCTION("""COMPUTED_VALUE"""),"PG")</f>
        <v>PG</v>
      </c>
      <c r="C297" s="2">
        <f ca="1">IFERROR(__xludf.DUMMYFUNCTION("""COMPUTED_VALUE"""),44713)</f>
        <v>44713</v>
      </c>
      <c r="D297" s="1">
        <f ca="1">IFERROR(__xludf.DUMMYFUNCTION("""COMPUTED_VALUE"""),170)</f>
        <v>170</v>
      </c>
      <c r="E297" s="1">
        <f ca="1">IFERROR(__xludf.DUMMYFUNCTION("""COMPUTED_VALUE"""),19)</f>
        <v>19</v>
      </c>
      <c r="F297" s="1" t="str">
        <f ca="1">IFERROR(__xludf.DUMMYFUNCTION("""COMPUTED_VALUE"""),"NOP")</f>
        <v>NOP</v>
      </c>
      <c r="G297" s="1">
        <f ca="1">IFERROR(__xludf.DUMMYFUNCTION("""COMPUTED_VALUE"""),54)</f>
        <v>54</v>
      </c>
      <c r="H297" s="1">
        <f ca="1">IFERROR(__xludf.DUMMYFUNCTION("""COMPUTED_VALUE"""),0)</f>
        <v>0</v>
      </c>
      <c r="I297" s="1" t="str">
        <f ca="1">IFERROR(__xludf.DUMMYFUNCTION("""COMPUTED_VALUE"""),"Alabama")</f>
        <v>Alabama</v>
      </c>
      <c r="J297" s="1" t="str">
        <f ca="1">IFERROR(__xludf.DUMMYFUNCTION("""COMPUTED_VALUE"""),"2020 Rnd 1 Pick 13")</f>
        <v>2020 Rnd 1 Pick 13</v>
      </c>
      <c r="K297" s="1" t="str">
        <f ca="1">IFERROR(__xludf.DUMMYFUNCTION("""COMPUTED_VALUE"""),"United States")</f>
        <v>United States</v>
      </c>
    </row>
    <row r="298" spans="1:11" ht="13" x14ac:dyDescent="0.15">
      <c r="A298" s="1" t="str">
        <f ca="1">IFERROR(__xludf.DUMMYFUNCTION("""COMPUTED_VALUE"""),"Damian Lillard")</f>
        <v>Damian Lillard</v>
      </c>
      <c r="B298" s="1" t="str">
        <f ca="1">IFERROR(__xludf.DUMMYFUNCTION("""COMPUTED_VALUE"""),"G")</f>
        <v>G</v>
      </c>
      <c r="C298" s="2">
        <f ca="1">IFERROR(__xludf.DUMMYFUNCTION("""COMPUTED_VALUE"""),44714)</f>
        <v>44714</v>
      </c>
      <c r="D298" s="1">
        <f ca="1">IFERROR(__xludf.DUMMYFUNCTION("""COMPUTED_VALUE"""),195)</f>
        <v>195</v>
      </c>
      <c r="E298" s="1">
        <f ca="1">IFERROR(__xludf.DUMMYFUNCTION("""COMPUTED_VALUE"""),30)</f>
        <v>30</v>
      </c>
      <c r="F298" s="1" t="str">
        <f ca="1">IFERROR(__xludf.DUMMYFUNCTION("""COMPUTED_VALUE"""),"POR")</f>
        <v>POR</v>
      </c>
      <c r="G298" s="1">
        <f ca="1">IFERROR(__xludf.DUMMYFUNCTION("""COMPUTED_VALUE"""),67)</f>
        <v>67</v>
      </c>
      <c r="H298" s="1">
        <f ca="1">IFERROR(__xludf.DUMMYFUNCTION("""COMPUTED_VALUE"""),8)</f>
        <v>8</v>
      </c>
      <c r="I298" s="1" t="str">
        <f ca="1">IFERROR(__xludf.DUMMYFUNCTION("""COMPUTED_VALUE"""),"Weber State")</f>
        <v>Weber State</v>
      </c>
      <c r="J298" s="1" t="str">
        <f ca="1">IFERROR(__xludf.DUMMYFUNCTION("""COMPUTED_VALUE"""),"2012 Rnd 1 Pick 6")</f>
        <v>2012 Rnd 1 Pick 6</v>
      </c>
      <c r="K298" s="1" t="str">
        <f ca="1">IFERROR(__xludf.DUMMYFUNCTION("""COMPUTED_VALUE"""),"United States")</f>
        <v>United States</v>
      </c>
    </row>
    <row r="299" spans="1:11" ht="13" x14ac:dyDescent="0.15">
      <c r="A299" s="1" t="str">
        <f ca="1">IFERROR(__xludf.DUMMYFUNCTION("""COMPUTED_VALUE"""),"Nassir Little")</f>
        <v>Nassir Little</v>
      </c>
      <c r="B299" s="1" t="str">
        <f ca="1">IFERROR(__xludf.DUMMYFUNCTION("""COMPUTED_VALUE"""),"SF")</f>
        <v>SF</v>
      </c>
      <c r="C299" s="2">
        <f ca="1">IFERROR(__xludf.DUMMYFUNCTION("""COMPUTED_VALUE"""),44717)</f>
        <v>44717</v>
      </c>
      <c r="D299" s="1">
        <f ca="1">IFERROR(__xludf.DUMMYFUNCTION("""COMPUTED_VALUE"""),220)</f>
        <v>220</v>
      </c>
      <c r="E299" s="1">
        <f ca="1">IFERROR(__xludf.DUMMYFUNCTION("""COMPUTED_VALUE"""),21)</f>
        <v>21</v>
      </c>
      <c r="F299" s="1" t="str">
        <f ca="1">IFERROR(__xludf.DUMMYFUNCTION("""COMPUTED_VALUE"""),"POR")</f>
        <v>POR</v>
      </c>
      <c r="G299" s="1">
        <f ca="1">IFERROR(__xludf.DUMMYFUNCTION("""COMPUTED_VALUE"""),48)</f>
        <v>48</v>
      </c>
      <c r="H299" s="1">
        <f ca="1">IFERROR(__xludf.DUMMYFUNCTION("""COMPUTED_VALUE"""),1)</f>
        <v>1</v>
      </c>
      <c r="I299" s="1" t="str">
        <f ca="1">IFERROR(__xludf.DUMMYFUNCTION("""COMPUTED_VALUE"""),"North Carolina")</f>
        <v>North Carolina</v>
      </c>
      <c r="J299" s="1" t="str">
        <f ca="1">IFERROR(__xludf.DUMMYFUNCTION("""COMPUTED_VALUE"""),"2019 Rnd 1 Pick 25")</f>
        <v>2019 Rnd 1 Pick 25</v>
      </c>
      <c r="K299" s="1" t="str">
        <f ca="1">IFERROR(__xludf.DUMMYFUNCTION("""COMPUTED_VALUE"""),"United States")</f>
        <v>United States</v>
      </c>
    </row>
    <row r="300" spans="1:11" ht="13" x14ac:dyDescent="0.15">
      <c r="A300" s="1" t="str">
        <f ca="1">IFERROR(__xludf.DUMMYFUNCTION("""COMPUTED_VALUE"""),"Kevon Looney")</f>
        <v>Kevon Looney</v>
      </c>
      <c r="B300" s="1" t="str">
        <f ca="1">IFERROR(__xludf.DUMMYFUNCTION("""COMPUTED_VALUE"""),"PF")</f>
        <v>PF</v>
      </c>
      <c r="C300" s="2">
        <f ca="1">IFERROR(__xludf.DUMMYFUNCTION("""COMPUTED_VALUE"""),44721)</f>
        <v>44721</v>
      </c>
      <c r="D300" s="1">
        <f ca="1">IFERROR(__xludf.DUMMYFUNCTION("""COMPUTED_VALUE"""),250)</f>
        <v>250</v>
      </c>
      <c r="E300" s="1">
        <f ca="1">IFERROR(__xludf.DUMMYFUNCTION("""COMPUTED_VALUE"""),25)</f>
        <v>25</v>
      </c>
      <c r="F300" s="1" t="str">
        <f ca="1">IFERROR(__xludf.DUMMYFUNCTION("""COMPUTED_VALUE"""),"GSW")</f>
        <v>GSW</v>
      </c>
      <c r="G300" s="1">
        <f ca="1">IFERROR(__xludf.DUMMYFUNCTION("""COMPUTED_VALUE"""),61)</f>
        <v>61</v>
      </c>
      <c r="H300" s="1">
        <f ca="1">IFERROR(__xludf.DUMMYFUNCTION("""COMPUTED_VALUE"""),5)</f>
        <v>5</v>
      </c>
      <c r="I300" s="1" t="str">
        <f ca="1">IFERROR(__xludf.DUMMYFUNCTION("""COMPUTED_VALUE"""),"UCLA")</f>
        <v>UCLA</v>
      </c>
      <c r="J300" s="1" t="str">
        <f ca="1">IFERROR(__xludf.DUMMYFUNCTION("""COMPUTED_VALUE"""),"2015 Rnd 1 Pick 30")</f>
        <v>2015 Rnd 1 Pick 30</v>
      </c>
      <c r="K300" s="1" t="str">
        <f ca="1">IFERROR(__xludf.DUMMYFUNCTION("""COMPUTED_VALUE"""),"United States")</f>
        <v>United States</v>
      </c>
    </row>
    <row r="301" spans="1:11" ht="13" x14ac:dyDescent="0.15">
      <c r="A301" s="1" t="str">
        <f ca="1">IFERROR(__xludf.DUMMYFUNCTION("""COMPUTED_VALUE"""),"Brook Lopez")</f>
        <v>Brook Lopez</v>
      </c>
      <c r="B301" s="1" t="str">
        <f ca="1">IFERROR(__xludf.DUMMYFUNCTION("""COMPUTED_VALUE"""),"C")</f>
        <v>C</v>
      </c>
      <c r="C301" s="1" t="str">
        <f ca="1">IFERROR(__xludf.DUMMYFUNCTION("""COMPUTED_VALUE"""),"7-0")</f>
        <v>7-0</v>
      </c>
      <c r="D301" s="1">
        <f ca="1">IFERROR(__xludf.DUMMYFUNCTION("""COMPUTED_VALUE"""),270)</f>
        <v>270</v>
      </c>
      <c r="E301" s="1">
        <f ca="1">IFERROR(__xludf.DUMMYFUNCTION("""COMPUTED_VALUE"""),32)</f>
        <v>32</v>
      </c>
      <c r="F301" s="1" t="str">
        <f ca="1">IFERROR(__xludf.DUMMYFUNCTION("""COMPUTED_VALUE"""),"MIL")</f>
        <v>MIL</v>
      </c>
      <c r="G301" s="1">
        <f ca="1">IFERROR(__xludf.DUMMYFUNCTION("""COMPUTED_VALUE"""),70)</f>
        <v>70</v>
      </c>
      <c r="H301" s="1">
        <f ca="1">IFERROR(__xludf.DUMMYFUNCTION("""COMPUTED_VALUE"""),12)</f>
        <v>12</v>
      </c>
      <c r="I301" s="1" t="str">
        <f ca="1">IFERROR(__xludf.DUMMYFUNCTION("""COMPUTED_VALUE"""),"Stanford")</f>
        <v>Stanford</v>
      </c>
      <c r="J301" s="1" t="str">
        <f ca="1">IFERROR(__xludf.DUMMYFUNCTION("""COMPUTED_VALUE"""),"2008 Rnd 1 Pick 10")</f>
        <v>2008 Rnd 1 Pick 10</v>
      </c>
      <c r="K301" s="1" t="str">
        <f ca="1">IFERROR(__xludf.DUMMYFUNCTION("""COMPUTED_VALUE"""),"United States")</f>
        <v>United States</v>
      </c>
    </row>
    <row r="302" spans="1:11" ht="13" x14ac:dyDescent="0.15">
      <c r="A302" s="1" t="str">
        <f ca="1">IFERROR(__xludf.DUMMYFUNCTION("""COMPUTED_VALUE"""),"Robin Lopez")</f>
        <v>Robin Lopez</v>
      </c>
      <c r="B302" s="1" t="str">
        <f ca="1">IFERROR(__xludf.DUMMYFUNCTION("""COMPUTED_VALUE"""),"FC")</f>
        <v>FC</v>
      </c>
      <c r="C302" s="1" t="str">
        <f ca="1">IFERROR(__xludf.DUMMYFUNCTION("""COMPUTED_VALUE"""),"7-0")</f>
        <v>7-0</v>
      </c>
      <c r="D302" s="1">
        <f ca="1">IFERROR(__xludf.DUMMYFUNCTION("""COMPUTED_VALUE"""),281)</f>
        <v>281</v>
      </c>
      <c r="E302" s="1">
        <f ca="1">IFERROR(__xludf.DUMMYFUNCTION("""COMPUTED_VALUE"""),32)</f>
        <v>32</v>
      </c>
      <c r="F302" s="1" t="str">
        <f ca="1">IFERROR(__xludf.DUMMYFUNCTION("""COMPUTED_VALUE"""),"WAS")</f>
        <v>WAS</v>
      </c>
      <c r="G302" s="1">
        <f ca="1">IFERROR(__xludf.DUMMYFUNCTION("""COMPUTED_VALUE"""),71)</f>
        <v>71</v>
      </c>
      <c r="H302" s="1">
        <f ca="1">IFERROR(__xludf.DUMMYFUNCTION("""COMPUTED_VALUE"""),12)</f>
        <v>12</v>
      </c>
      <c r="I302" s="1" t="str">
        <f ca="1">IFERROR(__xludf.DUMMYFUNCTION("""COMPUTED_VALUE"""),"Stanford")</f>
        <v>Stanford</v>
      </c>
      <c r="J302" s="1" t="str">
        <f ca="1">IFERROR(__xludf.DUMMYFUNCTION("""COMPUTED_VALUE"""),"2008 Rnd 1 Pick 15")</f>
        <v>2008 Rnd 1 Pick 15</v>
      </c>
      <c r="K302" s="1" t="str">
        <f ca="1">IFERROR(__xludf.DUMMYFUNCTION("""COMPUTED_VALUE"""),"United States")</f>
        <v>United States</v>
      </c>
    </row>
    <row r="303" spans="1:11" ht="13" x14ac:dyDescent="0.15">
      <c r="A303" s="1" t="str">
        <f ca="1">IFERROR(__xludf.DUMMYFUNCTION("""COMPUTED_VALUE"""),"Didi Louzada")</f>
        <v>Didi Louzada</v>
      </c>
      <c r="B303" s="1" t="str">
        <f ca="1">IFERROR(__xludf.DUMMYFUNCTION("""COMPUTED_VALUE"""),"SF")</f>
        <v>SF</v>
      </c>
      <c r="C303" s="2">
        <f ca="1">IFERROR(__xludf.DUMMYFUNCTION("""COMPUTED_VALUE"""),44717)</f>
        <v>44717</v>
      </c>
      <c r="D303" s="1">
        <f ca="1">IFERROR(__xludf.DUMMYFUNCTION("""COMPUTED_VALUE"""),215)</f>
        <v>215</v>
      </c>
      <c r="E303" s="1">
        <f ca="1">IFERROR(__xludf.DUMMYFUNCTION("""COMPUTED_VALUE"""),21)</f>
        <v>21</v>
      </c>
      <c r="F303" s="1" t="str">
        <f ca="1">IFERROR(__xludf.DUMMYFUNCTION("""COMPUTED_VALUE"""),"NOP")</f>
        <v>NOP</v>
      </c>
      <c r="G303" s="1">
        <f ca="1">IFERROR(__xludf.DUMMYFUNCTION("""COMPUTED_VALUE"""),3)</f>
        <v>3</v>
      </c>
      <c r="H303" s="1">
        <f ca="1">IFERROR(__xludf.DUMMYFUNCTION("""COMPUTED_VALUE"""),0)</f>
        <v>0</v>
      </c>
      <c r="I303" s="1" t="str">
        <f ca="1">IFERROR(__xludf.DUMMYFUNCTION("""COMPUTED_VALUE"""),"Franca (Brazil)")</f>
        <v>Franca (Brazil)</v>
      </c>
      <c r="J303" s="1" t="str">
        <f ca="1">IFERROR(__xludf.DUMMYFUNCTION("""COMPUTED_VALUE"""),"2019 Rnd 2 Pick 5")</f>
        <v>2019 Rnd 2 Pick 5</v>
      </c>
      <c r="K303" s="1" t="str">
        <f ca="1">IFERROR(__xludf.DUMMYFUNCTION("""COMPUTED_VALUE"""),"Brazil")</f>
        <v>Brazil</v>
      </c>
    </row>
    <row r="304" spans="1:11" ht="13" x14ac:dyDescent="0.15">
      <c r="A304" s="1" t="str">
        <f ca="1">IFERROR(__xludf.DUMMYFUNCTION("""COMPUTED_VALUE"""),"Kevin Love")</f>
        <v>Kevin Love</v>
      </c>
      <c r="B304" s="1" t="str">
        <f ca="1">IFERROR(__xludf.DUMMYFUNCTION("""COMPUTED_VALUE"""),"FC")</f>
        <v>FC</v>
      </c>
      <c r="C304" s="2">
        <f ca="1">IFERROR(__xludf.DUMMYFUNCTION("""COMPUTED_VALUE"""),44720)</f>
        <v>44720</v>
      </c>
      <c r="D304" s="1">
        <f ca="1">IFERROR(__xludf.DUMMYFUNCTION("""COMPUTED_VALUE"""),247)</f>
        <v>247</v>
      </c>
      <c r="E304" s="1">
        <f ca="1">IFERROR(__xludf.DUMMYFUNCTION("""COMPUTED_VALUE"""),32)</f>
        <v>32</v>
      </c>
      <c r="F304" s="1" t="str">
        <f ca="1">IFERROR(__xludf.DUMMYFUNCTION("""COMPUTED_VALUE"""),"CLE")</f>
        <v>CLE</v>
      </c>
      <c r="G304" s="1">
        <f ca="1">IFERROR(__xludf.DUMMYFUNCTION("""COMPUTED_VALUE"""),25)</f>
        <v>25</v>
      </c>
      <c r="H304" s="1">
        <f ca="1">IFERROR(__xludf.DUMMYFUNCTION("""COMPUTED_VALUE"""),12)</f>
        <v>12</v>
      </c>
      <c r="I304" s="1" t="str">
        <f ca="1">IFERROR(__xludf.DUMMYFUNCTION("""COMPUTED_VALUE"""),"UCLA")</f>
        <v>UCLA</v>
      </c>
      <c r="J304" s="1" t="str">
        <f ca="1">IFERROR(__xludf.DUMMYFUNCTION("""COMPUTED_VALUE"""),"2008 Rnd 1 Pick 5")</f>
        <v>2008 Rnd 1 Pick 5</v>
      </c>
      <c r="K304" s="1" t="str">
        <f ca="1">IFERROR(__xludf.DUMMYFUNCTION("""COMPUTED_VALUE"""),"United States")</f>
        <v>United States</v>
      </c>
    </row>
    <row r="305" spans="1:11" ht="13" x14ac:dyDescent="0.15">
      <c r="A305" s="1" t="str">
        <f ca="1">IFERROR(__xludf.DUMMYFUNCTION("""COMPUTED_VALUE"""),"Kyle Lowry")</f>
        <v>Kyle Lowry</v>
      </c>
      <c r="B305" s="1" t="str">
        <f ca="1">IFERROR(__xludf.DUMMYFUNCTION("""COMPUTED_VALUE"""),"PG")</f>
        <v>PG</v>
      </c>
      <c r="C305" s="2">
        <f ca="1">IFERROR(__xludf.DUMMYFUNCTION("""COMPUTED_VALUE"""),44713)</f>
        <v>44713</v>
      </c>
      <c r="D305" s="1">
        <f ca="1">IFERROR(__xludf.DUMMYFUNCTION("""COMPUTED_VALUE"""),196)</f>
        <v>196</v>
      </c>
      <c r="E305" s="1">
        <f ca="1">IFERROR(__xludf.DUMMYFUNCTION("""COMPUTED_VALUE"""),34)</f>
        <v>34</v>
      </c>
      <c r="F305" s="1" t="str">
        <f ca="1">IFERROR(__xludf.DUMMYFUNCTION("""COMPUTED_VALUE"""),"TOR")</f>
        <v>TOR</v>
      </c>
      <c r="G305" s="1">
        <f ca="1">IFERROR(__xludf.DUMMYFUNCTION("""COMPUTED_VALUE"""),46)</f>
        <v>46</v>
      </c>
      <c r="H305" s="1">
        <f ca="1">IFERROR(__xludf.DUMMYFUNCTION("""COMPUTED_VALUE"""),14)</f>
        <v>14</v>
      </c>
      <c r="I305" s="1" t="str">
        <f ca="1">IFERROR(__xludf.DUMMYFUNCTION("""COMPUTED_VALUE"""),"Villanova")</f>
        <v>Villanova</v>
      </c>
      <c r="J305" s="1" t="str">
        <f ca="1">IFERROR(__xludf.DUMMYFUNCTION("""COMPUTED_VALUE"""),"2006 Rnd 1 Pick 24")</f>
        <v>2006 Rnd 1 Pick 24</v>
      </c>
      <c r="K305" s="1" t="str">
        <f ca="1">IFERROR(__xludf.DUMMYFUNCTION("""COMPUTED_VALUE"""),"United States")</f>
        <v>United States</v>
      </c>
    </row>
    <row r="306" spans="1:11" ht="13" x14ac:dyDescent="0.15">
      <c r="A306" s="1" t="str">
        <f ca="1">IFERROR(__xludf.DUMMYFUNCTION("""COMPUTED_VALUE"""),"Timothe Luwawu-Cabarrot")</f>
        <v>Timothe Luwawu-Cabarrot</v>
      </c>
      <c r="B306" s="1" t="str">
        <f ca="1">IFERROR(__xludf.DUMMYFUNCTION("""COMPUTED_VALUE"""),"F")</f>
        <v>F</v>
      </c>
      <c r="C306" s="2">
        <f ca="1">IFERROR(__xludf.DUMMYFUNCTION("""COMPUTED_VALUE"""),44719)</f>
        <v>44719</v>
      </c>
      <c r="D306" s="1">
        <f ca="1">IFERROR(__xludf.DUMMYFUNCTION("""COMPUTED_VALUE"""),210)</f>
        <v>210</v>
      </c>
      <c r="E306" s="1">
        <f ca="1">IFERROR(__xludf.DUMMYFUNCTION("""COMPUTED_VALUE"""),25)</f>
        <v>25</v>
      </c>
      <c r="F306" s="1" t="str">
        <f ca="1">IFERROR(__xludf.DUMMYFUNCTION("""COMPUTED_VALUE"""),"BRK")</f>
        <v>BRK</v>
      </c>
      <c r="G306" s="1">
        <f ca="1">IFERROR(__xludf.DUMMYFUNCTION("""COMPUTED_VALUE"""),58)</f>
        <v>58</v>
      </c>
      <c r="H306" s="1">
        <f ca="1">IFERROR(__xludf.DUMMYFUNCTION("""COMPUTED_VALUE"""),4)</f>
        <v>4</v>
      </c>
      <c r="I306" s="1" t="str">
        <f ca="1">IFERROR(__xludf.DUMMYFUNCTION("""COMPUTED_VALUE"""),"KK Mega Bemax (Serbia)")</f>
        <v>KK Mega Bemax (Serbia)</v>
      </c>
      <c r="J306" s="1" t="str">
        <f ca="1">IFERROR(__xludf.DUMMYFUNCTION("""COMPUTED_VALUE"""),"2016 Rnd 1 Pick 24")</f>
        <v>2016 Rnd 1 Pick 24</v>
      </c>
      <c r="K306" s="1" t="str">
        <f ca="1">IFERROR(__xludf.DUMMYFUNCTION("""COMPUTED_VALUE"""),"France")</f>
        <v>France</v>
      </c>
    </row>
    <row r="307" spans="1:11" ht="13" x14ac:dyDescent="0.15">
      <c r="A307" s="1" t="str">
        <f ca="1">IFERROR(__xludf.DUMMYFUNCTION("""COMPUTED_VALUE"""),"Trey Lyles")</f>
        <v>Trey Lyles</v>
      </c>
      <c r="B307" s="1" t="str">
        <f ca="1">IFERROR(__xludf.DUMMYFUNCTION("""COMPUTED_VALUE"""),"SF")</f>
        <v>SF</v>
      </c>
      <c r="C307" s="2">
        <f ca="1">IFERROR(__xludf.DUMMYFUNCTION("""COMPUTED_VALUE"""),44721)</f>
        <v>44721</v>
      </c>
      <c r="D307" s="1">
        <f ca="1">IFERROR(__xludf.DUMMYFUNCTION("""COMPUTED_VALUE"""),234)</f>
        <v>234</v>
      </c>
      <c r="E307" s="1">
        <f ca="1">IFERROR(__xludf.DUMMYFUNCTION("""COMPUTED_VALUE"""),25)</f>
        <v>25</v>
      </c>
      <c r="F307" s="1" t="str">
        <f ca="1">IFERROR(__xludf.DUMMYFUNCTION("""COMPUTED_VALUE"""),"SAS")</f>
        <v>SAS</v>
      </c>
      <c r="G307" s="1">
        <f ca="1">IFERROR(__xludf.DUMMYFUNCTION("""COMPUTED_VALUE"""),23)</f>
        <v>23</v>
      </c>
      <c r="H307" s="1">
        <f ca="1">IFERROR(__xludf.DUMMYFUNCTION("""COMPUTED_VALUE"""),5)</f>
        <v>5</v>
      </c>
      <c r="I307" s="1" t="str">
        <f ca="1">IFERROR(__xludf.DUMMYFUNCTION("""COMPUTED_VALUE"""),"Kentucky")</f>
        <v>Kentucky</v>
      </c>
      <c r="J307" s="1" t="str">
        <f ca="1">IFERROR(__xludf.DUMMYFUNCTION("""COMPUTED_VALUE"""),"2015 Rnd 1 Pick 12")</f>
        <v>2015 Rnd 1 Pick 12</v>
      </c>
      <c r="K307" s="1" t="str">
        <f ca="1">IFERROR(__xludf.DUMMYFUNCTION("""COMPUTED_VALUE"""),"Canada
United States")</f>
        <v>Canada
United States</v>
      </c>
    </row>
    <row r="308" spans="1:11" ht="13" x14ac:dyDescent="0.15">
      <c r="A308" s="1" t="str">
        <f ca="1">IFERROR(__xludf.DUMMYFUNCTION("""COMPUTED_VALUE"""),"Will Magnay")</f>
        <v>Will Magnay</v>
      </c>
      <c r="B308" s="1" t="str">
        <f ca="1">IFERROR(__xludf.DUMMYFUNCTION("""COMPUTED_VALUE"""),"C")</f>
        <v>C</v>
      </c>
      <c r="C308" s="2">
        <f ca="1">IFERROR(__xludf.DUMMYFUNCTION("""COMPUTED_VALUE"""),44722)</f>
        <v>44722</v>
      </c>
      <c r="D308" s="1">
        <f ca="1">IFERROR(__xludf.DUMMYFUNCTION("""COMPUTED_VALUE"""),234)</f>
        <v>234</v>
      </c>
      <c r="E308" s="1">
        <f ca="1">IFERROR(__xludf.DUMMYFUNCTION("""COMPUTED_VALUE"""),22)</f>
        <v>22</v>
      </c>
      <c r="F308" s="1" t="str">
        <f ca="1">IFERROR(__xludf.DUMMYFUNCTION("""COMPUTED_VALUE"""),"NOP")</f>
        <v>NOP</v>
      </c>
      <c r="G308" s="1">
        <f ca="1">IFERROR(__xludf.DUMMYFUNCTION("""COMPUTED_VALUE"""),1)</f>
        <v>1</v>
      </c>
      <c r="H308" s="1">
        <f ca="1">IFERROR(__xludf.DUMMYFUNCTION("""COMPUTED_VALUE"""),0)</f>
        <v>0</v>
      </c>
      <c r="I308" s="1" t="str">
        <f ca="1">IFERROR(__xludf.DUMMYFUNCTION("""COMPUTED_VALUE"""),"Brisbane (Australia)")</f>
        <v>Brisbane (Australia)</v>
      </c>
      <c r="J308" s="1" t="str">
        <f ca="1">IFERROR(__xludf.DUMMYFUNCTION("""COMPUTED_VALUE"""),"2018 NBA Draft, Undrafted")</f>
        <v>2018 NBA Draft, Undrafted</v>
      </c>
      <c r="K308" s="1" t="str">
        <f ca="1">IFERROR(__xludf.DUMMYFUNCTION("""COMPUTED_VALUE"""),"Australia")</f>
        <v>Australia</v>
      </c>
    </row>
    <row r="309" spans="1:11" ht="13" x14ac:dyDescent="0.15">
      <c r="A309" s="1" t="str">
        <f ca="1">IFERROR(__xludf.DUMMYFUNCTION("""COMPUTED_VALUE"""),"Thon Maker")</f>
        <v>Thon Maker</v>
      </c>
      <c r="B309" s="1" t="str">
        <f ca="1">IFERROR(__xludf.DUMMYFUNCTION("""COMPUTED_VALUE"""),"C")</f>
        <v>C</v>
      </c>
      <c r="C309" s="1" t="str">
        <f ca="1">IFERROR(__xludf.DUMMYFUNCTION("""COMPUTED_VALUE"""),"7-0")</f>
        <v>7-0</v>
      </c>
      <c r="D309" s="1">
        <f ca="1">IFERROR(__xludf.DUMMYFUNCTION("""COMPUTED_VALUE"""),221)</f>
        <v>221</v>
      </c>
      <c r="E309" s="1">
        <f ca="1">IFERROR(__xludf.DUMMYFUNCTION("""COMPUTED_VALUE"""),24)</f>
        <v>24</v>
      </c>
      <c r="F309" s="1" t="str">
        <f ca="1">IFERROR(__xludf.DUMMYFUNCTION("""COMPUTED_VALUE"""),"CLE")</f>
        <v>CLE</v>
      </c>
      <c r="G309" s="1">
        <f ca="1">IFERROR(__xludf.DUMMYFUNCTION("""COMPUTED_VALUE"""),8)</f>
        <v>8</v>
      </c>
      <c r="H309" s="1">
        <f ca="1">IFERROR(__xludf.DUMMYFUNCTION("""COMPUTED_VALUE"""),4)</f>
        <v>4</v>
      </c>
      <c r="I309" s="1" t="str">
        <f ca="1">IFERROR(__xludf.DUMMYFUNCTION("""COMPUTED_VALUE"""),"Athlete Institute Prep (Ontario)")</f>
        <v>Athlete Institute Prep (Ontario)</v>
      </c>
      <c r="J309" s="1" t="str">
        <f ca="1">IFERROR(__xludf.DUMMYFUNCTION("""COMPUTED_VALUE"""),"2016 Rnd 1 Pick 10")</f>
        <v>2016 Rnd 1 Pick 10</v>
      </c>
      <c r="K309" s="1" t="str">
        <f ca="1">IFERROR(__xludf.DUMMYFUNCTION("""COMPUTED_VALUE"""),"South Sudan
Australia")</f>
        <v>South Sudan
Australia</v>
      </c>
    </row>
    <row r="310" spans="1:11" ht="13" x14ac:dyDescent="0.15">
      <c r="A310" s="1" t="str">
        <f ca="1">IFERROR(__xludf.DUMMYFUNCTION("""COMPUTED_VALUE"""),"Theo Maledon")</f>
        <v>Theo Maledon</v>
      </c>
      <c r="B310" s="1" t="str">
        <f ca="1">IFERROR(__xludf.DUMMYFUNCTION("""COMPUTED_VALUE"""),"PG")</f>
        <v>PG</v>
      </c>
      <c r="C310" s="2">
        <f ca="1">IFERROR(__xludf.DUMMYFUNCTION("""COMPUTED_VALUE"""),44717)</f>
        <v>44717</v>
      </c>
      <c r="D310" s="1">
        <f ca="1">IFERROR(__xludf.DUMMYFUNCTION("""COMPUTED_VALUE"""),180)</f>
        <v>180</v>
      </c>
      <c r="E310" s="1">
        <f ca="1">IFERROR(__xludf.DUMMYFUNCTION("""COMPUTED_VALUE"""),19)</f>
        <v>19</v>
      </c>
      <c r="F310" s="1" t="str">
        <f ca="1">IFERROR(__xludf.DUMMYFUNCTION("""COMPUTED_VALUE"""),"OKC")</f>
        <v>OKC</v>
      </c>
      <c r="G310" s="1">
        <f ca="1">IFERROR(__xludf.DUMMYFUNCTION("""COMPUTED_VALUE"""),65)</f>
        <v>65</v>
      </c>
      <c r="H310" s="1">
        <f ca="1">IFERROR(__xludf.DUMMYFUNCTION("""COMPUTED_VALUE"""),0)</f>
        <v>0</v>
      </c>
      <c r="I310" s="1" t="str">
        <f ca="1">IFERROR(__xludf.DUMMYFUNCTION("""COMPUTED_VALUE"""),"ASVEL Basket (France)")</f>
        <v>ASVEL Basket (France)</v>
      </c>
      <c r="J310" s="1" t="str">
        <f ca="1">IFERROR(__xludf.DUMMYFUNCTION("""COMPUTED_VALUE"""),"2020 Rnd 2 Pick 4")</f>
        <v>2020 Rnd 2 Pick 4</v>
      </c>
      <c r="K310" s="1" t="str">
        <f ca="1">IFERROR(__xludf.DUMMYFUNCTION("""COMPUTED_VALUE"""),"France")</f>
        <v>France</v>
      </c>
    </row>
    <row r="311" spans="1:11" ht="13" x14ac:dyDescent="0.15">
      <c r="A311" s="1" t="str">
        <f ca="1">IFERROR(__xludf.DUMMYFUNCTION("""COMPUTED_VALUE"""),"Karim Mane")</f>
        <v>Karim Mane</v>
      </c>
      <c r="B311" s="1" t="str">
        <f ca="1">IFERROR(__xludf.DUMMYFUNCTION("""COMPUTED_VALUE"""),"PG")</f>
        <v>PG</v>
      </c>
      <c r="C311" s="2">
        <f ca="1">IFERROR(__xludf.DUMMYFUNCTION("""COMPUTED_VALUE"""),44716)</f>
        <v>44716</v>
      </c>
      <c r="D311" s="1">
        <f ca="1">IFERROR(__xludf.DUMMYFUNCTION("""COMPUTED_VALUE"""),205)</f>
        <v>205</v>
      </c>
      <c r="E311" s="1">
        <f ca="1">IFERROR(__xludf.DUMMYFUNCTION("""COMPUTED_VALUE"""),20)</f>
        <v>20</v>
      </c>
      <c r="F311" s="1" t="str">
        <f ca="1">IFERROR(__xludf.DUMMYFUNCTION("""COMPUTED_VALUE"""),"ORL")</f>
        <v>ORL</v>
      </c>
      <c r="G311" s="1">
        <f ca="1">IFERROR(__xludf.DUMMYFUNCTION("""COMPUTED_VALUE"""),10)</f>
        <v>10</v>
      </c>
      <c r="H311" s="1">
        <f ca="1">IFERROR(__xludf.DUMMYFUNCTION("""COMPUTED_VALUE"""),0)</f>
        <v>0</v>
      </c>
      <c r="I311" s="1" t="str">
        <f ca="1">IFERROR(__xludf.DUMMYFUNCTION("""COMPUTED_VALUE"""),"Vanier College (Quebec)")</f>
        <v>Vanier College (Quebec)</v>
      </c>
      <c r="J311" s="1" t="str">
        <f ca="1">IFERROR(__xludf.DUMMYFUNCTION("""COMPUTED_VALUE"""),"2020 NBA Draft, Undrafted")</f>
        <v>2020 NBA Draft, Undrafted</v>
      </c>
      <c r="K311" s="1" t="str">
        <f ca="1">IFERROR(__xludf.DUMMYFUNCTION("""COMPUTED_VALUE"""),"Canada")</f>
        <v>Canada</v>
      </c>
    </row>
    <row r="312" spans="1:11" ht="13" x14ac:dyDescent="0.15">
      <c r="A312" s="1" t="str">
        <f ca="1">IFERROR(__xludf.DUMMYFUNCTION("""COMPUTED_VALUE"""),"Terance Mann")</f>
        <v>Terance Mann</v>
      </c>
      <c r="B312" s="1" t="str">
        <f ca="1">IFERROR(__xludf.DUMMYFUNCTION("""COMPUTED_VALUE"""),"SG")</f>
        <v>SG</v>
      </c>
      <c r="C312" s="2">
        <f ca="1">IFERROR(__xludf.DUMMYFUNCTION("""COMPUTED_VALUE"""),44717)</f>
        <v>44717</v>
      </c>
      <c r="D312" s="1">
        <f ca="1">IFERROR(__xludf.DUMMYFUNCTION("""COMPUTED_VALUE"""),215)</f>
        <v>215</v>
      </c>
      <c r="E312" s="1">
        <f ca="1">IFERROR(__xludf.DUMMYFUNCTION("""COMPUTED_VALUE"""),24)</f>
        <v>24</v>
      </c>
      <c r="F312" s="1" t="str">
        <f ca="1">IFERROR(__xludf.DUMMYFUNCTION("""COMPUTED_VALUE"""),"LAC")</f>
        <v>LAC</v>
      </c>
      <c r="G312" s="1">
        <f ca="1">IFERROR(__xludf.DUMMYFUNCTION("""COMPUTED_VALUE"""),67)</f>
        <v>67</v>
      </c>
      <c r="H312" s="1">
        <f ca="1">IFERROR(__xludf.DUMMYFUNCTION("""COMPUTED_VALUE"""),1)</f>
        <v>1</v>
      </c>
      <c r="I312" s="1" t="str">
        <f ca="1">IFERROR(__xludf.DUMMYFUNCTION("""COMPUTED_VALUE"""),"Florida State")</f>
        <v>Florida State</v>
      </c>
      <c r="J312" s="1" t="str">
        <f ca="1">IFERROR(__xludf.DUMMYFUNCTION("""COMPUTED_VALUE"""),"2019 Rnd 2 Pick 18")</f>
        <v>2019 Rnd 2 Pick 18</v>
      </c>
      <c r="K312" s="1" t="str">
        <f ca="1">IFERROR(__xludf.DUMMYFUNCTION("""COMPUTED_VALUE"""),"United States")</f>
        <v>United States</v>
      </c>
    </row>
    <row r="313" spans="1:11" ht="13" x14ac:dyDescent="0.15">
      <c r="A313" s="1" t="str">
        <f ca="1">IFERROR(__xludf.DUMMYFUNCTION("""COMPUTED_VALUE"""),"Nico Mannion")</f>
        <v>Nico Mannion</v>
      </c>
      <c r="B313" s="1" t="str">
        <f ca="1">IFERROR(__xludf.DUMMYFUNCTION("""COMPUTED_VALUE"""),"PG")</f>
        <v>PG</v>
      </c>
      <c r="C313" s="2">
        <f ca="1">IFERROR(__xludf.DUMMYFUNCTION("""COMPUTED_VALUE"""),44715)</f>
        <v>44715</v>
      </c>
      <c r="D313" s="1">
        <f ca="1">IFERROR(__xludf.DUMMYFUNCTION("""COMPUTED_VALUE"""),190)</f>
        <v>190</v>
      </c>
      <c r="E313" s="1">
        <f ca="1">IFERROR(__xludf.DUMMYFUNCTION("""COMPUTED_VALUE"""),19)</f>
        <v>19</v>
      </c>
      <c r="F313" s="1" t="str">
        <f ca="1">IFERROR(__xludf.DUMMYFUNCTION("""COMPUTED_VALUE"""),"GSW")</f>
        <v>GSW</v>
      </c>
      <c r="G313" s="1">
        <f ca="1">IFERROR(__xludf.DUMMYFUNCTION("""COMPUTED_VALUE"""),30)</f>
        <v>30</v>
      </c>
      <c r="H313" s="1">
        <f ca="1">IFERROR(__xludf.DUMMYFUNCTION("""COMPUTED_VALUE"""),0)</f>
        <v>0</v>
      </c>
      <c r="I313" s="1" t="str">
        <f ca="1">IFERROR(__xludf.DUMMYFUNCTION("""COMPUTED_VALUE"""),"Arizona")</f>
        <v>Arizona</v>
      </c>
      <c r="J313" s="1" t="str">
        <f ca="1">IFERROR(__xludf.DUMMYFUNCTION("""COMPUTED_VALUE"""),"2020 Rnd 2 Pick 18")</f>
        <v>2020 Rnd 2 Pick 18</v>
      </c>
      <c r="K313" s="1" t="str">
        <f ca="1">IFERROR(__xludf.DUMMYFUNCTION("""COMPUTED_VALUE"""),"Italy
United States")</f>
        <v>Italy
United States</v>
      </c>
    </row>
    <row r="314" spans="1:11" ht="13" x14ac:dyDescent="0.15">
      <c r="A314" s="1" t="str">
        <f ca="1">IFERROR(__xludf.DUMMYFUNCTION("""COMPUTED_VALUE"""),"Boban Marjanovic")</f>
        <v>Boban Marjanovic</v>
      </c>
      <c r="B314" s="1" t="str">
        <f ca="1">IFERROR(__xludf.DUMMYFUNCTION("""COMPUTED_VALUE"""),"C")</f>
        <v>C</v>
      </c>
      <c r="C314" s="2">
        <f ca="1">IFERROR(__xludf.DUMMYFUNCTION("""COMPUTED_VALUE"""),44746)</f>
        <v>44746</v>
      </c>
      <c r="D314" s="1">
        <f ca="1">IFERROR(__xludf.DUMMYFUNCTION("""COMPUTED_VALUE"""),290)</f>
        <v>290</v>
      </c>
      <c r="E314" s="1">
        <f ca="1">IFERROR(__xludf.DUMMYFUNCTION("""COMPUTED_VALUE"""),32)</f>
        <v>32</v>
      </c>
      <c r="F314" s="1" t="str">
        <f ca="1">IFERROR(__xludf.DUMMYFUNCTION("""COMPUTED_VALUE"""),"DAL")</f>
        <v>DAL</v>
      </c>
      <c r="G314" s="1">
        <f ca="1">IFERROR(__xludf.DUMMYFUNCTION("""COMPUTED_VALUE"""),33)</f>
        <v>33</v>
      </c>
      <c r="H314" s="1">
        <f ca="1">IFERROR(__xludf.DUMMYFUNCTION("""COMPUTED_VALUE"""),5)</f>
        <v>5</v>
      </c>
      <c r="I314" s="1" t="str">
        <f ca="1">IFERROR(__xludf.DUMMYFUNCTION("""COMPUTED_VALUE"""),"KK Vrsac Swisslion (Serbia)")</f>
        <v>KK Vrsac Swisslion (Serbia)</v>
      </c>
      <c r="J314" s="1" t="str">
        <f ca="1">IFERROR(__xludf.DUMMYFUNCTION("""COMPUTED_VALUE"""),"2010 NBA Draft, Undrafted")</f>
        <v>2010 NBA Draft, Undrafted</v>
      </c>
      <c r="K314" s="1" t="str">
        <f ca="1">IFERROR(__xludf.DUMMYFUNCTION("""COMPUTED_VALUE"""),"Serbia")</f>
        <v>Serbia</v>
      </c>
    </row>
    <row r="315" spans="1:11" ht="13" x14ac:dyDescent="0.15">
      <c r="A315" s="1" t="str">
        <f ca="1">IFERROR(__xludf.DUMMYFUNCTION("""COMPUTED_VALUE"""),"Lauri Markkanen")</f>
        <v>Lauri Markkanen</v>
      </c>
      <c r="B315" s="1" t="str">
        <f ca="1">IFERROR(__xludf.DUMMYFUNCTION("""COMPUTED_VALUE"""),"SF")</f>
        <v>SF</v>
      </c>
      <c r="C315" s="1" t="str">
        <f ca="1">IFERROR(__xludf.DUMMYFUNCTION("""COMPUTED_VALUE"""),"7-0")</f>
        <v>7-0</v>
      </c>
      <c r="D315" s="1">
        <f ca="1">IFERROR(__xludf.DUMMYFUNCTION("""COMPUTED_VALUE"""),238)</f>
        <v>238</v>
      </c>
      <c r="E315" s="1">
        <f ca="1">IFERROR(__xludf.DUMMYFUNCTION("""COMPUTED_VALUE"""),23)</f>
        <v>23</v>
      </c>
      <c r="F315" s="1" t="str">
        <f ca="1">IFERROR(__xludf.DUMMYFUNCTION("""COMPUTED_VALUE"""),"CHI")</f>
        <v>CHI</v>
      </c>
      <c r="G315" s="1">
        <f ca="1">IFERROR(__xludf.DUMMYFUNCTION("""COMPUTED_VALUE"""),51)</f>
        <v>51</v>
      </c>
      <c r="H315" s="1">
        <f ca="1">IFERROR(__xludf.DUMMYFUNCTION("""COMPUTED_VALUE"""),3)</f>
        <v>3</v>
      </c>
      <c r="I315" s="1" t="str">
        <f ca="1">IFERROR(__xludf.DUMMYFUNCTION("""COMPUTED_VALUE"""),"Arizona")</f>
        <v>Arizona</v>
      </c>
      <c r="J315" s="1" t="str">
        <f ca="1">IFERROR(__xludf.DUMMYFUNCTION("""COMPUTED_VALUE"""),"2017 Rnd 1 Pick 7")</f>
        <v>2017 Rnd 1 Pick 7</v>
      </c>
      <c r="K315" s="1" t="str">
        <f ca="1">IFERROR(__xludf.DUMMYFUNCTION("""COMPUTED_VALUE"""),"Finland")</f>
        <v>Finland</v>
      </c>
    </row>
    <row r="316" spans="1:11" ht="13" x14ac:dyDescent="0.15">
      <c r="A316" s="1" t="str">
        <f ca="1">IFERROR(__xludf.DUMMYFUNCTION("""COMPUTED_VALUE"""),"Naji Marshall")</f>
        <v>Naji Marshall</v>
      </c>
      <c r="B316" s="1" t="str">
        <f ca="1">IFERROR(__xludf.DUMMYFUNCTION("""COMPUTED_VALUE"""),"SF")</f>
        <v>SF</v>
      </c>
      <c r="C316" s="2">
        <f ca="1">IFERROR(__xludf.DUMMYFUNCTION("""COMPUTED_VALUE"""),44719)</f>
        <v>44719</v>
      </c>
      <c r="D316" s="1">
        <f ca="1">IFERROR(__xludf.DUMMYFUNCTION("""COMPUTED_VALUE"""),220)</f>
        <v>220</v>
      </c>
      <c r="E316" s="1">
        <f ca="1">IFERROR(__xludf.DUMMYFUNCTION("""COMPUTED_VALUE"""),23)</f>
        <v>23</v>
      </c>
      <c r="F316" s="1" t="str">
        <f ca="1">IFERROR(__xludf.DUMMYFUNCTION("""COMPUTED_VALUE"""),"NOP")</f>
        <v>NOP</v>
      </c>
      <c r="G316" s="1">
        <f ca="1">IFERROR(__xludf.DUMMYFUNCTION("""COMPUTED_VALUE"""),32)</f>
        <v>32</v>
      </c>
      <c r="H316" s="1">
        <f ca="1">IFERROR(__xludf.DUMMYFUNCTION("""COMPUTED_VALUE"""),0)</f>
        <v>0</v>
      </c>
      <c r="I316" s="1" t="str">
        <f ca="1">IFERROR(__xludf.DUMMYFUNCTION("""COMPUTED_VALUE"""),"Xavier")</f>
        <v>Xavier</v>
      </c>
      <c r="J316" s="1" t="str">
        <f ca="1">IFERROR(__xludf.DUMMYFUNCTION("""COMPUTED_VALUE"""),"2020 NBA Draft, Undrafted")</f>
        <v>2020 NBA Draft, Undrafted</v>
      </c>
      <c r="K316" s="1" t="str">
        <f ca="1">IFERROR(__xludf.DUMMYFUNCTION("""COMPUTED_VALUE"""),"United States")</f>
        <v>United States</v>
      </c>
    </row>
    <row r="317" spans="1:11" ht="13" x14ac:dyDescent="0.15">
      <c r="A317" s="1" t="str">
        <f ca="1">IFERROR(__xludf.DUMMYFUNCTION("""COMPUTED_VALUE"""),"Caleb Martin")</f>
        <v>Caleb Martin</v>
      </c>
      <c r="B317" s="1" t="str">
        <f ca="1">IFERROR(__xludf.DUMMYFUNCTION("""COMPUTED_VALUE"""),"F")</f>
        <v>F</v>
      </c>
      <c r="C317" s="2">
        <f ca="1">IFERROR(__xludf.DUMMYFUNCTION("""COMPUTED_VALUE"""),44719)</f>
        <v>44719</v>
      </c>
      <c r="D317" s="1">
        <f ca="1">IFERROR(__xludf.DUMMYFUNCTION("""COMPUTED_VALUE"""),205)</f>
        <v>205</v>
      </c>
      <c r="E317" s="1">
        <f ca="1">IFERROR(__xludf.DUMMYFUNCTION("""COMPUTED_VALUE"""),25)</f>
        <v>25</v>
      </c>
      <c r="F317" s="1" t="str">
        <f ca="1">IFERROR(__xludf.DUMMYFUNCTION("""COMPUTED_VALUE"""),"CHA")</f>
        <v>CHA</v>
      </c>
      <c r="G317" s="1">
        <f ca="1">IFERROR(__xludf.DUMMYFUNCTION("""COMPUTED_VALUE"""),53)</f>
        <v>53</v>
      </c>
      <c r="H317" s="1">
        <f ca="1">IFERROR(__xludf.DUMMYFUNCTION("""COMPUTED_VALUE"""),1)</f>
        <v>1</v>
      </c>
      <c r="I317" s="1" t="str">
        <f ca="1">IFERROR(__xludf.DUMMYFUNCTION("""COMPUTED_VALUE"""),"Nevada")</f>
        <v>Nevada</v>
      </c>
      <c r="J317" s="1" t="str">
        <f ca="1">IFERROR(__xludf.DUMMYFUNCTION("""COMPUTED_VALUE"""),"2019 NBA Draft, Undrafted")</f>
        <v>2019 NBA Draft, Undrafted</v>
      </c>
      <c r="K317" s="1" t="str">
        <f ca="1">IFERROR(__xludf.DUMMYFUNCTION("""COMPUTED_VALUE"""),"United States")</f>
        <v>United States</v>
      </c>
    </row>
    <row r="318" spans="1:11" ht="13" x14ac:dyDescent="0.15">
      <c r="A318" s="1" t="str">
        <f ca="1">IFERROR(__xludf.DUMMYFUNCTION("""COMPUTED_VALUE"""),"Cody Martin")</f>
        <v>Cody Martin</v>
      </c>
      <c r="B318" s="1" t="str">
        <f ca="1">IFERROR(__xludf.DUMMYFUNCTION("""COMPUTED_VALUE"""),"F")</f>
        <v>F</v>
      </c>
      <c r="C318" s="2">
        <f ca="1">IFERROR(__xludf.DUMMYFUNCTION("""COMPUTED_VALUE"""),44718)</f>
        <v>44718</v>
      </c>
      <c r="D318" s="1">
        <f ca="1">IFERROR(__xludf.DUMMYFUNCTION("""COMPUTED_VALUE"""),200)</f>
        <v>200</v>
      </c>
      <c r="E318" s="1">
        <f ca="1">IFERROR(__xludf.DUMMYFUNCTION("""COMPUTED_VALUE"""),25)</f>
        <v>25</v>
      </c>
      <c r="F318" s="1" t="str">
        <f ca="1">IFERROR(__xludf.DUMMYFUNCTION("""COMPUTED_VALUE"""),"CHA")</f>
        <v>CHA</v>
      </c>
      <c r="G318" s="1">
        <f ca="1">IFERROR(__xludf.DUMMYFUNCTION("""COMPUTED_VALUE"""),52)</f>
        <v>52</v>
      </c>
      <c r="H318" s="1">
        <f ca="1">IFERROR(__xludf.DUMMYFUNCTION("""COMPUTED_VALUE"""),1)</f>
        <v>1</v>
      </c>
      <c r="I318" s="1" t="str">
        <f ca="1">IFERROR(__xludf.DUMMYFUNCTION("""COMPUTED_VALUE"""),"Nevada")</f>
        <v>Nevada</v>
      </c>
      <c r="J318" s="1" t="str">
        <f ca="1">IFERROR(__xludf.DUMMYFUNCTION("""COMPUTED_VALUE"""),"2019 Rnd 2 Pick 6")</f>
        <v>2019 Rnd 2 Pick 6</v>
      </c>
      <c r="K318" s="1" t="str">
        <f ca="1">IFERROR(__xludf.DUMMYFUNCTION("""COMPUTED_VALUE"""),"United States")</f>
        <v>United States</v>
      </c>
    </row>
    <row r="319" spans="1:11" ht="13" x14ac:dyDescent="0.15">
      <c r="A319" s="1" t="str">
        <f ca="1">IFERROR(__xludf.DUMMYFUNCTION("""COMPUTED_VALUE"""),"Jeremiah Martin")</f>
        <v>Jeremiah Martin</v>
      </c>
      <c r="B319" s="1" t="str">
        <f ca="1">IFERROR(__xludf.DUMMYFUNCTION("""COMPUTED_VALUE"""),"PG")</f>
        <v>PG</v>
      </c>
      <c r="C319" s="2">
        <f ca="1">IFERROR(__xludf.DUMMYFUNCTION("""COMPUTED_VALUE"""),44715)</f>
        <v>44715</v>
      </c>
      <c r="D319" s="1">
        <f ca="1">IFERROR(__xludf.DUMMYFUNCTION("""COMPUTED_VALUE"""),185)</f>
        <v>185</v>
      </c>
      <c r="E319" s="1">
        <f ca="1">IFERROR(__xludf.DUMMYFUNCTION("""COMPUTED_VALUE"""),24)</f>
        <v>24</v>
      </c>
      <c r="F319" s="1" t="str">
        <f ca="1">IFERROR(__xludf.DUMMYFUNCTION("""COMPUTED_VALUE"""),"CLE")</f>
        <v>CLE</v>
      </c>
      <c r="G319" s="1">
        <f ca="1">IFERROR(__xludf.DUMMYFUNCTION("""COMPUTED_VALUE"""),9)</f>
        <v>9</v>
      </c>
      <c r="H319" s="1">
        <f ca="1">IFERROR(__xludf.DUMMYFUNCTION("""COMPUTED_VALUE"""),1)</f>
        <v>1</v>
      </c>
      <c r="I319" s="1" t="str">
        <f ca="1">IFERROR(__xludf.DUMMYFUNCTION("""COMPUTED_VALUE"""),"Memphis")</f>
        <v>Memphis</v>
      </c>
      <c r="J319" s="1" t="str">
        <f ca="1">IFERROR(__xludf.DUMMYFUNCTION("""COMPUTED_VALUE"""),"2019 NBA Draft, Undrafted")</f>
        <v>2019 NBA Draft, Undrafted</v>
      </c>
      <c r="K319" s="1" t="str">
        <f ca="1">IFERROR(__xludf.DUMMYFUNCTION("""COMPUTED_VALUE"""),"United States")</f>
        <v>United States</v>
      </c>
    </row>
    <row r="320" spans="1:11" ht="13" x14ac:dyDescent="0.15">
      <c r="A320" s="1" t="str">
        <f ca="1">IFERROR(__xludf.DUMMYFUNCTION("""COMPUTED_VALUE"""),"KJ Martin")</f>
        <v>KJ Martin</v>
      </c>
      <c r="B320" s="1" t="str">
        <f ca="1">IFERROR(__xludf.DUMMYFUNCTION("""COMPUTED_VALUE"""),"F")</f>
        <v>F</v>
      </c>
      <c r="C320" s="2">
        <f ca="1">IFERROR(__xludf.DUMMYFUNCTION("""COMPUTED_VALUE"""),44719)</f>
        <v>44719</v>
      </c>
      <c r="D320" s="1">
        <f ca="1">IFERROR(__xludf.DUMMYFUNCTION("""COMPUTED_VALUE"""),215)</f>
        <v>215</v>
      </c>
      <c r="E320" s="1">
        <f ca="1">IFERROR(__xludf.DUMMYFUNCTION("""COMPUTED_VALUE"""),20)</f>
        <v>20</v>
      </c>
      <c r="F320" s="1" t="str">
        <f ca="1">IFERROR(__xludf.DUMMYFUNCTION("""COMPUTED_VALUE"""),"HOU")</f>
        <v>HOU</v>
      </c>
      <c r="G320" s="1">
        <f ca="1">IFERROR(__xludf.DUMMYFUNCTION("""COMPUTED_VALUE"""),45)</f>
        <v>45</v>
      </c>
      <c r="H320" s="1">
        <f ca="1">IFERROR(__xludf.DUMMYFUNCTION("""COMPUTED_VALUE"""),0)</f>
        <v>0</v>
      </c>
      <c r="I320" s="1" t="str">
        <f ca="1">IFERROR(__xludf.DUMMYFUNCTION("""COMPUTED_VALUE"""),"IMG Academy (Florida)")</f>
        <v>IMG Academy (Florida)</v>
      </c>
      <c r="J320" s="1" t="str">
        <f ca="1">IFERROR(__xludf.DUMMYFUNCTION("""COMPUTED_VALUE"""),"2020 Rnd 2 Pick 22")</f>
        <v>2020 Rnd 2 Pick 22</v>
      </c>
      <c r="K320" s="1" t="str">
        <f ca="1">IFERROR(__xludf.DUMMYFUNCTION("""COMPUTED_VALUE"""),"United States")</f>
        <v>United States</v>
      </c>
    </row>
    <row r="321" spans="1:11" ht="13" x14ac:dyDescent="0.15">
      <c r="A321" s="1" t="str">
        <f ca="1">IFERROR(__xludf.DUMMYFUNCTION("""COMPUTED_VALUE"""),"Kelan Martin")</f>
        <v>Kelan Martin</v>
      </c>
      <c r="B321" s="1" t="str">
        <f ca="1">IFERROR(__xludf.DUMMYFUNCTION("""COMPUTED_VALUE"""),"SF")</f>
        <v>SF</v>
      </c>
      <c r="C321" s="2">
        <f ca="1">IFERROR(__xludf.DUMMYFUNCTION("""COMPUTED_VALUE"""),44717)</f>
        <v>44717</v>
      </c>
      <c r="D321" s="1">
        <f ca="1">IFERROR(__xludf.DUMMYFUNCTION("""COMPUTED_VALUE"""),230)</f>
        <v>230</v>
      </c>
      <c r="E321" s="1">
        <f ca="1">IFERROR(__xludf.DUMMYFUNCTION("""COMPUTED_VALUE"""),25)</f>
        <v>25</v>
      </c>
      <c r="F321" s="1" t="str">
        <f ca="1">IFERROR(__xludf.DUMMYFUNCTION("""COMPUTED_VALUE"""),"IND")</f>
        <v>IND</v>
      </c>
      <c r="G321" s="1">
        <f ca="1">IFERROR(__xludf.DUMMYFUNCTION("""COMPUTED_VALUE"""),35)</f>
        <v>35</v>
      </c>
      <c r="H321" s="1">
        <f ca="1">IFERROR(__xludf.DUMMYFUNCTION("""COMPUTED_VALUE"""),1)</f>
        <v>1</v>
      </c>
      <c r="I321" s="1" t="str">
        <f ca="1">IFERROR(__xludf.DUMMYFUNCTION("""COMPUTED_VALUE"""),"Butler")</f>
        <v>Butler</v>
      </c>
      <c r="J321" s="1" t="str">
        <f ca="1">IFERROR(__xludf.DUMMYFUNCTION("""COMPUTED_VALUE"""),"2018 NBA Draft, Undrafted")</f>
        <v>2018 NBA Draft, Undrafted</v>
      </c>
      <c r="K321" s="1" t="str">
        <f ca="1">IFERROR(__xludf.DUMMYFUNCTION("""COMPUTED_VALUE"""),"United States")</f>
        <v>United States</v>
      </c>
    </row>
    <row r="322" spans="1:11" ht="13" x14ac:dyDescent="0.15">
      <c r="A322" s="1" t="str">
        <f ca="1">IFERROR(__xludf.DUMMYFUNCTION("""COMPUTED_VALUE"""),"Frank Mason")</f>
        <v>Frank Mason</v>
      </c>
      <c r="B322" s="1" t="str">
        <f ca="1">IFERROR(__xludf.DUMMYFUNCTION("""COMPUTED_VALUE"""),"G")</f>
        <v>G</v>
      </c>
      <c r="C322" s="2">
        <f ca="1">IFERROR(__xludf.DUMMYFUNCTION("""COMPUTED_VALUE"""),44692)</f>
        <v>44692</v>
      </c>
      <c r="D322" s="1">
        <f ca="1">IFERROR(__xludf.DUMMYFUNCTION("""COMPUTED_VALUE"""),190)</f>
        <v>190</v>
      </c>
      <c r="E322" s="1">
        <f ca="1">IFERROR(__xludf.DUMMYFUNCTION("""COMPUTED_VALUE"""),26)</f>
        <v>26</v>
      </c>
      <c r="F322" s="1" t="str">
        <f ca="1">IFERROR(__xludf.DUMMYFUNCTION("""COMPUTED_VALUE"""),"ORL")</f>
        <v>ORL</v>
      </c>
      <c r="G322" s="1">
        <f ca="1">IFERROR(__xludf.DUMMYFUNCTION("""COMPUTED_VALUE"""),4)</f>
        <v>4</v>
      </c>
      <c r="H322" s="1">
        <f ca="1">IFERROR(__xludf.DUMMYFUNCTION("""COMPUTED_VALUE"""),3)</f>
        <v>3</v>
      </c>
      <c r="I322" s="1" t="str">
        <f ca="1">IFERROR(__xludf.DUMMYFUNCTION("""COMPUTED_VALUE"""),"Kansas")</f>
        <v>Kansas</v>
      </c>
      <c r="J322" s="1" t="str">
        <f ca="1">IFERROR(__xludf.DUMMYFUNCTION("""COMPUTED_VALUE"""),"2017 Rnd 2 Pick 4")</f>
        <v>2017 Rnd 2 Pick 4</v>
      </c>
      <c r="K322" s="1" t="str">
        <f ca="1">IFERROR(__xludf.DUMMYFUNCTION("""COMPUTED_VALUE"""),"United States")</f>
        <v>United States</v>
      </c>
    </row>
    <row r="323" spans="1:11" ht="13" x14ac:dyDescent="0.15">
      <c r="A323" s="1" t="str">
        <f ca="1">IFERROR(__xludf.DUMMYFUNCTION("""COMPUTED_VALUE"""),"Garrison Mathews")</f>
        <v>Garrison Mathews</v>
      </c>
      <c r="B323" s="1" t="str">
        <f ca="1">IFERROR(__xludf.DUMMYFUNCTION("""COMPUTED_VALUE"""),"SG")</f>
        <v>SG</v>
      </c>
      <c r="C323" s="2">
        <f ca="1">IFERROR(__xludf.DUMMYFUNCTION("""COMPUTED_VALUE"""),44717)</f>
        <v>44717</v>
      </c>
      <c r="D323" s="1">
        <f ca="1">IFERROR(__xludf.DUMMYFUNCTION("""COMPUTED_VALUE"""),215)</f>
        <v>215</v>
      </c>
      <c r="E323" s="1">
        <f ca="1">IFERROR(__xludf.DUMMYFUNCTION("""COMPUTED_VALUE"""),24)</f>
        <v>24</v>
      </c>
      <c r="F323" s="1" t="str">
        <f ca="1">IFERROR(__xludf.DUMMYFUNCTION("""COMPUTED_VALUE"""),"WAS")</f>
        <v>WAS</v>
      </c>
      <c r="G323" s="1">
        <f ca="1">IFERROR(__xludf.DUMMYFUNCTION("""COMPUTED_VALUE"""),64)</f>
        <v>64</v>
      </c>
      <c r="H323" s="1">
        <f ca="1">IFERROR(__xludf.DUMMYFUNCTION("""COMPUTED_VALUE"""),1)</f>
        <v>1</v>
      </c>
      <c r="I323" s="1" t="str">
        <f ca="1">IFERROR(__xludf.DUMMYFUNCTION("""COMPUTED_VALUE"""),"Lipscomb")</f>
        <v>Lipscomb</v>
      </c>
      <c r="J323" s="1" t="str">
        <f ca="1">IFERROR(__xludf.DUMMYFUNCTION("""COMPUTED_VALUE"""),"2019 NBA Draft, Undrafted")</f>
        <v>2019 NBA Draft, Undrafted</v>
      </c>
      <c r="K323" s="1" t="str">
        <f ca="1">IFERROR(__xludf.DUMMYFUNCTION("""COMPUTED_VALUE"""),"United States")</f>
        <v>United States</v>
      </c>
    </row>
    <row r="324" spans="1:11" ht="13" x14ac:dyDescent="0.15">
      <c r="A324" s="1" t="str">
        <f ca="1">IFERROR(__xludf.DUMMYFUNCTION("""COMPUTED_VALUE"""),"Dakota Mathias")</f>
        <v>Dakota Mathias</v>
      </c>
      <c r="B324" s="1" t="str">
        <f ca="1">IFERROR(__xludf.DUMMYFUNCTION("""COMPUTED_VALUE"""),"SG")</f>
        <v>SG</v>
      </c>
      <c r="C324" s="2">
        <f ca="1">IFERROR(__xludf.DUMMYFUNCTION("""COMPUTED_VALUE"""),44716)</f>
        <v>44716</v>
      </c>
      <c r="D324" s="1">
        <f ca="1">IFERROR(__xludf.DUMMYFUNCTION("""COMPUTED_VALUE"""),200)</f>
        <v>200</v>
      </c>
      <c r="E324" s="1">
        <f ca="1">IFERROR(__xludf.DUMMYFUNCTION("""COMPUTED_VALUE"""),25)</f>
        <v>25</v>
      </c>
      <c r="F324" s="1" t="str">
        <f ca="1">IFERROR(__xludf.DUMMYFUNCTION("""COMPUTED_VALUE"""),"PHI")</f>
        <v>PHI</v>
      </c>
      <c r="G324" s="1">
        <f ca="1">IFERROR(__xludf.DUMMYFUNCTION("""COMPUTED_VALUE"""),8)</f>
        <v>8</v>
      </c>
      <c r="H324" s="1">
        <f ca="1">IFERROR(__xludf.DUMMYFUNCTION("""COMPUTED_VALUE"""),0)</f>
        <v>0</v>
      </c>
      <c r="I324" s="1" t="str">
        <f ca="1">IFERROR(__xludf.DUMMYFUNCTION("""COMPUTED_VALUE"""),"Purdue")</f>
        <v>Purdue</v>
      </c>
      <c r="J324" s="1" t="str">
        <f ca="1">IFERROR(__xludf.DUMMYFUNCTION("""COMPUTED_VALUE"""),"2018 NBA Draft, Undrafted")</f>
        <v>2018 NBA Draft, Undrafted</v>
      </c>
      <c r="K324" s="1" t="str">
        <f ca="1">IFERROR(__xludf.DUMMYFUNCTION("""COMPUTED_VALUE"""),"United States")</f>
        <v>United States</v>
      </c>
    </row>
    <row r="325" spans="1:11" ht="13" x14ac:dyDescent="0.15">
      <c r="A325" s="1" t="str">
        <f ca="1">IFERROR(__xludf.DUMMYFUNCTION("""COMPUTED_VALUE"""),"Wesley Matthews")</f>
        <v>Wesley Matthews</v>
      </c>
      <c r="B325" s="1" t="str">
        <f ca="1">IFERROR(__xludf.DUMMYFUNCTION("""COMPUTED_VALUE"""),"G")</f>
        <v>G</v>
      </c>
      <c r="C325" s="2">
        <f ca="1">IFERROR(__xludf.DUMMYFUNCTION("""COMPUTED_VALUE"""),44717)</f>
        <v>44717</v>
      </c>
      <c r="D325" s="1">
        <f ca="1">IFERROR(__xludf.DUMMYFUNCTION("""COMPUTED_VALUE"""),220)</f>
        <v>220</v>
      </c>
      <c r="E325" s="1">
        <f ca="1">IFERROR(__xludf.DUMMYFUNCTION("""COMPUTED_VALUE"""),34)</f>
        <v>34</v>
      </c>
      <c r="F325" s="1" t="str">
        <f ca="1">IFERROR(__xludf.DUMMYFUNCTION("""COMPUTED_VALUE"""),"LAL")</f>
        <v>LAL</v>
      </c>
      <c r="G325" s="1">
        <f ca="1">IFERROR(__xludf.DUMMYFUNCTION("""COMPUTED_VALUE"""),58)</f>
        <v>58</v>
      </c>
      <c r="H325" s="1">
        <f ca="1">IFERROR(__xludf.DUMMYFUNCTION("""COMPUTED_VALUE"""),11)</f>
        <v>11</v>
      </c>
      <c r="I325" s="1" t="str">
        <f ca="1">IFERROR(__xludf.DUMMYFUNCTION("""COMPUTED_VALUE"""),"Marquette")</f>
        <v>Marquette</v>
      </c>
      <c r="J325" s="1" t="str">
        <f ca="1">IFERROR(__xludf.DUMMYFUNCTION("""COMPUTED_VALUE"""),"2009 NBA Draft, Undrafted")</f>
        <v>2009 NBA Draft, Undrafted</v>
      </c>
      <c r="K325" s="1" t="str">
        <f ca="1">IFERROR(__xludf.DUMMYFUNCTION("""COMPUTED_VALUE"""),"United States")</f>
        <v>United States</v>
      </c>
    </row>
    <row r="326" spans="1:11" ht="13" x14ac:dyDescent="0.15">
      <c r="A326" s="1" t="str">
        <f ca="1">IFERROR(__xludf.DUMMYFUNCTION("""COMPUTED_VALUE"""),"Tyrese Maxey")</f>
        <v>Tyrese Maxey</v>
      </c>
      <c r="B326" s="1" t="str">
        <f ca="1">IFERROR(__xludf.DUMMYFUNCTION("""COMPUTED_VALUE"""),"PG")</f>
        <v>PG</v>
      </c>
      <c r="C326" s="2">
        <f ca="1">IFERROR(__xludf.DUMMYFUNCTION("""COMPUTED_VALUE"""),44714)</f>
        <v>44714</v>
      </c>
      <c r="D326" s="1">
        <f ca="1">IFERROR(__xludf.DUMMYFUNCTION("""COMPUTED_VALUE"""),195)</f>
        <v>195</v>
      </c>
      <c r="E326" s="1">
        <f ca="1">IFERROR(__xludf.DUMMYFUNCTION("""COMPUTED_VALUE"""),20)</f>
        <v>20</v>
      </c>
      <c r="F326" s="1" t="str">
        <f ca="1">IFERROR(__xludf.DUMMYFUNCTION("""COMPUTED_VALUE"""),"PHI")</f>
        <v>PHI</v>
      </c>
      <c r="G326" s="1">
        <f ca="1">IFERROR(__xludf.DUMMYFUNCTION("""COMPUTED_VALUE"""),61)</f>
        <v>61</v>
      </c>
      <c r="H326" s="1">
        <f ca="1">IFERROR(__xludf.DUMMYFUNCTION("""COMPUTED_VALUE"""),0)</f>
        <v>0</v>
      </c>
      <c r="I326" s="1" t="str">
        <f ca="1">IFERROR(__xludf.DUMMYFUNCTION("""COMPUTED_VALUE"""),"Kentucky")</f>
        <v>Kentucky</v>
      </c>
      <c r="J326" s="1" t="str">
        <f ca="1">IFERROR(__xludf.DUMMYFUNCTION("""COMPUTED_VALUE"""),"2020 Rnd 1 Pick 21")</f>
        <v>2020 Rnd 1 Pick 21</v>
      </c>
      <c r="K326" s="1" t="str">
        <f ca="1">IFERROR(__xludf.DUMMYFUNCTION("""COMPUTED_VALUE"""),"United States")</f>
        <v>United States</v>
      </c>
    </row>
    <row r="327" spans="1:11" ht="13" x14ac:dyDescent="0.15">
      <c r="A327" s="1" t="str">
        <f ca="1">IFERROR(__xludf.DUMMYFUNCTION("""COMPUTED_VALUE"""),"Skylar Mays")</f>
        <v>Skylar Mays</v>
      </c>
      <c r="B327" s="1" t="str">
        <f ca="1">IFERROR(__xludf.DUMMYFUNCTION("""COMPUTED_VALUE"""),"PG")</f>
        <v>PG</v>
      </c>
      <c r="C327" s="2">
        <f ca="1">IFERROR(__xludf.DUMMYFUNCTION("""COMPUTED_VALUE"""),44716)</f>
        <v>44716</v>
      </c>
      <c r="D327" s="1">
        <f ca="1">IFERROR(__xludf.DUMMYFUNCTION("""COMPUTED_VALUE"""),205)</f>
        <v>205</v>
      </c>
      <c r="E327" s="1">
        <f ca="1">IFERROR(__xludf.DUMMYFUNCTION("""COMPUTED_VALUE"""),23)</f>
        <v>23</v>
      </c>
      <c r="F327" s="1" t="str">
        <f ca="1">IFERROR(__xludf.DUMMYFUNCTION("""COMPUTED_VALUE"""),"ATL")</f>
        <v>ATL</v>
      </c>
      <c r="G327" s="1">
        <f ca="1">IFERROR(__xludf.DUMMYFUNCTION("""COMPUTED_VALUE"""),33)</f>
        <v>33</v>
      </c>
      <c r="H327" s="1">
        <f ca="1">IFERROR(__xludf.DUMMYFUNCTION("""COMPUTED_VALUE"""),0)</f>
        <v>0</v>
      </c>
      <c r="I327" s="1" t="str">
        <f ca="1">IFERROR(__xludf.DUMMYFUNCTION("""COMPUTED_VALUE"""),"LSU")</f>
        <v>LSU</v>
      </c>
      <c r="J327" s="1" t="str">
        <f ca="1">IFERROR(__xludf.DUMMYFUNCTION("""COMPUTED_VALUE"""),"2020 Rnd 2 Pick 20")</f>
        <v>2020 Rnd 2 Pick 20</v>
      </c>
      <c r="K327" s="1" t="str">
        <f ca="1">IFERROR(__xludf.DUMMYFUNCTION("""COMPUTED_VALUE"""),"United States")</f>
        <v>United States</v>
      </c>
    </row>
    <row r="328" spans="1:11" ht="13" x14ac:dyDescent="0.15">
      <c r="A328" s="1" t="str">
        <f ca="1">IFERROR(__xludf.DUMMYFUNCTION("""COMPUTED_VALUE"""),"Patrick McCaw")</f>
        <v>Patrick McCaw</v>
      </c>
      <c r="B328" s="1" t="str">
        <f ca="1">IFERROR(__xludf.DUMMYFUNCTION("""COMPUTED_VALUE"""),"G")</f>
        <v>G</v>
      </c>
      <c r="C328" s="2">
        <f ca="1">IFERROR(__xludf.DUMMYFUNCTION("""COMPUTED_VALUE"""),44719)</f>
        <v>44719</v>
      </c>
      <c r="D328" s="1">
        <f ca="1">IFERROR(__xludf.DUMMYFUNCTION("""COMPUTED_VALUE"""),185)</f>
        <v>185</v>
      </c>
      <c r="E328" s="1">
        <f ca="1">IFERROR(__xludf.DUMMYFUNCTION("""COMPUTED_VALUE"""),25)</f>
        <v>25</v>
      </c>
      <c r="F328" s="1" t="str">
        <f ca="1">IFERROR(__xludf.DUMMYFUNCTION("""COMPUTED_VALUE"""),"TOR")</f>
        <v>TOR</v>
      </c>
      <c r="G328" s="1">
        <f ca="1">IFERROR(__xludf.DUMMYFUNCTION("""COMPUTED_VALUE"""),5)</f>
        <v>5</v>
      </c>
      <c r="H328" s="1">
        <f ca="1">IFERROR(__xludf.DUMMYFUNCTION("""COMPUTED_VALUE"""),4)</f>
        <v>4</v>
      </c>
      <c r="I328" s="1" t="str">
        <f ca="1">IFERROR(__xludf.DUMMYFUNCTION("""COMPUTED_VALUE"""),"UNLV")</f>
        <v>UNLV</v>
      </c>
      <c r="J328" s="1" t="str">
        <f ca="1">IFERROR(__xludf.DUMMYFUNCTION("""COMPUTED_VALUE"""),"2016 Rnd 2 Pick 8")</f>
        <v>2016 Rnd 2 Pick 8</v>
      </c>
      <c r="K328" s="1" t="str">
        <f ca="1">IFERROR(__xludf.DUMMYFUNCTION("""COMPUTED_VALUE"""),"United States")</f>
        <v>United States</v>
      </c>
    </row>
    <row r="329" spans="1:11" ht="13" x14ac:dyDescent="0.15">
      <c r="A329" s="1" t="str">
        <f ca="1">IFERROR(__xludf.DUMMYFUNCTION("""COMPUTED_VALUE"""),"CJ McCollum")</f>
        <v>CJ McCollum</v>
      </c>
      <c r="B329" s="1" t="str">
        <f ca="1">IFERROR(__xludf.DUMMYFUNCTION("""COMPUTED_VALUE"""),"G")</f>
        <v>G</v>
      </c>
      <c r="C329" s="2">
        <f ca="1">IFERROR(__xludf.DUMMYFUNCTION("""COMPUTED_VALUE"""),44715)</f>
        <v>44715</v>
      </c>
      <c r="D329" s="1">
        <f ca="1">IFERROR(__xludf.DUMMYFUNCTION("""COMPUTED_VALUE"""),190)</f>
        <v>190</v>
      </c>
      <c r="E329" s="1">
        <f ca="1">IFERROR(__xludf.DUMMYFUNCTION("""COMPUTED_VALUE"""),29)</f>
        <v>29</v>
      </c>
      <c r="F329" s="1" t="str">
        <f ca="1">IFERROR(__xludf.DUMMYFUNCTION("""COMPUTED_VALUE"""),"POR")</f>
        <v>POR</v>
      </c>
      <c r="G329" s="1">
        <f ca="1">IFERROR(__xludf.DUMMYFUNCTION("""COMPUTED_VALUE"""),47)</f>
        <v>47</v>
      </c>
      <c r="H329" s="1">
        <f ca="1">IFERROR(__xludf.DUMMYFUNCTION("""COMPUTED_VALUE"""),7)</f>
        <v>7</v>
      </c>
      <c r="I329" s="1" t="str">
        <f ca="1">IFERROR(__xludf.DUMMYFUNCTION("""COMPUTED_VALUE"""),"Lehigh")</f>
        <v>Lehigh</v>
      </c>
      <c r="J329" s="1" t="str">
        <f ca="1">IFERROR(__xludf.DUMMYFUNCTION("""COMPUTED_VALUE"""),"2013 Rnd 1 Pick 10")</f>
        <v>2013 Rnd 1 Pick 10</v>
      </c>
      <c r="K329" s="1" t="str">
        <f ca="1">IFERROR(__xludf.DUMMYFUNCTION("""COMPUTED_VALUE"""),"United States")</f>
        <v>United States</v>
      </c>
    </row>
    <row r="330" spans="1:11" ht="13" x14ac:dyDescent="0.15">
      <c r="A330" s="1" t="str">
        <f ca="1">IFERROR(__xludf.DUMMYFUNCTION("""COMPUTED_VALUE"""),"TJ McConnell")</f>
        <v>TJ McConnell</v>
      </c>
      <c r="B330" s="1" t="str">
        <f ca="1">IFERROR(__xludf.DUMMYFUNCTION("""COMPUTED_VALUE"""),"G")</f>
        <v>G</v>
      </c>
      <c r="C330" s="2">
        <f ca="1">IFERROR(__xludf.DUMMYFUNCTION("""COMPUTED_VALUE"""),44714)</f>
        <v>44714</v>
      </c>
      <c r="D330" s="1">
        <f ca="1">IFERROR(__xludf.DUMMYFUNCTION("""COMPUTED_VALUE"""),190)</f>
        <v>190</v>
      </c>
      <c r="E330" s="1">
        <f ca="1">IFERROR(__xludf.DUMMYFUNCTION("""COMPUTED_VALUE"""),28)</f>
        <v>28</v>
      </c>
      <c r="F330" s="1" t="str">
        <f ca="1">IFERROR(__xludf.DUMMYFUNCTION("""COMPUTED_VALUE"""),"IND")</f>
        <v>IND</v>
      </c>
      <c r="G330" s="1">
        <f ca="1">IFERROR(__xludf.DUMMYFUNCTION("""COMPUTED_VALUE"""),69)</f>
        <v>69</v>
      </c>
      <c r="H330" s="1">
        <f ca="1">IFERROR(__xludf.DUMMYFUNCTION("""COMPUTED_VALUE"""),5)</f>
        <v>5</v>
      </c>
      <c r="I330" s="1" t="str">
        <f ca="1">IFERROR(__xludf.DUMMYFUNCTION("""COMPUTED_VALUE"""),"Arizona")</f>
        <v>Arizona</v>
      </c>
      <c r="J330" s="1" t="str">
        <f ca="1">IFERROR(__xludf.DUMMYFUNCTION("""COMPUTED_VALUE"""),"2015 NBA Draft, Undrafted")</f>
        <v>2015 NBA Draft, Undrafted</v>
      </c>
      <c r="K330" s="1" t="str">
        <f ca="1">IFERROR(__xludf.DUMMYFUNCTION("""COMPUTED_VALUE"""),"United States")</f>
        <v>United States</v>
      </c>
    </row>
    <row r="331" spans="1:11" ht="13" x14ac:dyDescent="0.15">
      <c r="A331" s="1" t="str">
        <f ca="1">IFERROR(__xludf.DUMMYFUNCTION("""COMPUTED_VALUE"""),"Jaden McDaniels")</f>
        <v>Jaden McDaniels</v>
      </c>
      <c r="B331" s="1" t="str">
        <f ca="1">IFERROR(__xludf.DUMMYFUNCTION("""COMPUTED_VALUE"""),"F")</f>
        <v>F</v>
      </c>
      <c r="C331" s="2">
        <f ca="1">IFERROR(__xludf.DUMMYFUNCTION("""COMPUTED_VALUE"""),44721)</f>
        <v>44721</v>
      </c>
      <c r="D331" s="1">
        <f ca="1">IFERROR(__xludf.DUMMYFUNCTION("""COMPUTED_VALUE"""),185)</f>
        <v>185</v>
      </c>
      <c r="E331" s="1">
        <f ca="1">IFERROR(__xludf.DUMMYFUNCTION("""COMPUTED_VALUE"""),20)</f>
        <v>20</v>
      </c>
      <c r="F331" s="1" t="str">
        <f ca="1">IFERROR(__xludf.DUMMYFUNCTION("""COMPUTED_VALUE"""),"MIN")</f>
        <v>MIN</v>
      </c>
      <c r="G331" s="1">
        <f ca="1">IFERROR(__xludf.DUMMYFUNCTION("""COMPUTED_VALUE"""),63)</f>
        <v>63</v>
      </c>
      <c r="H331" s="1">
        <f ca="1">IFERROR(__xludf.DUMMYFUNCTION("""COMPUTED_VALUE"""),0)</f>
        <v>0</v>
      </c>
      <c r="I331" s="1" t="str">
        <f ca="1">IFERROR(__xludf.DUMMYFUNCTION("""COMPUTED_VALUE"""),"Washington")</f>
        <v>Washington</v>
      </c>
      <c r="J331" s="1" t="str">
        <f ca="1">IFERROR(__xludf.DUMMYFUNCTION("""COMPUTED_VALUE"""),"2020 Rnd 1 Pick 28")</f>
        <v>2020 Rnd 1 Pick 28</v>
      </c>
      <c r="K331" s="1" t="str">
        <f ca="1">IFERROR(__xludf.DUMMYFUNCTION("""COMPUTED_VALUE"""),"United States")</f>
        <v>United States</v>
      </c>
    </row>
    <row r="332" spans="1:11" ht="13" x14ac:dyDescent="0.15">
      <c r="A332" s="1" t="str">
        <f ca="1">IFERROR(__xludf.DUMMYFUNCTION("""COMPUTED_VALUE"""),"Jalen McDaniels")</f>
        <v>Jalen McDaniels</v>
      </c>
      <c r="B332" s="1" t="str">
        <f ca="1">IFERROR(__xludf.DUMMYFUNCTION("""COMPUTED_VALUE"""),"PF")</f>
        <v>PF</v>
      </c>
      <c r="C332" s="2">
        <f ca="1">IFERROR(__xludf.DUMMYFUNCTION("""COMPUTED_VALUE"""),44721)</f>
        <v>44721</v>
      </c>
      <c r="D332" s="1">
        <f ca="1">IFERROR(__xludf.DUMMYFUNCTION("""COMPUTED_VALUE"""),212)</f>
        <v>212</v>
      </c>
      <c r="E332" s="1">
        <f ca="1">IFERROR(__xludf.DUMMYFUNCTION("""COMPUTED_VALUE"""),23)</f>
        <v>23</v>
      </c>
      <c r="F332" s="1" t="str">
        <f ca="1">IFERROR(__xludf.DUMMYFUNCTION("""COMPUTED_VALUE"""),"CHA")</f>
        <v>CHA</v>
      </c>
      <c r="G332" s="1">
        <f ca="1">IFERROR(__xludf.DUMMYFUNCTION("""COMPUTED_VALUE"""),47)</f>
        <v>47</v>
      </c>
      <c r="H332" s="1">
        <f ca="1">IFERROR(__xludf.DUMMYFUNCTION("""COMPUTED_VALUE"""),1)</f>
        <v>1</v>
      </c>
      <c r="I332" s="1" t="str">
        <f ca="1">IFERROR(__xludf.DUMMYFUNCTION("""COMPUTED_VALUE"""),"San Diego State")</f>
        <v>San Diego State</v>
      </c>
      <c r="J332" s="1" t="str">
        <f ca="1">IFERROR(__xludf.DUMMYFUNCTION("""COMPUTED_VALUE"""),"2019 Rnd 2 Pick 22")</f>
        <v>2019 Rnd 2 Pick 22</v>
      </c>
      <c r="K332" s="1" t="str">
        <f ca="1">IFERROR(__xludf.DUMMYFUNCTION("""COMPUTED_VALUE"""),"United States")</f>
        <v>United States</v>
      </c>
    </row>
    <row r="333" spans="1:11" ht="13" x14ac:dyDescent="0.15">
      <c r="A333" s="1" t="str">
        <f ca="1">IFERROR(__xludf.DUMMYFUNCTION("""COMPUTED_VALUE"""),"Doug McDermott")</f>
        <v>Doug McDermott</v>
      </c>
      <c r="B333" s="1" t="str">
        <f ca="1">IFERROR(__xludf.DUMMYFUNCTION("""COMPUTED_VALUE"""),"F")</f>
        <v>F</v>
      </c>
      <c r="C333" s="2">
        <f ca="1">IFERROR(__xludf.DUMMYFUNCTION("""COMPUTED_VALUE"""),44720)</f>
        <v>44720</v>
      </c>
      <c r="D333" s="1">
        <f ca="1">IFERROR(__xludf.DUMMYFUNCTION("""COMPUTED_VALUE"""),225)</f>
        <v>225</v>
      </c>
      <c r="E333" s="1">
        <f ca="1">IFERROR(__xludf.DUMMYFUNCTION("""COMPUTED_VALUE"""),29)</f>
        <v>29</v>
      </c>
      <c r="F333" s="1" t="str">
        <f ca="1">IFERROR(__xludf.DUMMYFUNCTION("""COMPUTED_VALUE"""),"IND")</f>
        <v>IND</v>
      </c>
      <c r="G333" s="1">
        <f ca="1">IFERROR(__xludf.DUMMYFUNCTION("""COMPUTED_VALUE"""),66)</f>
        <v>66</v>
      </c>
      <c r="H333" s="1">
        <f ca="1">IFERROR(__xludf.DUMMYFUNCTION("""COMPUTED_VALUE"""),6)</f>
        <v>6</v>
      </c>
      <c r="I333" s="1" t="str">
        <f ca="1">IFERROR(__xludf.DUMMYFUNCTION("""COMPUTED_VALUE"""),"Creighton")</f>
        <v>Creighton</v>
      </c>
      <c r="J333" s="1" t="str">
        <f ca="1">IFERROR(__xludf.DUMMYFUNCTION("""COMPUTED_VALUE"""),"2014 Rnd 1 Pick 11")</f>
        <v>2014 Rnd 1 Pick 11</v>
      </c>
      <c r="K333" s="1" t="str">
        <f ca="1">IFERROR(__xludf.DUMMYFUNCTION("""COMPUTED_VALUE"""),"United States")</f>
        <v>United States</v>
      </c>
    </row>
    <row r="334" spans="1:11" ht="13" x14ac:dyDescent="0.15">
      <c r="A334" s="1" t="str">
        <f ca="1">IFERROR(__xludf.DUMMYFUNCTION("""COMPUTED_VALUE"""),"Sean McDermott")</f>
        <v>Sean McDermott</v>
      </c>
      <c r="B334" s="1" t="str">
        <f ca="1">IFERROR(__xludf.DUMMYFUNCTION("""COMPUTED_VALUE"""),"SG")</f>
        <v>SG</v>
      </c>
      <c r="C334" s="2">
        <f ca="1">IFERROR(__xludf.DUMMYFUNCTION("""COMPUTED_VALUE"""),44718)</f>
        <v>44718</v>
      </c>
      <c r="D334" s="1">
        <f ca="1">IFERROR(__xludf.DUMMYFUNCTION("""COMPUTED_VALUE"""),195)</f>
        <v>195</v>
      </c>
      <c r="E334" s="1">
        <f ca="1">IFERROR(__xludf.DUMMYFUNCTION("""COMPUTED_VALUE"""),24)</f>
        <v>24</v>
      </c>
      <c r="F334" s="1" t="str">
        <f ca="1">IFERROR(__xludf.DUMMYFUNCTION("""COMPUTED_VALUE"""),"MEM")</f>
        <v>MEM</v>
      </c>
      <c r="G334" s="1">
        <f ca="1">IFERROR(__xludf.DUMMYFUNCTION("""COMPUTED_VALUE"""),18)</f>
        <v>18</v>
      </c>
      <c r="H334" s="1">
        <f ca="1">IFERROR(__xludf.DUMMYFUNCTION("""COMPUTED_VALUE"""),0)</f>
        <v>0</v>
      </c>
      <c r="I334" s="1" t="str">
        <f ca="1">IFERROR(__xludf.DUMMYFUNCTION("""COMPUTED_VALUE"""),"Butler")</f>
        <v>Butler</v>
      </c>
      <c r="J334" s="1" t="str">
        <f ca="1">IFERROR(__xludf.DUMMYFUNCTION("""COMPUTED_VALUE"""),"2020 NBA Draft, Undrafted")</f>
        <v>2020 NBA Draft, Undrafted</v>
      </c>
      <c r="K334" s="1" t="str">
        <f ca="1">IFERROR(__xludf.DUMMYFUNCTION("""COMPUTED_VALUE"""),"United States")</f>
        <v>United States</v>
      </c>
    </row>
    <row r="335" spans="1:11" ht="13" x14ac:dyDescent="0.15">
      <c r="A335" s="1" t="str">
        <f ca="1">IFERROR(__xludf.DUMMYFUNCTION("""COMPUTED_VALUE"""),"JaVale McGee")</f>
        <v>JaVale McGee</v>
      </c>
      <c r="B335" s="1" t="str">
        <f ca="1">IFERROR(__xludf.DUMMYFUNCTION("""COMPUTED_VALUE"""),"C")</f>
        <v>C</v>
      </c>
      <c r="C335" s="1" t="str">
        <f ca="1">IFERROR(__xludf.DUMMYFUNCTION("""COMPUTED_VALUE"""),"7-0")</f>
        <v>7-0</v>
      </c>
      <c r="D335" s="1">
        <f ca="1">IFERROR(__xludf.DUMMYFUNCTION("""COMPUTED_VALUE"""),270)</f>
        <v>270</v>
      </c>
      <c r="E335" s="1">
        <f ca="1">IFERROR(__xludf.DUMMYFUNCTION("""COMPUTED_VALUE"""),33)</f>
        <v>33</v>
      </c>
      <c r="F335" s="1" t="str">
        <f ca="1">IFERROR(__xludf.DUMMYFUNCTION("""COMPUTED_VALUE"""),"CLE, DEN")</f>
        <v>CLE, DEN</v>
      </c>
      <c r="G335" s="1">
        <f ca="1">IFERROR(__xludf.DUMMYFUNCTION("""COMPUTED_VALUE"""),46)</f>
        <v>46</v>
      </c>
      <c r="H335" s="1">
        <f ca="1">IFERROR(__xludf.DUMMYFUNCTION("""COMPUTED_VALUE"""),12)</f>
        <v>12</v>
      </c>
      <c r="I335" s="1" t="str">
        <f ca="1">IFERROR(__xludf.DUMMYFUNCTION("""COMPUTED_VALUE"""),"Nevada")</f>
        <v>Nevada</v>
      </c>
      <c r="J335" s="1" t="str">
        <f ca="1">IFERROR(__xludf.DUMMYFUNCTION("""COMPUTED_VALUE"""),"2008 Rnd 1 Pick 18")</f>
        <v>2008 Rnd 1 Pick 18</v>
      </c>
      <c r="K335" s="1" t="str">
        <f ca="1">IFERROR(__xludf.DUMMYFUNCTION("""COMPUTED_VALUE"""),"United States")</f>
        <v>United States</v>
      </c>
    </row>
    <row r="336" spans="1:11" ht="13" x14ac:dyDescent="0.15">
      <c r="A336" s="1" t="str">
        <f ca="1">IFERROR(__xludf.DUMMYFUNCTION("""COMPUTED_VALUE"""),"Rodney McGruder")</f>
        <v>Rodney McGruder</v>
      </c>
      <c r="B336" s="1" t="str">
        <f ca="1">IFERROR(__xludf.DUMMYFUNCTION("""COMPUTED_VALUE"""),"SG")</f>
        <v>SG</v>
      </c>
      <c r="C336" s="2">
        <f ca="1">IFERROR(__xludf.DUMMYFUNCTION("""COMPUTED_VALUE"""),44716)</f>
        <v>44716</v>
      </c>
      <c r="D336" s="1">
        <f ca="1">IFERROR(__xludf.DUMMYFUNCTION("""COMPUTED_VALUE"""),205)</f>
        <v>205</v>
      </c>
      <c r="E336" s="1">
        <f ca="1">IFERROR(__xludf.DUMMYFUNCTION("""COMPUTED_VALUE"""),29)</f>
        <v>29</v>
      </c>
      <c r="F336" s="1" t="str">
        <f ca="1">IFERROR(__xludf.DUMMYFUNCTION("""COMPUTED_VALUE"""),"DET")</f>
        <v>DET</v>
      </c>
      <c r="G336" s="1">
        <f ca="1">IFERROR(__xludf.DUMMYFUNCTION("""COMPUTED_VALUE"""),16)</f>
        <v>16</v>
      </c>
      <c r="H336" s="1">
        <f ca="1">IFERROR(__xludf.DUMMYFUNCTION("""COMPUTED_VALUE"""),4)</f>
        <v>4</v>
      </c>
      <c r="I336" s="1" t="str">
        <f ca="1">IFERROR(__xludf.DUMMYFUNCTION("""COMPUTED_VALUE"""),"Kansas State")</f>
        <v>Kansas State</v>
      </c>
      <c r="J336" s="1" t="str">
        <f ca="1">IFERROR(__xludf.DUMMYFUNCTION("""COMPUTED_VALUE"""),"2013 NBA Draft, Undrafted")</f>
        <v>2013 NBA Draft, Undrafted</v>
      </c>
      <c r="K336" s="1" t="str">
        <f ca="1">IFERROR(__xludf.DUMMYFUNCTION("""COMPUTED_VALUE"""),"United States")</f>
        <v>United States</v>
      </c>
    </row>
    <row r="337" spans="1:11" ht="13" x14ac:dyDescent="0.15">
      <c r="A337" s="1" t="str">
        <f ca="1">IFERROR(__xludf.DUMMYFUNCTION("""COMPUTED_VALUE"""),"Alfonzo McKinnie")</f>
        <v>Alfonzo McKinnie</v>
      </c>
      <c r="B337" s="1" t="str">
        <f ca="1">IFERROR(__xludf.DUMMYFUNCTION("""COMPUTED_VALUE"""),"F")</f>
        <v>F</v>
      </c>
      <c r="C337" s="2">
        <f ca="1">IFERROR(__xludf.DUMMYFUNCTION("""COMPUTED_VALUE"""),44720)</f>
        <v>44720</v>
      </c>
      <c r="D337" s="1">
        <f ca="1">IFERROR(__xludf.DUMMYFUNCTION("""COMPUTED_VALUE"""),215)</f>
        <v>215</v>
      </c>
      <c r="E337" s="1">
        <f ca="1">IFERROR(__xludf.DUMMYFUNCTION("""COMPUTED_VALUE"""),28)</f>
        <v>28</v>
      </c>
      <c r="F337" s="1" t="str">
        <f ca="1">IFERROR(__xludf.DUMMYFUNCTION("""COMPUTED_VALUE"""),"LAL")</f>
        <v>LAL</v>
      </c>
      <c r="G337" s="1">
        <f ca="1">IFERROR(__xludf.DUMMYFUNCTION("""COMPUTED_VALUE"""),39)</f>
        <v>39</v>
      </c>
      <c r="H337" s="1">
        <f ca="1">IFERROR(__xludf.DUMMYFUNCTION("""COMPUTED_VALUE"""),3)</f>
        <v>3</v>
      </c>
      <c r="I337" s="1" t="str">
        <f ca="1">IFERROR(__xludf.DUMMYFUNCTION("""COMPUTED_VALUE"""),"Green Bay")</f>
        <v>Green Bay</v>
      </c>
      <c r="J337" s="1" t="str">
        <f ca="1">IFERROR(__xludf.DUMMYFUNCTION("""COMPUTED_VALUE"""),"2015 NBA Draft, Undrafted")</f>
        <v>2015 NBA Draft, Undrafted</v>
      </c>
      <c r="K337" s="1" t="str">
        <f ca="1">IFERROR(__xludf.DUMMYFUNCTION("""COMPUTED_VALUE"""),"United States")</f>
        <v>United States</v>
      </c>
    </row>
    <row r="338" spans="1:11" ht="13" x14ac:dyDescent="0.15">
      <c r="A338" s="1" t="str">
        <f ca="1">IFERROR(__xludf.DUMMYFUNCTION("""COMPUTED_VALUE"""),"Jordan McLaughlin")</f>
        <v>Jordan McLaughlin</v>
      </c>
      <c r="B338" s="1" t="str">
        <f ca="1">IFERROR(__xludf.DUMMYFUNCTION("""COMPUTED_VALUE"""),"G")</f>
        <v>G</v>
      </c>
      <c r="C338" s="2">
        <f ca="1">IFERROR(__xludf.DUMMYFUNCTION("""COMPUTED_VALUE"""),44713)</f>
        <v>44713</v>
      </c>
      <c r="D338" s="1">
        <f ca="1">IFERROR(__xludf.DUMMYFUNCTION("""COMPUTED_VALUE"""),185)</f>
        <v>185</v>
      </c>
      <c r="E338" s="1">
        <f ca="1">IFERROR(__xludf.DUMMYFUNCTION("""COMPUTED_VALUE"""),24)</f>
        <v>24</v>
      </c>
      <c r="F338" s="1" t="str">
        <f ca="1">IFERROR(__xludf.DUMMYFUNCTION("""COMPUTED_VALUE"""),"MIN")</f>
        <v>MIN</v>
      </c>
      <c r="G338" s="1">
        <f ca="1">IFERROR(__xludf.DUMMYFUNCTION("""COMPUTED_VALUE"""),51)</f>
        <v>51</v>
      </c>
      <c r="H338" s="1">
        <f ca="1">IFERROR(__xludf.DUMMYFUNCTION("""COMPUTED_VALUE"""),1)</f>
        <v>1</v>
      </c>
      <c r="I338" s="1" t="str">
        <f ca="1">IFERROR(__xludf.DUMMYFUNCTION("""COMPUTED_VALUE"""),"USC")</f>
        <v>USC</v>
      </c>
      <c r="J338" s="1" t="str">
        <f ca="1">IFERROR(__xludf.DUMMYFUNCTION("""COMPUTED_VALUE"""),"2018 NBA Draft, Undrafted")</f>
        <v>2018 NBA Draft, Undrafted</v>
      </c>
      <c r="K338" s="1" t="str">
        <f ca="1">IFERROR(__xludf.DUMMYFUNCTION("""COMPUTED_VALUE"""),"United States")</f>
        <v>United States</v>
      </c>
    </row>
    <row r="339" spans="1:11" ht="13" x14ac:dyDescent="0.15">
      <c r="A339" s="1" t="str">
        <f ca="1">IFERROR(__xludf.DUMMYFUNCTION("""COMPUTED_VALUE"""),"Ben McLemore")</f>
        <v>Ben McLemore</v>
      </c>
      <c r="B339" s="1" t="str">
        <f ca="1">IFERROR(__xludf.DUMMYFUNCTION("""COMPUTED_VALUE"""),"SG")</f>
        <v>SG</v>
      </c>
      <c r="C339" s="2">
        <f ca="1">IFERROR(__xludf.DUMMYFUNCTION("""COMPUTED_VALUE"""),44715)</f>
        <v>44715</v>
      </c>
      <c r="D339" s="1">
        <f ca="1">IFERROR(__xludf.DUMMYFUNCTION("""COMPUTED_VALUE"""),195)</f>
        <v>195</v>
      </c>
      <c r="E339" s="1">
        <f ca="1">IFERROR(__xludf.DUMMYFUNCTION("""COMPUTED_VALUE"""),28)</f>
        <v>28</v>
      </c>
      <c r="F339" s="1" t="str">
        <f ca="1">IFERROR(__xludf.DUMMYFUNCTION("""COMPUTED_VALUE"""),"HOU, LAL")</f>
        <v>HOU, LAL</v>
      </c>
      <c r="G339" s="1">
        <f ca="1">IFERROR(__xludf.DUMMYFUNCTION("""COMPUTED_VALUE"""),53)</f>
        <v>53</v>
      </c>
      <c r="H339" s="1">
        <f ca="1">IFERROR(__xludf.DUMMYFUNCTION("""COMPUTED_VALUE"""),7)</f>
        <v>7</v>
      </c>
      <c r="I339" s="1" t="str">
        <f ca="1">IFERROR(__xludf.DUMMYFUNCTION("""COMPUTED_VALUE"""),"Kansas")</f>
        <v>Kansas</v>
      </c>
      <c r="J339" s="1" t="str">
        <f ca="1">IFERROR(__xludf.DUMMYFUNCTION("""COMPUTED_VALUE"""),"2013 Rnd 1 Pick 7")</f>
        <v>2013 Rnd 1 Pick 7</v>
      </c>
      <c r="K339" s="1" t="str">
        <f ca="1">IFERROR(__xludf.DUMMYFUNCTION("""COMPUTED_VALUE"""),"United States")</f>
        <v>United States</v>
      </c>
    </row>
    <row r="340" spans="1:11" ht="13" x14ac:dyDescent="0.15">
      <c r="A340" s="1" t="str">
        <f ca="1">IFERROR(__xludf.DUMMYFUNCTION("""COMPUTED_VALUE"""),"Nicolo Melli")</f>
        <v>Nicolo Melli</v>
      </c>
      <c r="B340" s="1" t="str">
        <f ca="1">IFERROR(__xludf.DUMMYFUNCTION("""COMPUTED_VALUE"""),"PF")</f>
        <v>PF</v>
      </c>
      <c r="C340" s="2">
        <f ca="1">IFERROR(__xludf.DUMMYFUNCTION("""COMPUTED_VALUE"""),44721)</f>
        <v>44721</v>
      </c>
      <c r="D340" s="1">
        <f ca="1">IFERROR(__xludf.DUMMYFUNCTION("""COMPUTED_VALUE"""),235)</f>
        <v>235</v>
      </c>
      <c r="E340" s="1">
        <f ca="1">IFERROR(__xludf.DUMMYFUNCTION("""COMPUTED_VALUE"""),30)</f>
        <v>30</v>
      </c>
      <c r="F340" s="1" t="str">
        <f ca="1">IFERROR(__xludf.DUMMYFUNCTION("""COMPUTED_VALUE"""),"DAL, NOP")</f>
        <v>DAL, NOP</v>
      </c>
      <c r="G340" s="1">
        <f ca="1">IFERROR(__xludf.DUMMYFUNCTION("""COMPUTED_VALUE"""),45)</f>
        <v>45</v>
      </c>
      <c r="H340" s="1">
        <f ca="1">IFERROR(__xludf.DUMMYFUNCTION("""COMPUTED_VALUE"""),1)</f>
        <v>1</v>
      </c>
      <c r="I340" s="1" t="str">
        <f ca="1">IFERROR(__xludf.DUMMYFUNCTION("""COMPUTED_VALUE"""),"AX Armani Exchange Milan (Italy)")</f>
        <v>AX Armani Exchange Milan (Italy)</v>
      </c>
      <c r="J340" s="1" t="str">
        <f ca="1">IFERROR(__xludf.DUMMYFUNCTION("""COMPUTED_VALUE"""),"2013 NBA Draft, Undrafted")</f>
        <v>2013 NBA Draft, Undrafted</v>
      </c>
      <c r="K340" s="1" t="str">
        <f ca="1">IFERROR(__xludf.DUMMYFUNCTION("""COMPUTED_VALUE"""),"Italy")</f>
        <v>Italy</v>
      </c>
    </row>
    <row r="341" spans="1:11" ht="13" x14ac:dyDescent="0.15">
      <c r="A341" s="1" t="str">
        <f ca="1">IFERROR(__xludf.DUMMYFUNCTION("""COMPUTED_VALUE"""),"De'Anthony Melton")</f>
        <v>De'Anthony Melton</v>
      </c>
      <c r="B341" s="1" t="str">
        <f ca="1">IFERROR(__xludf.DUMMYFUNCTION("""COMPUTED_VALUE"""),"SG")</f>
        <v>SG</v>
      </c>
      <c r="C341" s="2">
        <f ca="1">IFERROR(__xludf.DUMMYFUNCTION("""COMPUTED_VALUE"""),44714)</f>
        <v>44714</v>
      </c>
      <c r="D341" s="1">
        <f ca="1">IFERROR(__xludf.DUMMYFUNCTION("""COMPUTED_VALUE"""),200)</f>
        <v>200</v>
      </c>
      <c r="E341" s="1">
        <f ca="1">IFERROR(__xludf.DUMMYFUNCTION("""COMPUTED_VALUE"""),22)</f>
        <v>22</v>
      </c>
      <c r="F341" s="1" t="str">
        <f ca="1">IFERROR(__xludf.DUMMYFUNCTION("""COMPUTED_VALUE"""),"MEM")</f>
        <v>MEM</v>
      </c>
      <c r="G341" s="1">
        <f ca="1">IFERROR(__xludf.DUMMYFUNCTION("""COMPUTED_VALUE"""),52)</f>
        <v>52</v>
      </c>
      <c r="H341" s="1">
        <f ca="1">IFERROR(__xludf.DUMMYFUNCTION("""COMPUTED_VALUE"""),2)</f>
        <v>2</v>
      </c>
      <c r="I341" s="1" t="str">
        <f ca="1">IFERROR(__xludf.DUMMYFUNCTION("""COMPUTED_VALUE"""),"USC")</f>
        <v>USC</v>
      </c>
      <c r="J341" s="1" t="str">
        <f ca="1">IFERROR(__xludf.DUMMYFUNCTION("""COMPUTED_VALUE"""),"2018 Rnd 2 Pick 16")</f>
        <v>2018 Rnd 2 Pick 16</v>
      </c>
      <c r="K341" s="1" t="str">
        <f ca="1">IFERROR(__xludf.DUMMYFUNCTION("""COMPUTED_VALUE"""),"United States")</f>
        <v>United States</v>
      </c>
    </row>
    <row r="342" spans="1:11" ht="13" x14ac:dyDescent="0.15">
      <c r="A342" s="1" t="str">
        <f ca="1">IFERROR(__xludf.DUMMYFUNCTION("""COMPUTED_VALUE"""),"Sam Merrill")</f>
        <v>Sam Merrill</v>
      </c>
      <c r="B342" s="1" t="str">
        <f ca="1">IFERROR(__xludf.DUMMYFUNCTION("""COMPUTED_VALUE"""),"G")</f>
        <v>G</v>
      </c>
      <c r="C342" s="2">
        <f ca="1">IFERROR(__xludf.DUMMYFUNCTION("""COMPUTED_VALUE"""),44716)</f>
        <v>44716</v>
      </c>
      <c r="D342" s="1">
        <f ca="1">IFERROR(__xludf.DUMMYFUNCTION("""COMPUTED_VALUE"""),197)</f>
        <v>197</v>
      </c>
      <c r="E342" s="1">
        <f ca="1">IFERROR(__xludf.DUMMYFUNCTION("""COMPUTED_VALUE"""),24)</f>
        <v>24</v>
      </c>
      <c r="F342" s="1" t="str">
        <f ca="1">IFERROR(__xludf.DUMMYFUNCTION("""COMPUTED_VALUE"""),"MIL")</f>
        <v>MIL</v>
      </c>
      <c r="G342" s="1">
        <f ca="1">IFERROR(__xludf.DUMMYFUNCTION("""COMPUTED_VALUE"""),30)</f>
        <v>30</v>
      </c>
      <c r="H342" s="1">
        <f ca="1">IFERROR(__xludf.DUMMYFUNCTION("""COMPUTED_VALUE"""),0)</f>
        <v>0</v>
      </c>
      <c r="I342" s="1" t="str">
        <f ca="1">IFERROR(__xludf.DUMMYFUNCTION("""COMPUTED_VALUE"""),"Utah State")</f>
        <v>Utah State</v>
      </c>
      <c r="J342" s="1" t="str">
        <f ca="1">IFERROR(__xludf.DUMMYFUNCTION("""COMPUTED_VALUE"""),"2020 Rnd 2 Pick 30")</f>
        <v>2020 Rnd 2 Pick 30</v>
      </c>
      <c r="K342" s="1" t="str">
        <f ca="1">IFERROR(__xludf.DUMMYFUNCTION("""COMPUTED_VALUE"""),"United States")</f>
        <v>United States</v>
      </c>
    </row>
    <row r="343" spans="1:11" ht="13" x14ac:dyDescent="0.15">
      <c r="A343" s="1" t="str">
        <f ca="1">IFERROR(__xludf.DUMMYFUNCTION("""COMPUTED_VALUE"""),"Chimezie Metu")</f>
        <v>Chimezie Metu</v>
      </c>
      <c r="B343" s="1" t="str">
        <f ca="1">IFERROR(__xludf.DUMMYFUNCTION("""COMPUTED_VALUE"""),"PF")</f>
        <v>PF</v>
      </c>
      <c r="C343" s="2">
        <f ca="1">IFERROR(__xludf.DUMMYFUNCTION("""COMPUTED_VALUE"""),44722)</f>
        <v>44722</v>
      </c>
      <c r="D343" s="1">
        <f ca="1">IFERROR(__xludf.DUMMYFUNCTION("""COMPUTED_VALUE"""),225)</f>
        <v>225</v>
      </c>
      <c r="E343" s="1">
        <f ca="1">IFERROR(__xludf.DUMMYFUNCTION("""COMPUTED_VALUE"""),23)</f>
        <v>23</v>
      </c>
      <c r="F343" s="1" t="str">
        <f ca="1">IFERROR(__xludf.DUMMYFUNCTION("""COMPUTED_VALUE"""),"SAC")</f>
        <v>SAC</v>
      </c>
      <c r="G343" s="1">
        <f ca="1">IFERROR(__xludf.DUMMYFUNCTION("""COMPUTED_VALUE"""),36)</f>
        <v>36</v>
      </c>
      <c r="H343" s="1">
        <f ca="1">IFERROR(__xludf.DUMMYFUNCTION("""COMPUTED_VALUE"""),2)</f>
        <v>2</v>
      </c>
      <c r="I343" s="1" t="str">
        <f ca="1">IFERROR(__xludf.DUMMYFUNCTION("""COMPUTED_VALUE"""),"USC")</f>
        <v>USC</v>
      </c>
      <c r="J343" s="1" t="str">
        <f ca="1">IFERROR(__xludf.DUMMYFUNCTION("""COMPUTED_VALUE"""),"2018 Rnd 2 Pick 19")</f>
        <v>2018 Rnd 2 Pick 19</v>
      </c>
      <c r="K343" s="1" t="str">
        <f ca="1">IFERROR(__xludf.DUMMYFUNCTION("""COMPUTED_VALUE"""),"United States
Nigeria")</f>
        <v>United States
Nigeria</v>
      </c>
    </row>
    <row r="344" spans="1:11" ht="13" x14ac:dyDescent="0.15">
      <c r="A344" s="1" t="str">
        <f ca="1">IFERROR(__xludf.DUMMYFUNCTION("""COMPUTED_VALUE"""),"Khris Middleton")</f>
        <v>Khris Middleton</v>
      </c>
      <c r="B344" s="1" t="str">
        <f ca="1">IFERROR(__xludf.DUMMYFUNCTION("""COMPUTED_VALUE"""),"SF")</f>
        <v>SF</v>
      </c>
      <c r="C344" s="2">
        <f ca="1">IFERROR(__xludf.DUMMYFUNCTION("""COMPUTED_VALUE"""),44720)</f>
        <v>44720</v>
      </c>
      <c r="D344" s="1">
        <f ca="1">IFERROR(__xludf.DUMMYFUNCTION("""COMPUTED_VALUE"""),222)</f>
        <v>222</v>
      </c>
      <c r="E344" s="1">
        <f ca="1">IFERROR(__xludf.DUMMYFUNCTION("""COMPUTED_VALUE"""),29)</f>
        <v>29</v>
      </c>
      <c r="F344" s="1" t="str">
        <f ca="1">IFERROR(__xludf.DUMMYFUNCTION("""COMPUTED_VALUE"""),"MIL")</f>
        <v>MIL</v>
      </c>
      <c r="G344" s="1">
        <f ca="1">IFERROR(__xludf.DUMMYFUNCTION("""COMPUTED_VALUE"""),68)</f>
        <v>68</v>
      </c>
      <c r="H344" s="1">
        <f ca="1">IFERROR(__xludf.DUMMYFUNCTION("""COMPUTED_VALUE"""),8)</f>
        <v>8</v>
      </c>
      <c r="I344" s="1" t="str">
        <f ca="1">IFERROR(__xludf.DUMMYFUNCTION("""COMPUTED_VALUE"""),"Texas A&amp;M")</f>
        <v>Texas A&amp;M</v>
      </c>
      <c r="J344" s="1" t="str">
        <f ca="1">IFERROR(__xludf.DUMMYFUNCTION("""COMPUTED_VALUE"""),"2012 Rnd 2 Pick 9")</f>
        <v>2012 Rnd 2 Pick 9</v>
      </c>
      <c r="K344" s="1" t="str">
        <f ca="1">IFERROR(__xludf.DUMMYFUNCTION("""COMPUTED_VALUE"""),"United States")</f>
        <v>United States</v>
      </c>
    </row>
    <row r="345" spans="1:11" ht="13" x14ac:dyDescent="0.15">
      <c r="A345" s="1" t="str">
        <f ca="1">IFERROR(__xludf.DUMMYFUNCTION("""COMPUTED_VALUE"""),"Darius Miller")</f>
        <v>Darius Miller</v>
      </c>
      <c r="B345" s="1" t="str">
        <f ca="1">IFERROR(__xludf.DUMMYFUNCTION("""COMPUTED_VALUE"""),"GF")</f>
        <v>GF</v>
      </c>
      <c r="C345" s="2">
        <f ca="1">IFERROR(__xludf.DUMMYFUNCTION("""COMPUTED_VALUE"""),44720)</f>
        <v>44720</v>
      </c>
      <c r="D345" s="1">
        <f ca="1">IFERROR(__xludf.DUMMYFUNCTION("""COMPUTED_VALUE"""),225)</f>
        <v>225</v>
      </c>
      <c r="E345" s="1">
        <f ca="1">IFERROR(__xludf.DUMMYFUNCTION("""COMPUTED_VALUE"""),30)</f>
        <v>30</v>
      </c>
      <c r="F345" s="1" t="str">
        <f ca="1">IFERROR(__xludf.DUMMYFUNCTION("""COMPUTED_VALUE"""),"OKC")</f>
        <v>OKC</v>
      </c>
      <c r="G345" s="1">
        <f ca="1">IFERROR(__xludf.DUMMYFUNCTION("""COMPUTED_VALUE"""),18)</f>
        <v>18</v>
      </c>
      <c r="H345" s="1">
        <f ca="1">IFERROR(__xludf.DUMMYFUNCTION("""COMPUTED_VALUE"""),6)</f>
        <v>6</v>
      </c>
      <c r="I345" s="1" t="str">
        <f ca="1">IFERROR(__xludf.DUMMYFUNCTION("""COMPUTED_VALUE"""),"Kentucky")</f>
        <v>Kentucky</v>
      </c>
      <c r="J345" s="1" t="str">
        <f ca="1">IFERROR(__xludf.DUMMYFUNCTION("""COMPUTED_VALUE"""),"2012 Rnd 2 Pick 16")</f>
        <v>2012 Rnd 2 Pick 16</v>
      </c>
      <c r="K345" s="1" t="str">
        <f ca="1">IFERROR(__xludf.DUMMYFUNCTION("""COMPUTED_VALUE"""),"United States")</f>
        <v>United States</v>
      </c>
    </row>
    <row r="346" spans="1:11" ht="13" x14ac:dyDescent="0.15">
      <c r="A346" s="1" t="str">
        <f ca="1">IFERROR(__xludf.DUMMYFUNCTION("""COMPUTED_VALUE"""),"Patty Mills")</f>
        <v>Patty Mills</v>
      </c>
      <c r="B346" s="1" t="str">
        <f ca="1">IFERROR(__xludf.DUMMYFUNCTION("""COMPUTED_VALUE"""),"G")</f>
        <v>G</v>
      </c>
      <c r="C346" s="1" t="str">
        <f ca="1">IFERROR(__xludf.DUMMYFUNCTION("""COMPUTED_VALUE"""),"6-0")</f>
        <v>6-0</v>
      </c>
      <c r="D346" s="1">
        <f ca="1">IFERROR(__xludf.DUMMYFUNCTION("""COMPUTED_VALUE"""),180)</f>
        <v>180</v>
      </c>
      <c r="E346" s="1">
        <f ca="1">IFERROR(__xludf.DUMMYFUNCTION("""COMPUTED_VALUE"""),32)</f>
        <v>32</v>
      </c>
      <c r="F346" s="1" t="str">
        <f ca="1">IFERROR(__xludf.DUMMYFUNCTION("""COMPUTED_VALUE"""),"SAS")</f>
        <v>SAS</v>
      </c>
      <c r="G346" s="1">
        <f ca="1">IFERROR(__xludf.DUMMYFUNCTION("""COMPUTED_VALUE"""),68)</f>
        <v>68</v>
      </c>
      <c r="H346" s="1">
        <f ca="1">IFERROR(__xludf.DUMMYFUNCTION("""COMPUTED_VALUE"""),11)</f>
        <v>11</v>
      </c>
      <c r="I346" s="1" t="str">
        <f ca="1">IFERROR(__xludf.DUMMYFUNCTION("""COMPUTED_VALUE"""),"Saint Mary's")</f>
        <v>Saint Mary's</v>
      </c>
      <c r="J346" s="1" t="str">
        <f ca="1">IFERROR(__xludf.DUMMYFUNCTION("""COMPUTED_VALUE"""),"2009 Rnd 2 Pick 25")</f>
        <v>2009 Rnd 2 Pick 25</v>
      </c>
      <c r="K346" s="1" t="str">
        <f ca="1">IFERROR(__xludf.DUMMYFUNCTION("""COMPUTED_VALUE"""),"Australia")</f>
        <v>Australia</v>
      </c>
    </row>
    <row r="347" spans="1:11" ht="13" x14ac:dyDescent="0.15">
      <c r="A347" s="1" t="str">
        <f ca="1">IFERROR(__xludf.DUMMYFUNCTION("""COMPUTED_VALUE"""),"Paul Millsap")</f>
        <v>Paul Millsap</v>
      </c>
      <c r="B347" s="1" t="str">
        <f ca="1">IFERROR(__xludf.DUMMYFUNCTION("""COMPUTED_VALUE"""),"FC")</f>
        <v>FC</v>
      </c>
      <c r="C347" s="2">
        <f ca="1">IFERROR(__xludf.DUMMYFUNCTION("""COMPUTED_VALUE"""),44719)</f>
        <v>44719</v>
      </c>
      <c r="D347" s="1">
        <f ca="1">IFERROR(__xludf.DUMMYFUNCTION("""COMPUTED_VALUE"""),250)</f>
        <v>250</v>
      </c>
      <c r="E347" s="1">
        <f ca="1">IFERROR(__xludf.DUMMYFUNCTION("""COMPUTED_VALUE"""),36)</f>
        <v>36</v>
      </c>
      <c r="F347" s="1" t="str">
        <f ca="1">IFERROR(__xludf.DUMMYFUNCTION("""COMPUTED_VALUE"""),"DEN")</f>
        <v>DEN</v>
      </c>
      <c r="G347" s="1">
        <f ca="1">IFERROR(__xludf.DUMMYFUNCTION("""COMPUTED_VALUE"""),56)</f>
        <v>56</v>
      </c>
      <c r="H347" s="1">
        <f ca="1">IFERROR(__xludf.DUMMYFUNCTION("""COMPUTED_VALUE"""),14)</f>
        <v>14</v>
      </c>
      <c r="I347" s="1" t="str">
        <f ca="1">IFERROR(__xludf.DUMMYFUNCTION("""COMPUTED_VALUE"""),"Louisiana Tech")</f>
        <v>Louisiana Tech</v>
      </c>
      <c r="J347" s="1" t="str">
        <f ca="1">IFERROR(__xludf.DUMMYFUNCTION("""COMPUTED_VALUE"""),"2006 Rnd 2 Pick 17")</f>
        <v>2006 Rnd 2 Pick 17</v>
      </c>
      <c r="K347" s="1" t="str">
        <f ca="1">IFERROR(__xludf.DUMMYFUNCTION("""COMPUTED_VALUE"""),"United States")</f>
        <v>United States</v>
      </c>
    </row>
    <row r="348" spans="1:11" ht="13" x14ac:dyDescent="0.15">
      <c r="A348" s="1" t="str">
        <f ca="1">IFERROR(__xludf.DUMMYFUNCTION("""COMPUTED_VALUE"""),"Shake Milton")</f>
        <v>Shake Milton</v>
      </c>
      <c r="B348" s="1" t="str">
        <f ca="1">IFERROR(__xludf.DUMMYFUNCTION("""COMPUTED_VALUE"""),"SG")</f>
        <v>SG</v>
      </c>
      <c r="C348" s="2">
        <f ca="1">IFERROR(__xludf.DUMMYFUNCTION("""COMPUTED_VALUE"""),44717)</f>
        <v>44717</v>
      </c>
      <c r="D348" s="1">
        <f ca="1">IFERROR(__xludf.DUMMYFUNCTION("""COMPUTED_VALUE"""),215)</f>
        <v>215</v>
      </c>
      <c r="E348" s="1">
        <f ca="1">IFERROR(__xludf.DUMMYFUNCTION("""COMPUTED_VALUE"""),24)</f>
        <v>24</v>
      </c>
      <c r="F348" s="1" t="str">
        <f ca="1">IFERROR(__xludf.DUMMYFUNCTION("""COMPUTED_VALUE"""),"PHI")</f>
        <v>PHI</v>
      </c>
      <c r="G348" s="1">
        <f ca="1">IFERROR(__xludf.DUMMYFUNCTION("""COMPUTED_VALUE"""),63)</f>
        <v>63</v>
      </c>
      <c r="H348" s="1">
        <f ca="1">IFERROR(__xludf.DUMMYFUNCTION("""COMPUTED_VALUE"""),2)</f>
        <v>2</v>
      </c>
      <c r="I348" s="1" t="str">
        <f ca="1">IFERROR(__xludf.DUMMYFUNCTION("""COMPUTED_VALUE"""),"Southern Methodist")</f>
        <v>Southern Methodist</v>
      </c>
      <c r="J348" s="1" t="str">
        <f ca="1">IFERROR(__xludf.DUMMYFUNCTION("""COMPUTED_VALUE"""),"2018 Rnd 2 Pick 24")</f>
        <v>2018 Rnd 2 Pick 24</v>
      </c>
      <c r="K348" s="1" t="str">
        <f ca="1">IFERROR(__xludf.DUMMYFUNCTION("""COMPUTED_VALUE"""),"United States")</f>
        <v>United States</v>
      </c>
    </row>
    <row r="349" spans="1:11" ht="13" x14ac:dyDescent="0.15">
      <c r="A349" s="1" t="str">
        <f ca="1">IFERROR(__xludf.DUMMYFUNCTION("""COMPUTED_VALUE"""),"Donovan Mitchell")</f>
        <v>Donovan Mitchell</v>
      </c>
      <c r="B349" s="1" t="str">
        <f ca="1">IFERROR(__xludf.DUMMYFUNCTION("""COMPUTED_VALUE"""),"SG")</f>
        <v>SG</v>
      </c>
      <c r="C349" s="2">
        <f ca="1">IFERROR(__xludf.DUMMYFUNCTION("""COMPUTED_VALUE"""),44715)</f>
        <v>44715</v>
      </c>
      <c r="D349" s="1">
        <f ca="1">IFERROR(__xludf.DUMMYFUNCTION("""COMPUTED_VALUE"""),215)</f>
        <v>215</v>
      </c>
      <c r="E349" s="1">
        <f ca="1">IFERROR(__xludf.DUMMYFUNCTION("""COMPUTED_VALUE"""),24)</f>
        <v>24</v>
      </c>
      <c r="F349" s="1" t="str">
        <f ca="1">IFERROR(__xludf.DUMMYFUNCTION("""COMPUTED_VALUE"""),"UTA")</f>
        <v>UTA</v>
      </c>
      <c r="G349" s="1">
        <f ca="1">IFERROR(__xludf.DUMMYFUNCTION("""COMPUTED_VALUE"""),53)</f>
        <v>53</v>
      </c>
      <c r="H349" s="1">
        <f ca="1">IFERROR(__xludf.DUMMYFUNCTION("""COMPUTED_VALUE"""),3)</f>
        <v>3</v>
      </c>
      <c r="I349" s="1" t="str">
        <f ca="1">IFERROR(__xludf.DUMMYFUNCTION("""COMPUTED_VALUE"""),"Louisville")</f>
        <v>Louisville</v>
      </c>
      <c r="J349" s="1" t="str">
        <f ca="1">IFERROR(__xludf.DUMMYFUNCTION("""COMPUTED_VALUE"""),"2017 Rnd 1 Pick 13")</f>
        <v>2017 Rnd 1 Pick 13</v>
      </c>
      <c r="K349" s="1" t="str">
        <f ca="1">IFERROR(__xludf.DUMMYFUNCTION("""COMPUTED_VALUE"""),"United States")</f>
        <v>United States</v>
      </c>
    </row>
    <row r="350" spans="1:11" ht="13" x14ac:dyDescent="0.15">
      <c r="A350" s="1" t="str">
        <f ca="1">IFERROR(__xludf.DUMMYFUNCTION("""COMPUTED_VALUE"""),"Adam Mokoka")</f>
        <v>Adam Mokoka</v>
      </c>
      <c r="B350" s="1" t="str">
        <f ca="1">IFERROR(__xludf.DUMMYFUNCTION("""COMPUTED_VALUE"""),"SG")</f>
        <v>SG</v>
      </c>
      <c r="C350" s="2">
        <f ca="1">IFERROR(__xludf.DUMMYFUNCTION("""COMPUTED_VALUE"""),44717)</f>
        <v>44717</v>
      </c>
      <c r="D350" s="1">
        <f ca="1">IFERROR(__xludf.DUMMYFUNCTION("""COMPUTED_VALUE"""),215)</f>
        <v>215</v>
      </c>
      <c r="E350" s="1">
        <f ca="1">IFERROR(__xludf.DUMMYFUNCTION("""COMPUTED_VALUE"""),22)</f>
        <v>22</v>
      </c>
      <c r="F350" s="1" t="str">
        <f ca="1">IFERROR(__xludf.DUMMYFUNCTION("""COMPUTED_VALUE"""),"CHI")</f>
        <v>CHI</v>
      </c>
      <c r="G350" s="1">
        <f ca="1">IFERROR(__xludf.DUMMYFUNCTION("""COMPUTED_VALUE"""),14)</f>
        <v>14</v>
      </c>
      <c r="H350" s="1">
        <f ca="1">IFERROR(__xludf.DUMMYFUNCTION("""COMPUTED_VALUE"""),1)</f>
        <v>1</v>
      </c>
      <c r="I350" s="1" t="str">
        <f ca="1">IFERROR(__xludf.DUMMYFUNCTION("""COMPUTED_VALUE"""),"KK Mega Bemax (Serbia)")</f>
        <v>KK Mega Bemax (Serbia)</v>
      </c>
      <c r="J350" s="1" t="str">
        <f ca="1">IFERROR(__xludf.DUMMYFUNCTION("""COMPUTED_VALUE"""),"2019 NBA Draft, Undrafted")</f>
        <v>2019 NBA Draft, Undrafted</v>
      </c>
      <c r="K350" s="1" t="str">
        <f ca="1">IFERROR(__xludf.DUMMYFUNCTION("""COMPUTED_VALUE"""),"France")</f>
        <v>France</v>
      </c>
    </row>
    <row r="351" spans="1:11" ht="13" x14ac:dyDescent="0.15">
      <c r="A351" s="1" t="str">
        <f ca="1">IFERROR(__xludf.DUMMYFUNCTION("""COMPUTED_VALUE"""),"Malik Monk")</f>
        <v>Malik Monk</v>
      </c>
      <c r="B351" s="1" t="str">
        <f ca="1">IFERROR(__xludf.DUMMYFUNCTION("""COMPUTED_VALUE"""),"SG")</f>
        <v>SG</v>
      </c>
      <c r="C351" s="2">
        <f ca="1">IFERROR(__xludf.DUMMYFUNCTION("""COMPUTED_VALUE"""),44715)</f>
        <v>44715</v>
      </c>
      <c r="D351" s="1">
        <f ca="1">IFERROR(__xludf.DUMMYFUNCTION("""COMPUTED_VALUE"""),200)</f>
        <v>200</v>
      </c>
      <c r="E351" s="1">
        <f ca="1">IFERROR(__xludf.DUMMYFUNCTION("""COMPUTED_VALUE"""),23)</f>
        <v>23</v>
      </c>
      <c r="F351" s="1" t="str">
        <f ca="1">IFERROR(__xludf.DUMMYFUNCTION("""COMPUTED_VALUE"""),"CHA")</f>
        <v>CHA</v>
      </c>
      <c r="G351" s="1">
        <f ca="1">IFERROR(__xludf.DUMMYFUNCTION("""COMPUTED_VALUE"""),42)</f>
        <v>42</v>
      </c>
      <c r="H351" s="1">
        <f ca="1">IFERROR(__xludf.DUMMYFUNCTION("""COMPUTED_VALUE"""),3)</f>
        <v>3</v>
      </c>
      <c r="I351" s="1" t="str">
        <f ca="1">IFERROR(__xludf.DUMMYFUNCTION("""COMPUTED_VALUE"""),"Kentucky")</f>
        <v>Kentucky</v>
      </c>
      <c r="J351" s="1" t="str">
        <f ca="1">IFERROR(__xludf.DUMMYFUNCTION("""COMPUTED_VALUE"""),"2017 Rnd 1 Pick 11")</f>
        <v>2017 Rnd 1 Pick 11</v>
      </c>
      <c r="K351" s="1" t="str">
        <f ca="1">IFERROR(__xludf.DUMMYFUNCTION("""COMPUTED_VALUE"""),"United States")</f>
        <v>United States</v>
      </c>
    </row>
    <row r="352" spans="1:11" ht="13" x14ac:dyDescent="0.15">
      <c r="A352" s="1" t="str">
        <f ca="1">IFERROR(__xludf.DUMMYFUNCTION("""COMPUTED_VALUE"""),"E'Twaun Moore")</f>
        <v>E'Twaun Moore</v>
      </c>
      <c r="B352" s="1" t="str">
        <f ca="1">IFERROR(__xludf.DUMMYFUNCTION("""COMPUTED_VALUE"""),"SG")</f>
        <v>SG</v>
      </c>
      <c r="C352" s="2">
        <f ca="1">IFERROR(__xludf.DUMMYFUNCTION("""COMPUTED_VALUE"""),44716)</f>
        <v>44716</v>
      </c>
      <c r="D352" s="1">
        <f ca="1">IFERROR(__xludf.DUMMYFUNCTION("""COMPUTED_VALUE"""),191)</f>
        <v>191</v>
      </c>
      <c r="E352" s="1">
        <f ca="1">IFERROR(__xludf.DUMMYFUNCTION("""COMPUTED_VALUE"""),32)</f>
        <v>32</v>
      </c>
      <c r="F352" s="1" t="str">
        <f ca="1">IFERROR(__xludf.DUMMYFUNCTION("""COMPUTED_VALUE"""),"PHX")</f>
        <v>PHX</v>
      </c>
      <c r="G352" s="1">
        <f ca="1">IFERROR(__xludf.DUMMYFUNCTION("""COMPUTED_VALUE"""),27)</f>
        <v>27</v>
      </c>
      <c r="H352" s="1">
        <f ca="1">IFERROR(__xludf.DUMMYFUNCTION("""COMPUTED_VALUE"""),9)</f>
        <v>9</v>
      </c>
      <c r="I352" s="1" t="str">
        <f ca="1">IFERROR(__xludf.DUMMYFUNCTION("""COMPUTED_VALUE"""),"Purdue")</f>
        <v>Purdue</v>
      </c>
      <c r="J352" s="1" t="str">
        <f ca="1">IFERROR(__xludf.DUMMYFUNCTION("""COMPUTED_VALUE"""),"2011 Rnd 2 Pick 25")</f>
        <v>2011 Rnd 2 Pick 25</v>
      </c>
      <c r="K352" s="1" t="str">
        <f ca="1">IFERROR(__xludf.DUMMYFUNCTION("""COMPUTED_VALUE"""),"United States")</f>
        <v>United States</v>
      </c>
    </row>
    <row r="353" spans="1:11" ht="13" x14ac:dyDescent="0.15">
      <c r="A353" s="1" t="str">
        <f ca="1">IFERROR(__xludf.DUMMYFUNCTION("""COMPUTED_VALUE"""),"Ja Morant")</f>
        <v>Ja Morant</v>
      </c>
      <c r="B353" s="1" t="str">
        <f ca="1">IFERROR(__xludf.DUMMYFUNCTION("""COMPUTED_VALUE"""),"G")</f>
        <v>G</v>
      </c>
      <c r="C353" s="2">
        <f ca="1">IFERROR(__xludf.DUMMYFUNCTION("""COMPUTED_VALUE"""),44715)</f>
        <v>44715</v>
      </c>
      <c r="D353" s="1">
        <f ca="1">IFERROR(__xludf.DUMMYFUNCTION("""COMPUTED_VALUE"""),175)</f>
        <v>175</v>
      </c>
      <c r="E353" s="1">
        <f ca="1">IFERROR(__xludf.DUMMYFUNCTION("""COMPUTED_VALUE"""),21)</f>
        <v>21</v>
      </c>
      <c r="F353" s="1" t="str">
        <f ca="1">IFERROR(__xludf.DUMMYFUNCTION("""COMPUTED_VALUE"""),"MEM")</f>
        <v>MEM</v>
      </c>
      <c r="G353" s="1">
        <f ca="1">IFERROR(__xludf.DUMMYFUNCTION("""COMPUTED_VALUE"""),63)</f>
        <v>63</v>
      </c>
      <c r="H353" s="1">
        <f ca="1">IFERROR(__xludf.DUMMYFUNCTION("""COMPUTED_VALUE"""),1)</f>
        <v>1</v>
      </c>
      <c r="I353" s="1" t="str">
        <f ca="1">IFERROR(__xludf.DUMMYFUNCTION("""COMPUTED_VALUE"""),"Murray State")</f>
        <v>Murray State</v>
      </c>
      <c r="J353" s="1" t="str">
        <f ca="1">IFERROR(__xludf.DUMMYFUNCTION("""COMPUTED_VALUE"""),"2019 Rnd 1 Pick 2")</f>
        <v>2019 Rnd 1 Pick 2</v>
      </c>
      <c r="K353" s="1" t="str">
        <f ca="1">IFERROR(__xludf.DUMMYFUNCTION("""COMPUTED_VALUE"""),"United States")</f>
        <v>United States</v>
      </c>
    </row>
    <row r="354" spans="1:11" ht="13" x14ac:dyDescent="0.15">
      <c r="A354" s="1" t="str">
        <f ca="1">IFERROR(__xludf.DUMMYFUNCTION("""COMPUTED_VALUE"""),"Juwan Morgan")</f>
        <v>Juwan Morgan</v>
      </c>
      <c r="B354" s="1" t="str">
        <f ca="1">IFERROR(__xludf.DUMMYFUNCTION("""COMPUTED_VALUE"""),"PF")</f>
        <v>PF</v>
      </c>
      <c r="C354" s="2">
        <f ca="1">IFERROR(__xludf.DUMMYFUNCTION("""COMPUTED_VALUE"""),44719)</f>
        <v>44719</v>
      </c>
      <c r="D354" s="1">
        <f ca="1">IFERROR(__xludf.DUMMYFUNCTION("""COMPUTED_VALUE"""),232)</f>
        <v>232</v>
      </c>
      <c r="E354" s="1">
        <f ca="1">IFERROR(__xludf.DUMMYFUNCTION("""COMPUTED_VALUE"""),23)</f>
        <v>23</v>
      </c>
      <c r="F354" s="1" t="str">
        <f ca="1">IFERROR(__xludf.DUMMYFUNCTION("""COMPUTED_VALUE"""),"UTA")</f>
        <v>UTA</v>
      </c>
      <c r="G354" s="1">
        <f ca="1">IFERROR(__xludf.DUMMYFUNCTION("""COMPUTED_VALUE"""),29)</f>
        <v>29</v>
      </c>
      <c r="H354" s="1">
        <f ca="1">IFERROR(__xludf.DUMMYFUNCTION("""COMPUTED_VALUE"""),1)</f>
        <v>1</v>
      </c>
      <c r="I354" s="1" t="str">
        <f ca="1">IFERROR(__xludf.DUMMYFUNCTION("""COMPUTED_VALUE"""),"Indiana")</f>
        <v>Indiana</v>
      </c>
      <c r="J354" s="1" t="str">
        <f ca="1">IFERROR(__xludf.DUMMYFUNCTION("""COMPUTED_VALUE"""),"2019 NBA Draft, Undrafted")</f>
        <v>2019 NBA Draft, Undrafted</v>
      </c>
      <c r="K354" s="1" t="str">
        <f ca="1">IFERROR(__xludf.DUMMYFUNCTION("""COMPUTED_VALUE"""),"United States")</f>
        <v>United States</v>
      </c>
    </row>
    <row r="355" spans="1:11" ht="13" x14ac:dyDescent="0.15">
      <c r="A355" s="1" t="str">
        <f ca="1">IFERROR(__xludf.DUMMYFUNCTION("""COMPUTED_VALUE"""),"Marcus Morris")</f>
        <v>Marcus Morris</v>
      </c>
      <c r="B355" s="1" t="str">
        <f ca="1">IFERROR(__xludf.DUMMYFUNCTION("""COMPUTED_VALUE"""),"F")</f>
        <v>F</v>
      </c>
      <c r="C355" s="2">
        <f ca="1">IFERROR(__xludf.DUMMYFUNCTION("""COMPUTED_VALUE"""),44720)</f>
        <v>44720</v>
      </c>
      <c r="D355" s="1">
        <f ca="1">IFERROR(__xludf.DUMMYFUNCTION("""COMPUTED_VALUE"""),218)</f>
        <v>218</v>
      </c>
      <c r="E355" s="1">
        <f ca="1">IFERROR(__xludf.DUMMYFUNCTION("""COMPUTED_VALUE"""),31)</f>
        <v>31</v>
      </c>
      <c r="F355" s="1" t="str">
        <f ca="1">IFERROR(__xludf.DUMMYFUNCTION("""COMPUTED_VALUE"""),"LAC")</f>
        <v>LAC</v>
      </c>
      <c r="G355" s="1">
        <f ca="1">IFERROR(__xludf.DUMMYFUNCTION("""COMPUTED_VALUE"""),57)</f>
        <v>57</v>
      </c>
      <c r="H355" s="1">
        <f ca="1">IFERROR(__xludf.DUMMYFUNCTION("""COMPUTED_VALUE"""),9)</f>
        <v>9</v>
      </c>
      <c r="I355" s="1" t="str">
        <f ca="1">IFERROR(__xludf.DUMMYFUNCTION("""COMPUTED_VALUE"""),"Kansas")</f>
        <v>Kansas</v>
      </c>
      <c r="J355" s="1" t="str">
        <f ca="1">IFERROR(__xludf.DUMMYFUNCTION("""COMPUTED_VALUE"""),"2011 Rnd 1 Pick 14")</f>
        <v>2011 Rnd 1 Pick 14</v>
      </c>
      <c r="K355" s="1" t="str">
        <f ca="1">IFERROR(__xludf.DUMMYFUNCTION("""COMPUTED_VALUE"""),"United States")</f>
        <v>United States</v>
      </c>
    </row>
    <row r="356" spans="1:11" ht="13" x14ac:dyDescent="0.15">
      <c r="A356" s="1" t="str">
        <f ca="1">IFERROR(__xludf.DUMMYFUNCTION("""COMPUTED_VALUE"""),"Markieff Morris")</f>
        <v>Markieff Morris</v>
      </c>
      <c r="B356" s="1" t="str">
        <f ca="1">IFERROR(__xludf.DUMMYFUNCTION("""COMPUTED_VALUE"""),"PF")</f>
        <v>PF</v>
      </c>
      <c r="C356" s="2">
        <f ca="1">IFERROR(__xludf.DUMMYFUNCTION("""COMPUTED_VALUE"""),44722)</f>
        <v>44722</v>
      </c>
      <c r="D356" s="1">
        <f ca="1">IFERROR(__xludf.DUMMYFUNCTION("""COMPUTED_VALUE"""),245)</f>
        <v>245</v>
      </c>
      <c r="E356" s="1">
        <f ca="1">IFERROR(__xludf.DUMMYFUNCTION("""COMPUTED_VALUE"""),31)</f>
        <v>31</v>
      </c>
      <c r="F356" s="1" t="str">
        <f ca="1">IFERROR(__xludf.DUMMYFUNCTION("""COMPUTED_VALUE"""),"LAL")</f>
        <v>LAL</v>
      </c>
      <c r="G356" s="1">
        <f ca="1">IFERROR(__xludf.DUMMYFUNCTION("""COMPUTED_VALUE"""),61)</f>
        <v>61</v>
      </c>
      <c r="H356" s="1">
        <f ca="1">IFERROR(__xludf.DUMMYFUNCTION("""COMPUTED_VALUE"""),9)</f>
        <v>9</v>
      </c>
      <c r="I356" s="1" t="str">
        <f ca="1">IFERROR(__xludf.DUMMYFUNCTION("""COMPUTED_VALUE"""),"Kansas")</f>
        <v>Kansas</v>
      </c>
      <c r="J356" s="1" t="str">
        <f ca="1">IFERROR(__xludf.DUMMYFUNCTION("""COMPUTED_VALUE"""),"2011 Rnd 1 Pick 13")</f>
        <v>2011 Rnd 1 Pick 13</v>
      </c>
      <c r="K356" s="1" t="str">
        <f ca="1">IFERROR(__xludf.DUMMYFUNCTION("""COMPUTED_VALUE"""),"United States")</f>
        <v>United States</v>
      </c>
    </row>
    <row r="357" spans="1:11" ht="13" x14ac:dyDescent="0.15">
      <c r="A357" s="1" t="str">
        <f ca="1">IFERROR(__xludf.DUMMYFUNCTION("""COMPUTED_VALUE"""),"Monte Morris")</f>
        <v>Monte Morris</v>
      </c>
      <c r="B357" s="1" t="str">
        <f ca="1">IFERROR(__xludf.DUMMYFUNCTION("""COMPUTED_VALUE"""),"G")</f>
        <v>G</v>
      </c>
      <c r="C357" s="2">
        <f ca="1">IFERROR(__xludf.DUMMYFUNCTION("""COMPUTED_VALUE"""),44714)</f>
        <v>44714</v>
      </c>
      <c r="D357" s="1">
        <f ca="1">IFERROR(__xludf.DUMMYFUNCTION("""COMPUTED_VALUE"""),183)</f>
        <v>183</v>
      </c>
      <c r="E357" s="1">
        <f ca="1">IFERROR(__xludf.DUMMYFUNCTION("""COMPUTED_VALUE"""),25)</f>
        <v>25</v>
      </c>
      <c r="F357" s="1" t="str">
        <f ca="1">IFERROR(__xludf.DUMMYFUNCTION("""COMPUTED_VALUE"""),"DEN")</f>
        <v>DEN</v>
      </c>
      <c r="G357" s="1">
        <f ca="1">IFERROR(__xludf.DUMMYFUNCTION("""COMPUTED_VALUE"""),47)</f>
        <v>47</v>
      </c>
      <c r="H357" s="1">
        <f ca="1">IFERROR(__xludf.DUMMYFUNCTION("""COMPUTED_VALUE"""),3)</f>
        <v>3</v>
      </c>
      <c r="I357" s="1" t="str">
        <f ca="1">IFERROR(__xludf.DUMMYFUNCTION("""COMPUTED_VALUE"""),"Iowa State")</f>
        <v>Iowa State</v>
      </c>
      <c r="J357" s="1" t="str">
        <f ca="1">IFERROR(__xludf.DUMMYFUNCTION("""COMPUTED_VALUE"""),"2017 Rnd 2 Pick 21")</f>
        <v>2017 Rnd 2 Pick 21</v>
      </c>
      <c r="K357" s="1" t="str">
        <f ca="1">IFERROR(__xludf.DUMMYFUNCTION("""COMPUTED_VALUE"""),"United States
Nigeria")</f>
        <v>United States
Nigeria</v>
      </c>
    </row>
    <row r="358" spans="1:11" ht="13" x14ac:dyDescent="0.15">
      <c r="A358" s="1" t="str">
        <f ca="1">IFERROR(__xludf.DUMMYFUNCTION("""COMPUTED_VALUE"""),"Mychal Mulder")</f>
        <v>Mychal Mulder</v>
      </c>
      <c r="B358" s="1" t="str">
        <f ca="1">IFERROR(__xludf.DUMMYFUNCTION("""COMPUTED_VALUE"""),"GF")</f>
        <v>GF</v>
      </c>
      <c r="C358" s="2">
        <f ca="1">IFERROR(__xludf.DUMMYFUNCTION("""COMPUTED_VALUE"""),44715)</f>
        <v>44715</v>
      </c>
      <c r="D358" s="1">
        <f ca="1">IFERROR(__xludf.DUMMYFUNCTION("""COMPUTED_VALUE"""),195)</f>
        <v>195</v>
      </c>
      <c r="E358" s="1">
        <f ca="1">IFERROR(__xludf.DUMMYFUNCTION("""COMPUTED_VALUE"""),26)</f>
        <v>26</v>
      </c>
      <c r="F358" s="1" t="str">
        <f ca="1">IFERROR(__xludf.DUMMYFUNCTION("""COMPUTED_VALUE"""),"GSW")</f>
        <v>GSW</v>
      </c>
      <c r="G358" s="1">
        <f ca="1">IFERROR(__xludf.DUMMYFUNCTION("""COMPUTED_VALUE"""),60)</f>
        <v>60</v>
      </c>
      <c r="H358" s="1">
        <f ca="1">IFERROR(__xludf.DUMMYFUNCTION("""COMPUTED_VALUE"""),1)</f>
        <v>1</v>
      </c>
      <c r="I358" s="1" t="str">
        <f ca="1">IFERROR(__xludf.DUMMYFUNCTION("""COMPUTED_VALUE"""),"Kentucky")</f>
        <v>Kentucky</v>
      </c>
      <c r="J358" s="1" t="str">
        <f ca="1">IFERROR(__xludf.DUMMYFUNCTION("""COMPUTED_VALUE"""),"2017 NBA Draft, Undrafted")</f>
        <v>2017 NBA Draft, Undrafted</v>
      </c>
      <c r="K358" s="1" t="str">
        <f ca="1">IFERROR(__xludf.DUMMYFUNCTION("""COMPUTED_VALUE"""),"Canada")</f>
        <v>Canada</v>
      </c>
    </row>
    <row r="359" spans="1:11" ht="13" x14ac:dyDescent="0.15">
      <c r="A359" s="1" t="str">
        <f ca="1">IFERROR(__xludf.DUMMYFUNCTION("""COMPUTED_VALUE"""),"Dejounte Murray")</f>
        <v>Dejounte Murray</v>
      </c>
      <c r="B359" s="1" t="str">
        <f ca="1">IFERROR(__xludf.DUMMYFUNCTION("""COMPUTED_VALUE"""),"SG")</f>
        <v>SG</v>
      </c>
      <c r="C359" s="2">
        <f ca="1">IFERROR(__xludf.DUMMYFUNCTION("""COMPUTED_VALUE"""),44717)</f>
        <v>44717</v>
      </c>
      <c r="D359" s="1">
        <f ca="1">IFERROR(__xludf.DUMMYFUNCTION("""COMPUTED_VALUE"""),180)</f>
        <v>180</v>
      </c>
      <c r="E359" s="1">
        <f ca="1">IFERROR(__xludf.DUMMYFUNCTION("""COMPUTED_VALUE"""),24)</f>
        <v>24</v>
      </c>
      <c r="F359" s="1" t="str">
        <f ca="1">IFERROR(__xludf.DUMMYFUNCTION("""COMPUTED_VALUE"""),"SAS")</f>
        <v>SAS</v>
      </c>
      <c r="G359" s="1">
        <f ca="1">IFERROR(__xludf.DUMMYFUNCTION("""COMPUTED_VALUE"""),67)</f>
        <v>67</v>
      </c>
      <c r="H359" s="1">
        <f ca="1">IFERROR(__xludf.DUMMYFUNCTION("""COMPUTED_VALUE"""),4)</f>
        <v>4</v>
      </c>
      <c r="I359" s="1" t="str">
        <f ca="1">IFERROR(__xludf.DUMMYFUNCTION("""COMPUTED_VALUE"""),"Washington")</f>
        <v>Washington</v>
      </c>
      <c r="J359" s="1" t="str">
        <f ca="1">IFERROR(__xludf.DUMMYFUNCTION("""COMPUTED_VALUE"""),"2016 Rnd 1 Pick 29")</f>
        <v>2016 Rnd 1 Pick 29</v>
      </c>
      <c r="K359" s="1" t="str">
        <f ca="1">IFERROR(__xludf.DUMMYFUNCTION("""COMPUTED_VALUE"""),"United States")</f>
        <v>United States</v>
      </c>
    </row>
    <row r="360" spans="1:11" ht="13" x14ac:dyDescent="0.15">
      <c r="A360" s="1" t="str">
        <f ca="1">IFERROR(__xludf.DUMMYFUNCTION("""COMPUTED_VALUE"""),"Jamal Murray")</f>
        <v>Jamal Murray</v>
      </c>
      <c r="B360" s="1" t="str">
        <f ca="1">IFERROR(__xludf.DUMMYFUNCTION("""COMPUTED_VALUE"""),"SG")</f>
        <v>SG</v>
      </c>
      <c r="C360" s="2">
        <f ca="1">IFERROR(__xludf.DUMMYFUNCTION("""COMPUTED_VALUE"""),44716)</f>
        <v>44716</v>
      </c>
      <c r="D360" s="1">
        <f ca="1">IFERROR(__xludf.DUMMYFUNCTION("""COMPUTED_VALUE"""),215)</f>
        <v>215</v>
      </c>
      <c r="E360" s="1">
        <f ca="1">IFERROR(__xludf.DUMMYFUNCTION("""COMPUTED_VALUE"""),24)</f>
        <v>24</v>
      </c>
      <c r="F360" s="1" t="str">
        <f ca="1">IFERROR(__xludf.DUMMYFUNCTION("""COMPUTED_VALUE"""),"DEN")</f>
        <v>DEN</v>
      </c>
      <c r="G360" s="1">
        <f ca="1">IFERROR(__xludf.DUMMYFUNCTION("""COMPUTED_VALUE"""),48)</f>
        <v>48</v>
      </c>
      <c r="H360" s="1">
        <f ca="1">IFERROR(__xludf.DUMMYFUNCTION("""COMPUTED_VALUE"""),4)</f>
        <v>4</v>
      </c>
      <c r="I360" s="1" t="str">
        <f ca="1">IFERROR(__xludf.DUMMYFUNCTION("""COMPUTED_VALUE"""),"Kentucky")</f>
        <v>Kentucky</v>
      </c>
      <c r="J360" s="1" t="str">
        <f ca="1">IFERROR(__xludf.DUMMYFUNCTION("""COMPUTED_VALUE"""),"2016 Rnd 1 Pick 7")</f>
        <v>2016 Rnd 1 Pick 7</v>
      </c>
      <c r="K360" s="1" t="str">
        <f ca="1">IFERROR(__xludf.DUMMYFUNCTION("""COMPUTED_VALUE"""),"Canada")</f>
        <v>Canada</v>
      </c>
    </row>
    <row r="361" spans="1:11" ht="13" x14ac:dyDescent="0.15">
      <c r="A361" s="1" t="str">
        <f ca="1">IFERROR(__xludf.DUMMYFUNCTION("""COMPUTED_VALUE"""),"Mike Muscala")</f>
        <v>Mike Muscala</v>
      </c>
      <c r="B361" s="1" t="str">
        <f ca="1">IFERROR(__xludf.DUMMYFUNCTION("""COMPUTED_VALUE"""),"FC")</f>
        <v>FC</v>
      </c>
      <c r="C361" s="2">
        <f ca="1">IFERROR(__xludf.DUMMYFUNCTION("""COMPUTED_VALUE"""),44723)</f>
        <v>44723</v>
      </c>
      <c r="D361" s="1">
        <f ca="1">IFERROR(__xludf.DUMMYFUNCTION("""COMPUTED_VALUE"""),240)</f>
        <v>240</v>
      </c>
      <c r="E361" s="1">
        <f ca="1">IFERROR(__xludf.DUMMYFUNCTION("""COMPUTED_VALUE"""),29)</f>
        <v>29</v>
      </c>
      <c r="F361" s="1" t="str">
        <f ca="1">IFERROR(__xludf.DUMMYFUNCTION("""COMPUTED_VALUE"""),"OKC")</f>
        <v>OKC</v>
      </c>
      <c r="G361" s="1">
        <f ca="1">IFERROR(__xludf.DUMMYFUNCTION("""COMPUTED_VALUE"""),35)</f>
        <v>35</v>
      </c>
      <c r="H361" s="1">
        <f ca="1">IFERROR(__xludf.DUMMYFUNCTION("""COMPUTED_VALUE"""),7)</f>
        <v>7</v>
      </c>
      <c r="I361" s="1" t="str">
        <f ca="1">IFERROR(__xludf.DUMMYFUNCTION("""COMPUTED_VALUE"""),"Bucknell")</f>
        <v>Bucknell</v>
      </c>
      <c r="J361" s="1" t="str">
        <f ca="1">IFERROR(__xludf.DUMMYFUNCTION("""COMPUTED_VALUE"""),"2013 Rnd 2 Pick 14")</f>
        <v>2013 Rnd 2 Pick 14</v>
      </c>
      <c r="K361" s="1" t="str">
        <f ca="1">IFERROR(__xludf.DUMMYFUNCTION("""COMPUTED_VALUE"""),"United States")</f>
        <v>United States</v>
      </c>
    </row>
    <row r="362" spans="1:11" ht="13" x14ac:dyDescent="0.15">
      <c r="A362" s="1" t="str">
        <f ca="1">IFERROR(__xludf.DUMMYFUNCTION("""COMPUTED_VALUE"""),"Svi Mykhailiuk")</f>
        <v>Svi Mykhailiuk</v>
      </c>
      <c r="B362" s="1" t="str">
        <f ca="1">IFERROR(__xludf.DUMMYFUNCTION("""COMPUTED_VALUE"""),"SF")</f>
        <v>SF</v>
      </c>
      <c r="C362" s="2">
        <f ca="1">IFERROR(__xludf.DUMMYFUNCTION("""COMPUTED_VALUE"""),44720)</f>
        <v>44720</v>
      </c>
      <c r="D362" s="1">
        <f ca="1">IFERROR(__xludf.DUMMYFUNCTION("""COMPUTED_VALUE"""),205)</f>
        <v>205</v>
      </c>
      <c r="E362" s="1">
        <f ca="1">IFERROR(__xludf.DUMMYFUNCTION("""COMPUTED_VALUE"""),23)</f>
        <v>23</v>
      </c>
      <c r="F362" s="1" t="str">
        <f ca="1">IFERROR(__xludf.DUMMYFUNCTION("""COMPUTED_VALUE"""),"DET, OKC")</f>
        <v>DET, OKC</v>
      </c>
      <c r="G362" s="1">
        <f ca="1">IFERROR(__xludf.DUMMYFUNCTION("""COMPUTED_VALUE"""),66)</f>
        <v>66</v>
      </c>
      <c r="H362" s="1">
        <f ca="1">IFERROR(__xludf.DUMMYFUNCTION("""COMPUTED_VALUE"""),2)</f>
        <v>2</v>
      </c>
      <c r="I362" s="1" t="str">
        <f ca="1">IFERROR(__xludf.DUMMYFUNCTION("""COMPUTED_VALUE"""),"Kansas")</f>
        <v>Kansas</v>
      </c>
      <c r="J362" s="1" t="str">
        <f ca="1">IFERROR(__xludf.DUMMYFUNCTION("""COMPUTED_VALUE"""),"2018 Rnd 2 Pick 17")</f>
        <v>2018 Rnd 2 Pick 17</v>
      </c>
      <c r="K362" s="1" t="str">
        <f ca="1">IFERROR(__xludf.DUMMYFUNCTION("""COMPUTED_VALUE"""),"Ukraine")</f>
        <v>Ukraine</v>
      </c>
    </row>
    <row r="363" spans="1:11" ht="13" x14ac:dyDescent="0.15">
      <c r="A363" s="1" t="str">
        <f ca="1">IFERROR(__xludf.DUMMYFUNCTION("""COMPUTED_VALUE"""),"Abdel Nader")</f>
        <v>Abdel Nader</v>
      </c>
      <c r="B363" s="1" t="str">
        <f ca="1">IFERROR(__xludf.DUMMYFUNCTION("""COMPUTED_VALUE"""),"SF")</f>
        <v>SF</v>
      </c>
      <c r="C363" s="2">
        <f ca="1">IFERROR(__xludf.DUMMYFUNCTION("""COMPUTED_VALUE"""),44718)</f>
        <v>44718</v>
      </c>
      <c r="D363" s="1">
        <f ca="1">IFERROR(__xludf.DUMMYFUNCTION("""COMPUTED_VALUE"""),225)</f>
        <v>225</v>
      </c>
      <c r="E363" s="1">
        <f ca="1">IFERROR(__xludf.DUMMYFUNCTION("""COMPUTED_VALUE"""),27)</f>
        <v>27</v>
      </c>
      <c r="F363" s="1" t="str">
        <f ca="1">IFERROR(__xludf.DUMMYFUNCTION("""COMPUTED_VALUE"""),"PHX")</f>
        <v>PHX</v>
      </c>
      <c r="G363" s="1">
        <f ca="1">IFERROR(__xludf.DUMMYFUNCTION("""COMPUTED_VALUE"""),24)</f>
        <v>24</v>
      </c>
      <c r="H363" s="1">
        <f ca="1">IFERROR(__xludf.DUMMYFUNCTION("""COMPUTED_VALUE"""),3)</f>
        <v>3</v>
      </c>
      <c r="I363" s="1" t="str">
        <f ca="1">IFERROR(__xludf.DUMMYFUNCTION("""COMPUTED_VALUE"""),"Iowa State")</f>
        <v>Iowa State</v>
      </c>
      <c r="J363" s="1" t="str">
        <f ca="1">IFERROR(__xludf.DUMMYFUNCTION("""COMPUTED_VALUE"""),"2016 Rnd 2 Pick 28")</f>
        <v>2016 Rnd 2 Pick 28</v>
      </c>
      <c r="K363" s="1" t="str">
        <f ca="1">IFERROR(__xludf.DUMMYFUNCTION("""COMPUTED_VALUE"""),"United States
Egypt")</f>
        <v>United States
Egypt</v>
      </c>
    </row>
    <row r="364" spans="1:11" ht="13" x14ac:dyDescent="0.15">
      <c r="A364" s="1" t="str">
        <f ca="1">IFERROR(__xludf.DUMMYFUNCTION("""COMPUTED_VALUE"""),"Larry Nance Jr.")</f>
        <v>Larry Nance Jr.</v>
      </c>
      <c r="B364" s="1" t="str">
        <f ca="1">IFERROR(__xludf.DUMMYFUNCTION("""COMPUTED_VALUE"""),"SF")</f>
        <v>SF</v>
      </c>
      <c r="C364" s="2">
        <f ca="1">IFERROR(__xludf.DUMMYFUNCTION("""COMPUTED_VALUE"""),44719)</f>
        <v>44719</v>
      </c>
      <c r="D364" s="1">
        <f ca="1">IFERROR(__xludf.DUMMYFUNCTION("""COMPUTED_VALUE"""),245)</f>
        <v>245</v>
      </c>
      <c r="E364" s="1">
        <f ca="1">IFERROR(__xludf.DUMMYFUNCTION("""COMPUTED_VALUE"""),28)</f>
        <v>28</v>
      </c>
      <c r="F364" s="1" t="str">
        <f ca="1">IFERROR(__xludf.DUMMYFUNCTION("""COMPUTED_VALUE"""),"CLE")</f>
        <v>CLE</v>
      </c>
      <c r="G364" s="1">
        <f ca="1">IFERROR(__xludf.DUMMYFUNCTION("""COMPUTED_VALUE"""),35)</f>
        <v>35</v>
      </c>
      <c r="H364" s="1">
        <f ca="1">IFERROR(__xludf.DUMMYFUNCTION("""COMPUTED_VALUE"""),5)</f>
        <v>5</v>
      </c>
      <c r="I364" s="1" t="str">
        <f ca="1">IFERROR(__xludf.DUMMYFUNCTION("""COMPUTED_VALUE"""),"Wyoming")</f>
        <v>Wyoming</v>
      </c>
      <c r="J364" s="1" t="str">
        <f ca="1">IFERROR(__xludf.DUMMYFUNCTION("""COMPUTED_VALUE"""),"2015 Rnd 1 Pick 27")</f>
        <v>2015 Rnd 1 Pick 27</v>
      </c>
      <c r="K364" s="1" t="str">
        <f ca="1">IFERROR(__xludf.DUMMYFUNCTION("""COMPUTED_VALUE"""),"United States")</f>
        <v>United States</v>
      </c>
    </row>
    <row r="365" spans="1:11" ht="13" x14ac:dyDescent="0.15">
      <c r="A365" s="1" t="str">
        <f ca="1">IFERROR(__xludf.DUMMYFUNCTION("""COMPUTED_VALUE"""),"Aaron Nesmith")</f>
        <v>Aaron Nesmith</v>
      </c>
      <c r="B365" s="1" t="str">
        <f ca="1">IFERROR(__xludf.DUMMYFUNCTION("""COMPUTED_VALUE"""),"F")</f>
        <v>F</v>
      </c>
      <c r="C365" s="2">
        <f ca="1">IFERROR(__xludf.DUMMYFUNCTION("""COMPUTED_VALUE"""),44718)</f>
        <v>44718</v>
      </c>
      <c r="D365" s="1">
        <f ca="1">IFERROR(__xludf.DUMMYFUNCTION("""COMPUTED_VALUE"""),213)</f>
        <v>213</v>
      </c>
      <c r="E365" s="1">
        <f ca="1">IFERROR(__xludf.DUMMYFUNCTION("""COMPUTED_VALUE"""),21)</f>
        <v>21</v>
      </c>
      <c r="F365" s="1" t="str">
        <f ca="1">IFERROR(__xludf.DUMMYFUNCTION("""COMPUTED_VALUE"""),"BOS")</f>
        <v>BOS</v>
      </c>
      <c r="G365" s="1">
        <f ca="1">IFERROR(__xludf.DUMMYFUNCTION("""COMPUTED_VALUE"""),46)</f>
        <v>46</v>
      </c>
      <c r="H365" s="1">
        <f ca="1">IFERROR(__xludf.DUMMYFUNCTION("""COMPUTED_VALUE"""),0)</f>
        <v>0</v>
      </c>
      <c r="I365" s="1" t="str">
        <f ca="1">IFERROR(__xludf.DUMMYFUNCTION("""COMPUTED_VALUE"""),"Vanderbilt")</f>
        <v>Vanderbilt</v>
      </c>
      <c r="J365" s="1" t="str">
        <f ca="1">IFERROR(__xludf.DUMMYFUNCTION("""COMPUTED_VALUE"""),"2020 Rnd 1 Pick 14")</f>
        <v>2020 Rnd 1 Pick 14</v>
      </c>
      <c r="K365" s="1" t="str">
        <f ca="1">IFERROR(__xludf.DUMMYFUNCTION("""COMPUTED_VALUE"""),"United States")</f>
        <v>United States</v>
      </c>
    </row>
    <row r="366" spans="1:11" ht="13" x14ac:dyDescent="0.15">
      <c r="A366" s="1" t="str">
        <f ca="1">IFERROR(__xludf.DUMMYFUNCTION("""COMPUTED_VALUE"""),"Raulzinho Neto")</f>
        <v>Raulzinho Neto</v>
      </c>
      <c r="B366" s="1" t="str">
        <f ca="1">IFERROR(__xludf.DUMMYFUNCTION("""COMPUTED_VALUE"""),"PG")</f>
        <v>PG</v>
      </c>
      <c r="C366" s="2">
        <f ca="1">IFERROR(__xludf.DUMMYFUNCTION("""COMPUTED_VALUE"""),44713)</f>
        <v>44713</v>
      </c>
      <c r="D366" s="1">
        <f ca="1">IFERROR(__xludf.DUMMYFUNCTION("""COMPUTED_VALUE"""),180)</f>
        <v>180</v>
      </c>
      <c r="E366" s="1">
        <f ca="1">IFERROR(__xludf.DUMMYFUNCTION("""COMPUTED_VALUE"""),28)</f>
        <v>28</v>
      </c>
      <c r="F366" s="1" t="str">
        <f ca="1">IFERROR(__xludf.DUMMYFUNCTION("""COMPUTED_VALUE"""),"WAS")</f>
        <v>WAS</v>
      </c>
      <c r="G366" s="1">
        <f ca="1">IFERROR(__xludf.DUMMYFUNCTION("""COMPUTED_VALUE"""),64)</f>
        <v>64</v>
      </c>
      <c r="H366" s="1">
        <f ca="1">IFERROR(__xludf.DUMMYFUNCTION("""COMPUTED_VALUE"""),5)</f>
        <v>5</v>
      </c>
      <c r="I366" s="1" t="str">
        <f ca="1">IFERROR(__xludf.DUMMYFUNCTION("""COMPUTED_VALUE"""),"Acunsa GBC (Spain)")</f>
        <v>Acunsa GBC (Spain)</v>
      </c>
      <c r="J366" s="1" t="str">
        <f ca="1">IFERROR(__xludf.DUMMYFUNCTION("""COMPUTED_VALUE"""),"2013 Rnd 2 Pick 17")</f>
        <v>2013 Rnd 2 Pick 17</v>
      </c>
      <c r="K366" s="1" t="str">
        <f ca="1">IFERROR(__xludf.DUMMYFUNCTION("""COMPUTED_VALUE"""),"Brazil")</f>
        <v>Brazil</v>
      </c>
    </row>
    <row r="367" spans="1:11" ht="13" x14ac:dyDescent="0.15">
      <c r="A367" s="1" t="str">
        <f ca="1">IFERROR(__xludf.DUMMYFUNCTION("""COMPUTED_VALUE"""),"Georges Niang")</f>
        <v>Georges Niang</v>
      </c>
      <c r="B367" s="1" t="str">
        <f ca="1">IFERROR(__xludf.DUMMYFUNCTION("""COMPUTED_VALUE"""),"F")</f>
        <v>F</v>
      </c>
      <c r="C367" s="2">
        <f ca="1">IFERROR(__xludf.DUMMYFUNCTION("""COMPUTED_VALUE"""),44719)</f>
        <v>44719</v>
      </c>
      <c r="D367" s="1">
        <f ca="1">IFERROR(__xludf.DUMMYFUNCTION("""COMPUTED_VALUE"""),235)</f>
        <v>235</v>
      </c>
      <c r="E367" s="1">
        <f ca="1">IFERROR(__xludf.DUMMYFUNCTION("""COMPUTED_VALUE"""),27)</f>
        <v>27</v>
      </c>
      <c r="F367" s="1" t="str">
        <f ca="1">IFERROR(__xludf.DUMMYFUNCTION("""COMPUTED_VALUE"""),"UTA")</f>
        <v>UTA</v>
      </c>
      <c r="G367" s="1">
        <f ca="1">IFERROR(__xludf.DUMMYFUNCTION("""COMPUTED_VALUE"""),72)</f>
        <v>72</v>
      </c>
      <c r="H367" s="1">
        <f ca="1">IFERROR(__xludf.DUMMYFUNCTION("""COMPUTED_VALUE"""),4)</f>
        <v>4</v>
      </c>
      <c r="I367" s="1" t="str">
        <f ca="1">IFERROR(__xludf.DUMMYFUNCTION("""COMPUTED_VALUE"""),"Iowa State")</f>
        <v>Iowa State</v>
      </c>
      <c r="J367" s="1" t="str">
        <f ca="1">IFERROR(__xludf.DUMMYFUNCTION("""COMPUTED_VALUE"""),"2016 Rnd 2 Pick 20")</f>
        <v>2016 Rnd 2 Pick 20</v>
      </c>
      <c r="K367" s="1" t="str">
        <f ca="1">IFERROR(__xludf.DUMMYFUNCTION("""COMPUTED_VALUE"""),"United States")</f>
        <v>United States</v>
      </c>
    </row>
    <row r="368" spans="1:11" ht="13" x14ac:dyDescent="0.15">
      <c r="A368" s="1" t="str">
        <f ca="1">IFERROR(__xludf.DUMMYFUNCTION("""COMPUTED_VALUE"""),"Zeke Nnaji")</f>
        <v>Zeke Nnaji</v>
      </c>
      <c r="B368" s="1" t="str">
        <f ca="1">IFERROR(__xludf.DUMMYFUNCTION("""COMPUTED_VALUE"""),"PF")</f>
        <v>PF</v>
      </c>
      <c r="C368" s="2">
        <f ca="1">IFERROR(__xludf.DUMMYFUNCTION("""COMPUTED_VALUE"""),44723)</f>
        <v>44723</v>
      </c>
      <c r="D368" s="1">
        <f ca="1">IFERROR(__xludf.DUMMYFUNCTION("""COMPUTED_VALUE"""),240)</f>
        <v>240</v>
      </c>
      <c r="E368" s="1">
        <f ca="1">IFERROR(__xludf.DUMMYFUNCTION("""COMPUTED_VALUE"""),20)</f>
        <v>20</v>
      </c>
      <c r="F368" s="1" t="str">
        <f ca="1">IFERROR(__xludf.DUMMYFUNCTION("""COMPUTED_VALUE"""),"DEN")</f>
        <v>DEN</v>
      </c>
      <c r="G368" s="1">
        <f ca="1">IFERROR(__xludf.DUMMYFUNCTION("""COMPUTED_VALUE"""),42)</f>
        <v>42</v>
      </c>
      <c r="H368" s="1">
        <f ca="1">IFERROR(__xludf.DUMMYFUNCTION("""COMPUTED_VALUE"""),0)</f>
        <v>0</v>
      </c>
      <c r="I368" s="1" t="str">
        <f ca="1">IFERROR(__xludf.DUMMYFUNCTION("""COMPUTED_VALUE"""),"Arizona")</f>
        <v>Arizona</v>
      </c>
      <c r="J368" s="1" t="str">
        <f ca="1">IFERROR(__xludf.DUMMYFUNCTION("""COMPUTED_VALUE"""),"2020 Rnd 1 Pick 22")</f>
        <v>2020 Rnd 1 Pick 22</v>
      </c>
      <c r="K368" s="1" t="str">
        <f ca="1">IFERROR(__xludf.DUMMYFUNCTION("""COMPUTED_VALUE"""),"United States")</f>
        <v>United States</v>
      </c>
    </row>
    <row r="369" spans="1:11" ht="13" x14ac:dyDescent="0.15">
      <c r="A369" s="1" t="str">
        <f ca="1">IFERROR(__xludf.DUMMYFUNCTION("""COMPUTED_VALUE"""),"Nerlens Noel")</f>
        <v>Nerlens Noel</v>
      </c>
      <c r="B369" s="1" t="str">
        <f ca="1">IFERROR(__xludf.DUMMYFUNCTION("""COMPUTED_VALUE"""),"FC")</f>
        <v>FC</v>
      </c>
      <c r="C369" s="2">
        <f ca="1">IFERROR(__xludf.DUMMYFUNCTION("""COMPUTED_VALUE"""),44723)</f>
        <v>44723</v>
      </c>
      <c r="D369" s="1">
        <f ca="1">IFERROR(__xludf.DUMMYFUNCTION("""COMPUTED_VALUE"""),220)</f>
        <v>220</v>
      </c>
      <c r="E369" s="1">
        <f ca="1">IFERROR(__xludf.DUMMYFUNCTION("""COMPUTED_VALUE"""),26)</f>
        <v>26</v>
      </c>
      <c r="F369" s="1" t="str">
        <f ca="1">IFERROR(__xludf.DUMMYFUNCTION("""COMPUTED_VALUE"""),"NYK")</f>
        <v>NYK</v>
      </c>
      <c r="G369" s="1">
        <f ca="1">IFERROR(__xludf.DUMMYFUNCTION("""COMPUTED_VALUE"""),64)</f>
        <v>64</v>
      </c>
      <c r="H369" s="1">
        <f ca="1">IFERROR(__xludf.DUMMYFUNCTION("""COMPUTED_VALUE"""),7)</f>
        <v>7</v>
      </c>
      <c r="I369" s="1" t="str">
        <f ca="1">IFERROR(__xludf.DUMMYFUNCTION("""COMPUTED_VALUE"""),"Kentucky")</f>
        <v>Kentucky</v>
      </c>
      <c r="J369" s="1" t="str">
        <f ca="1">IFERROR(__xludf.DUMMYFUNCTION("""COMPUTED_VALUE"""),"2013 Rnd 1 Pick 6")</f>
        <v>2013 Rnd 1 Pick 6</v>
      </c>
      <c r="K369" s="1" t="str">
        <f ca="1">IFERROR(__xludf.DUMMYFUNCTION("""COMPUTED_VALUE"""),"United States")</f>
        <v>United States</v>
      </c>
    </row>
    <row r="370" spans="1:11" ht="13" x14ac:dyDescent="0.15">
      <c r="A370" s="1" t="str">
        <f ca="1">IFERROR(__xludf.DUMMYFUNCTION("""COMPUTED_VALUE"""),"Jaylen Nowell")</f>
        <v>Jaylen Nowell</v>
      </c>
      <c r="B370" s="1" t="str">
        <f ca="1">IFERROR(__xludf.DUMMYFUNCTION("""COMPUTED_VALUE"""),"SG")</f>
        <v>SG</v>
      </c>
      <c r="C370" s="2">
        <f ca="1">IFERROR(__xludf.DUMMYFUNCTION("""COMPUTED_VALUE"""),44716)</f>
        <v>44716</v>
      </c>
      <c r="D370" s="1">
        <f ca="1">IFERROR(__xludf.DUMMYFUNCTION("""COMPUTED_VALUE"""),197)</f>
        <v>197</v>
      </c>
      <c r="E370" s="1">
        <f ca="1">IFERROR(__xludf.DUMMYFUNCTION("""COMPUTED_VALUE"""),21)</f>
        <v>21</v>
      </c>
      <c r="F370" s="1" t="str">
        <f ca="1">IFERROR(__xludf.DUMMYFUNCTION("""COMPUTED_VALUE"""),"MIN")</f>
        <v>MIN</v>
      </c>
      <c r="G370" s="1">
        <f ca="1">IFERROR(__xludf.DUMMYFUNCTION("""COMPUTED_VALUE"""),42)</f>
        <v>42</v>
      </c>
      <c r="H370" s="1">
        <f ca="1">IFERROR(__xludf.DUMMYFUNCTION("""COMPUTED_VALUE"""),1)</f>
        <v>1</v>
      </c>
      <c r="I370" s="1" t="str">
        <f ca="1">IFERROR(__xludf.DUMMYFUNCTION("""COMPUTED_VALUE"""),"Washington")</f>
        <v>Washington</v>
      </c>
      <c r="J370" s="1" t="str">
        <f ca="1">IFERROR(__xludf.DUMMYFUNCTION("""COMPUTED_VALUE"""),"2019 Rnd 2 Pick 13")</f>
        <v>2019 Rnd 2 Pick 13</v>
      </c>
      <c r="K370" s="1" t="str">
        <f ca="1">IFERROR(__xludf.DUMMYFUNCTION("""COMPUTED_VALUE"""),"United States")</f>
        <v>United States</v>
      </c>
    </row>
    <row r="371" spans="1:11" ht="13" x14ac:dyDescent="0.15">
      <c r="A371" s="1" t="str">
        <f ca="1">IFERROR(__xludf.DUMMYFUNCTION("""COMPUTED_VALUE"""),"Frank Ntilikina")</f>
        <v>Frank Ntilikina</v>
      </c>
      <c r="B371" s="1" t="str">
        <f ca="1">IFERROR(__xludf.DUMMYFUNCTION("""COMPUTED_VALUE"""),"PG")</f>
        <v>PG</v>
      </c>
      <c r="C371" s="2">
        <f ca="1">IFERROR(__xludf.DUMMYFUNCTION("""COMPUTED_VALUE"""),44718)</f>
        <v>44718</v>
      </c>
      <c r="D371" s="1">
        <f ca="1">IFERROR(__xludf.DUMMYFUNCTION("""COMPUTED_VALUE"""),200)</f>
        <v>200</v>
      </c>
      <c r="E371" s="1">
        <f ca="1">IFERROR(__xludf.DUMMYFUNCTION("""COMPUTED_VALUE"""),22)</f>
        <v>22</v>
      </c>
      <c r="F371" s="1" t="str">
        <f ca="1">IFERROR(__xludf.DUMMYFUNCTION("""COMPUTED_VALUE"""),"NYK")</f>
        <v>NYK</v>
      </c>
      <c r="G371" s="1">
        <f ca="1">IFERROR(__xludf.DUMMYFUNCTION("""COMPUTED_VALUE"""),33)</f>
        <v>33</v>
      </c>
      <c r="H371" s="1">
        <f ca="1">IFERROR(__xludf.DUMMYFUNCTION("""COMPUTED_VALUE"""),3)</f>
        <v>3</v>
      </c>
      <c r="I371" s="1" t="str">
        <f ca="1">IFERROR(__xludf.DUMMYFUNCTION("""COMPUTED_VALUE"""),"Strasbourg IG (France)")</f>
        <v>Strasbourg IG (France)</v>
      </c>
      <c r="J371" s="1" t="str">
        <f ca="1">IFERROR(__xludf.DUMMYFUNCTION("""COMPUTED_VALUE"""),"2017 Rnd 1 Pick 8")</f>
        <v>2017 Rnd 1 Pick 8</v>
      </c>
      <c r="K371" s="1" t="str">
        <f ca="1">IFERROR(__xludf.DUMMYFUNCTION("""COMPUTED_VALUE"""),"Belgium
France")</f>
        <v>Belgium
France</v>
      </c>
    </row>
    <row r="372" spans="1:11" ht="13" x14ac:dyDescent="0.15">
      <c r="A372" s="1" t="str">
        <f ca="1">IFERROR(__xludf.DUMMYFUNCTION("""COMPUTED_VALUE"""),"Kendrick Nunn")</f>
        <v>Kendrick Nunn</v>
      </c>
      <c r="B372" s="1" t="str">
        <f ca="1">IFERROR(__xludf.DUMMYFUNCTION("""COMPUTED_VALUE"""),"SG")</f>
        <v>SG</v>
      </c>
      <c r="C372" s="2">
        <f ca="1">IFERROR(__xludf.DUMMYFUNCTION("""COMPUTED_VALUE"""),44715)</f>
        <v>44715</v>
      </c>
      <c r="D372" s="1">
        <f ca="1">IFERROR(__xludf.DUMMYFUNCTION("""COMPUTED_VALUE"""),195)</f>
        <v>195</v>
      </c>
      <c r="E372" s="1">
        <f ca="1">IFERROR(__xludf.DUMMYFUNCTION("""COMPUTED_VALUE"""),25)</f>
        <v>25</v>
      </c>
      <c r="F372" s="1" t="str">
        <f ca="1">IFERROR(__xludf.DUMMYFUNCTION("""COMPUTED_VALUE"""),"MIA")</f>
        <v>MIA</v>
      </c>
      <c r="G372" s="1">
        <f ca="1">IFERROR(__xludf.DUMMYFUNCTION("""COMPUTED_VALUE"""),56)</f>
        <v>56</v>
      </c>
      <c r="H372" s="1">
        <f ca="1">IFERROR(__xludf.DUMMYFUNCTION("""COMPUTED_VALUE"""),2)</f>
        <v>2</v>
      </c>
      <c r="I372" s="1" t="str">
        <f ca="1">IFERROR(__xludf.DUMMYFUNCTION("""COMPUTED_VALUE"""),"Oakland")</f>
        <v>Oakland</v>
      </c>
      <c r="J372" s="1" t="str">
        <f ca="1">IFERROR(__xludf.DUMMYFUNCTION("""COMPUTED_VALUE"""),"2018 NBA Draft, Undrafted")</f>
        <v>2018 NBA Draft, Undrafted</v>
      </c>
      <c r="K372" s="1" t="str">
        <f ca="1">IFERROR(__xludf.DUMMYFUNCTION("""COMPUTED_VALUE"""),"United States")</f>
        <v>United States</v>
      </c>
    </row>
    <row r="373" spans="1:11" ht="13" x14ac:dyDescent="0.15">
      <c r="A373" s="1" t="str">
        <f ca="1">IFERROR(__xludf.DUMMYFUNCTION("""COMPUTED_VALUE"""),"James Nunnally")</f>
        <v>James Nunnally</v>
      </c>
      <c r="B373" s="1" t="str">
        <f ca="1">IFERROR(__xludf.DUMMYFUNCTION("""COMPUTED_VALUE"""),"F")</f>
        <v>F</v>
      </c>
      <c r="C373" s="2">
        <f ca="1">IFERROR(__xludf.DUMMYFUNCTION("""COMPUTED_VALUE"""),44719)</f>
        <v>44719</v>
      </c>
      <c r="D373" s="1">
        <f ca="1">IFERROR(__xludf.DUMMYFUNCTION("""COMPUTED_VALUE"""),220)</f>
        <v>220</v>
      </c>
      <c r="E373" s="1">
        <f ca="1">IFERROR(__xludf.DUMMYFUNCTION("""COMPUTED_VALUE"""),30)</f>
        <v>30</v>
      </c>
      <c r="F373" s="1" t="str">
        <f ca="1">IFERROR(__xludf.DUMMYFUNCTION("""COMPUTED_VALUE"""),"NOP")</f>
        <v>NOP</v>
      </c>
      <c r="G373" s="1">
        <f ca="1">IFERROR(__xludf.DUMMYFUNCTION("""COMPUTED_VALUE"""),9)</f>
        <v>9</v>
      </c>
      <c r="H373" s="1">
        <f ca="1">IFERROR(__xludf.DUMMYFUNCTION("""COMPUTED_VALUE"""),2)</f>
        <v>2</v>
      </c>
      <c r="I373" s="1" t="str">
        <f ca="1">IFERROR(__xludf.DUMMYFUNCTION("""COMPUTED_VALUE"""),"UC Santa Barbara")</f>
        <v>UC Santa Barbara</v>
      </c>
      <c r="J373" s="1" t="str">
        <f ca="1">IFERROR(__xludf.DUMMYFUNCTION("""COMPUTED_VALUE"""),"2012 NBA Draft, Undrafted")</f>
        <v>2012 NBA Draft, Undrafted</v>
      </c>
      <c r="K373" s="1" t="str">
        <f ca="1">IFERROR(__xludf.DUMMYFUNCTION("""COMPUTED_VALUE"""),"United States")</f>
        <v>United States</v>
      </c>
    </row>
    <row r="374" spans="1:11" ht="13" x14ac:dyDescent="0.15">
      <c r="A374" s="1" t="str">
        <f ca="1">IFERROR(__xludf.DUMMYFUNCTION("""COMPUTED_VALUE"""),"Jusuf Nurkic")</f>
        <v>Jusuf Nurkic</v>
      </c>
      <c r="B374" s="1" t="str">
        <f ca="1">IFERROR(__xludf.DUMMYFUNCTION("""COMPUTED_VALUE"""),"FC")</f>
        <v>FC</v>
      </c>
      <c r="C374" s="1" t="str">
        <f ca="1">IFERROR(__xludf.DUMMYFUNCTION("""COMPUTED_VALUE"""),"7-0")</f>
        <v>7-0</v>
      </c>
      <c r="D374" s="1">
        <f ca="1">IFERROR(__xludf.DUMMYFUNCTION("""COMPUTED_VALUE"""),290)</f>
        <v>290</v>
      </c>
      <c r="E374" s="1">
        <f ca="1">IFERROR(__xludf.DUMMYFUNCTION("""COMPUTED_VALUE"""),26)</f>
        <v>26</v>
      </c>
      <c r="F374" s="1" t="str">
        <f ca="1">IFERROR(__xludf.DUMMYFUNCTION("""COMPUTED_VALUE"""),"POR")</f>
        <v>POR</v>
      </c>
      <c r="G374" s="1">
        <f ca="1">IFERROR(__xludf.DUMMYFUNCTION("""COMPUTED_VALUE"""),37)</f>
        <v>37</v>
      </c>
      <c r="H374" s="1">
        <f ca="1">IFERROR(__xludf.DUMMYFUNCTION("""COMPUTED_VALUE"""),6)</f>
        <v>6</v>
      </c>
      <c r="I374" s="1" t="str">
        <f ca="1">IFERROR(__xludf.DUMMYFUNCTION("""COMPUTED_VALUE"""),"Cedevita (Croatia)")</f>
        <v>Cedevita (Croatia)</v>
      </c>
      <c r="J374" s="1" t="str">
        <f ca="1">IFERROR(__xludf.DUMMYFUNCTION("""COMPUTED_VALUE"""),"2014 Rnd 1 Pick 16")</f>
        <v>2014 Rnd 1 Pick 16</v>
      </c>
      <c r="K374" s="1" t="str">
        <f ca="1">IFERROR(__xludf.DUMMYFUNCTION("""COMPUTED_VALUE"""),"Bosnia and Herzegovina")</f>
        <v>Bosnia and Herzegovina</v>
      </c>
    </row>
    <row r="375" spans="1:11" ht="13" x14ac:dyDescent="0.15">
      <c r="A375" s="1" t="str">
        <f ca="1">IFERROR(__xludf.DUMMYFUNCTION("""COMPUTED_VALUE"""),"David Nwaba")</f>
        <v>David Nwaba</v>
      </c>
      <c r="B375" s="1" t="str">
        <f ca="1">IFERROR(__xludf.DUMMYFUNCTION("""COMPUTED_VALUE"""),"G")</f>
        <v>G</v>
      </c>
      <c r="C375" s="2">
        <f ca="1">IFERROR(__xludf.DUMMYFUNCTION("""COMPUTED_VALUE"""),44717)</f>
        <v>44717</v>
      </c>
      <c r="D375" s="1">
        <f ca="1">IFERROR(__xludf.DUMMYFUNCTION("""COMPUTED_VALUE"""),219)</f>
        <v>219</v>
      </c>
      <c r="E375" s="1">
        <f ca="1">IFERROR(__xludf.DUMMYFUNCTION("""COMPUTED_VALUE"""),28)</f>
        <v>28</v>
      </c>
      <c r="F375" s="1" t="str">
        <f ca="1">IFERROR(__xludf.DUMMYFUNCTION("""COMPUTED_VALUE"""),"HOU")</f>
        <v>HOU</v>
      </c>
      <c r="G375" s="1">
        <f ca="1">IFERROR(__xludf.DUMMYFUNCTION("""COMPUTED_VALUE"""),30)</f>
        <v>30</v>
      </c>
      <c r="H375" s="1">
        <f ca="1">IFERROR(__xludf.DUMMYFUNCTION("""COMPUTED_VALUE"""),4)</f>
        <v>4</v>
      </c>
      <c r="I375" s="1" t="str">
        <f ca="1">IFERROR(__xludf.DUMMYFUNCTION("""COMPUTED_VALUE"""),"Cal Poly")</f>
        <v>Cal Poly</v>
      </c>
      <c r="J375" s="1" t="str">
        <f ca="1">IFERROR(__xludf.DUMMYFUNCTION("""COMPUTED_VALUE"""),"2016 NBA Draft, Undrafted")</f>
        <v>2016 NBA Draft, Undrafted</v>
      </c>
      <c r="K375" s="1" t="str">
        <f ca="1">IFERROR(__xludf.DUMMYFUNCTION("""COMPUTED_VALUE"""),"United States")</f>
        <v>United States</v>
      </c>
    </row>
    <row r="376" spans="1:11" ht="13" x14ac:dyDescent="0.15">
      <c r="A376" s="1" t="str">
        <f ca="1">IFERROR(__xludf.DUMMYFUNCTION("""COMPUTED_VALUE"""),"Jordan Nwora")</f>
        <v>Jordan Nwora</v>
      </c>
      <c r="B376" s="1" t="str">
        <f ca="1">IFERROR(__xludf.DUMMYFUNCTION("""COMPUTED_VALUE"""),"F")</f>
        <v>F</v>
      </c>
      <c r="C376" s="2">
        <f ca="1">IFERROR(__xludf.DUMMYFUNCTION("""COMPUTED_VALUE"""),44720)</f>
        <v>44720</v>
      </c>
      <c r="D376" s="1">
        <f ca="1">IFERROR(__xludf.DUMMYFUNCTION("""COMPUTED_VALUE"""),226)</f>
        <v>226</v>
      </c>
      <c r="E376" s="1">
        <f ca="1">IFERROR(__xludf.DUMMYFUNCTION("""COMPUTED_VALUE"""),22)</f>
        <v>22</v>
      </c>
      <c r="F376" s="1" t="str">
        <f ca="1">IFERROR(__xludf.DUMMYFUNCTION("""COMPUTED_VALUE"""),"MIL")</f>
        <v>MIL</v>
      </c>
      <c r="G376" s="1">
        <f ca="1">IFERROR(__xludf.DUMMYFUNCTION("""COMPUTED_VALUE"""),30)</f>
        <v>30</v>
      </c>
      <c r="H376" s="1">
        <f ca="1">IFERROR(__xludf.DUMMYFUNCTION("""COMPUTED_VALUE"""),0)</f>
        <v>0</v>
      </c>
      <c r="I376" s="1" t="str">
        <f ca="1">IFERROR(__xludf.DUMMYFUNCTION("""COMPUTED_VALUE"""),"Louisville")</f>
        <v>Louisville</v>
      </c>
      <c r="J376" s="1" t="str">
        <f ca="1">IFERROR(__xludf.DUMMYFUNCTION("""COMPUTED_VALUE"""),"2020 Rnd 2 Pick 15")</f>
        <v>2020 Rnd 2 Pick 15</v>
      </c>
      <c r="K376" s="1" t="str">
        <f ca="1">IFERROR(__xludf.DUMMYFUNCTION("""COMPUTED_VALUE"""),"United States
Nigeria")</f>
        <v>United States
Nigeria</v>
      </c>
    </row>
    <row r="377" spans="1:11" ht="13" x14ac:dyDescent="0.15">
      <c r="A377" s="1" t="str">
        <f ca="1">IFERROR(__xludf.DUMMYFUNCTION("""COMPUTED_VALUE"""),"Royce O'Neale")</f>
        <v>Royce O'Neale</v>
      </c>
      <c r="B377" s="1" t="str">
        <f ca="1">IFERROR(__xludf.DUMMYFUNCTION("""COMPUTED_VALUE"""),"SF")</f>
        <v>SF</v>
      </c>
      <c r="C377" s="2">
        <f ca="1">IFERROR(__xludf.DUMMYFUNCTION("""COMPUTED_VALUE"""),44718)</f>
        <v>44718</v>
      </c>
      <c r="D377" s="1">
        <f ca="1">IFERROR(__xludf.DUMMYFUNCTION("""COMPUTED_VALUE"""),226)</f>
        <v>226</v>
      </c>
      <c r="E377" s="1">
        <f ca="1">IFERROR(__xludf.DUMMYFUNCTION("""COMPUTED_VALUE"""),27)</f>
        <v>27</v>
      </c>
      <c r="F377" s="1" t="str">
        <f ca="1">IFERROR(__xludf.DUMMYFUNCTION("""COMPUTED_VALUE"""),"UTA")</f>
        <v>UTA</v>
      </c>
      <c r="G377" s="1">
        <f ca="1">IFERROR(__xludf.DUMMYFUNCTION("""COMPUTED_VALUE"""),71)</f>
        <v>71</v>
      </c>
      <c r="H377" s="1">
        <f ca="1">IFERROR(__xludf.DUMMYFUNCTION("""COMPUTED_VALUE"""),3)</f>
        <v>3</v>
      </c>
      <c r="I377" s="1" t="str">
        <f ca="1">IFERROR(__xludf.DUMMYFUNCTION("""COMPUTED_VALUE"""),"Baylor")</f>
        <v>Baylor</v>
      </c>
      <c r="J377" s="1" t="str">
        <f ca="1">IFERROR(__xludf.DUMMYFUNCTION("""COMPUTED_VALUE"""),"2015 NBA Draft, Undrafted")</f>
        <v>2015 NBA Draft, Undrafted</v>
      </c>
      <c r="K377" s="1" t="str">
        <f ca="1">IFERROR(__xludf.DUMMYFUNCTION("""COMPUTED_VALUE"""),"United States")</f>
        <v>United States</v>
      </c>
    </row>
    <row r="378" spans="1:11" ht="13" x14ac:dyDescent="0.15">
      <c r="A378" s="1" t="str">
        <f ca="1">IFERROR(__xludf.DUMMYFUNCTION("""COMPUTED_VALUE"""),"Semi Ojeleye")</f>
        <v>Semi Ojeleye</v>
      </c>
      <c r="B378" s="1" t="str">
        <f ca="1">IFERROR(__xludf.DUMMYFUNCTION("""COMPUTED_VALUE"""),"SF")</f>
        <v>SF</v>
      </c>
      <c r="C378" s="2">
        <f ca="1">IFERROR(__xludf.DUMMYFUNCTION("""COMPUTED_VALUE"""),44718)</f>
        <v>44718</v>
      </c>
      <c r="D378" s="1">
        <f ca="1">IFERROR(__xludf.DUMMYFUNCTION("""COMPUTED_VALUE"""),240)</f>
        <v>240</v>
      </c>
      <c r="E378" s="1">
        <f ca="1">IFERROR(__xludf.DUMMYFUNCTION("""COMPUTED_VALUE"""),26)</f>
        <v>26</v>
      </c>
      <c r="F378" s="1" t="str">
        <f ca="1">IFERROR(__xludf.DUMMYFUNCTION("""COMPUTED_VALUE"""),"BOS")</f>
        <v>BOS</v>
      </c>
      <c r="G378" s="1">
        <f ca="1">IFERROR(__xludf.DUMMYFUNCTION("""COMPUTED_VALUE"""),56)</f>
        <v>56</v>
      </c>
      <c r="H378" s="1">
        <f ca="1">IFERROR(__xludf.DUMMYFUNCTION("""COMPUTED_VALUE"""),3)</f>
        <v>3</v>
      </c>
      <c r="I378" s="1" t="str">
        <f ca="1">IFERROR(__xludf.DUMMYFUNCTION("""COMPUTED_VALUE"""),"Southern Methodist")</f>
        <v>Southern Methodist</v>
      </c>
      <c r="J378" s="1" t="str">
        <f ca="1">IFERROR(__xludf.DUMMYFUNCTION("""COMPUTED_VALUE"""),"2017 Rnd 2 Pick 7")</f>
        <v>2017 Rnd 2 Pick 7</v>
      </c>
      <c r="K378" s="1" t="str">
        <f ca="1">IFERROR(__xludf.DUMMYFUNCTION("""COMPUTED_VALUE"""),"United States")</f>
        <v>United States</v>
      </c>
    </row>
    <row r="379" spans="1:11" ht="13" x14ac:dyDescent="0.15">
      <c r="A379" s="1" t="str">
        <f ca="1">IFERROR(__xludf.DUMMYFUNCTION("""COMPUTED_VALUE"""),"Jahlil Okafor")</f>
        <v>Jahlil Okafor</v>
      </c>
      <c r="B379" s="1" t="str">
        <f ca="1">IFERROR(__xludf.DUMMYFUNCTION("""COMPUTED_VALUE"""),"C")</f>
        <v>C</v>
      </c>
      <c r="C379" s="2">
        <f ca="1">IFERROR(__xludf.DUMMYFUNCTION("""COMPUTED_VALUE"""),44723)</f>
        <v>44723</v>
      </c>
      <c r="D379" s="1">
        <f ca="1">IFERROR(__xludf.DUMMYFUNCTION("""COMPUTED_VALUE"""),275)</f>
        <v>275</v>
      </c>
      <c r="E379" s="1">
        <f ca="1">IFERROR(__xludf.DUMMYFUNCTION("""COMPUTED_VALUE"""),25)</f>
        <v>25</v>
      </c>
      <c r="F379" s="1" t="str">
        <f ca="1">IFERROR(__xludf.DUMMYFUNCTION("""COMPUTED_VALUE"""),"DET")</f>
        <v>DET</v>
      </c>
      <c r="G379" s="1">
        <f ca="1">IFERROR(__xludf.DUMMYFUNCTION("""COMPUTED_VALUE"""),27)</f>
        <v>27</v>
      </c>
      <c r="H379" s="1">
        <f ca="1">IFERROR(__xludf.DUMMYFUNCTION("""COMPUTED_VALUE"""),5)</f>
        <v>5</v>
      </c>
      <c r="I379" s="1" t="str">
        <f ca="1">IFERROR(__xludf.DUMMYFUNCTION("""COMPUTED_VALUE"""),"Duke")</f>
        <v>Duke</v>
      </c>
      <c r="J379" s="1" t="str">
        <f ca="1">IFERROR(__xludf.DUMMYFUNCTION("""COMPUTED_VALUE"""),"2015 Rnd 1 Pick 3")</f>
        <v>2015 Rnd 1 Pick 3</v>
      </c>
      <c r="K379" s="1" t="str">
        <f ca="1">IFERROR(__xludf.DUMMYFUNCTION("""COMPUTED_VALUE"""),"United States
Nigeria")</f>
        <v>United States
Nigeria</v>
      </c>
    </row>
    <row r="380" spans="1:11" ht="13" x14ac:dyDescent="0.15">
      <c r="A380" s="1" t="str">
        <f ca="1">IFERROR(__xludf.DUMMYFUNCTION("""COMPUTED_VALUE"""),"Chuma Okeke")</f>
        <v>Chuma Okeke</v>
      </c>
      <c r="B380" s="1" t="str">
        <f ca="1">IFERROR(__xludf.DUMMYFUNCTION("""COMPUTED_VALUE"""),"PF")</f>
        <v>PF</v>
      </c>
      <c r="C380" s="2">
        <f ca="1">IFERROR(__xludf.DUMMYFUNCTION("""COMPUTED_VALUE"""),44720)</f>
        <v>44720</v>
      </c>
      <c r="D380" s="1">
        <f ca="1">IFERROR(__xludf.DUMMYFUNCTION("""COMPUTED_VALUE"""),230)</f>
        <v>230</v>
      </c>
      <c r="E380" s="1">
        <f ca="1">IFERROR(__xludf.DUMMYFUNCTION("""COMPUTED_VALUE"""),22)</f>
        <v>22</v>
      </c>
      <c r="F380" s="1" t="str">
        <f ca="1">IFERROR(__xludf.DUMMYFUNCTION("""COMPUTED_VALUE"""),"ORL")</f>
        <v>ORL</v>
      </c>
      <c r="G380" s="1">
        <f ca="1">IFERROR(__xludf.DUMMYFUNCTION("""COMPUTED_VALUE"""),45)</f>
        <v>45</v>
      </c>
      <c r="H380" s="1">
        <f ca="1">IFERROR(__xludf.DUMMYFUNCTION("""COMPUTED_VALUE"""),0)</f>
        <v>0</v>
      </c>
      <c r="I380" s="1" t="str">
        <f ca="1">IFERROR(__xludf.DUMMYFUNCTION("""COMPUTED_VALUE"""),"Auburn")</f>
        <v>Auburn</v>
      </c>
      <c r="J380" s="1" t="str">
        <f ca="1">IFERROR(__xludf.DUMMYFUNCTION("""COMPUTED_VALUE"""),"2019 Rnd 1 Pick 16")</f>
        <v>2019 Rnd 1 Pick 16</v>
      </c>
      <c r="K380" s="1" t="str">
        <f ca="1">IFERROR(__xludf.DUMMYFUNCTION("""COMPUTED_VALUE"""),"United States")</f>
        <v>United States</v>
      </c>
    </row>
    <row r="381" spans="1:11" ht="13" x14ac:dyDescent="0.15">
      <c r="A381" s="1" t="str">
        <f ca="1">IFERROR(__xludf.DUMMYFUNCTION("""COMPUTED_VALUE"""),"Josh Okogie")</f>
        <v>Josh Okogie</v>
      </c>
      <c r="B381" s="1" t="str">
        <f ca="1">IFERROR(__xludf.DUMMYFUNCTION("""COMPUTED_VALUE"""),"SG")</f>
        <v>SG</v>
      </c>
      <c r="C381" s="2">
        <f ca="1">IFERROR(__xludf.DUMMYFUNCTION("""COMPUTED_VALUE"""),44716)</f>
        <v>44716</v>
      </c>
      <c r="D381" s="1">
        <f ca="1">IFERROR(__xludf.DUMMYFUNCTION("""COMPUTED_VALUE"""),220)</f>
        <v>220</v>
      </c>
      <c r="E381" s="1">
        <f ca="1">IFERROR(__xludf.DUMMYFUNCTION("""COMPUTED_VALUE"""),22)</f>
        <v>22</v>
      </c>
      <c r="F381" s="1" t="str">
        <f ca="1">IFERROR(__xludf.DUMMYFUNCTION("""COMPUTED_VALUE"""),"MIN")</f>
        <v>MIN</v>
      </c>
      <c r="G381" s="1">
        <f ca="1">IFERROR(__xludf.DUMMYFUNCTION("""COMPUTED_VALUE"""),59)</f>
        <v>59</v>
      </c>
      <c r="H381" s="1">
        <f ca="1">IFERROR(__xludf.DUMMYFUNCTION("""COMPUTED_VALUE"""),2)</f>
        <v>2</v>
      </c>
      <c r="I381" s="1" t="str">
        <f ca="1">IFERROR(__xludf.DUMMYFUNCTION("""COMPUTED_VALUE"""),"Georgia Tech")</f>
        <v>Georgia Tech</v>
      </c>
      <c r="J381" s="1" t="str">
        <f ca="1">IFERROR(__xludf.DUMMYFUNCTION("""COMPUTED_VALUE"""),"2018 Rnd 1 Pick 20")</f>
        <v>2018 Rnd 1 Pick 20</v>
      </c>
      <c r="K381" s="1" t="str">
        <f ca="1">IFERROR(__xludf.DUMMYFUNCTION("""COMPUTED_VALUE"""),"Nigeria
United States")</f>
        <v>Nigeria
United States</v>
      </c>
    </row>
    <row r="382" spans="1:11" ht="13" x14ac:dyDescent="0.15">
      <c r="A382" s="1" t="str">
        <f ca="1">IFERROR(__xludf.DUMMYFUNCTION("""COMPUTED_VALUE"""),"Onyeka Okongwu")</f>
        <v>Onyeka Okongwu</v>
      </c>
      <c r="B382" s="1" t="str">
        <f ca="1">IFERROR(__xludf.DUMMYFUNCTION("""COMPUTED_VALUE"""),"PF")</f>
        <v>PF</v>
      </c>
      <c r="C382" s="2">
        <f ca="1">IFERROR(__xludf.DUMMYFUNCTION("""COMPUTED_VALUE"""),44721)</f>
        <v>44721</v>
      </c>
      <c r="D382" s="1">
        <f ca="1">IFERROR(__xludf.DUMMYFUNCTION("""COMPUTED_VALUE"""),245)</f>
        <v>245</v>
      </c>
      <c r="E382" s="1">
        <f ca="1">IFERROR(__xludf.DUMMYFUNCTION("""COMPUTED_VALUE"""),20)</f>
        <v>20</v>
      </c>
      <c r="F382" s="1" t="str">
        <f ca="1">IFERROR(__xludf.DUMMYFUNCTION("""COMPUTED_VALUE"""),"ATL")</f>
        <v>ATL</v>
      </c>
      <c r="G382" s="1">
        <f ca="1">IFERROR(__xludf.DUMMYFUNCTION("""COMPUTED_VALUE"""),50)</f>
        <v>50</v>
      </c>
      <c r="H382" s="1">
        <f ca="1">IFERROR(__xludf.DUMMYFUNCTION("""COMPUTED_VALUE"""),0)</f>
        <v>0</v>
      </c>
      <c r="I382" s="1" t="str">
        <f ca="1">IFERROR(__xludf.DUMMYFUNCTION("""COMPUTED_VALUE"""),"USC")</f>
        <v>USC</v>
      </c>
      <c r="J382" s="1" t="str">
        <f ca="1">IFERROR(__xludf.DUMMYFUNCTION("""COMPUTED_VALUE"""),"2020 Rnd 1 Pick 6")</f>
        <v>2020 Rnd 1 Pick 6</v>
      </c>
      <c r="K382" s="1" t="str">
        <f ca="1">IFERROR(__xludf.DUMMYFUNCTION("""COMPUTED_VALUE"""),"United States")</f>
        <v>United States</v>
      </c>
    </row>
    <row r="383" spans="1:11" ht="13" x14ac:dyDescent="0.15">
      <c r="A383" s="1" t="str">
        <f ca="1">IFERROR(__xludf.DUMMYFUNCTION("""COMPUTED_VALUE"""),"Isaac Okoro")</f>
        <v>Isaac Okoro</v>
      </c>
      <c r="B383" s="1" t="str">
        <f ca="1">IFERROR(__xludf.DUMMYFUNCTION("""COMPUTED_VALUE"""),"SG")</f>
        <v>SG</v>
      </c>
      <c r="C383" s="2">
        <f ca="1">IFERROR(__xludf.DUMMYFUNCTION("""COMPUTED_VALUE"""),44717)</f>
        <v>44717</v>
      </c>
      <c r="D383" s="1">
        <f ca="1">IFERROR(__xludf.DUMMYFUNCTION("""COMPUTED_VALUE"""),225)</f>
        <v>225</v>
      </c>
      <c r="E383" s="1">
        <f ca="1">IFERROR(__xludf.DUMMYFUNCTION("""COMPUTED_VALUE"""),20)</f>
        <v>20</v>
      </c>
      <c r="F383" s="1" t="str">
        <f ca="1">IFERROR(__xludf.DUMMYFUNCTION("""COMPUTED_VALUE"""),"CLE")</f>
        <v>CLE</v>
      </c>
      <c r="G383" s="1">
        <f ca="1">IFERROR(__xludf.DUMMYFUNCTION("""COMPUTED_VALUE"""),67)</f>
        <v>67</v>
      </c>
      <c r="H383" s="1">
        <f ca="1">IFERROR(__xludf.DUMMYFUNCTION("""COMPUTED_VALUE"""),0)</f>
        <v>0</v>
      </c>
      <c r="I383" s="1" t="str">
        <f ca="1">IFERROR(__xludf.DUMMYFUNCTION("""COMPUTED_VALUE"""),"Auburn")</f>
        <v>Auburn</v>
      </c>
      <c r="J383" s="1" t="str">
        <f ca="1">IFERROR(__xludf.DUMMYFUNCTION("""COMPUTED_VALUE"""),"2020 Rnd 1 Pick 5")</f>
        <v>2020 Rnd 1 Pick 5</v>
      </c>
      <c r="K383" s="1" t="str">
        <f ca="1">IFERROR(__xludf.DUMMYFUNCTION("""COMPUTED_VALUE"""),"United States")</f>
        <v>United States</v>
      </c>
    </row>
    <row r="384" spans="1:11" ht="13" x14ac:dyDescent="0.15">
      <c r="A384" s="1" t="str">
        <f ca="1">IFERROR(__xludf.DUMMYFUNCTION("""COMPUTED_VALUE"""),"KZ Okpala")</f>
        <v>KZ Okpala</v>
      </c>
      <c r="B384" s="1" t="str">
        <f ca="1">IFERROR(__xludf.DUMMYFUNCTION("""COMPUTED_VALUE"""),"SG")</f>
        <v>SG</v>
      </c>
      <c r="C384" s="2">
        <f ca="1">IFERROR(__xludf.DUMMYFUNCTION("""COMPUTED_VALUE"""),44720)</f>
        <v>44720</v>
      </c>
      <c r="D384" s="1">
        <f ca="1">IFERROR(__xludf.DUMMYFUNCTION("""COMPUTED_VALUE"""),215)</f>
        <v>215</v>
      </c>
      <c r="E384" s="1">
        <f ca="1">IFERROR(__xludf.DUMMYFUNCTION("""COMPUTED_VALUE"""),21)</f>
        <v>21</v>
      </c>
      <c r="F384" s="1" t="str">
        <f ca="1">IFERROR(__xludf.DUMMYFUNCTION("""COMPUTED_VALUE"""),"MIA")</f>
        <v>MIA</v>
      </c>
      <c r="G384" s="1">
        <f ca="1">IFERROR(__xludf.DUMMYFUNCTION("""COMPUTED_VALUE"""),37)</f>
        <v>37</v>
      </c>
      <c r="H384" s="1">
        <f ca="1">IFERROR(__xludf.DUMMYFUNCTION("""COMPUTED_VALUE"""),1)</f>
        <v>1</v>
      </c>
      <c r="I384" s="1" t="str">
        <f ca="1">IFERROR(__xludf.DUMMYFUNCTION("""COMPUTED_VALUE"""),"Stanford")</f>
        <v>Stanford</v>
      </c>
      <c r="J384" s="1" t="str">
        <f ca="1">IFERROR(__xludf.DUMMYFUNCTION("""COMPUTED_VALUE"""),"2019 Rnd 2 Pick 2")</f>
        <v>2019 Rnd 2 Pick 2</v>
      </c>
      <c r="K384" s="1" t="str">
        <f ca="1">IFERROR(__xludf.DUMMYFUNCTION("""COMPUTED_VALUE"""),"United States
Nigeria")</f>
        <v>United States
Nigeria</v>
      </c>
    </row>
    <row r="385" spans="1:11" ht="13" x14ac:dyDescent="0.15">
      <c r="A385" s="1" t="str">
        <f ca="1">IFERROR(__xludf.DUMMYFUNCTION("""COMPUTED_VALUE"""),"Victor Oladipo")</f>
        <v>Victor Oladipo</v>
      </c>
      <c r="B385" s="1" t="str">
        <f ca="1">IFERROR(__xludf.DUMMYFUNCTION("""COMPUTED_VALUE"""),"G")</f>
        <v>G</v>
      </c>
      <c r="C385" s="2">
        <f ca="1">IFERROR(__xludf.DUMMYFUNCTION("""COMPUTED_VALUE"""),44716)</f>
        <v>44716</v>
      </c>
      <c r="D385" s="1">
        <f ca="1">IFERROR(__xludf.DUMMYFUNCTION("""COMPUTED_VALUE"""),210)</f>
        <v>210</v>
      </c>
      <c r="E385" s="1">
        <f ca="1">IFERROR(__xludf.DUMMYFUNCTION("""COMPUTED_VALUE"""),28)</f>
        <v>28</v>
      </c>
      <c r="F385" s="1" t="str">
        <f ca="1">IFERROR(__xludf.DUMMYFUNCTION("""COMPUTED_VALUE"""),"HOU, IND, MIA")</f>
        <v>HOU, IND, MIA</v>
      </c>
      <c r="G385" s="1">
        <f ca="1">IFERROR(__xludf.DUMMYFUNCTION("""COMPUTED_VALUE"""),33)</f>
        <v>33</v>
      </c>
      <c r="H385" s="1">
        <f ca="1">IFERROR(__xludf.DUMMYFUNCTION("""COMPUTED_VALUE"""),7)</f>
        <v>7</v>
      </c>
      <c r="I385" s="1" t="str">
        <f ca="1">IFERROR(__xludf.DUMMYFUNCTION("""COMPUTED_VALUE"""),"Indiana")</f>
        <v>Indiana</v>
      </c>
      <c r="J385" s="1" t="str">
        <f ca="1">IFERROR(__xludf.DUMMYFUNCTION("""COMPUTED_VALUE"""),"2013 Rnd 1 Pick 2")</f>
        <v>2013 Rnd 1 Pick 2</v>
      </c>
      <c r="K385" s="1" t="str">
        <f ca="1">IFERROR(__xludf.DUMMYFUNCTION("""COMPUTED_VALUE"""),"United States")</f>
        <v>United States</v>
      </c>
    </row>
    <row r="386" spans="1:11" ht="13" x14ac:dyDescent="0.15">
      <c r="A386" s="1" t="str">
        <f ca="1">IFERROR(__xludf.DUMMYFUNCTION("""COMPUTED_VALUE"""),"Cameron Oliver")</f>
        <v>Cameron Oliver</v>
      </c>
      <c r="B386" s="1" t="str">
        <f ca="1">IFERROR(__xludf.DUMMYFUNCTION("""COMPUTED_VALUE"""),"C")</f>
        <v>C</v>
      </c>
      <c r="C386" s="2">
        <f ca="1">IFERROR(__xludf.DUMMYFUNCTION("""COMPUTED_VALUE"""),44720)</f>
        <v>44720</v>
      </c>
      <c r="D386" s="1">
        <f ca="1">IFERROR(__xludf.DUMMYFUNCTION("""COMPUTED_VALUE"""),225)</f>
        <v>225</v>
      </c>
      <c r="E386" s="1">
        <f ca="1">IFERROR(__xludf.DUMMYFUNCTION("""COMPUTED_VALUE"""),24)</f>
        <v>24</v>
      </c>
      <c r="F386" s="1" t="str">
        <f ca="1">IFERROR(__xludf.DUMMYFUNCTION("""COMPUTED_VALUE"""),"HOU")</f>
        <v>HOU</v>
      </c>
      <c r="G386" s="1">
        <f ca="1">IFERROR(__xludf.DUMMYFUNCTION("""COMPUTED_VALUE"""),4)</f>
        <v>4</v>
      </c>
      <c r="H386" s="1">
        <f ca="1">IFERROR(__xludf.DUMMYFUNCTION("""COMPUTED_VALUE"""),0)</f>
        <v>0</v>
      </c>
      <c r="I386" s="1" t="str">
        <f ca="1">IFERROR(__xludf.DUMMYFUNCTION("""COMPUTED_VALUE"""),"Nevada")</f>
        <v>Nevada</v>
      </c>
      <c r="J386" s="1" t="str">
        <f ca="1">IFERROR(__xludf.DUMMYFUNCTION("""COMPUTED_VALUE"""),"2017 NBA Draft, Undrafted")</f>
        <v>2017 NBA Draft, Undrafted</v>
      </c>
      <c r="K386" s="1" t="str">
        <f ca="1">IFERROR(__xludf.DUMMYFUNCTION("""COMPUTED_VALUE"""),"United States")</f>
        <v>United States</v>
      </c>
    </row>
    <row r="387" spans="1:11" ht="13" x14ac:dyDescent="0.15">
      <c r="A387" s="1" t="str">
        <f ca="1">IFERROR(__xludf.DUMMYFUNCTION("""COMPUTED_VALUE"""),"Kelly Olynyk")</f>
        <v>Kelly Olynyk</v>
      </c>
      <c r="B387" s="1" t="str">
        <f ca="1">IFERROR(__xludf.DUMMYFUNCTION("""COMPUTED_VALUE"""),"C")</f>
        <v>C</v>
      </c>
      <c r="C387" s="2">
        <f ca="1">IFERROR(__xludf.DUMMYFUNCTION("""COMPUTED_VALUE"""),44723)</f>
        <v>44723</v>
      </c>
      <c r="D387" s="1">
        <f ca="1">IFERROR(__xludf.DUMMYFUNCTION("""COMPUTED_VALUE"""),240)</f>
        <v>240</v>
      </c>
      <c r="E387" s="1">
        <f ca="1">IFERROR(__xludf.DUMMYFUNCTION("""COMPUTED_VALUE"""),29)</f>
        <v>29</v>
      </c>
      <c r="F387" s="1" t="str">
        <f ca="1">IFERROR(__xludf.DUMMYFUNCTION("""COMPUTED_VALUE"""),"HOU, MIA")</f>
        <v>HOU, MIA</v>
      </c>
      <c r="G387" s="1">
        <f ca="1">IFERROR(__xludf.DUMMYFUNCTION("""COMPUTED_VALUE"""),70)</f>
        <v>70</v>
      </c>
      <c r="H387" s="1">
        <f ca="1">IFERROR(__xludf.DUMMYFUNCTION("""COMPUTED_VALUE"""),7)</f>
        <v>7</v>
      </c>
      <c r="I387" s="1" t="str">
        <f ca="1">IFERROR(__xludf.DUMMYFUNCTION("""COMPUTED_VALUE"""),"Gonzaga")</f>
        <v>Gonzaga</v>
      </c>
      <c r="J387" s="1" t="str">
        <f ca="1">IFERROR(__xludf.DUMMYFUNCTION("""COMPUTED_VALUE"""),"2013 Rnd 1 Pick 13")</f>
        <v>2013 Rnd 1 Pick 13</v>
      </c>
      <c r="K387" s="1" t="str">
        <f ca="1">IFERROR(__xludf.DUMMYFUNCTION("""COMPUTED_VALUE"""),"Canada")</f>
        <v>Canada</v>
      </c>
    </row>
    <row r="388" spans="1:11" ht="13" x14ac:dyDescent="0.15">
      <c r="A388" s="1" t="str">
        <f ca="1">IFERROR(__xludf.DUMMYFUNCTION("""COMPUTED_VALUE"""),"Miye Oni")</f>
        <v>Miye Oni</v>
      </c>
      <c r="B388" s="1" t="str">
        <f ca="1">IFERROR(__xludf.DUMMYFUNCTION("""COMPUTED_VALUE"""),"SF")</f>
        <v>SF</v>
      </c>
      <c r="C388" s="2">
        <f ca="1">IFERROR(__xludf.DUMMYFUNCTION("""COMPUTED_VALUE"""),44717)</f>
        <v>44717</v>
      </c>
      <c r="D388" s="1">
        <f ca="1">IFERROR(__xludf.DUMMYFUNCTION("""COMPUTED_VALUE"""),206)</f>
        <v>206</v>
      </c>
      <c r="E388" s="1">
        <f ca="1">IFERROR(__xludf.DUMMYFUNCTION("""COMPUTED_VALUE"""),23)</f>
        <v>23</v>
      </c>
      <c r="F388" s="1" t="str">
        <f ca="1">IFERROR(__xludf.DUMMYFUNCTION("""COMPUTED_VALUE"""),"UTA")</f>
        <v>UTA</v>
      </c>
      <c r="G388" s="1">
        <f ca="1">IFERROR(__xludf.DUMMYFUNCTION("""COMPUTED_VALUE"""),54)</f>
        <v>54</v>
      </c>
      <c r="H388" s="1">
        <f ca="1">IFERROR(__xludf.DUMMYFUNCTION("""COMPUTED_VALUE"""),1)</f>
        <v>1</v>
      </c>
      <c r="I388" s="1" t="str">
        <f ca="1">IFERROR(__xludf.DUMMYFUNCTION("""COMPUTED_VALUE"""),"Yale")</f>
        <v>Yale</v>
      </c>
      <c r="J388" s="1" t="str">
        <f ca="1">IFERROR(__xludf.DUMMYFUNCTION("""COMPUTED_VALUE"""),"2019 Rnd 2 Pick 28")</f>
        <v>2019 Rnd 2 Pick 28</v>
      </c>
      <c r="K388" s="1" t="str">
        <f ca="1">IFERROR(__xludf.DUMMYFUNCTION("""COMPUTED_VALUE"""),"United States
Nigeria")</f>
        <v>United States
Nigeria</v>
      </c>
    </row>
    <row r="389" spans="1:11" ht="13" x14ac:dyDescent="0.15">
      <c r="A389" s="1" t="str">
        <f ca="1">IFERROR(__xludf.DUMMYFUNCTION("""COMPUTED_VALUE"""),"Cedi Osman")</f>
        <v>Cedi Osman</v>
      </c>
      <c r="B389" s="1" t="str">
        <f ca="1">IFERROR(__xludf.DUMMYFUNCTION("""COMPUTED_VALUE"""),"GF")</f>
        <v>GF</v>
      </c>
      <c r="C389" s="2">
        <f ca="1">IFERROR(__xludf.DUMMYFUNCTION("""COMPUTED_VALUE"""),44719)</f>
        <v>44719</v>
      </c>
      <c r="D389" s="1">
        <f ca="1">IFERROR(__xludf.DUMMYFUNCTION("""COMPUTED_VALUE"""),230)</f>
        <v>230</v>
      </c>
      <c r="E389" s="1">
        <f ca="1">IFERROR(__xludf.DUMMYFUNCTION("""COMPUTED_VALUE"""),25)</f>
        <v>25</v>
      </c>
      <c r="F389" s="1" t="str">
        <f ca="1">IFERROR(__xludf.DUMMYFUNCTION("""COMPUTED_VALUE"""),"CLE")</f>
        <v>CLE</v>
      </c>
      <c r="G389" s="1">
        <f ca="1">IFERROR(__xludf.DUMMYFUNCTION("""COMPUTED_VALUE"""),59)</f>
        <v>59</v>
      </c>
      <c r="H389" s="1">
        <f ca="1">IFERROR(__xludf.DUMMYFUNCTION("""COMPUTED_VALUE"""),3)</f>
        <v>3</v>
      </c>
      <c r="I389" s="1" t="str">
        <f ca="1">IFERROR(__xludf.DUMMYFUNCTION("""COMPUTED_VALUE"""),"Anadolu Efes (Turkey)")</f>
        <v>Anadolu Efes (Turkey)</v>
      </c>
      <c r="J389" s="1" t="str">
        <f ca="1">IFERROR(__xludf.DUMMYFUNCTION("""COMPUTED_VALUE"""),"2015 Rnd 2 Pick 1")</f>
        <v>2015 Rnd 2 Pick 1</v>
      </c>
      <c r="K389" s="1" t="str">
        <f ca="1">IFERROR(__xludf.DUMMYFUNCTION("""COMPUTED_VALUE"""),"North Macedonia
Turkey")</f>
        <v>North Macedonia
Turkey</v>
      </c>
    </row>
    <row r="390" spans="1:11" ht="13" x14ac:dyDescent="0.15">
      <c r="A390" s="1" t="str">
        <f ca="1">IFERROR(__xludf.DUMMYFUNCTION("""COMPUTED_VALUE"""),"Daniel Oturu")</f>
        <v>Daniel Oturu</v>
      </c>
      <c r="B390" s="1" t="str">
        <f ca="1">IFERROR(__xludf.DUMMYFUNCTION("""COMPUTED_VALUE"""),"FC")</f>
        <v>FC</v>
      </c>
      <c r="C390" s="2">
        <f ca="1">IFERROR(__xludf.DUMMYFUNCTION("""COMPUTED_VALUE"""),44720)</f>
        <v>44720</v>
      </c>
      <c r="D390" s="1">
        <f ca="1">IFERROR(__xludf.DUMMYFUNCTION("""COMPUTED_VALUE"""),240)</f>
        <v>240</v>
      </c>
      <c r="E390" s="1">
        <f ca="1">IFERROR(__xludf.DUMMYFUNCTION("""COMPUTED_VALUE"""),21)</f>
        <v>21</v>
      </c>
      <c r="F390" s="1" t="str">
        <f ca="1">IFERROR(__xludf.DUMMYFUNCTION("""COMPUTED_VALUE"""),"LAC")</f>
        <v>LAC</v>
      </c>
      <c r="G390" s="1">
        <f ca="1">IFERROR(__xludf.DUMMYFUNCTION("""COMPUTED_VALUE"""),30)</f>
        <v>30</v>
      </c>
      <c r="H390" s="1">
        <f ca="1">IFERROR(__xludf.DUMMYFUNCTION("""COMPUTED_VALUE"""),0)</f>
        <v>0</v>
      </c>
      <c r="I390" s="1" t="str">
        <f ca="1">IFERROR(__xludf.DUMMYFUNCTION("""COMPUTED_VALUE"""),"Minnesota")</f>
        <v>Minnesota</v>
      </c>
      <c r="J390" s="1" t="str">
        <f ca="1">IFERROR(__xludf.DUMMYFUNCTION("""COMPUTED_VALUE"""),"2020 Rnd 2 Pick 3")</f>
        <v>2020 Rnd 2 Pick 3</v>
      </c>
      <c r="K390" s="1" t="str">
        <f ca="1">IFERROR(__xludf.DUMMYFUNCTION("""COMPUTED_VALUE"""),"United States")</f>
        <v>United States</v>
      </c>
    </row>
    <row r="391" spans="1:11" ht="13" x14ac:dyDescent="0.15">
      <c r="A391" s="1" t="str">
        <f ca="1">IFERROR(__xludf.DUMMYFUNCTION("""COMPUTED_VALUE"""),"Kelly Oubre Jr.")</f>
        <v>Kelly Oubre Jr.</v>
      </c>
      <c r="B391" s="1" t="str">
        <f ca="1">IFERROR(__xludf.DUMMYFUNCTION("""COMPUTED_VALUE"""),"SF")</f>
        <v>SF</v>
      </c>
      <c r="C391" s="2">
        <f ca="1">IFERROR(__xludf.DUMMYFUNCTION("""COMPUTED_VALUE"""),44718)</f>
        <v>44718</v>
      </c>
      <c r="D391" s="1">
        <f ca="1">IFERROR(__xludf.DUMMYFUNCTION("""COMPUTED_VALUE"""),205)</f>
        <v>205</v>
      </c>
      <c r="E391" s="1">
        <f ca="1">IFERROR(__xludf.DUMMYFUNCTION("""COMPUTED_VALUE"""),25)</f>
        <v>25</v>
      </c>
      <c r="F391" s="1" t="str">
        <f ca="1">IFERROR(__xludf.DUMMYFUNCTION("""COMPUTED_VALUE"""),"GSW")</f>
        <v>GSW</v>
      </c>
      <c r="G391" s="1">
        <f ca="1">IFERROR(__xludf.DUMMYFUNCTION("""COMPUTED_VALUE"""),55)</f>
        <v>55</v>
      </c>
      <c r="H391" s="1">
        <f ca="1">IFERROR(__xludf.DUMMYFUNCTION("""COMPUTED_VALUE"""),5)</f>
        <v>5</v>
      </c>
      <c r="I391" s="1" t="str">
        <f ca="1">IFERROR(__xludf.DUMMYFUNCTION("""COMPUTED_VALUE"""),"Kansas")</f>
        <v>Kansas</v>
      </c>
      <c r="J391" s="1" t="str">
        <f ca="1">IFERROR(__xludf.DUMMYFUNCTION("""COMPUTED_VALUE"""),"2015 Rnd 1 Pick 15")</f>
        <v>2015 Rnd 1 Pick 15</v>
      </c>
      <c r="K391" s="1" t="str">
        <f ca="1">IFERROR(__xludf.DUMMYFUNCTION("""COMPUTED_VALUE"""),"United States")</f>
        <v>United States</v>
      </c>
    </row>
    <row r="392" spans="1:11" ht="13" x14ac:dyDescent="0.15">
      <c r="A392" s="1" t="str">
        <f ca="1">IFERROR(__xludf.DUMMYFUNCTION("""COMPUTED_VALUE"""),"Jabari Parker")</f>
        <v>Jabari Parker</v>
      </c>
      <c r="B392" s="1" t="str">
        <f ca="1">IFERROR(__xludf.DUMMYFUNCTION("""COMPUTED_VALUE"""),"F")</f>
        <v>F</v>
      </c>
      <c r="C392" s="2">
        <f ca="1">IFERROR(__xludf.DUMMYFUNCTION("""COMPUTED_VALUE"""),44720)</f>
        <v>44720</v>
      </c>
      <c r="D392" s="1">
        <f ca="1">IFERROR(__xludf.DUMMYFUNCTION("""COMPUTED_VALUE"""),245)</f>
        <v>245</v>
      </c>
      <c r="E392" s="1">
        <f ca="1">IFERROR(__xludf.DUMMYFUNCTION("""COMPUTED_VALUE"""),25)</f>
        <v>25</v>
      </c>
      <c r="F392" s="1" t="str">
        <f ca="1">IFERROR(__xludf.DUMMYFUNCTION("""COMPUTED_VALUE"""),"BOS, SAC")</f>
        <v>BOS, SAC</v>
      </c>
      <c r="G392" s="1">
        <f ca="1">IFERROR(__xludf.DUMMYFUNCTION("""COMPUTED_VALUE"""),13)</f>
        <v>13</v>
      </c>
      <c r="H392" s="1">
        <f ca="1">IFERROR(__xludf.DUMMYFUNCTION("""COMPUTED_VALUE"""),6)</f>
        <v>6</v>
      </c>
      <c r="I392" s="1" t="str">
        <f ca="1">IFERROR(__xludf.DUMMYFUNCTION("""COMPUTED_VALUE"""),"Duke")</f>
        <v>Duke</v>
      </c>
      <c r="J392" s="1" t="str">
        <f ca="1">IFERROR(__xludf.DUMMYFUNCTION("""COMPUTED_VALUE"""),"2014 Rnd 1 Pick 2")</f>
        <v>2014 Rnd 1 Pick 2</v>
      </c>
      <c r="K392" s="1" t="str">
        <f ca="1">IFERROR(__xludf.DUMMYFUNCTION("""COMPUTED_VALUE"""),"United States")</f>
        <v>United States</v>
      </c>
    </row>
    <row r="393" spans="1:11" ht="13" x14ac:dyDescent="0.15">
      <c r="A393" s="1" t="str">
        <f ca="1">IFERROR(__xludf.DUMMYFUNCTION("""COMPUTED_VALUE"""),"Eric Paschall")</f>
        <v>Eric Paschall</v>
      </c>
      <c r="B393" s="1" t="str">
        <f ca="1">IFERROR(__xludf.DUMMYFUNCTION("""COMPUTED_VALUE"""),"F")</f>
        <v>F</v>
      </c>
      <c r="C393" s="2">
        <f ca="1">IFERROR(__xludf.DUMMYFUNCTION("""COMPUTED_VALUE"""),44718)</f>
        <v>44718</v>
      </c>
      <c r="D393" s="1">
        <f ca="1">IFERROR(__xludf.DUMMYFUNCTION("""COMPUTED_VALUE"""),264)</f>
        <v>264</v>
      </c>
      <c r="E393" s="1">
        <f ca="1">IFERROR(__xludf.DUMMYFUNCTION("""COMPUTED_VALUE"""),24)</f>
        <v>24</v>
      </c>
      <c r="F393" s="1" t="str">
        <f ca="1">IFERROR(__xludf.DUMMYFUNCTION("""COMPUTED_VALUE"""),"GSW")</f>
        <v>GSW</v>
      </c>
      <c r="G393" s="1">
        <f ca="1">IFERROR(__xludf.DUMMYFUNCTION("""COMPUTED_VALUE"""),40)</f>
        <v>40</v>
      </c>
      <c r="H393" s="1">
        <f ca="1">IFERROR(__xludf.DUMMYFUNCTION("""COMPUTED_VALUE"""),1)</f>
        <v>1</v>
      </c>
      <c r="I393" s="1" t="str">
        <f ca="1">IFERROR(__xludf.DUMMYFUNCTION("""COMPUTED_VALUE"""),"Villanova")</f>
        <v>Villanova</v>
      </c>
      <c r="J393" s="1" t="str">
        <f ca="1">IFERROR(__xludf.DUMMYFUNCTION("""COMPUTED_VALUE"""),"2019 Rnd 2 Pick 11")</f>
        <v>2019 Rnd 2 Pick 11</v>
      </c>
      <c r="K393" s="1" t="str">
        <f ca="1">IFERROR(__xludf.DUMMYFUNCTION("""COMPUTED_VALUE"""),"United States")</f>
        <v>United States</v>
      </c>
    </row>
    <row r="394" spans="1:11" ht="13" x14ac:dyDescent="0.15">
      <c r="A394" s="1" t="str">
        <f ca="1">IFERROR(__xludf.DUMMYFUNCTION("""COMPUTED_VALUE"""),"Anzejs Pasecniks")</f>
        <v>Anzejs Pasecniks</v>
      </c>
      <c r="B394" s="1" t="str">
        <f ca="1">IFERROR(__xludf.DUMMYFUNCTION("""COMPUTED_VALUE"""),"C")</f>
        <v>C</v>
      </c>
      <c r="C394" s="2">
        <f ca="1">IFERROR(__xludf.DUMMYFUNCTION("""COMPUTED_VALUE"""),44743)</f>
        <v>44743</v>
      </c>
      <c r="D394" s="1">
        <f ca="1">IFERROR(__xludf.DUMMYFUNCTION("""COMPUTED_VALUE"""),229)</f>
        <v>229</v>
      </c>
      <c r="E394" s="1">
        <f ca="1">IFERROR(__xludf.DUMMYFUNCTION("""COMPUTED_VALUE"""),25)</f>
        <v>25</v>
      </c>
      <c r="F394" s="1" t="str">
        <f ca="1">IFERROR(__xludf.DUMMYFUNCTION("""COMPUTED_VALUE"""),"WAS")</f>
        <v>WAS</v>
      </c>
      <c r="G394" s="1">
        <f ca="1">IFERROR(__xludf.DUMMYFUNCTION("""COMPUTED_VALUE"""),1)</f>
        <v>1</v>
      </c>
      <c r="H394" s="1">
        <f ca="1">IFERROR(__xludf.DUMMYFUNCTION("""COMPUTED_VALUE"""),1)</f>
        <v>1</v>
      </c>
      <c r="I394" s="1" t="str">
        <f ca="1">IFERROR(__xludf.DUMMYFUNCTION("""COMPUTED_VALUE"""),"Gran Canaria (Spain)")</f>
        <v>Gran Canaria (Spain)</v>
      </c>
      <c r="J394" s="1" t="str">
        <f ca="1">IFERROR(__xludf.DUMMYFUNCTION("""COMPUTED_VALUE"""),"2017 Rnd 1 Pick 25")</f>
        <v>2017 Rnd 1 Pick 25</v>
      </c>
      <c r="K394" s="1" t="str">
        <f ca="1">IFERROR(__xludf.DUMMYFUNCTION("""COMPUTED_VALUE"""),"Latvia")</f>
        <v>Latvia</v>
      </c>
    </row>
    <row r="395" spans="1:11" ht="13" x14ac:dyDescent="0.15">
      <c r="A395" s="1" t="str">
        <f ca="1">IFERROR(__xludf.DUMMYFUNCTION("""COMPUTED_VALUE"""),"Patrick Patterson")</f>
        <v>Patrick Patterson</v>
      </c>
      <c r="B395" s="1" t="str">
        <f ca="1">IFERROR(__xludf.DUMMYFUNCTION("""COMPUTED_VALUE"""),"F")</f>
        <v>F</v>
      </c>
      <c r="C395" s="2">
        <f ca="1">IFERROR(__xludf.DUMMYFUNCTION("""COMPUTED_VALUE"""),44720)</f>
        <v>44720</v>
      </c>
      <c r="D395" s="1">
        <f ca="1">IFERROR(__xludf.DUMMYFUNCTION("""COMPUTED_VALUE"""),235)</f>
        <v>235</v>
      </c>
      <c r="E395" s="1">
        <f ca="1">IFERROR(__xludf.DUMMYFUNCTION("""COMPUTED_VALUE"""),31)</f>
        <v>31</v>
      </c>
      <c r="F395" s="1" t="str">
        <f ca="1">IFERROR(__xludf.DUMMYFUNCTION("""COMPUTED_VALUE"""),"LAC")</f>
        <v>LAC</v>
      </c>
      <c r="G395" s="1">
        <f ca="1">IFERROR(__xludf.DUMMYFUNCTION("""COMPUTED_VALUE"""),38)</f>
        <v>38</v>
      </c>
      <c r="H395" s="1">
        <f ca="1">IFERROR(__xludf.DUMMYFUNCTION("""COMPUTED_VALUE"""),10)</f>
        <v>10</v>
      </c>
      <c r="I395" s="1" t="str">
        <f ca="1">IFERROR(__xludf.DUMMYFUNCTION("""COMPUTED_VALUE"""),"Kentucky")</f>
        <v>Kentucky</v>
      </c>
      <c r="J395" s="1" t="str">
        <f ca="1">IFERROR(__xludf.DUMMYFUNCTION("""COMPUTED_VALUE"""),"2010 Rnd 1 Pick 14")</f>
        <v>2010 Rnd 1 Pick 14</v>
      </c>
      <c r="K395" s="1" t="str">
        <f ca="1">IFERROR(__xludf.DUMMYFUNCTION("""COMPUTED_VALUE"""),"United States")</f>
        <v>United States</v>
      </c>
    </row>
    <row r="396" spans="1:11" ht="13" x14ac:dyDescent="0.15">
      <c r="A396" s="1" t="str">
        <f ca="1">IFERROR(__xludf.DUMMYFUNCTION("""COMPUTED_VALUE"""),"Justin Patton")</f>
        <v>Justin Patton</v>
      </c>
      <c r="B396" s="1" t="str">
        <f ca="1">IFERROR(__xludf.DUMMYFUNCTION("""COMPUTED_VALUE"""),"C")</f>
        <v>C</v>
      </c>
      <c r="C396" s="1" t="str">
        <f ca="1">IFERROR(__xludf.DUMMYFUNCTION("""COMPUTED_VALUE"""),"7-0")</f>
        <v>7-0</v>
      </c>
      <c r="D396" s="1">
        <f ca="1">IFERROR(__xludf.DUMMYFUNCTION("""COMPUTED_VALUE"""),241)</f>
        <v>241</v>
      </c>
      <c r="E396" s="1">
        <f ca="1">IFERROR(__xludf.DUMMYFUNCTION("""COMPUTED_VALUE"""),23)</f>
        <v>23</v>
      </c>
      <c r="F396" s="1" t="str">
        <f ca="1">IFERROR(__xludf.DUMMYFUNCTION("""COMPUTED_VALUE"""),"HOU")</f>
        <v>HOU</v>
      </c>
      <c r="G396" s="1">
        <f ca="1">IFERROR(__xludf.DUMMYFUNCTION("""COMPUTED_VALUE"""),13)</f>
        <v>13</v>
      </c>
      <c r="H396" s="1">
        <f ca="1">IFERROR(__xludf.DUMMYFUNCTION("""COMPUTED_VALUE"""),3)</f>
        <v>3</v>
      </c>
      <c r="I396" s="1" t="str">
        <f ca="1">IFERROR(__xludf.DUMMYFUNCTION("""COMPUTED_VALUE"""),"Creighton")</f>
        <v>Creighton</v>
      </c>
      <c r="J396" s="1" t="str">
        <f ca="1">IFERROR(__xludf.DUMMYFUNCTION("""COMPUTED_VALUE"""),"2017 Rnd 1 Pick 16")</f>
        <v>2017 Rnd 1 Pick 16</v>
      </c>
      <c r="K396" s="1" t="str">
        <f ca="1">IFERROR(__xludf.DUMMYFUNCTION("""COMPUTED_VALUE"""),"United States")</f>
        <v>United States</v>
      </c>
    </row>
    <row r="397" spans="1:11" ht="13" x14ac:dyDescent="0.15">
      <c r="A397" s="1" t="str">
        <f ca="1">IFERROR(__xludf.DUMMYFUNCTION("""COMPUTED_VALUE"""),"Chris Paul")</f>
        <v>Chris Paul</v>
      </c>
      <c r="B397" s="1" t="str">
        <f ca="1">IFERROR(__xludf.DUMMYFUNCTION("""COMPUTED_VALUE"""),"PG")</f>
        <v>PG</v>
      </c>
      <c r="C397" s="1" t="str">
        <f ca="1">IFERROR(__xludf.DUMMYFUNCTION("""COMPUTED_VALUE"""),"6-0")</f>
        <v>6-0</v>
      </c>
      <c r="D397" s="1">
        <f ca="1">IFERROR(__xludf.DUMMYFUNCTION("""COMPUTED_VALUE"""),175)</f>
        <v>175</v>
      </c>
      <c r="E397" s="1">
        <f ca="1">IFERROR(__xludf.DUMMYFUNCTION("""COMPUTED_VALUE"""),35)</f>
        <v>35</v>
      </c>
      <c r="F397" s="1" t="str">
        <f ca="1">IFERROR(__xludf.DUMMYFUNCTION("""COMPUTED_VALUE"""),"PHX")</f>
        <v>PHX</v>
      </c>
      <c r="G397" s="1">
        <f ca="1">IFERROR(__xludf.DUMMYFUNCTION("""COMPUTED_VALUE"""),70)</f>
        <v>70</v>
      </c>
      <c r="H397" s="1">
        <f ca="1">IFERROR(__xludf.DUMMYFUNCTION("""COMPUTED_VALUE"""),15)</f>
        <v>15</v>
      </c>
      <c r="I397" s="1" t="str">
        <f ca="1">IFERROR(__xludf.DUMMYFUNCTION("""COMPUTED_VALUE"""),"Wake Forest")</f>
        <v>Wake Forest</v>
      </c>
      <c r="J397" s="1" t="str">
        <f ca="1">IFERROR(__xludf.DUMMYFUNCTION("""COMPUTED_VALUE"""),"2005 Rnd 1 Pick 4")</f>
        <v>2005 Rnd 1 Pick 4</v>
      </c>
      <c r="K397" s="1" t="str">
        <f ca="1">IFERROR(__xludf.DUMMYFUNCTION("""COMPUTED_VALUE"""),"United States")</f>
        <v>United States</v>
      </c>
    </row>
    <row r="398" spans="1:11" ht="13" x14ac:dyDescent="0.15">
      <c r="A398" s="1" t="str">
        <f ca="1">IFERROR(__xludf.DUMMYFUNCTION("""COMPUTED_VALUE"""),"Cameron Payne")</f>
        <v>Cameron Payne</v>
      </c>
      <c r="B398" s="1" t="str">
        <f ca="1">IFERROR(__xludf.DUMMYFUNCTION("""COMPUTED_VALUE"""),"G")</f>
        <v>G</v>
      </c>
      <c r="C398" s="2">
        <f ca="1">IFERROR(__xludf.DUMMYFUNCTION("""COMPUTED_VALUE"""),44715)</f>
        <v>44715</v>
      </c>
      <c r="D398" s="1">
        <f ca="1">IFERROR(__xludf.DUMMYFUNCTION("""COMPUTED_VALUE"""),190)</f>
        <v>190</v>
      </c>
      <c r="E398" s="1">
        <f ca="1">IFERROR(__xludf.DUMMYFUNCTION("""COMPUTED_VALUE"""),26)</f>
        <v>26</v>
      </c>
      <c r="F398" s="1" t="str">
        <f ca="1">IFERROR(__xludf.DUMMYFUNCTION("""COMPUTED_VALUE"""),"PHX")</f>
        <v>PHX</v>
      </c>
      <c r="G398" s="1">
        <f ca="1">IFERROR(__xludf.DUMMYFUNCTION("""COMPUTED_VALUE"""),60)</f>
        <v>60</v>
      </c>
      <c r="H398" s="1">
        <f ca="1">IFERROR(__xludf.DUMMYFUNCTION("""COMPUTED_VALUE"""),5)</f>
        <v>5</v>
      </c>
      <c r="I398" s="1" t="str">
        <f ca="1">IFERROR(__xludf.DUMMYFUNCTION("""COMPUTED_VALUE"""),"Murray State")</f>
        <v>Murray State</v>
      </c>
      <c r="J398" s="1" t="str">
        <f ca="1">IFERROR(__xludf.DUMMYFUNCTION("""COMPUTED_VALUE"""),"2015 Rnd 1 Pick 14")</f>
        <v>2015 Rnd 1 Pick 14</v>
      </c>
      <c r="K398" s="1" t="str">
        <f ca="1">IFERROR(__xludf.DUMMYFUNCTION("""COMPUTED_VALUE"""),"United States")</f>
        <v>United States</v>
      </c>
    </row>
    <row r="399" spans="1:11" ht="13" x14ac:dyDescent="0.15">
      <c r="A399" s="1" t="str">
        <f ca="1">IFERROR(__xludf.DUMMYFUNCTION("""COMPUTED_VALUE"""),"Gary Payton II")</f>
        <v>Gary Payton II</v>
      </c>
      <c r="B399" s="1" t="str">
        <f ca="1">IFERROR(__xludf.DUMMYFUNCTION("""COMPUTED_VALUE"""),"G")</f>
        <v>G</v>
      </c>
      <c r="C399" s="2">
        <f ca="1">IFERROR(__xludf.DUMMYFUNCTION("""COMPUTED_VALUE"""),44715)</f>
        <v>44715</v>
      </c>
      <c r="D399" s="1">
        <f ca="1">IFERROR(__xludf.DUMMYFUNCTION("""COMPUTED_VALUE"""),195)</f>
        <v>195</v>
      </c>
      <c r="E399" s="1">
        <f ca="1">IFERROR(__xludf.DUMMYFUNCTION("""COMPUTED_VALUE"""),28)</f>
        <v>28</v>
      </c>
      <c r="F399" s="1" t="str">
        <f ca="1">IFERROR(__xludf.DUMMYFUNCTION("""COMPUTED_VALUE"""),"GSW")</f>
        <v>GSW</v>
      </c>
      <c r="G399" s="1">
        <f ca="1">IFERROR(__xludf.DUMMYFUNCTION("""COMPUTED_VALUE"""),10)</f>
        <v>10</v>
      </c>
      <c r="H399" s="1">
        <f ca="1">IFERROR(__xludf.DUMMYFUNCTION("""COMPUTED_VALUE"""),4)</f>
        <v>4</v>
      </c>
      <c r="I399" s="1" t="str">
        <f ca="1">IFERROR(__xludf.DUMMYFUNCTION("""COMPUTED_VALUE"""),"Oregon State")</f>
        <v>Oregon State</v>
      </c>
      <c r="J399" s="1" t="str">
        <f ca="1">IFERROR(__xludf.DUMMYFUNCTION("""COMPUTED_VALUE"""),"2016 NBA Draft, Undrafted")</f>
        <v>2016 NBA Draft, Undrafted</v>
      </c>
      <c r="K399" s="1" t="str">
        <f ca="1">IFERROR(__xludf.DUMMYFUNCTION("""COMPUTED_VALUE"""),"United States")</f>
        <v>United States</v>
      </c>
    </row>
    <row r="400" spans="1:11" ht="13" x14ac:dyDescent="0.15">
      <c r="A400" s="1" t="str">
        <f ca="1">IFERROR(__xludf.DUMMYFUNCTION("""COMPUTED_VALUE"""),"Elfrid Payton")</f>
        <v>Elfrid Payton</v>
      </c>
      <c r="B400" s="1" t="str">
        <f ca="1">IFERROR(__xludf.DUMMYFUNCTION("""COMPUTED_VALUE"""),"G")</f>
        <v>G</v>
      </c>
      <c r="C400" s="2">
        <f ca="1">IFERROR(__xludf.DUMMYFUNCTION("""COMPUTED_VALUE"""),44716)</f>
        <v>44716</v>
      </c>
      <c r="D400" s="1">
        <f ca="1">IFERROR(__xludf.DUMMYFUNCTION("""COMPUTED_VALUE"""),185)</f>
        <v>185</v>
      </c>
      <c r="E400" s="1">
        <f ca="1">IFERROR(__xludf.DUMMYFUNCTION("""COMPUTED_VALUE"""),27)</f>
        <v>27</v>
      </c>
      <c r="F400" s="1" t="str">
        <f ca="1">IFERROR(__xludf.DUMMYFUNCTION("""COMPUTED_VALUE"""),"NYK")</f>
        <v>NYK</v>
      </c>
      <c r="G400" s="1">
        <f ca="1">IFERROR(__xludf.DUMMYFUNCTION("""COMPUTED_VALUE"""),63)</f>
        <v>63</v>
      </c>
      <c r="H400" s="1">
        <f ca="1">IFERROR(__xludf.DUMMYFUNCTION("""COMPUTED_VALUE"""),6)</f>
        <v>6</v>
      </c>
      <c r="I400" s="1" t="str">
        <f ca="1">IFERROR(__xludf.DUMMYFUNCTION("""COMPUTED_VALUE"""),"Louisiana")</f>
        <v>Louisiana</v>
      </c>
      <c r="J400" s="1" t="str">
        <f ca="1">IFERROR(__xludf.DUMMYFUNCTION("""COMPUTED_VALUE"""),"2014 Rnd 1 Pick 10")</f>
        <v>2014 Rnd 1 Pick 10</v>
      </c>
      <c r="K400" s="1" t="str">
        <f ca="1">IFERROR(__xludf.DUMMYFUNCTION("""COMPUTED_VALUE"""),"United States")</f>
        <v>United States</v>
      </c>
    </row>
    <row r="401" spans="1:11" ht="13" x14ac:dyDescent="0.15">
      <c r="A401" s="1" t="str">
        <f ca="1">IFERROR(__xludf.DUMMYFUNCTION("""COMPUTED_VALUE"""),"Norvel Pelle")</f>
        <v>Norvel Pelle</v>
      </c>
      <c r="B401" s="1" t="str">
        <f ca="1">IFERROR(__xludf.DUMMYFUNCTION("""COMPUTED_VALUE"""),"FC")</f>
        <v>FC</v>
      </c>
      <c r="C401" s="2">
        <f ca="1">IFERROR(__xludf.DUMMYFUNCTION("""COMPUTED_VALUE"""),44722)</f>
        <v>44722</v>
      </c>
      <c r="D401" s="1">
        <f ca="1">IFERROR(__xludf.DUMMYFUNCTION("""COMPUTED_VALUE"""),216)</f>
        <v>216</v>
      </c>
      <c r="E401" s="1">
        <f ca="1">IFERROR(__xludf.DUMMYFUNCTION("""COMPUTED_VALUE"""),28)</f>
        <v>28</v>
      </c>
      <c r="F401" s="1" t="str">
        <f ca="1">IFERROR(__xludf.DUMMYFUNCTION("""COMPUTED_VALUE"""),"BRK, NYK, SAC")</f>
        <v>BRK, NYK, SAC</v>
      </c>
      <c r="G401" s="1">
        <f ca="1">IFERROR(__xludf.DUMMYFUNCTION("""COMPUTED_VALUE"""),13)</f>
        <v>13</v>
      </c>
      <c r="H401" s="1">
        <f ca="1">IFERROR(__xludf.DUMMYFUNCTION("""COMPUTED_VALUE"""),1)</f>
        <v>1</v>
      </c>
      <c r="I401" s="1" t="str">
        <f ca="1">IFERROR(__xludf.DUMMYFUNCTION("""COMPUTED_VALUE"""),"Delaware 87ers")</f>
        <v>Delaware 87ers</v>
      </c>
      <c r="J401" s="1" t="str">
        <f ca="1">IFERROR(__xludf.DUMMYFUNCTION("""COMPUTED_VALUE"""),"2014 NBA Draft, Undrafted")</f>
        <v>2014 NBA Draft, Undrafted</v>
      </c>
      <c r="K401" s="1" t="str">
        <f ca="1">IFERROR(__xludf.DUMMYFUNCTION("""COMPUTED_VALUE"""),"Lebanon
Antigua and Barbuda")</f>
        <v>Lebanon
Antigua and Barbuda</v>
      </c>
    </row>
    <row r="402" spans="1:11" ht="13" x14ac:dyDescent="0.15">
      <c r="A402" s="1" t="str">
        <f ca="1">IFERROR(__xludf.DUMMYFUNCTION("""COMPUTED_VALUE"""),"Reggie Perry")</f>
        <v>Reggie Perry</v>
      </c>
      <c r="B402" s="1" t="str">
        <f ca="1">IFERROR(__xludf.DUMMYFUNCTION("""COMPUTED_VALUE"""),"F")</f>
        <v>F</v>
      </c>
      <c r="C402" s="2">
        <f ca="1">IFERROR(__xludf.DUMMYFUNCTION("""COMPUTED_VALUE"""),44720)</f>
        <v>44720</v>
      </c>
      <c r="D402" s="1">
        <f ca="1">IFERROR(__xludf.DUMMYFUNCTION("""COMPUTED_VALUE"""),250)</f>
        <v>250</v>
      </c>
      <c r="E402" s="1">
        <f ca="1">IFERROR(__xludf.DUMMYFUNCTION("""COMPUTED_VALUE"""),20)</f>
        <v>20</v>
      </c>
      <c r="F402" s="1" t="str">
        <f ca="1">IFERROR(__xludf.DUMMYFUNCTION("""COMPUTED_VALUE"""),"BRK")</f>
        <v>BRK</v>
      </c>
      <c r="G402" s="1">
        <f ca="1">IFERROR(__xludf.DUMMYFUNCTION("""COMPUTED_VALUE"""),26)</f>
        <v>26</v>
      </c>
      <c r="H402" s="1">
        <f ca="1">IFERROR(__xludf.DUMMYFUNCTION("""COMPUTED_VALUE"""),0)</f>
        <v>0</v>
      </c>
      <c r="I402" s="1" t="str">
        <f ca="1">IFERROR(__xludf.DUMMYFUNCTION("""COMPUTED_VALUE"""),"Mississippi State")</f>
        <v>Mississippi State</v>
      </c>
      <c r="J402" s="1" t="str">
        <f ca="1">IFERROR(__xludf.DUMMYFUNCTION("""COMPUTED_VALUE"""),"2020 Rnd 2 Pick 27")</f>
        <v>2020 Rnd 2 Pick 27</v>
      </c>
      <c r="K402" s="1" t="str">
        <f ca="1">IFERROR(__xludf.DUMMYFUNCTION("""COMPUTED_VALUE"""),"United States")</f>
        <v>United States</v>
      </c>
    </row>
    <row r="403" spans="1:11" ht="13" x14ac:dyDescent="0.15">
      <c r="A403" s="1" t="str">
        <f ca="1">IFERROR(__xludf.DUMMYFUNCTION("""COMPUTED_VALUE"""),"Theo Pinson")</f>
        <v>Theo Pinson</v>
      </c>
      <c r="B403" s="1" t="str">
        <f ca="1">IFERROR(__xludf.DUMMYFUNCTION("""COMPUTED_VALUE"""),"SG")</f>
        <v>SG</v>
      </c>
      <c r="C403" s="2">
        <f ca="1">IFERROR(__xludf.DUMMYFUNCTION("""COMPUTED_VALUE"""),44717)</f>
        <v>44717</v>
      </c>
      <c r="D403" s="1">
        <f ca="1">IFERROR(__xludf.DUMMYFUNCTION("""COMPUTED_VALUE"""),212)</f>
        <v>212</v>
      </c>
      <c r="E403" s="1">
        <f ca="1">IFERROR(__xludf.DUMMYFUNCTION("""COMPUTED_VALUE"""),25)</f>
        <v>25</v>
      </c>
      <c r="F403" s="1" t="str">
        <f ca="1">IFERROR(__xludf.DUMMYFUNCTION("""COMPUTED_VALUE"""),"NYK")</f>
        <v>NYK</v>
      </c>
      <c r="G403" s="1">
        <f ca="1">IFERROR(__xludf.DUMMYFUNCTION("""COMPUTED_VALUE"""),17)</f>
        <v>17</v>
      </c>
      <c r="H403" s="1">
        <f ca="1">IFERROR(__xludf.DUMMYFUNCTION("""COMPUTED_VALUE"""),2)</f>
        <v>2</v>
      </c>
      <c r="I403" s="1" t="str">
        <f ca="1">IFERROR(__xludf.DUMMYFUNCTION("""COMPUTED_VALUE"""),"North Carolina")</f>
        <v>North Carolina</v>
      </c>
      <c r="J403" s="1" t="str">
        <f ca="1">IFERROR(__xludf.DUMMYFUNCTION("""COMPUTED_VALUE"""),"2018 NBA Draft, Undrafted")</f>
        <v>2018 NBA Draft, Undrafted</v>
      </c>
      <c r="K403" s="1" t="str">
        <f ca="1">IFERROR(__xludf.DUMMYFUNCTION("""COMPUTED_VALUE"""),"United States")</f>
        <v>United States</v>
      </c>
    </row>
    <row r="404" spans="1:11" ht="13" x14ac:dyDescent="0.15">
      <c r="A404" s="1" t="str">
        <f ca="1">IFERROR(__xludf.DUMMYFUNCTION("""COMPUTED_VALUE"""),"Mason Plumlee")</f>
        <v>Mason Plumlee</v>
      </c>
      <c r="B404" s="1" t="str">
        <f ca="1">IFERROR(__xludf.DUMMYFUNCTION("""COMPUTED_VALUE"""),"PF")</f>
        <v>PF</v>
      </c>
      <c r="C404" s="1" t="str">
        <f ca="1">IFERROR(__xludf.DUMMYFUNCTION("""COMPUTED_VALUE"""),"7-0")</f>
        <v>7-0</v>
      </c>
      <c r="D404" s="1">
        <f ca="1">IFERROR(__xludf.DUMMYFUNCTION("""COMPUTED_VALUE"""),250)</f>
        <v>250</v>
      </c>
      <c r="E404" s="1">
        <f ca="1">IFERROR(__xludf.DUMMYFUNCTION("""COMPUTED_VALUE"""),30)</f>
        <v>30</v>
      </c>
      <c r="F404" s="1" t="str">
        <f ca="1">IFERROR(__xludf.DUMMYFUNCTION("""COMPUTED_VALUE"""),"DET")</f>
        <v>DET</v>
      </c>
      <c r="G404" s="1">
        <f ca="1">IFERROR(__xludf.DUMMYFUNCTION("""COMPUTED_VALUE"""),56)</f>
        <v>56</v>
      </c>
      <c r="H404" s="1">
        <f ca="1">IFERROR(__xludf.DUMMYFUNCTION("""COMPUTED_VALUE"""),7)</f>
        <v>7</v>
      </c>
      <c r="I404" s="1" t="str">
        <f ca="1">IFERROR(__xludf.DUMMYFUNCTION("""COMPUTED_VALUE"""),"Duke")</f>
        <v>Duke</v>
      </c>
      <c r="J404" s="1" t="str">
        <f ca="1">IFERROR(__xludf.DUMMYFUNCTION("""COMPUTED_VALUE"""),"2013 Rnd 1 Pick 22")</f>
        <v>2013 Rnd 1 Pick 22</v>
      </c>
      <c r="K404" s="1" t="str">
        <f ca="1">IFERROR(__xludf.DUMMYFUNCTION("""COMPUTED_VALUE"""),"United States")</f>
        <v>United States</v>
      </c>
    </row>
    <row r="405" spans="1:11" ht="13" x14ac:dyDescent="0.15">
      <c r="A405" s="1" t="str">
        <f ca="1">IFERROR(__xludf.DUMMYFUNCTION("""COMPUTED_VALUE"""),"Jakob Poeltl")</f>
        <v>Jakob Poeltl</v>
      </c>
      <c r="B405" s="1" t="str">
        <f ca="1">IFERROR(__xludf.DUMMYFUNCTION("""COMPUTED_VALUE"""),"C")</f>
        <v>C</v>
      </c>
      <c r="C405" s="1" t="str">
        <f ca="1">IFERROR(__xludf.DUMMYFUNCTION("""COMPUTED_VALUE"""),"7-0")</f>
        <v>7-0</v>
      </c>
      <c r="D405" s="1">
        <f ca="1">IFERROR(__xludf.DUMMYFUNCTION("""COMPUTED_VALUE"""),240)</f>
        <v>240</v>
      </c>
      <c r="E405" s="1">
        <f ca="1">IFERROR(__xludf.DUMMYFUNCTION("""COMPUTED_VALUE"""),25)</f>
        <v>25</v>
      </c>
      <c r="F405" s="1" t="str">
        <f ca="1">IFERROR(__xludf.DUMMYFUNCTION("""COMPUTED_VALUE"""),"SAS")</f>
        <v>SAS</v>
      </c>
      <c r="G405" s="1">
        <f ca="1">IFERROR(__xludf.DUMMYFUNCTION("""COMPUTED_VALUE"""),69)</f>
        <v>69</v>
      </c>
      <c r="H405" s="1">
        <f ca="1">IFERROR(__xludf.DUMMYFUNCTION("""COMPUTED_VALUE"""),4)</f>
        <v>4</v>
      </c>
      <c r="I405" s="1" t="str">
        <f ca="1">IFERROR(__xludf.DUMMYFUNCTION("""COMPUTED_VALUE"""),"Utah")</f>
        <v>Utah</v>
      </c>
      <c r="J405" s="1" t="str">
        <f ca="1">IFERROR(__xludf.DUMMYFUNCTION("""COMPUTED_VALUE"""),"2016 Rnd 1 Pick 9")</f>
        <v>2016 Rnd 1 Pick 9</v>
      </c>
      <c r="K405" s="1" t="str">
        <f ca="1">IFERROR(__xludf.DUMMYFUNCTION("""COMPUTED_VALUE"""),"Austria")</f>
        <v>Austria</v>
      </c>
    </row>
    <row r="406" spans="1:11" ht="13" x14ac:dyDescent="0.15">
      <c r="A406" s="1" t="str">
        <f ca="1">IFERROR(__xludf.DUMMYFUNCTION("""COMPUTED_VALUE"""),"Vincent Poirier")</f>
        <v>Vincent Poirier</v>
      </c>
      <c r="B406" s="1" t="str">
        <f ca="1">IFERROR(__xludf.DUMMYFUNCTION("""COMPUTED_VALUE"""),"C")</f>
        <v>C</v>
      </c>
      <c r="C406" s="1" t="str">
        <f ca="1">IFERROR(__xludf.DUMMYFUNCTION("""COMPUTED_VALUE"""),"7-0")</f>
        <v>7-0</v>
      </c>
      <c r="D406" s="1">
        <f ca="1">IFERROR(__xludf.DUMMYFUNCTION("""COMPUTED_VALUE"""),235)</f>
        <v>235</v>
      </c>
      <c r="E406" s="1">
        <f ca="1">IFERROR(__xludf.DUMMYFUNCTION("""COMPUTED_VALUE"""),27)</f>
        <v>27</v>
      </c>
      <c r="F406" s="1" t="str">
        <f ca="1">IFERROR(__xludf.DUMMYFUNCTION("""COMPUTED_VALUE"""),"PHI")</f>
        <v>PHI</v>
      </c>
      <c r="G406" s="1">
        <f ca="1">IFERROR(__xludf.DUMMYFUNCTION("""COMPUTED_VALUE"""),10)</f>
        <v>10</v>
      </c>
      <c r="H406" s="1">
        <f ca="1">IFERROR(__xludf.DUMMYFUNCTION("""COMPUTED_VALUE"""),1)</f>
        <v>1</v>
      </c>
      <c r="I406" s="1"/>
      <c r="J406" s="1" t="str">
        <f ca="1">IFERROR(__xludf.DUMMYFUNCTION("""COMPUTED_VALUE"""),"2015 NBA Draft, Undrafted")</f>
        <v>2015 NBA Draft, Undrafted</v>
      </c>
      <c r="K406" s="1" t="str">
        <f ca="1">IFERROR(__xludf.DUMMYFUNCTION("""COMPUTED_VALUE"""),"France")</f>
        <v>France</v>
      </c>
    </row>
    <row r="407" spans="1:11" ht="13" x14ac:dyDescent="0.15">
      <c r="A407" s="1" t="str">
        <f ca="1">IFERROR(__xludf.DUMMYFUNCTION("""COMPUTED_VALUE"""),"Aleksej Pokusevski")</f>
        <v>Aleksej Pokusevski</v>
      </c>
      <c r="B407" s="1" t="str">
        <f ca="1">IFERROR(__xludf.DUMMYFUNCTION("""COMPUTED_VALUE"""),"C")</f>
        <v>C</v>
      </c>
      <c r="C407" s="1" t="str">
        <f ca="1">IFERROR(__xludf.DUMMYFUNCTION("""COMPUTED_VALUE"""),"7-0")</f>
        <v>7-0</v>
      </c>
      <c r="D407" s="1">
        <f ca="1">IFERROR(__xludf.DUMMYFUNCTION("""COMPUTED_VALUE"""),190)</f>
        <v>190</v>
      </c>
      <c r="E407" s="1">
        <f ca="1">IFERROR(__xludf.DUMMYFUNCTION("""COMPUTED_VALUE"""),19)</f>
        <v>19</v>
      </c>
      <c r="F407" s="1" t="str">
        <f ca="1">IFERROR(__xludf.DUMMYFUNCTION("""COMPUTED_VALUE"""),"OKC")</f>
        <v>OKC</v>
      </c>
      <c r="G407" s="1">
        <f ca="1">IFERROR(__xludf.DUMMYFUNCTION("""COMPUTED_VALUE"""),45)</f>
        <v>45</v>
      </c>
      <c r="H407" s="1">
        <f ca="1">IFERROR(__xludf.DUMMYFUNCTION("""COMPUTED_VALUE"""),0)</f>
        <v>0</v>
      </c>
      <c r="I407" s="1" t="str">
        <f ca="1">IFERROR(__xludf.DUMMYFUNCTION("""COMPUTED_VALUE"""),"Olympiacos U18 (Greece)")</f>
        <v>Olympiacos U18 (Greece)</v>
      </c>
      <c r="J407" s="1" t="str">
        <f ca="1">IFERROR(__xludf.DUMMYFUNCTION("""COMPUTED_VALUE"""),"2020 Rnd 1 Pick 17")</f>
        <v>2020 Rnd 1 Pick 17</v>
      </c>
      <c r="K407" s="1" t="str">
        <f ca="1">IFERROR(__xludf.DUMMYFUNCTION("""COMPUTED_VALUE"""),"Serbia")</f>
        <v>Serbia</v>
      </c>
    </row>
    <row r="408" spans="1:11" ht="13" x14ac:dyDescent="0.15">
      <c r="A408" s="1" t="str">
        <f ca="1">IFERROR(__xludf.DUMMYFUNCTION("""COMPUTED_VALUE"""),"Jordan Poole")</f>
        <v>Jordan Poole</v>
      </c>
      <c r="B408" s="1" t="str">
        <f ca="1">IFERROR(__xludf.DUMMYFUNCTION("""COMPUTED_VALUE"""),"SG")</f>
        <v>SG</v>
      </c>
      <c r="C408" s="2">
        <f ca="1">IFERROR(__xludf.DUMMYFUNCTION("""COMPUTED_VALUE"""),44716)</f>
        <v>44716</v>
      </c>
      <c r="D408" s="1">
        <f ca="1">IFERROR(__xludf.DUMMYFUNCTION("""COMPUTED_VALUE"""),195)</f>
        <v>195</v>
      </c>
      <c r="E408" s="1">
        <f ca="1">IFERROR(__xludf.DUMMYFUNCTION("""COMPUTED_VALUE"""),21)</f>
        <v>21</v>
      </c>
      <c r="F408" s="1" t="str">
        <f ca="1">IFERROR(__xludf.DUMMYFUNCTION("""COMPUTED_VALUE"""),"GSW")</f>
        <v>GSW</v>
      </c>
      <c r="G408" s="1">
        <f ca="1">IFERROR(__xludf.DUMMYFUNCTION("""COMPUTED_VALUE"""),51)</f>
        <v>51</v>
      </c>
      <c r="H408" s="1">
        <f ca="1">IFERROR(__xludf.DUMMYFUNCTION("""COMPUTED_VALUE"""),1)</f>
        <v>1</v>
      </c>
      <c r="I408" s="1" t="str">
        <f ca="1">IFERROR(__xludf.DUMMYFUNCTION("""COMPUTED_VALUE"""),"Michigan")</f>
        <v>Michigan</v>
      </c>
      <c r="J408" s="1" t="str">
        <f ca="1">IFERROR(__xludf.DUMMYFUNCTION("""COMPUTED_VALUE"""),"2019 Rnd 1 Pick 28")</f>
        <v>2019 Rnd 1 Pick 28</v>
      </c>
      <c r="K408" s="1" t="str">
        <f ca="1">IFERROR(__xludf.DUMMYFUNCTION("""COMPUTED_VALUE"""),"United States")</f>
        <v>United States</v>
      </c>
    </row>
    <row r="409" spans="1:11" ht="13" x14ac:dyDescent="0.15">
      <c r="A409" s="1" t="str">
        <f ca="1">IFERROR(__xludf.DUMMYFUNCTION("""COMPUTED_VALUE"""),"Jontay Porter")</f>
        <v>Jontay Porter</v>
      </c>
      <c r="B409" s="1" t="str">
        <f ca="1">IFERROR(__xludf.DUMMYFUNCTION("""COMPUTED_VALUE"""),"PF")</f>
        <v>PF</v>
      </c>
      <c r="C409" s="2">
        <f ca="1">IFERROR(__xludf.DUMMYFUNCTION("""COMPUTED_VALUE"""),44722)</f>
        <v>44722</v>
      </c>
      <c r="D409" s="1">
        <f ca="1">IFERROR(__xludf.DUMMYFUNCTION("""COMPUTED_VALUE"""),236)</f>
        <v>236</v>
      </c>
      <c r="E409" s="1">
        <f ca="1">IFERROR(__xludf.DUMMYFUNCTION("""COMPUTED_VALUE"""),21)</f>
        <v>21</v>
      </c>
      <c r="F409" s="1" t="str">
        <f ca="1">IFERROR(__xludf.DUMMYFUNCTION("""COMPUTED_VALUE"""),"MEM")</f>
        <v>MEM</v>
      </c>
      <c r="G409" s="1">
        <f ca="1">IFERROR(__xludf.DUMMYFUNCTION("""COMPUTED_VALUE"""),11)</f>
        <v>11</v>
      </c>
      <c r="H409" s="1">
        <f ca="1">IFERROR(__xludf.DUMMYFUNCTION("""COMPUTED_VALUE"""),1)</f>
        <v>1</v>
      </c>
      <c r="I409" s="1" t="str">
        <f ca="1">IFERROR(__xludf.DUMMYFUNCTION("""COMPUTED_VALUE"""),"Missouri")</f>
        <v>Missouri</v>
      </c>
      <c r="J409" s="1" t="str">
        <f ca="1">IFERROR(__xludf.DUMMYFUNCTION("""COMPUTED_VALUE"""),"2019 NBA Draft, Undrafted")</f>
        <v>2019 NBA Draft, Undrafted</v>
      </c>
      <c r="K409" s="1" t="str">
        <f ca="1">IFERROR(__xludf.DUMMYFUNCTION("""COMPUTED_VALUE"""),"United States")</f>
        <v>United States</v>
      </c>
    </row>
    <row r="410" spans="1:11" ht="13" x14ac:dyDescent="0.15">
      <c r="A410" s="1" t="str">
        <f ca="1">IFERROR(__xludf.DUMMYFUNCTION("""COMPUTED_VALUE"""),"Kevin Porter Jr.")</f>
        <v>Kevin Porter Jr.</v>
      </c>
      <c r="B410" s="1" t="str">
        <f ca="1">IFERROR(__xludf.DUMMYFUNCTION("""COMPUTED_VALUE"""),"SF")</f>
        <v>SF</v>
      </c>
      <c r="C410" s="2">
        <f ca="1">IFERROR(__xludf.DUMMYFUNCTION("""COMPUTED_VALUE"""),44716)</f>
        <v>44716</v>
      </c>
      <c r="D410" s="1">
        <f ca="1">IFERROR(__xludf.DUMMYFUNCTION("""COMPUTED_VALUE"""),203)</f>
        <v>203</v>
      </c>
      <c r="E410" s="1">
        <f ca="1">IFERROR(__xludf.DUMMYFUNCTION("""COMPUTED_VALUE"""),20)</f>
        <v>20</v>
      </c>
      <c r="F410" s="1" t="str">
        <f ca="1">IFERROR(__xludf.DUMMYFUNCTION("""COMPUTED_VALUE"""),"HOU")</f>
        <v>HOU</v>
      </c>
      <c r="G410" s="1">
        <f ca="1">IFERROR(__xludf.DUMMYFUNCTION("""COMPUTED_VALUE"""),26)</f>
        <v>26</v>
      </c>
      <c r="H410" s="1">
        <f ca="1">IFERROR(__xludf.DUMMYFUNCTION("""COMPUTED_VALUE"""),1)</f>
        <v>1</v>
      </c>
      <c r="I410" s="1" t="str">
        <f ca="1">IFERROR(__xludf.DUMMYFUNCTION("""COMPUTED_VALUE"""),"USC")</f>
        <v>USC</v>
      </c>
      <c r="J410" s="1" t="str">
        <f ca="1">IFERROR(__xludf.DUMMYFUNCTION("""COMPUTED_VALUE"""),"2019 Rnd 1 Pick 30")</f>
        <v>2019 Rnd 1 Pick 30</v>
      </c>
      <c r="K410" s="1" t="str">
        <f ca="1">IFERROR(__xludf.DUMMYFUNCTION("""COMPUTED_VALUE"""),"United States")</f>
        <v>United States</v>
      </c>
    </row>
    <row r="411" spans="1:11" ht="13" x14ac:dyDescent="0.15">
      <c r="A411" s="1" t="str">
        <f ca="1">IFERROR(__xludf.DUMMYFUNCTION("""COMPUTED_VALUE"""),"Michael Porter Jr.")</f>
        <v>Michael Porter Jr.</v>
      </c>
      <c r="B411" s="1" t="str">
        <f ca="1">IFERROR(__xludf.DUMMYFUNCTION("""COMPUTED_VALUE"""),"PF")</f>
        <v>PF</v>
      </c>
      <c r="C411" s="2">
        <f ca="1">IFERROR(__xludf.DUMMYFUNCTION("""COMPUTED_VALUE"""),44722)</f>
        <v>44722</v>
      </c>
      <c r="D411" s="1">
        <f ca="1">IFERROR(__xludf.DUMMYFUNCTION("""COMPUTED_VALUE"""),218)</f>
        <v>218</v>
      </c>
      <c r="E411" s="1">
        <f ca="1">IFERROR(__xludf.DUMMYFUNCTION("""COMPUTED_VALUE"""),22)</f>
        <v>22</v>
      </c>
      <c r="F411" s="1" t="str">
        <f ca="1">IFERROR(__xludf.DUMMYFUNCTION("""COMPUTED_VALUE"""),"DEN")</f>
        <v>DEN</v>
      </c>
      <c r="G411" s="1">
        <f ca="1">IFERROR(__xludf.DUMMYFUNCTION("""COMPUTED_VALUE"""),61)</f>
        <v>61</v>
      </c>
      <c r="H411" s="1">
        <f ca="1">IFERROR(__xludf.DUMMYFUNCTION("""COMPUTED_VALUE"""),2)</f>
        <v>2</v>
      </c>
      <c r="I411" s="1" t="str">
        <f ca="1">IFERROR(__xludf.DUMMYFUNCTION("""COMPUTED_VALUE"""),"Missouri")</f>
        <v>Missouri</v>
      </c>
      <c r="J411" s="1" t="str">
        <f ca="1">IFERROR(__xludf.DUMMYFUNCTION("""COMPUTED_VALUE"""),"2018 Rnd 1 Pick 14")</f>
        <v>2018 Rnd 1 Pick 14</v>
      </c>
      <c r="K411" s="1" t="str">
        <f ca="1">IFERROR(__xludf.DUMMYFUNCTION("""COMPUTED_VALUE"""),"United States")</f>
        <v>United States</v>
      </c>
    </row>
    <row r="412" spans="1:11" ht="13" x14ac:dyDescent="0.15">
      <c r="A412" s="1" t="str">
        <f ca="1">IFERROR(__xludf.DUMMYFUNCTION("""COMPUTED_VALUE"""),"Otto Porter")</f>
        <v>Otto Porter</v>
      </c>
      <c r="B412" s="1" t="str">
        <f ca="1">IFERROR(__xludf.DUMMYFUNCTION("""COMPUTED_VALUE"""),"SF")</f>
        <v>SF</v>
      </c>
      <c r="C412" s="2">
        <f ca="1">IFERROR(__xludf.DUMMYFUNCTION("""COMPUTED_VALUE"""),44720)</f>
        <v>44720</v>
      </c>
      <c r="D412" s="1">
        <f ca="1">IFERROR(__xludf.DUMMYFUNCTION("""COMPUTED_VALUE"""),228)</f>
        <v>228</v>
      </c>
      <c r="E412" s="1">
        <f ca="1">IFERROR(__xludf.DUMMYFUNCTION("""COMPUTED_VALUE"""),27)</f>
        <v>27</v>
      </c>
      <c r="F412" s="1" t="str">
        <f ca="1">IFERROR(__xludf.DUMMYFUNCTION("""COMPUTED_VALUE"""),"CHI, ORL")</f>
        <v>CHI, ORL</v>
      </c>
      <c r="G412" s="1">
        <f ca="1">IFERROR(__xludf.DUMMYFUNCTION("""COMPUTED_VALUE"""),28)</f>
        <v>28</v>
      </c>
      <c r="H412" s="1">
        <f ca="1">IFERROR(__xludf.DUMMYFUNCTION("""COMPUTED_VALUE"""),7)</f>
        <v>7</v>
      </c>
      <c r="I412" s="1" t="str">
        <f ca="1">IFERROR(__xludf.DUMMYFUNCTION("""COMPUTED_VALUE"""),"Georgetown")</f>
        <v>Georgetown</v>
      </c>
      <c r="J412" s="1" t="str">
        <f ca="1">IFERROR(__xludf.DUMMYFUNCTION("""COMPUTED_VALUE"""),"2013 Rnd 1 Pick 3")</f>
        <v>2013 Rnd 1 Pick 3</v>
      </c>
      <c r="K412" s="1" t="str">
        <f ca="1">IFERROR(__xludf.DUMMYFUNCTION("""COMPUTED_VALUE"""),"United States")</f>
        <v>United States</v>
      </c>
    </row>
    <row r="413" spans="1:11" ht="13" x14ac:dyDescent="0.15">
      <c r="A413" s="1" t="str">
        <f ca="1">IFERROR(__xludf.DUMMYFUNCTION("""COMPUTED_VALUE"""),"Bobby Portis")</f>
        <v>Bobby Portis</v>
      </c>
      <c r="B413" s="1" t="str">
        <f ca="1">IFERROR(__xludf.DUMMYFUNCTION("""COMPUTED_VALUE"""),"PF")</f>
        <v>PF</v>
      </c>
      <c r="C413" s="2">
        <f ca="1">IFERROR(__xludf.DUMMYFUNCTION("""COMPUTED_VALUE"""),44723)</f>
        <v>44723</v>
      </c>
      <c r="D413" s="1">
        <f ca="1">IFERROR(__xludf.DUMMYFUNCTION("""COMPUTED_VALUE"""),250)</f>
        <v>250</v>
      </c>
      <c r="E413" s="1">
        <f ca="1">IFERROR(__xludf.DUMMYFUNCTION("""COMPUTED_VALUE"""),26)</f>
        <v>26</v>
      </c>
      <c r="F413" s="1" t="str">
        <f ca="1">IFERROR(__xludf.DUMMYFUNCTION("""COMPUTED_VALUE"""),"MIL")</f>
        <v>MIL</v>
      </c>
      <c r="G413" s="1">
        <f ca="1">IFERROR(__xludf.DUMMYFUNCTION("""COMPUTED_VALUE"""),66)</f>
        <v>66</v>
      </c>
      <c r="H413" s="1">
        <f ca="1">IFERROR(__xludf.DUMMYFUNCTION("""COMPUTED_VALUE"""),5)</f>
        <v>5</v>
      </c>
      <c r="I413" s="1" t="str">
        <f ca="1">IFERROR(__xludf.DUMMYFUNCTION("""COMPUTED_VALUE"""),"Arkansas")</f>
        <v>Arkansas</v>
      </c>
      <c r="J413" s="1" t="str">
        <f ca="1">IFERROR(__xludf.DUMMYFUNCTION("""COMPUTED_VALUE"""),"2015 Rnd 1 Pick 22")</f>
        <v>2015 Rnd 1 Pick 22</v>
      </c>
      <c r="K413" s="1" t="str">
        <f ca="1">IFERROR(__xludf.DUMMYFUNCTION("""COMPUTED_VALUE"""),"United States")</f>
        <v>United States</v>
      </c>
    </row>
    <row r="414" spans="1:11" ht="13" x14ac:dyDescent="0.15">
      <c r="A414" s="1" t="str">
        <f ca="1">IFERROR(__xludf.DUMMYFUNCTION("""COMPUTED_VALUE"""),"Kristaps Porzingis")</f>
        <v>Kristaps Porzingis</v>
      </c>
      <c r="B414" s="1" t="str">
        <f ca="1">IFERROR(__xludf.DUMMYFUNCTION("""COMPUTED_VALUE"""),"FC")</f>
        <v>FC</v>
      </c>
      <c r="C414" s="2">
        <f ca="1">IFERROR(__xludf.DUMMYFUNCTION("""COMPUTED_VALUE"""),44745)</f>
        <v>44745</v>
      </c>
      <c r="D414" s="1">
        <f ca="1">IFERROR(__xludf.DUMMYFUNCTION("""COMPUTED_VALUE"""),240)</f>
        <v>240</v>
      </c>
      <c r="E414" s="1">
        <f ca="1">IFERROR(__xludf.DUMMYFUNCTION("""COMPUTED_VALUE"""),25)</f>
        <v>25</v>
      </c>
      <c r="F414" s="1" t="str">
        <f ca="1">IFERROR(__xludf.DUMMYFUNCTION("""COMPUTED_VALUE"""),"DAL")</f>
        <v>DAL</v>
      </c>
      <c r="G414" s="1">
        <f ca="1">IFERROR(__xludf.DUMMYFUNCTION("""COMPUTED_VALUE"""),43)</f>
        <v>43</v>
      </c>
      <c r="H414" s="1">
        <f ca="1">IFERROR(__xludf.DUMMYFUNCTION("""COMPUTED_VALUE"""),5)</f>
        <v>5</v>
      </c>
      <c r="I414" s="1" t="str">
        <f ca="1">IFERROR(__xludf.DUMMYFUNCTION("""COMPUTED_VALUE"""),"Coosur Real Betis (Spain)")</f>
        <v>Coosur Real Betis (Spain)</v>
      </c>
      <c r="J414" s="1" t="str">
        <f ca="1">IFERROR(__xludf.DUMMYFUNCTION("""COMPUTED_VALUE"""),"2015 Rnd 1 Pick 4")</f>
        <v>2015 Rnd 1 Pick 4</v>
      </c>
      <c r="K414" s="1" t="str">
        <f ca="1">IFERROR(__xludf.DUMMYFUNCTION("""COMPUTED_VALUE"""),"Latvia")</f>
        <v>Latvia</v>
      </c>
    </row>
    <row r="415" spans="1:11" ht="13" x14ac:dyDescent="0.15">
      <c r="A415" s="1" t="str">
        <f ca="1">IFERROR(__xludf.DUMMYFUNCTION("""COMPUTED_VALUE"""),"Dwight Powell")</f>
        <v>Dwight Powell</v>
      </c>
      <c r="B415" s="1" t="str">
        <f ca="1">IFERROR(__xludf.DUMMYFUNCTION("""COMPUTED_VALUE"""),"PF")</f>
        <v>PF</v>
      </c>
      <c r="C415" s="2">
        <f ca="1">IFERROR(__xludf.DUMMYFUNCTION("""COMPUTED_VALUE"""),44722)</f>
        <v>44722</v>
      </c>
      <c r="D415" s="1">
        <f ca="1">IFERROR(__xludf.DUMMYFUNCTION("""COMPUTED_VALUE"""),240)</f>
        <v>240</v>
      </c>
      <c r="E415" s="1">
        <f ca="1">IFERROR(__xludf.DUMMYFUNCTION("""COMPUTED_VALUE"""),29)</f>
        <v>29</v>
      </c>
      <c r="F415" s="1" t="str">
        <f ca="1">IFERROR(__xludf.DUMMYFUNCTION("""COMPUTED_VALUE"""),"DAL")</f>
        <v>DAL</v>
      </c>
      <c r="G415" s="1">
        <f ca="1">IFERROR(__xludf.DUMMYFUNCTION("""COMPUTED_VALUE"""),58)</f>
        <v>58</v>
      </c>
      <c r="H415" s="1">
        <f ca="1">IFERROR(__xludf.DUMMYFUNCTION("""COMPUTED_VALUE"""),6)</f>
        <v>6</v>
      </c>
      <c r="I415" s="1" t="str">
        <f ca="1">IFERROR(__xludf.DUMMYFUNCTION("""COMPUTED_VALUE"""),"Stanford")</f>
        <v>Stanford</v>
      </c>
      <c r="J415" s="1" t="str">
        <f ca="1">IFERROR(__xludf.DUMMYFUNCTION("""COMPUTED_VALUE"""),"2014 Rnd 2 Pick 15")</f>
        <v>2014 Rnd 2 Pick 15</v>
      </c>
      <c r="K415" s="1" t="str">
        <f ca="1">IFERROR(__xludf.DUMMYFUNCTION("""COMPUTED_VALUE"""),"Canada")</f>
        <v>Canada</v>
      </c>
    </row>
    <row r="416" spans="1:11" ht="13" x14ac:dyDescent="0.15">
      <c r="A416" s="1" t="str">
        <f ca="1">IFERROR(__xludf.DUMMYFUNCTION("""COMPUTED_VALUE"""),"Norman Powell")</f>
        <v>Norman Powell</v>
      </c>
      <c r="B416" s="1" t="str">
        <f ca="1">IFERROR(__xludf.DUMMYFUNCTION("""COMPUTED_VALUE"""),"SG")</f>
        <v>SG</v>
      </c>
      <c r="C416" s="2">
        <f ca="1">IFERROR(__xludf.DUMMYFUNCTION("""COMPUTED_VALUE"""),44715)</f>
        <v>44715</v>
      </c>
      <c r="D416" s="1">
        <f ca="1">IFERROR(__xludf.DUMMYFUNCTION("""COMPUTED_VALUE"""),215)</f>
        <v>215</v>
      </c>
      <c r="E416" s="1">
        <f ca="1">IFERROR(__xludf.DUMMYFUNCTION("""COMPUTED_VALUE"""),27)</f>
        <v>27</v>
      </c>
      <c r="F416" s="1" t="str">
        <f ca="1">IFERROR(__xludf.DUMMYFUNCTION("""COMPUTED_VALUE"""),"POR, TOR")</f>
        <v>POR, TOR</v>
      </c>
      <c r="G416" s="1">
        <f ca="1">IFERROR(__xludf.DUMMYFUNCTION("""COMPUTED_VALUE"""),69)</f>
        <v>69</v>
      </c>
      <c r="H416" s="1">
        <f ca="1">IFERROR(__xludf.DUMMYFUNCTION("""COMPUTED_VALUE"""),5)</f>
        <v>5</v>
      </c>
      <c r="I416" s="1" t="str">
        <f ca="1">IFERROR(__xludf.DUMMYFUNCTION("""COMPUTED_VALUE"""),"UCLA")</f>
        <v>UCLA</v>
      </c>
      <c r="J416" s="1" t="str">
        <f ca="1">IFERROR(__xludf.DUMMYFUNCTION("""COMPUTED_VALUE"""),"2015 Rnd 2 Pick 16")</f>
        <v>2015 Rnd 2 Pick 16</v>
      </c>
      <c r="K416" s="1" t="str">
        <f ca="1">IFERROR(__xludf.DUMMYFUNCTION("""COMPUTED_VALUE"""),"United States")</f>
        <v>United States</v>
      </c>
    </row>
    <row r="417" spans="1:11" ht="13" x14ac:dyDescent="0.15">
      <c r="A417" s="1" t="str">
        <f ca="1">IFERROR(__xludf.DUMMYFUNCTION("""COMPUTED_VALUE"""),"Taurean Prince")</f>
        <v>Taurean Prince</v>
      </c>
      <c r="B417" s="1" t="str">
        <f ca="1">IFERROR(__xludf.DUMMYFUNCTION("""COMPUTED_VALUE"""),"F")</f>
        <v>F</v>
      </c>
      <c r="C417" s="2">
        <f ca="1">IFERROR(__xludf.DUMMYFUNCTION("""COMPUTED_VALUE"""),44719)</f>
        <v>44719</v>
      </c>
      <c r="D417" s="1">
        <f ca="1">IFERROR(__xludf.DUMMYFUNCTION("""COMPUTED_VALUE"""),218)</f>
        <v>218</v>
      </c>
      <c r="E417" s="1">
        <f ca="1">IFERROR(__xludf.DUMMYFUNCTION("""COMPUTED_VALUE"""),26)</f>
        <v>26</v>
      </c>
      <c r="F417" s="1" t="str">
        <f ca="1">IFERROR(__xludf.DUMMYFUNCTION("""COMPUTED_VALUE"""),"BRK, CLE")</f>
        <v>BRK, CLE</v>
      </c>
      <c r="G417" s="1">
        <f ca="1">IFERROR(__xludf.DUMMYFUNCTION("""COMPUTED_VALUE"""),41)</f>
        <v>41</v>
      </c>
      <c r="H417" s="1">
        <f ca="1">IFERROR(__xludf.DUMMYFUNCTION("""COMPUTED_VALUE"""),4)</f>
        <v>4</v>
      </c>
      <c r="I417" s="1" t="str">
        <f ca="1">IFERROR(__xludf.DUMMYFUNCTION("""COMPUTED_VALUE"""),"Baylor")</f>
        <v>Baylor</v>
      </c>
      <c r="J417" s="1" t="str">
        <f ca="1">IFERROR(__xludf.DUMMYFUNCTION("""COMPUTED_VALUE"""),"2016 Rnd 1 Pick 12")</f>
        <v>2016 Rnd 1 Pick 12</v>
      </c>
      <c r="K417" s="1" t="str">
        <f ca="1">IFERROR(__xludf.DUMMYFUNCTION("""COMPUTED_VALUE"""),"United States")</f>
        <v>United States</v>
      </c>
    </row>
    <row r="418" spans="1:11" ht="13" x14ac:dyDescent="0.15">
      <c r="A418" s="1" t="str">
        <f ca="1">IFERROR(__xludf.DUMMYFUNCTION("""COMPUTED_VALUE"""),"Payton Pritchard")</f>
        <v>Payton Pritchard</v>
      </c>
      <c r="B418" s="1" t="str">
        <f ca="1">IFERROR(__xludf.DUMMYFUNCTION("""COMPUTED_VALUE"""),"PG")</f>
        <v>PG</v>
      </c>
      <c r="C418" s="2">
        <f ca="1">IFERROR(__xludf.DUMMYFUNCTION("""COMPUTED_VALUE"""),44714)</f>
        <v>44714</v>
      </c>
      <c r="D418" s="1">
        <f ca="1">IFERROR(__xludf.DUMMYFUNCTION("""COMPUTED_VALUE"""),190)</f>
        <v>190</v>
      </c>
      <c r="E418" s="1">
        <f ca="1">IFERROR(__xludf.DUMMYFUNCTION("""COMPUTED_VALUE"""),23)</f>
        <v>23</v>
      </c>
      <c r="F418" s="1" t="str">
        <f ca="1">IFERROR(__xludf.DUMMYFUNCTION("""COMPUTED_VALUE"""),"BOS")</f>
        <v>BOS</v>
      </c>
      <c r="G418" s="1">
        <f ca="1">IFERROR(__xludf.DUMMYFUNCTION("""COMPUTED_VALUE"""),66)</f>
        <v>66</v>
      </c>
      <c r="H418" s="1">
        <f ca="1">IFERROR(__xludf.DUMMYFUNCTION("""COMPUTED_VALUE"""),0)</f>
        <v>0</v>
      </c>
      <c r="I418" s="1" t="str">
        <f ca="1">IFERROR(__xludf.DUMMYFUNCTION("""COMPUTED_VALUE"""),"Oregon")</f>
        <v>Oregon</v>
      </c>
      <c r="J418" s="1" t="str">
        <f ca="1">IFERROR(__xludf.DUMMYFUNCTION("""COMPUTED_VALUE"""),"2020 Rnd 1 Pick 26")</f>
        <v>2020 Rnd 1 Pick 26</v>
      </c>
      <c r="K418" s="1" t="str">
        <f ca="1">IFERROR(__xludf.DUMMYFUNCTION("""COMPUTED_VALUE"""),"United States")</f>
        <v>United States</v>
      </c>
    </row>
    <row r="419" spans="1:11" ht="13" x14ac:dyDescent="0.15">
      <c r="A419" s="1" t="str">
        <f ca="1">IFERROR(__xludf.DUMMYFUNCTION("""COMPUTED_VALUE"""),"Immanuel Quickley")</f>
        <v>Immanuel Quickley</v>
      </c>
      <c r="B419" s="1" t="str">
        <f ca="1">IFERROR(__xludf.DUMMYFUNCTION("""COMPUTED_VALUE"""),"PG")</f>
        <v>PG</v>
      </c>
      <c r="C419" s="2">
        <f ca="1">IFERROR(__xludf.DUMMYFUNCTION("""COMPUTED_VALUE"""),44715)</f>
        <v>44715</v>
      </c>
      <c r="D419" s="1">
        <f ca="1">IFERROR(__xludf.DUMMYFUNCTION("""COMPUTED_VALUE"""),188)</f>
        <v>188</v>
      </c>
      <c r="E419" s="1">
        <f ca="1">IFERROR(__xludf.DUMMYFUNCTION("""COMPUTED_VALUE"""),21)</f>
        <v>21</v>
      </c>
      <c r="F419" s="1" t="str">
        <f ca="1">IFERROR(__xludf.DUMMYFUNCTION("""COMPUTED_VALUE"""),"NYK")</f>
        <v>NYK</v>
      </c>
      <c r="G419" s="1">
        <f ca="1">IFERROR(__xludf.DUMMYFUNCTION("""COMPUTED_VALUE"""),64)</f>
        <v>64</v>
      </c>
      <c r="H419" s="1">
        <f ca="1">IFERROR(__xludf.DUMMYFUNCTION("""COMPUTED_VALUE"""),0)</f>
        <v>0</v>
      </c>
      <c r="I419" s="1" t="str">
        <f ca="1">IFERROR(__xludf.DUMMYFUNCTION("""COMPUTED_VALUE"""),"Kentucky")</f>
        <v>Kentucky</v>
      </c>
      <c r="J419" s="1" t="str">
        <f ca="1">IFERROR(__xludf.DUMMYFUNCTION("""COMPUTED_VALUE"""),"2020 Rnd 1 Pick 25")</f>
        <v>2020 Rnd 1 Pick 25</v>
      </c>
      <c r="K419" s="1" t="str">
        <f ca="1">IFERROR(__xludf.DUMMYFUNCTION("""COMPUTED_VALUE"""),"United States")</f>
        <v>United States</v>
      </c>
    </row>
    <row r="420" spans="1:11" ht="13" x14ac:dyDescent="0.15">
      <c r="A420" s="1" t="str">
        <f ca="1">IFERROR(__xludf.DUMMYFUNCTION("""COMPUTED_VALUE"""),"Jahmi'us Ramsey")</f>
        <v>Jahmi'us Ramsey</v>
      </c>
      <c r="B420" s="1" t="str">
        <f ca="1">IFERROR(__xludf.DUMMYFUNCTION("""COMPUTED_VALUE"""),"PG")</f>
        <v>PG</v>
      </c>
      <c r="C420" s="2">
        <f ca="1">IFERROR(__xludf.DUMMYFUNCTION("""COMPUTED_VALUE"""),44715)</f>
        <v>44715</v>
      </c>
      <c r="D420" s="1">
        <f ca="1">IFERROR(__xludf.DUMMYFUNCTION("""COMPUTED_VALUE"""),195)</f>
        <v>195</v>
      </c>
      <c r="E420" s="1">
        <f ca="1">IFERROR(__xludf.DUMMYFUNCTION("""COMPUTED_VALUE"""),19)</f>
        <v>19</v>
      </c>
      <c r="F420" s="1" t="str">
        <f ca="1">IFERROR(__xludf.DUMMYFUNCTION("""COMPUTED_VALUE"""),"SAC")</f>
        <v>SAC</v>
      </c>
      <c r="G420" s="1">
        <f ca="1">IFERROR(__xludf.DUMMYFUNCTION("""COMPUTED_VALUE"""),13)</f>
        <v>13</v>
      </c>
      <c r="H420" s="1">
        <f ca="1">IFERROR(__xludf.DUMMYFUNCTION("""COMPUTED_VALUE"""),0)</f>
        <v>0</v>
      </c>
      <c r="I420" s="1" t="str">
        <f ca="1">IFERROR(__xludf.DUMMYFUNCTION("""COMPUTED_VALUE"""),"Texas Tech")</f>
        <v>Texas Tech</v>
      </c>
      <c r="J420" s="1" t="str">
        <f ca="1">IFERROR(__xludf.DUMMYFUNCTION("""COMPUTED_VALUE"""),"2020 Rnd 2 Pick 13")</f>
        <v>2020 Rnd 2 Pick 13</v>
      </c>
      <c r="K420" s="1" t="str">
        <f ca="1">IFERROR(__xludf.DUMMYFUNCTION("""COMPUTED_VALUE"""),"United States")</f>
        <v>United States</v>
      </c>
    </row>
    <row r="421" spans="1:11" ht="13" x14ac:dyDescent="0.15">
      <c r="A421" s="1" t="str">
        <f ca="1">IFERROR(__xludf.DUMMYFUNCTION("""COMPUTED_VALUE"""),"Chasson Randle")</f>
        <v>Chasson Randle</v>
      </c>
      <c r="B421" s="1" t="str">
        <f ca="1">IFERROR(__xludf.DUMMYFUNCTION("""COMPUTED_VALUE"""),"PG")</f>
        <v>PG</v>
      </c>
      <c r="C421" s="2">
        <f ca="1">IFERROR(__xludf.DUMMYFUNCTION("""COMPUTED_VALUE"""),44715)</f>
        <v>44715</v>
      </c>
      <c r="D421" s="1">
        <f ca="1">IFERROR(__xludf.DUMMYFUNCTION("""COMPUTED_VALUE"""),185)</f>
        <v>185</v>
      </c>
      <c r="E421" s="1">
        <f ca="1">IFERROR(__xludf.DUMMYFUNCTION("""COMPUTED_VALUE"""),28)</f>
        <v>28</v>
      </c>
      <c r="F421" s="1" t="str">
        <f ca="1">IFERROR(__xludf.DUMMYFUNCTION("""COMPUTED_VALUE"""),"ORL")</f>
        <v>ORL</v>
      </c>
      <c r="G421" s="1">
        <f ca="1">IFERROR(__xludf.DUMMYFUNCTION("""COMPUTED_VALUE"""),41)</f>
        <v>41</v>
      </c>
      <c r="H421" s="1">
        <f ca="1">IFERROR(__xludf.DUMMYFUNCTION("""COMPUTED_VALUE"""),3)</f>
        <v>3</v>
      </c>
      <c r="I421" s="1" t="str">
        <f ca="1">IFERROR(__xludf.DUMMYFUNCTION("""COMPUTED_VALUE"""),"Stanford")</f>
        <v>Stanford</v>
      </c>
      <c r="J421" s="1" t="str">
        <f ca="1">IFERROR(__xludf.DUMMYFUNCTION("""COMPUTED_VALUE"""),"2015 NBA Draft, Undrafted")</f>
        <v>2015 NBA Draft, Undrafted</v>
      </c>
      <c r="K421" s="1" t="str">
        <f ca="1">IFERROR(__xludf.DUMMYFUNCTION("""COMPUTED_VALUE"""),"United States")</f>
        <v>United States</v>
      </c>
    </row>
    <row r="422" spans="1:11" ht="13" x14ac:dyDescent="0.15">
      <c r="A422" s="1" t="str">
        <f ca="1">IFERROR(__xludf.DUMMYFUNCTION("""COMPUTED_VALUE"""),"Julius Randle")</f>
        <v>Julius Randle</v>
      </c>
      <c r="B422" s="1" t="str">
        <f ca="1">IFERROR(__xludf.DUMMYFUNCTION("""COMPUTED_VALUE"""),"PF")</f>
        <v>PF</v>
      </c>
      <c r="C422" s="2">
        <f ca="1">IFERROR(__xludf.DUMMYFUNCTION("""COMPUTED_VALUE"""),44721)</f>
        <v>44721</v>
      </c>
      <c r="D422" s="1">
        <f ca="1">IFERROR(__xludf.DUMMYFUNCTION("""COMPUTED_VALUE"""),250)</f>
        <v>250</v>
      </c>
      <c r="E422" s="1">
        <f ca="1">IFERROR(__xludf.DUMMYFUNCTION("""COMPUTED_VALUE"""),26)</f>
        <v>26</v>
      </c>
      <c r="F422" s="1" t="str">
        <f ca="1">IFERROR(__xludf.DUMMYFUNCTION("""COMPUTED_VALUE"""),"NYK")</f>
        <v>NYK</v>
      </c>
      <c r="G422" s="1">
        <f ca="1">IFERROR(__xludf.DUMMYFUNCTION("""COMPUTED_VALUE"""),71)</f>
        <v>71</v>
      </c>
      <c r="H422" s="1">
        <f ca="1">IFERROR(__xludf.DUMMYFUNCTION("""COMPUTED_VALUE"""),6)</f>
        <v>6</v>
      </c>
      <c r="I422" s="1" t="str">
        <f ca="1">IFERROR(__xludf.DUMMYFUNCTION("""COMPUTED_VALUE"""),"Kentucky")</f>
        <v>Kentucky</v>
      </c>
      <c r="J422" s="1" t="str">
        <f ca="1">IFERROR(__xludf.DUMMYFUNCTION("""COMPUTED_VALUE"""),"2014 Rnd 1 Pick 7")</f>
        <v>2014 Rnd 1 Pick 7</v>
      </c>
      <c r="K422" s="1" t="str">
        <f ca="1">IFERROR(__xludf.DUMMYFUNCTION("""COMPUTED_VALUE"""),"United States")</f>
        <v>United States</v>
      </c>
    </row>
    <row r="423" spans="1:11" ht="13" x14ac:dyDescent="0.15">
      <c r="A423" s="1" t="str">
        <f ca="1">IFERROR(__xludf.DUMMYFUNCTION("""COMPUTED_VALUE"""),"Cam Reddish")</f>
        <v>Cam Reddish</v>
      </c>
      <c r="B423" s="1" t="str">
        <f ca="1">IFERROR(__xludf.DUMMYFUNCTION("""COMPUTED_VALUE"""),"G")</f>
        <v>G</v>
      </c>
      <c r="C423" s="2">
        <f ca="1">IFERROR(__xludf.DUMMYFUNCTION("""COMPUTED_VALUE"""),44720)</f>
        <v>44720</v>
      </c>
      <c r="D423" s="1">
        <f ca="1">IFERROR(__xludf.DUMMYFUNCTION("""COMPUTED_VALUE"""),218)</f>
        <v>218</v>
      </c>
      <c r="E423" s="1">
        <f ca="1">IFERROR(__xludf.DUMMYFUNCTION("""COMPUTED_VALUE"""),21)</f>
        <v>21</v>
      </c>
      <c r="F423" s="1" t="str">
        <f ca="1">IFERROR(__xludf.DUMMYFUNCTION("""COMPUTED_VALUE"""),"ATL")</f>
        <v>ATL</v>
      </c>
      <c r="G423" s="1">
        <f ca="1">IFERROR(__xludf.DUMMYFUNCTION("""COMPUTED_VALUE"""),26)</f>
        <v>26</v>
      </c>
      <c r="H423" s="1">
        <f ca="1">IFERROR(__xludf.DUMMYFUNCTION("""COMPUTED_VALUE"""),1)</f>
        <v>1</v>
      </c>
      <c r="I423" s="1" t="str">
        <f ca="1">IFERROR(__xludf.DUMMYFUNCTION("""COMPUTED_VALUE"""),"Duke")</f>
        <v>Duke</v>
      </c>
      <c r="J423" s="1" t="str">
        <f ca="1">IFERROR(__xludf.DUMMYFUNCTION("""COMPUTED_VALUE"""),"2019 Rnd 1 Pick 10")</f>
        <v>2019 Rnd 1 Pick 10</v>
      </c>
      <c r="K423" s="1" t="str">
        <f ca="1">IFERROR(__xludf.DUMMYFUNCTION("""COMPUTED_VALUE"""),"United States")</f>
        <v>United States</v>
      </c>
    </row>
    <row r="424" spans="1:11" ht="13" x14ac:dyDescent="0.15">
      <c r="A424" s="1" t="str">
        <f ca="1">IFERROR(__xludf.DUMMYFUNCTION("""COMPUTED_VALUE"""),"JJ Redick")</f>
        <v>JJ Redick</v>
      </c>
      <c r="B424" s="1" t="str">
        <f ca="1">IFERROR(__xludf.DUMMYFUNCTION("""COMPUTED_VALUE"""),"G")</f>
        <v>G</v>
      </c>
      <c r="C424" s="2">
        <f ca="1">IFERROR(__xludf.DUMMYFUNCTION("""COMPUTED_VALUE"""),44716)</f>
        <v>44716</v>
      </c>
      <c r="D424" s="1">
        <f ca="1">IFERROR(__xludf.DUMMYFUNCTION("""COMPUTED_VALUE"""),200)</f>
        <v>200</v>
      </c>
      <c r="E424" s="1">
        <f ca="1">IFERROR(__xludf.DUMMYFUNCTION("""COMPUTED_VALUE"""),36)</f>
        <v>36</v>
      </c>
      <c r="F424" s="1" t="str">
        <f ca="1">IFERROR(__xludf.DUMMYFUNCTION("""COMPUTED_VALUE"""),"DAL, NOP")</f>
        <v>DAL, NOP</v>
      </c>
      <c r="G424" s="1">
        <f ca="1">IFERROR(__xludf.DUMMYFUNCTION("""COMPUTED_VALUE"""),44)</f>
        <v>44</v>
      </c>
      <c r="H424" s="1">
        <f ca="1">IFERROR(__xludf.DUMMYFUNCTION("""COMPUTED_VALUE"""),14)</f>
        <v>14</v>
      </c>
      <c r="I424" s="1" t="str">
        <f ca="1">IFERROR(__xludf.DUMMYFUNCTION("""COMPUTED_VALUE"""),"Duke")</f>
        <v>Duke</v>
      </c>
      <c r="J424" s="1" t="str">
        <f ca="1">IFERROR(__xludf.DUMMYFUNCTION("""COMPUTED_VALUE"""),"2006 Rnd 1 Pick 11")</f>
        <v>2006 Rnd 1 Pick 11</v>
      </c>
      <c r="K424" s="1" t="str">
        <f ca="1">IFERROR(__xludf.DUMMYFUNCTION("""COMPUTED_VALUE"""),"United States")</f>
        <v>United States</v>
      </c>
    </row>
    <row r="425" spans="1:11" ht="13" x14ac:dyDescent="0.15">
      <c r="A425" s="1" t="str">
        <f ca="1">IFERROR(__xludf.DUMMYFUNCTION("""COMPUTED_VALUE"""),"Paul Reed Jr.")</f>
        <v>Paul Reed Jr.</v>
      </c>
      <c r="B425" s="1" t="str">
        <f ca="1">IFERROR(__xludf.DUMMYFUNCTION("""COMPUTED_VALUE"""),"F")</f>
        <v>F</v>
      </c>
      <c r="C425" s="2">
        <f ca="1">IFERROR(__xludf.DUMMYFUNCTION("""COMPUTED_VALUE"""),44720)</f>
        <v>44720</v>
      </c>
      <c r="D425" s="1">
        <f ca="1">IFERROR(__xludf.DUMMYFUNCTION("""COMPUTED_VALUE"""),218)</f>
        <v>218</v>
      </c>
      <c r="E425" s="1">
        <f ca="1">IFERROR(__xludf.DUMMYFUNCTION("""COMPUTED_VALUE"""),21)</f>
        <v>21</v>
      </c>
      <c r="F425" s="1" t="str">
        <f ca="1">IFERROR(__xludf.DUMMYFUNCTION("""COMPUTED_VALUE"""),"PHI")</f>
        <v>PHI</v>
      </c>
      <c r="G425" s="1">
        <f ca="1">IFERROR(__xludf.DUMMYFUNCTION("""COMPUTED_VALUE"""),26)</f>
        <v>26</v>
      </c>
      <c r="H425" s="1">
        <f ca="1">IFERROR(__xludf.DUMMYFUNCTION("""COMPUTED_VALUE"""),0)</f>
        <v>0</v>
      </c>
      <c r="I425" s="1" t="str">
        <f ca="1">IFERROR(__xludf.DUMMYFUNCTION("""COMPUTED_VALUE"""),"DePaul")</f>
        <v>DePaul</v>
      </c>
      <c r="J425" s="1" t="str">
        <f ca="1">IFERROR(__xludf.DUMMYFUNCTION("""COMPUTED_VALUE"""),"2020 Rnd 2 Pick 28")</f>
        <v>2020 Rnd 2 Pick 28</v>
      </c>
      <c r="K425" s="1" t="str">
        <f ca="1">IFERROR(__xludf.DUMMYFUNCTION("""COMPUTED_VALUE"""),"United States")</f>
        <v>United States</v>
      </c>
    </row>
    <row r="426" spans="1:11" ht="13" x14ac:dyDescent="0.15">
      <c r="A426" s="1" t="str">
        <f ca="1">IFERROR(__xludf.DUMMYFUNCTION("""COMPUTED_VALUE"""),"Naz Reid")</f>
        <v>Naz Reid</v>
      </c>
      <c r="B426" s="1" t="str">
        <f ca="1">IFERROR(__xludf.DUMMYFUNCTION("""COMPUTED_VALUE"""),"C")</f>
        <v>C</v>
      </c>
      <c r="C426" s="2">
        <f ca="1">IFERROR(__xludf.DUMMYFUNCTION("""COMPUTED_VALUE"""),44721)</f>
        <v>44721</v>
      </c>
      <c r="D426" s="1">
        <f ca="1">IFERROR(__xludf.DUMMYFUNCTION("""COMPUTED_VALUE"""),250)</f>
        <v>250</v>
      </c>
      <c r="E426" s="1">
        <f ca="1">IFERROR(__xludf.DUMMYFUNCTION("""COMPUTED_VALUE"""),21)</f>
        <v>21</v>
      </c>
      <c r="F426" s="1" t="str">
        <f ca="1">IFERROR(__xludf.DUMMYFUNCTION("""COMPUTED_VALUE"""),"MIN")</f>
        <v>MIN</v>
      </c>
      <c r="G426" s="1">
        <f ca="1">IFERROR(__xludf.DUMMYFUNCTION("""COMPUTED_VALUE"""),70)</f>
        <v>70</v>
      </c>
      <c r="H426" s="1">
        <f ca="1">IFERROR(__xludf.DUMMYFUNCTION("""COMPUTED_VALUE"""),1)</f>
        <v>1</v>
      </c>
      <c r="I426" s="1" t="str">
        <f ca="1">IFERROR(__xludf.DUMMYFUNCTION("""COMPUTED_VALUE"""),"LSU")</f>
        <v>LSU</v>
      </c>
      <c r="J426" s="1" t="str">
        <f ca="1">IFERROR(__xludf.DUMMYFUNCTION("""COMPUTED_VALUE"""),"2019 NBA Draft, Undrafted")</f>
        <v>2019 NBA Draft, Undrafted</v>
      </c>
      <c r="K426" s="1" t="str">
        <f ca="1">IFERROR(__xludf.DUMMYFUNCTION("""COMPUTED_VALUE"""),"United States")</f>
        <v>United States</v>
      </c>
    </row>
    <row r="427" spans="1:11" ht="13" x14ac:dyDescent="0.15">
      <c r="A427" s="1" t="str">
        <f ca="1">IFERROR(__xludf.DUMMYFUNCTION("""COMPUTED_VALUE"""),"Cam Reynolds")</f>
        <v>Cam Reynolds</v>
      </c>
      <c r="B427" s="1" t="str">
        <f ca="1">IFERROR(__xludf.DUMMYFUNCTION("""COMPUTED_VALUE"""),"F")</f>
        <v>F</v>
      </c>
      <c r="C427" s="2">
        <f ca="1">IFERROR(__xludf.DUMMYFUNCTION("""COMPUTED_VALUE"""),44719)</f>
        <v>44719</v>
      </c>
      <c r="D427" s="1">
        <f ca="1">IFERROR(__xludf.DUMMYFUNCTION("""COMPUTED_VALUE"""),225)</f>
        <v>225</v>
      </c>
      <c r="E427" s="1">
        <f ca="1">IFERROR(__xludf.DUMMYFUNCTION("""COMPUTED_VALUE"""),26)</f>
        <v>26</v>
      </c>
      <c r="F427" s="1" t="str">
        <f ca="1">IFERROR(__xludf.DUMMYFUNCTION("""COMPUTED_VALUE"""),"HOU, SAN")</f>
        <v>HOU, SAN</v>
      </c>
      <c r="G427" s="1">
        <f ca="1">IFERROR(__xludf.DUMMYFUNCTION("""COMPUTED_VALUE"""),5)</f>
        <v>5</v>
      </c>
      <c r="H427" s="1">
        <f ca="1">IFERROR(__xludf.DUMMYFUNCTION("""COMPUTED_VALUE"""),2)</f>
        <v>2</v>
      </c>
      <c r="I427" s="1" t="str">
        <f ca="1">IFERROR(__xludf.DUMMYFUNCTION("""COMPUTED_VALUE"""),"Tulane")</f>
        <v>Tulane</v>
      </c>
      <c r="J427" s="1" t="str">
        <f ca="1">IFERROR(__xludf.DUMMYFUNCTION("""COMPUTED_VALUE"""),"2018 NBA Draft, Undrafted")</f>
        <v>2018 NBA Draft, Undrafted</v>
      </c>
      <c r="K427" s="1" t="str">
        <f ca="1">IFERROR(__xludf.DUMMYFUNCTION("""COMPUTED_VALUE"""),"United States")</f>
        <v>United States</v>
      </c>
    </row>
    <row r="428" spans="1:11" ht="13" x14ac:dyDescent="0.15">
      <c r="A428" s="1" t="str">
        <f ca="1">IFERROR(__xludf.DUMMYFUNCTION("""COMPUTED_VALUE"""),"Nick Richards")</f>
        <v>Nick Richards</v>
      </c>
      <c r="B428" s="1" t="str">
        <f ca="1">IFERROR(__xludf.DUMMYFUNCTION("""COMPUTED_VALUE"""),"C")</f>
        <v>C</v>
      </c>
      <c r="C428" s="1" t="str">
        <f ca="1">IFERROR(__xludf.DUMMYFUNCTION("""COMPUTED_VALUE"""),"7-0")</f>
        <v>7-0</v>
      </c>
      <c r="D428" s="1">
        <f ca="1">IFERROR(__xludf.DUMMYFUNCTION("""COMPUTED_VALUE"""),250)</f>
        <v>250</v>
      </c>
      <c r="E428" s="1">
        <f ca="1">IFERROR(__xludf.DUMMYFUNCTION("""COMPUTED_VALUE"""),23)</f>
        <v>23</v>
      </c>
      <c r="F428" s="1" t="str">
        <f ca="1">IFERROR(__xludf.DUMMYFUNCTION("""COMPUTED_VALUE"""),"CHA")</f>
        <v>CHA</v>
      </c>
      <c r="G428" s="1">
        <f ca="1">IFERROR(__xludf.DUMMYFUNCTION("""COMPUTED_VALUE"""),18)</f>
        <v>18</v>
      </c>
      <c r="H428" s="1">
        <f ca="1">IFERROR(__xludf.DUMMYFUNCTION("""COMPUTED_VALUE"""),0)</f>
        <v>0</v>
      </c>
      <c r="I428" s="1" t="str">
        <f ca="1">IFERROR(__xludf.DUMMYFUNCTION("""COMPUTED_VALUE"""),"Kentucky")</f>
        <v>Kentucky</v>
      </c>
      <c r="J428" s="1" t="str">
        <f ca="1">IFERROR(__xludf.DUMMYFUNCTION("""COMPUTED_VALUE"""),"2020 Rnd 2 Pick 12")</f>
        <v>2020 Rnd 2 Pick 12</v>
      </c>
      <c r="K428" s="1" t="str">
        <f ca="1">IFERROR(__xludf.DUMMYFUNCTION("""COMPUTED_VALUE"""),"Jamaica")</f>
        <v>Jamaica</v>
      </c>
    </row>
    <row r="429" spans="1:11" ht="13" x14ac:dyDescent="0.15">
      <c r="A429" s="1" t="str">
        <f ca="1">IFERROR(__xludf.DUMMYFUNCTION("""COMPUTED_VALUE"""),"Josh Richardson")</f>
        <v>Josh Richardson</v>
      </c>
      <c r="B429" s="1" t="str">
        <f ca="1">IFERROR(__xludf.DUMMYFUNCTION("""COMPUTED_VALUE"""),"G")</f>
        <v>G</v>
      </c>
      <c r="C429" s="2">
        <f ca="1">IFERROR(__xludf.DUMMYFUNCTION("""COMPUTED_VALUE"""),44717)</f>
        <v>44717</v>
      </c>
      <c r="D429" s="1">
        <f ca="1">IFERROR(__xludf.DUMMYFUNCTION("""COMPUTED_VALUE"""),200)</f>
        <v>200</v>
      </c>
      <c r="E429" s="1">
        <f ca="1">IFERROR(__xludf.DUMMYFUNCTION("""COMPUTED_VALUE"""),27)</f>
        <v>27</v>
      </c>
      <c r="F429" s="1" t="str">
        <f ca="1">IFERROR(__xludf.DUMMYFUNCTION("""COMPUTED_VALUE"""),"DAL")</f>
        <v>DAL</v>
      </c>
      <c r="G429" s="1">
        <f ca="1">IFERROR(__xludf.DUMMYFUNCTION("""COMPUTED_VALUE"""),59)</f>
        <v>59</v>
      </c>
      <c r="H429" s="1">
        <f ca="1">IFERROR(__xludf.DUMMYFUNCTION("""COMPUTED_VALUE"""),5)</f>
        <v>5</v>
      </c>
      <c r="I429" s="1" t="str">
        <f ca="1">IFERROR(__xludf.DUMMYFUNCTION("""COMPUTED_VALUE"""),"Tennessee")</f>
        <v>Tennessee</v>
      </c>
      <c r="J429" s="1" t="str">
        <f ca="1">IFERROR(__xludf.DUMMYFUNCTION("""COMPUTED_VALUE"""),"2015 Rnd 2 Pick 10")</f>
        <v>2015 Rnd 2 Pick 10</v>
      </c>
      <c r="K429" s="1" t="str">
        <f ca="1">IFERROR(__xludf.DUMMYFUNCTION("""COMPUTED_VALUE"""),"United States")</f>
        <v>United States</v>
      </c>
    </row>
    <row r="430" spans="1:11" ht="13" x14ac:dyDescent="0.15">
      <c r="A430" s="1" t="str">
        <f ca="1">IFERROR(__xludf.DUMMYFUNCTION("""COMPUTED_VALUE"""),"Grant Riller")</f>
        <v>Grant Riller</v>
      </c>
      <c r="B430" s="1" t="str">
        <f ca="1">IFERROR(__xludf.DUMMYFUNCTION("""COMPUTED_VALUE"""),"SG")</f>
        <v>SG</v>
      </c>
      <c r="C430" s="1" t="str">
        <f ca="1">IFERROR(__xludf.DUMMYFUNCTION("""COMPUTED_VALUE"""),"6-0")</f>
        <v>6-0</v>
      </c>
      <c r="D430" s="1">
        <f ca="1">IFERROR(__xludf.DUMMYFUNCTION("""COMPUTED_VALUE"""),195)</f>
        <v>195</v>
      </c>
      <c r="E430" s="1">
        <f ca="1">IFERROR(__xludf.DUMMYFUNCTION("""COMPUTED_VALUE"""),24)</f>
        <v>24</v>
      </c>
      <c r="F430" s="1" t="str">
        <f ca="1">IFERROR(__xludf.DUMMYFUNCTION("""COMPUTED_VALUE"""),"CHA")</f>
        <v>CHA</v>
      </c>
      <c r="G430" s="1">
        <f ca="1">IFERROR(__xludf.DUMMYFUNCTION("""COMPUTED_VALUE"""),7)</f>
        <v>7</v>
      </c>
      <c r="H430" s="1">
        <f ca="1">IFERROR(__xludf.DUMMYFUNCTION("""COMPUTED_VALUE"""),0)</f>
        <v>0</v>
      </c>
      <c r="I430" s="1" t="str">
        <f ca="1">IFERROR(__xludf.DUMMYFUNCTION("""COMPUTED_VALUE"""),"Charleston")</f>
        <v>Charleston</v>
      </c>
      <c r="J430" s="1" t="str">
        <f ca="1">IFERROR(__xludf.DUMMYFUNCTION("""COMPUTED_VALUE"""),"2020 Rnd 2 Pick 26")</f>
        <v>2020 Rnd 2 Pick 26</v>
      </c>
      <c r="K430" s="1" t="str">
        <f ca="1">IFERROR(__xludf.DUMMYFUNCTION("""COMPUTED_VALUE"""),"United States")</f>
        <v>United States</v>
      </c>
    </row>
    <row r="431" spans="1:11" ht="13" x14ac:dyDescent="0.15">
      <c r="A431" s="1" t="str">
        <f ca="1">IFERROR(__xludf.DUMMYFUNCTION("""COMPUTED_VALUE"""),"Austin Rivers")</f>
        <v>Austin Rivers</v>
      </c>
      <c r="B431" s="1" t="str">
        <f ca="1">IFERROR(__xludf.DUMMYFUNCTION("""COMPUTED_VALUE"""),"SG")</f>
        <v>SG</v>
      </c>
      <c r="C431" s="2">
        <f ca="1">IFERROR(__xludf.DUMMYFUNCTION("""COMPUTED_VALUE"""),44716)</f>
        <v>44716</v>
      </c>
      <c r="D431" s="1">
        <f ca="1">IFERROR(__xludf.DUMMYFUNCTION("""COMPUTED_VALUE"""),200)</f>
        <v>200</v>
      </c>
      <c r="E431" s="1">
        <f ca="1">IFERROR(__xludf.DUMMYFUNCTION("""COMPUTED_VALUE"""),28)</f>
        <v>28</v>
      </c>
      <c r="F431" s="1" t="str">
        <f ca="1">IFERROR(__xludf.DUMMYFUNCTION("""COMPUTED_VALUE"""),"DEN, NYK")</f>
        <v>DEN, NYK</v>
      </c>
      <c r="G431" s="1">
        <f ca="1">IFERROR(__xludf.DUMMYFUNCTION("""COMPUTED_VALUE"""),36)</f>
        <v>36</v>
      </c>
      <c r="H431" s="1">
        <f ca="1">IFERROR(__xludf.DUMMYFUNCTION("""COMPUTED_VALUE"""),8)</f>
        <v>8</v>
      </c>
      <c r="I431" s="1" t="str">
        <f ca="1">IFERROR(__xludf.DUMMYFUNCTION("""COMPUTED_VALUE"""),"Duke")</f>
        <v>Duke</v>
      </c>
      <c r="J431" s="1" t="str">
        <f ca="1">IFERROR(__xludf.DUMMYFUNCTION("""COMPUTED_VALUE"""),"2012 Rnd 1 Pick 10")</f>
        <v>2012 Rnd 1 Pick 10</v>
      </c>
      <c r="K431" s="1" t="str">
        <f ca="1">IFERROR(__xludf.DUMMYFUNCTION("""COMPUTED_VALUE"""),"United States")</f>
        <v>United States</v>
      </c>
    </row>
    <row r="432" spans="1:11" ht="13" x14ac:dyDescent="0.15">
      <c r="A432" s="1" t="str">
        <f ca="1">IFERROR(__xludf.DUMMYFUNCTION("""COMPUTED_VALUE"""),"Andre Roberson")</f>
        <v>Andre Roberson</v>
      </c>
      <c r="B432" s="1" t="str">
        <f ca="1">IFERROR(__xludf.DUMMYFUNCTION("""COMPUTED_VALUE"""),"SG")</f>
        <v>SG</v>
      </c>
      <c r="C432" s="2">
        <f ca="1">IFERROR(__xludf.DUMMYFUNCTION("""COMPUTED_VALUE"""),44719)</f>
        <v>44719</v>
      </c>
      <c r="D432" s="1">
        <f ca="1">IFERROR(__xludf.DUMMYFUNCTION("""COMPUTED_VALUE"""),210)</f>
        <v>210</v>
      </c>
      <c r="E432" s="1">
        <f ca="1">IFERROR(__xludf.DUMMYFUNCTION("""COMPUTED_VALUE"""),29)</f>
        <v>29</v>
      </c>
      <c r="F432" s="1" t="str">
        <f ca="1">IFERROR(__xludf.DUMMYFUNCTION("""COMPUTED_VALUE"""),"BRK")</f>
        <v>BRK</v>
      </c>
      <c r="G432" s="1">
        <f ca="1">IFERROR(__xludf.DUMMYFUNCTION("""COMPUTED_VALUE"""),5)</f>
        <v>5</v>
      </c>
      <c r="H432" s="1">
        <f ca="1">IFERROR(__xludf.DUMMYFUNCTION("""COMPUTED_VALUE"""),7)</f>
        <v>7</v>
      </c>
      <c r="I432" s="1" t="str">
        <f ca="1">IFERROR(__xludf.DUMMYFUNCTION("""COMPUTED_VALUE"""),"Colorado")</f>
        <v>Colorado</v>
      </c>
      <c r="J432" s="1" t="str">
        <f ca="1">IFERROR(__xludf.DUMMYFUNCTION("""COMPUTED_VALUE"""),"2013 Rnd 1 Pick 26")</f>
        <v>2013 Rnd 1 Pick 26</v>
      </c>
      <c r="K432" s="1" t="str">
        <f ca="1">IFERROR(__xludf.DUMMYFUNCTION("""COMPUTED_VALUE"""),"United States")</f>
        <v>United States</v>
      </c>
    </row>
    <row r="433" spans="1:11" ht="13" x14ac:dyDescent="0.15">
      <c r="A433" s="1" t="str">
        <f ca="1">IFERROR(__xludf.DUMMYFUNCTION("""COMPUTED_VALUE"""),"Duncan Robinson")</f>
        <v>Duncan Robinson</v>
      </c>
      <c r="B433" s="1" t="str">
        <f ca="1">IFERROR(__xludf.DUMMYFUNCTION("""COMPUTED_VALUE"""),"F")</f>
        <v>F</v>
      </c>
      <c r="C433" s="2">
        <f ca="1">IFERROR(__xludf.DUMMYFUNCTION("""COMPUTED_VALUE"""),44720)</f>
        <v>44720</v>
      </c>
      <c r="D433" s="1">
        <f ca="1">IFERROR(__xludf.DUMMYFUNCTION("""COMPUTED_VALUE"""),210)</f>
        <v>210</v>
      </c>
      <c r="E433" s="1">
        <f ca="1">IFERROR(__xludf.DUMMYFUNCTION("""COMPUTED_VALUE"""),26)</f>
        <v>26</v>
      </c>
      <c r="F433" s="1" t="str">
        <f ca="1">IFERROR(__xludf.DUMMYFUNCTION("""COMPUTED_VALUE"""),"MIA")</f>
        <v>MIA</v>
      </c>
      <c r="G433" s="1">
        <f ca="1">IFERROR(__xludf.DUMMYFUNCTION("""COMPUTED_VALUE"""),72)</f>
        <v>72</v>
      </c>
      <c r="H433" s="1">
        <f ca="1">IFERROR(__xludf.DUMMYFUNCTION("""COMPUTED_VALUE"""),2)</f>
        <v>2</v>
      </c>
      <c r="I433" s="1" t="str">
        <f ca="1">IFERROR(__xludf.DUMMYFUNCTION("""COMPUTED_VALUE"""),"Michigan")</f>
        <v>Michigan</v>
      </c>
      <c r="J433" s="1" t="str">
        <f ca="1">IFERROR(__xludf.DUMMYFUNCTION("""COMPUTED_VALUE"""),"2018 NBA Draft, Undrafted")</f>
        <v>2018 NBA Draft, Undrafted</v>
      </c>
      <c r="K433" s="1" t="str">
        <f ca="1">IFERROR(__xludf.DUMMYFUNCTION("""COMPUTED_VALUE"""),"United States")</f>
        <v>United States</v>
      </c>
    </row>
    <row r="434" spans="1:11" ht="13" x14ac:dyDescent="0.15">
      <c r="A434" s="1" t="str">
        <f ca="1">IFERROR(__xludf.DUMMYFUNCTION("""COMPUTED_VALUE"""),"Glenn Robinson")</f>
        <v>Glenn Robinson</v>
      </c>
      <c r="B434" s="1" t="str">
        <f ca="1">IFERROR(__xludf.DUMMYFUNCTION("""COMPUTED_VALUE"""),"SF")</f>
        <v>SF</v>
      </c>
      <c r="C434" s="2">
        <f ca="1">IFERROR(__xludf.DUMMYFUNCTION("""COMPUTED_VALUE"""),44718)</f>
        <v>44718</v>
      </c>
      <c r="D434" s="1">
        <f ca="1">IFERROR(__xludf.DUMMYFUNCTION("""COMPUTED_VALUE"""),222)</f>
        <v>222</v>
      </c>
      <c r="E434" s="1">
        <f ca="1">IFERROR(__xludf.DUMMYFUNCTION("""COMPUTED_VALUE"""),27)</f>
        <v>27</v>
      </c>
      <c r="F434" s="1" t="str">
        <f ca="1">IFERROR(__xludf.DUMMYFUNCTION("""COMPUTED_VALUE"""),"SAC")</f>
        <v>SAC</v>
      </c>
      <c r="G434" s="1">
        <f ca="1">IFERROR(__xludf.DUMMYFUNCTION("""COMPUTED_VALUE"""),23)</f>
        <v>23</v>
      </c>
      <c r="H434" s="1">
        <f ca="1">IFERROR(__xludf.DUMMYFUNCTION("""COMPUTED_VALUE"""),6)</f>
        <v>6</v>
      </c>
      <c r="I434" s="1" t="str">
        <f ca="1">IFERROR(__xludf.DUMMYFUNCTION("""COMPUTED_VALUE"""),"Michigan")</f>
        <v>Michigan</v>
      </c>
      <c r="J434" s="1" t="str">
        <f ca="1">IFERROR(__xludf.DUMMYFUNCTION("""COMPUTED_VALUE"""),"2014 Rnd 2 Pick 10")</f>
        <v>2014 Rnd 2 Pick 10</v>
      </c>
      <c r="K434" s="1" t="str">
        <f ca="1">IFERROR(__xludf.DUMMYFUNCTION("""COMPUTED_VALUE"""),"United States")</f>
        <v>United States</v>
      </c>
    </row>
    <row r="435" spans="1:11" ht="13" x14ac:dyDescent="0.15">
      <c r="A435" s="1" t="str">
        <f ca="1">IFERROR(__xludf.DUMMYFUNCTION("""COMPUTED_VALUE"""),"Jerome Robinson")</f>
        <v>Jerome Robinson</v>
      </c>
      <c r="B435" s="1" t="str">
        <f ca="1">IFERROR(__xludf.DUMMYFUNCTION("""COMPUTED_VALUE"""),"SG")</f>
        <v>SG</v>
      </c>
      <c r="C435" s="2">
        <f ca="1">IFERROR(__xludf.DUMMYFUNCTION("""COMPUTED_VALUE"""),44716)</f>
        <v>44716</v>
      </c>
      <c r="D435" s="1">
        <f ca="1">IFERROR(__xludf.DUMMYFUNCTION("""COMPUTED_VALUE"""),190)</f>
        <v>190</v>
      </c>
      <c r="E435" s="1">
        <f ca="1">IFERROR(__xludf.DUMMYFUNCTION("""COMPUTED_VALUE"""),24)</f>
        <v>24</v>
      </c>
      <c r="F435" s="1" t="str">
        <f ca="1">IFERROR(__xludf.DUMMYFUNCTION("""COMPUTED_VALUE"""),"WAS")</f>
        <v>WAS</v>
      </c>
      <c r="G435" s="1">
        <f ca="1">IFERROR(__xludf.DUMMYFUNCTION("""COMPUTED_VALUE"""),17)</f>
        <v>17</v>
      </c>
      <c r="H435" s="1">
        <f ca="1">IFERROR(__xludf.DUMMYFUNCTION("""COMPUTED_VALUE"""),2)</f>
        <v>2</v>
      </c>
      <c r="I435" s="1" t="str">
        <f ca="1">IFERROR(__xludf.DUMMYFUNCTION("""COMPUTED_VALUE"""),"Boston College")</f>
        <v>Boston College</v>
      </c>
      <c r="J435" s="1" t="str">
        <f ca="1">IFERROR(__xludf.DUMMYFUNCTION("""COMPUTED_VALUE"""),"2018 Rnd 1 Pick 13")</f>
        <v>2018 Rnd 1 Pick 13</v>
      </c>
      <c r="K435" s="1" t="str">
        <f ca="1">IFERROR(__xludf.DUMMYFUNCTION("""COMPUTED_VALUE"""),"United States")</f>
        <v>United States</v>
      </c>
    </row>
    <row r="436" spans="1:11" ht="13" x14ac:dyDescent="0.15">
      <c r="A436" s="1" t="str">
        <f ca="1">IFERROR(__xludf.DUMMYFUNCTION("""COMPUTED_VALUE"""),"Justin Robinson")</f>
        <v>Justin Robinson</v>
      </c>
      <c r="B436" s="1" t="str">
        <f ca="1">IFERROR(__xludf.DUMMYFUNCTION("""COMPUTED_VALUE"""),"PG")</f>
        <v>PG</v>
      </c>
      <c r="C436" s="2">
        <f ca="1">IFERROR(__xludf.DUMMYFUNCTION("""COMPUTED_VALUE"""),44713)</f>
        <v>44713</v>
      </c>
      <c r="D436" s="1">
        <f ca="1">IFERROR(__xludf.DUMMYFUNCTION("""COMPUTED_VALUE"""),195)</f>
        <v>195</v>
      </c>
      <c r="E436" s="1">
        <f ca="1">IFERROR(__xludf.DUMMYFUNCTION("""COMPUTED_VALUE"""),23)</f>
        <v>23</v>
      </c>
      <c r="F436" s="1" t="str">
        <f ca="1">IFERROR(__xludf.DUMMYFUNCTION("""COMPUTED_VALUE"""),"OKC")</f>
        <v>OKC</v>
      </c>
      <c r="G436" s="1">
        <f ca="1">IFERROR(__xludf.DUMMYFUNCTION("""COMPUTED_VALUE"""),9)</f>
        <v>9</v>
      </c>
      <c r="H436" s="1">
        <f ca="1">IFERROR(__xludf.DUMMYFUNCTION("""COMPUTED_VALUE"""),1)</f>
        <v>1</v>
      </c>
      <c r="I436" s="1" t="str">
        <f ca="1">IFERROR(__xludf.DUMMYFUNCTION("""COMPUTED_VALUE"""),"Virginia Tech")</f>
        <v>Virginia Tech</v>
      </c>
      <c r="J436" s="1" t="str">
        <f ca="1">IFERROR(__xludf.DUMMYFUNCTION("""COMPUTED_VALUE"""),"2019 NBA Draft, Undrafted")</f>
        <v>2019 NBA Draft, Undrafted</v>
      </c>
      <c r="K436" s="1" t="str">
        <f ca="1">IFERROR(__xludf.DUMMYFUNCTION("""COMPUTED_VALUE"""),"United States")</f>
        <v>United States</v>
      </c>
    </row>
    <row r="437" spans="1:11" ht="13" x14ac:dyDescent="0.15">
      <c r="A437" s="1" t="str">
        <f ca="1">IFERROR(__xludf.DUMMYFUNCTION("""COMPUTED_VALUE"""),"Mitchell Robinson")</f>
        <v>Mitchell Robinson</v>
      </c>
      <c r="B437" s="1" t="str">
        <f ca="1">IFERROR(__xludf.DUMMYFUNCTION("""COMPUTED_VALUE"""),"C")</f>
        <v>C</v>
      </c>
      <c r="C437" s="2">
        <f ca="1">IFERROR(__xludf.DUMMYFUNCTION("""COMPUTED_VALUE"""),44743)</f>
        <v>44743</v>
      </c>
      <c r="D437" s="1">
        <f ca="1">IFERROR(__xludf.DUMMYFUNCTION("""COMPUTED_VALUE"""),240)</f>
        <v>240</v>
      </c>
      <c r="E437" s="1">
        <f ca="1">IFERROR(__xludf.DUMMYFUNCTION("""COMPUTED_VALUE"""),22)</f>
        <v>22</v>
      </c>
      <c r="F437" s="1" t="str">
        <f ca="1">IFERROR(__xludf.DUMMYFUNCTION("""COMPUTED_VALUE"""),"NYK")</f>
        <v>NYK</v>
      </c>
      <c r="G437" s="1">
        <f ca="1">IFERROR(__xludf.DUMMYFUNCTION("""COMPUTED_VALUE"""),31)</f>
        <v>31</v>
      </c>
      <c r="H437" s="1">
        <f ca="1">IFERROR(__xludf.DUMMYFUNCTION("""COMPUTED_VALUE"""),2)</f>
        <v>2</v>
      </c>
      <c r="I437" s="1"/>
      <c r="J437" s="1" t="str">
        <f ca="1">IFERROR(__xludf.DUMMYFUNCTION("""COMPUTED_VALUE"""),"2018 Rnd 2 Pick 6")</f>
        <v>2018 Rnd 2 Pick 6</v>
      </c>
      <c r="K437" s="1" t="str">
        <f ca="1">IFERROR(__xludf.DUMMYFUNCTION("""COMPUTED_VALUE"""),"United States")</f>
        <v>United States</v>
      </c>
    </row>
    <row r="438" spans="1:11" ht="13" x14ac:dyDescent="0.15">
      <c r="A438" s="1" t="str">
        <f ca="1">IFERROR(__xludf.DUMMYFUNCTION("""COMPUTED_VALUE"""),"Isaiah Roby")</f>
        <v>Isaiah Roby</v>
      </c>
      <c r="B438" s="1" t="str">
        <f ca="1">IFERROR(__xludf.DUMMYFUNCTION("""COMPUTED_VALUE"""),"SF")</f>
        <v>SF</v>
      </c>
      <c r="C438" s="2">
        <f ca="1">IFERROR(__xludf.DUMMYFUNCTION("""COMPUTED_VALUE"""),44720)</f>
        <v>44720</v>
      </c>
      <c r="D438" s="1">
        <f ca="1">IFERROR(__xludf.DUMMYFUNCTION("""COMPUTED_VALUE"""),230)</f>
        <v>230</v>
      </c>
      <c r="E438" s="1">
        <f ca="1">IFERROR(__xludf.DUMMYFUNCTION("""COMPUTED_VALUE"""),23)</f>
        <v>23</v>
      </c>
      <c r="F438" s="1" t="str">
        <f ca="1">IFERROR(__xludf.DUMMYFUNCTION("""COMPUTED_VALUE"""),"OKC")</f>
        <v>OKC</v>
      </c>
      <c r="G438" s="1">
        <f ca="1">IFERROR(__xludf.DUMMYFUNCTION("""COMPUTED_VALUE"""),61)</f>
        <v>61</v>
      </c>
      <c r="H438" s="1">
        <f ca="1">IFERROR(__xludf.DUMMYFUNCTION("""COMPUTED_VALUE"""),1)</f>
        <v>1</v>
      </c>
      <c r="I438" s="1" t="str">
        <f ca="1">IFERROR(__xludf.DUMMYFUNCTION("""COMPUTED_VALUE"""),"Nebraska")</f>
        <v>Nebraska</v>
      </c>
      <c r="J438" s="1" t="str">
        <f ca="1">IFERROR(__xludf.DUMMYFUNCTION("""COMPUTED_VALUE"""),"2019 Rnd 2 Pick 15")</f>
        <v>2019 Rnd 2 Pick 15</v>
      </c>
      <c r="K438" s="1" t="str">
        <f ca="1">IFERROR(__xludf.DUMMYFUNCTION("""COMPUTED_VALUE"""),"United States")</f>
        <v>United States</v>
      </c>
    </row>
    <row r="439" spans="1:11" ht="13" x14ac:dyDescent="0.15">
      <c r="A439" s="1" t="str">
        <f ca="1">IFERROR(__xludf.DUMMYFUNCTION("""COMPUTED_VALUE"""),"Rajon Rondo")</f>
        <v>Rajon Rondo</v>
      </c>
      <c r="B439" s="1" t="str">
        <f ca="1">IFERROR(__xludf.DUMMYFUNCTION("""COMPUTED_VALUE"""),"PG")</f>
        <v>PG</v>
      </c>
      <c r="C439" s="2">
        <f ca="1">IFERROR(__xludf.DUMMYFUNCTION("""COMPUTED_VALUE"""),44713)</f>
        <v>44713</v>
      </c>
      <c r="D439" s="1">
        <f ca="1">IFERROR(__xludf.DUMMYFUNCTION("""COMPUTED_VALUE"""),180)</f>
        <v>180</v>
      </c>
      <c r="E439" s="1">
        <f ca="1">IFERROR(__xludf.DUMMYFUNCTION("""COMPUTED_VALUE"""),35)</f>
        <v>35</v>
      </c>
      <c r="F439" s="1" t="str">
        <f ca="1">IFERROR(__xludf.DUMMYFUNCTION("""COMPUTED_VALUE"""),"ATL, LAC")</f>
        <v>ATL, LAC</v>
      </c>
      <c r="G439" s="1">
        <f ca="1">IFERROR(__xludf.DUMMYFUNCTION("""COMPUTED_VALUE"""),45)</f>
        <v>45</v>
      </c>
      <c r="H439" s="1">
        <f ca="1">IFERROR(__xludf.DUMMYFUNCTION("""COMPUTED_VALUE"""),14)</f>
        <v>14</v>
      </c>
      <c r="I439" s="1" t="str">
        <f ca="1">IFERROR(__xludf.DUMMYFUNCTION("""COMPUTED_VALUE"""),"Kentucky")</f>
        <v>Kentucky</v>
      </c>
      <c r="J439" s="1" t="str">
        <f ca="1">IFERROR(__xludf.DUMMYFUNCTION("""COMPUTED_VALUE"""),"2006 Rnd 1 Pick 21")</f>
        <v>2006 Rnd 1 Pick 21</v>
      </c>
      <c r="K439" s="1" t="str">
        <f ca="1">IFERROR(__xludf.DUMMYFUNCTION("""COMPUTED_VALUE"""),"United States")</f>
        <v>United States</v>
      </c>
    </row>
    <row r="440" spans="1:11" ht="13" x14ac:dyDescent="0.15">
      <c r="A440" s="1" t="str">
        <f ca="1">IFERROR(__xludf.DUMMYFUNCTION("""COMPUTED_VALUE"""),"Derrick Rose")</f>
        <v>Derrick Rose</v>
      </c>
      <c r="B440" s="1" t="str">
        <f ca="1">IFERROR(__xludf.DUMMYFUNCTION("""COMPUTED_VALUE"""),"PG")</f>
        <v>PG</v>
      </c>
      <c r="C440" s="2">
        <f ca="1">IFERROR(__xludf.DUMMYFUNCTION("""COMPUTED_VALUE"""),44715)</f>
        <v>44715</v>
      </c>
      <c r="D440" s="1">
        <f ca="1">IFERROR(__xludf.DUMMYFUNCTION("""COMPUTED_VALUE"""),200)</f>
        <v>200</v>
      </c>
      <c r="E440" s="1">
        <f ca="1">IFERROR(__xludf.DUMMYFUNCTION("""COMPUTED_VALUE"""),32)</f>
        <v>32</v>
      </c>
      <c r="F440" s="1" t="str">
        <f ca="1">IFERROR(__xludf.DUMMYFUNCTION("""COMPUTED_VALUE"""),"DET, NYK")</f>
        <v>DET, NYK</v>
      </c>
      <c r="G440" s="1">
        <f ca="1">IFERROR(__xludf.DUMMYFUNCTION("""COMPUTED_VALUE"""),50)</f>
        <v>50</v>
      </c>
      <c r="H440" s="1">
        <f ca="1">IFERROR(__xludf.DUMMYFUNCTION("""COMPUTED_VALUE"""),12)</f>
        <v>12</v>
      </c>
      <c r="I440" s="1" t="str">
        <f ca="1">IFERROR(__xludf.DUMMYFUNCTION("""COMPUTED_VALUE"""),"Memphis")</f>
        <v>Memphis</v>
      </c>
      <c r="J440" s="1" t="str">
        <f ca="1">IFERROR(__xludf.DUMMYFUNCTION("""COMPUTED_VALUE"""),"2008 Rnd 1 Pick 1")</f>
        <v>2008 Rnd 1 Pick 1</v>
      </c>
      <c r="K440" s="1" t="str">
        <f ca="1">IFERROR(__xludf.DUMMYFUNCTION("""COMPUTED_VALUE"""),"United States")</f>
        <v>United States</v>
      </c>
    </row>
    <row r="441" spans="1:11" ht="13" x14ac:dyDescent="0.15">
      <c r="A441" s="1" t="str">
        <f ca="1">IFERROR(__xludf.DUMMYFUNCTION("""COMPUTED_VALUE"""),"Terrence Ross")</f>
        <v>Terrence Ross</v>
      </c>
      <c r="B441" s="1" t="str">
        <f ca="1">IFERROR(__xludf.DUMMYFUNCTION("""COMPUTED_VALUE"""),"SF")</f>
        <v>SF</v>
      </c>
      <c r="C441" s="2">
        <f ca="1">IFERROR(__xludf.DUMMYFUNCTION("""COMPUTED_VALUE"""),44719)</f>
        <v>44719</v>
      </c>
      <c r="D441" s="1">
        <f ca="1">IFERROR(__xludf.DUMMYFUNCTION("""COMPUTED_VALUE"""),206)</f>
        <v>206</v>
      </c>
      <c r="E441" s="1">
        <f ca="1">IFERROR(__xludf.DUMMYFUNCTION("""COMPUTED_VALUE"""),30)</f>
        <v>30</v>
      </c>
      <c r="F441" s="1" t="str">
        <f ca="1">IFERROR(__xludf.DUMMYFUNCTION("""COMPUTED_VALUE"""),"ORL")</f>
        <v>ORL</v>
      </c>
      <c r="G441" s="1">
        <f ca="1">IFERROR(__xludf.DUMMYFUNCTION("""COMPUTED_VALUE"""),46)</f>
        <v>46</v>
      </c>
      <c r="H441" s="1">
        <f ca="1">IFERROR(__xludf.DUMMYFUNCTION("""COMPUTED_VALUE"""),8)</f>
        <v>8</v>
      </c>
      <c r="I441" s="1" t="str">
        <f ca="1">IFERROR(__xludf.DUMMYFUNCTION("""COMPUTED_VALUE"""),"Washington")</f>
        <v>Washington</v>
      </c>
      <c r="J441" s="1" t="str">
        <f ca="1">IFERROR(__xludf.DUMMYFUNCTION("""COMPUTED_VALUE"""),"2012 Rnd 1 Pick 8")</f>
        <v>2012 Rnd 1 Pick 8</v>
      </c>
      <c r="K441" s="1" t="str">
        <f ca="1">IFERROR(__xludf.DUMMYFUNCTION("""COMPUTED_VALUE"""),"United States")</f>
        <v>United States</v>
      </c>
    </row>
    <row r="442" spans="1:11" ht="13" x14ac:dyDescent="0.15">
      <c r="A442" s="1" t="str">
        <f ca="1">IFERROR(__xludf.DUMMYFUNCTION("""COMPUTED_VALUE"""),"Terry Rozier")</f>
        <v>Terry Rozier</v>
      </c>
      <c r="B442" s="1" t="str">
        <f ca="1">IFERROR(__xludf.DUMMYFUNCTION("""COMPUTED_VALUE"""),"G")</f>
        <v>G</v>
      </c>
      <c r="C442" s="2">
        <f ca="1">IFERROR(__xludf.DUMMYFUNCTION("""COMPUTED_VALUE"""),44713)</f>
        <v>44713</v>
      </c>
      <c r="D442" s="1">
        <f ca="1">IFERROR(__xludf.DUMMYFUNCTION("""COMPUTED_VALUE"""),195)</f>
        <v>195</v>
      </c>
      <c r="E442" s="1">
        <f ca="1">IFERROR(__xludf.DUMMYFUNCTION("""COMPUTED_VALUE"""),26)</f>
        <v>26</v>
      </c>
      <c r="F442" s="1" t="str">
        <f ca="1">IFERROR(__xludf.DUMMYFUNCTION("""COMPUTED_VALUE"""),"CHA")</f>
        <v>CHA</v>
      </c>
      <c r="G442" s="1">
        <f ca="1">IFERROR(__xludf.DUMMYFUNCTION("""COMPUTED_VALUE"""),69)</f>
        <v>69</v>
      </c>
      <c r="H442" s="1">
        <f ca="1">IFERROR(__xludf.DUMMYFUNCTION("""COMPUTED_VALUE"""),5)</f>
        <v>5</v>
      </c>
      <c r="I442" s="1" t="str">
        <f ca="1">IFERROR(__xludf.DUMMYFUNCTION("""COMPUTED_VALUE"""),"Louisville")</f>
        <v>Louisville</v>
      </c>
      <c r="J442" s="1" t="str">
        <f ca="1">IFERROR(__xludf.DUMMYFUNCTION("""COMPUTED_VALUE"""),"2015 Rnd 1 Pick 16")</f>
        <v>2015 Rnd 1 Pick 16</v>
      </c>
      <c r="K442" s="1" t="str">
        <f ca="1">IFERROR(__xludf.DUMMYFUNCTION("""COMPUTED_VALUE"""),"United States")</f>
        <v>United States</v>
      </c>
    </row>
    <row r="443" spans="1:11" ht="13" x14ac:dyDescent="0.15">
      <c r="A443" s="1" t="str">
        <f ca="1">IFERROR(__xludf.DUMMYFUNCTION("""COMPUTED_VALUE"""),"Ricky Rubio")</f>
        <v>Ricky Rubio</v>
      </c>
      <c r="B443" s="1" t="str">
        <f ca="1">IFERROR(__xludf.DUMMYFUNCTION("""COMPUTED_VALUE"""),"G")</f>
        <v>G</v>
      </c>
      <c r="C443" s="2">
        <f ca="1">IFERROR(__xludf.DUMMYFUNCTION("""COMPUTED_VALUE"""),44715)</f>
        <v>44715</v>
      </c>
      <c r="D443" s="1">
        <f ca="1">IFERROR(__xludf.DUMMYFUNCTION("""COMPUTED_VALUE"""),190)</f>
        <v>190</v>
      </c>
      <c r="E443" s="1">
        <f ca="1">IFERROR(__xludf.DUMMYFUNCTION("""COMPUTED_VALUE"""),30)</f>
        <v>30</v>
      </c>
      <c r="F443" s="1" t="str">
        <f ca="1">IFERROR(__xludf.DUMMYFUNCTION("""COMPUTED_VALUE"""),"MIN")</f>
        <v>MIN</v>
      </c>
      <c r="G443" s="1">
        <f ca="1">IFERROR(__xludf.DUMMYFUNCTION("""COMPUTED_VALUE"""),68)</f>
        <v>68</v>
      </c>
      <c r="H443" s="1">
        <f ca="1">IFERROR(__xludf.DUMMYFUNCTION("""COMPUTED_VALUE"""),9)</f>
        <v>9</v>
      </c>
      <c r="I443" s="1" t="str">
        <f ca="1">IFERROR(__xludf.DUMMYFUNCTION("""COMPUTED_VALUE"""),"Joventut Badalona (Spain)")</f>
        <v>Joventut Badalona (Spain)</v>
      </c>
      <c r="J443" s="1" t="str">
        <f ca="1">IFERROR(__xludf.DUMMYFUNCTION("""COMPUTED_VALUE"""),"2009 Rnd 1 Pick 5")</f>
        <v>2009 Rnd 1 Pick 5</v>
      </c>
      <c r="K443" s="1" t="str">
        <f ca="1">IFERROR(__xludf.DUMMYFUNCTION("""COMPUTED_VALUE"""),"Spain")</f>
        <v>Spain</v>
      </c>
    </row>
    <row r="444" spans="1:11" ht="13" x14ac:dyDescent="0.15">
      <c r="A444" s="1" t="str">
        <f ca="1">IFERROR(__xludf.DUMMYFUNCTION("""COMPUTED_VALUE"""),"D'Angelo Russell")</f>
        <v>D'Angelo Russell</v>
      </c>
      <c r="B444" s="1" t="str">
        <f ca="1">IFERROR(__xludf.DUMMYFUNCTION("""COMPUTED_VALUE"""),"SG")</f>
        <v>SG</v>
      </c>
      <c r="C444" s="2">
        <f ca="1">IFERROR(__xludf.DUMMYFUNCTION("""COMPUTED_VALUE"""),44716)</f>
        <v>44716</v>
      </c>
      <c r="D444" s="1">
        <f ca="1">IFERROR(__xludf.DUMMYFUNCTION("""COMPUTED_VALUE"""),193)</f>
        <v>193</v>
      </c>
      <c r="E444" s="1">
        <f ca="1">IFERROR(__xludf.DUMMYFUNCTION("""COMPUTED_VALUE"""),25)</f>
        <v>25</v>
      </c>
      <c r="F444" s="1" t="str">
        <f ca="1">IFERROR(__xludf.DUMMYFUNCTION("""COMPUTED_VALUE"""),"MIN")</f>
        <v>MIN</v>
      </c>
      <c r="G444" s="1">
        <f ca="1">IFERROR(__xludf.DUMMYFUNCTION("""COMPUTED_VALUE"""),42)</f>
        <v>42</v>
      </c>
      <c r="H444" s="1">
        <f ca="1">IFERROR(__xludf.DUMMYFUNCTION("""COMPUTED_VALUE"""),5)</f>
        <v>5</v>
      </c>
      <c r="I444" s="1" t="str">
        <f ca="1">IFERROR(__xludf.DUMMYFUNCTION("""COMPUTED_VALUE"""),"Ohio State")</f>
        <v>Ohio State</v>
      </c>
      <c r="J444" s="1" t="str">
        <f ca="1">IFERROR(__xludf.DUMMYFUNCTION("""COMPUTED_VALUE"""),"2015 Rnd 1 Pick 2")</f>
        <v>2015 Rnd 1 Pick 2</v>
      </c>
      <c r="K444" s="1" t="str">
        <f ca="1">IFERROR(__xludf.DUMMYFUNCTION("""COMPUTED_VALUE"""),"United States")</f>
        <v>United States</v>
      </c>
    </row>
    <row r="445" spans="1:11" ht="13" x14ac:dyDescent="0.15">
      <c r="A445" s="1" t="str">
        <f ca="1">IFERROR(__xludf.DUMMYFUNCTION("""COMPUTED_VALUE"""),"Domantas Sabonis")</f>
        <v>Domantas Sabonis</v>
      </c>
      <c r="B445" s="1" t="str">
        <f ca="1">IFERROR(__xludf.DUMMYFUNCTION("""COMPUTED_VALUE"""),"PF")</f>
        <v>PF</v>
      </c>
      <c r="C445" s="2">
        <f ca="1">IFERROR(__xludf.DUMMYFUNCTION("""COMPUTED_VALUE"""),44723)</f>
        <v>44723</v>
      </c>
      <c r="D445" s="1">
        <f ca="1">IFERROR(__xludf.DUMMYFUNCTION("""COMPUTED_VALUE"""),240)</f>
        <v>240</v>
      </c>
      <c r="E445" s="1">
        <f ca="1">IFERROR(__xludf.DUMMYFUNCTION("""COMPUTED_VALUE"""),24)</f>
        <v>24</v>
      </c>
      <c r="F445" s="1" t="str">
        <f ca="1">IFERROR(__xludf.DUMMYFUNCTION("""COMPUTED_VALUE"""),"IND")</f>
        <v>IND</v>
      </c>
      <c r="G445" s="1">
        <f ca="1">IFERROR(__xludf.DUMMYFUNCTION("""COMPUTED_VALUE"""),62)</f>
        <v>62</v>
      </c>
      <c r="H445" s="1">
        <f ca="1">IFERROR(__xludf.DUMMYFUNCTION("""COMPUTED_VALUE"""),4)</f>
        <v>4</v>
      </c>
      <c r="I445" s="1" t="str">
        <f ca="1">IFERROR(__xludf.DUMMYFUNCTION("""COMPUTED_VALUE"""),"Gonzaga")</f>
        <v>Gonzaga</v>
      </c>
      <c r="J445" s="1" t="str">
        <f ca="1">IFERROR(__xludf.DUMMYFUNCTION("""COMPUTED_VALUE"""),"2016 Rnd 1 Pick 11")</f>
        <v>2016 Rnd 1 Pick 11</v>
      </c>
      <c r="K445" s="1" t="str">
        <f ca="1">IFERROR(__xludf.DUMMYFUNCTION("""COMPUTED_VALUE"""),"United States
Lithuania")</f>
        <v>United States
Lithuania</v>
      </c>
    </row>
    <row r="446" spans="1:11" ht="13" x14ac:dyDescent="0.15">
      <c r="A446" s="1" t="str">
        <f ca="1">IFERROR(__xludf.DUMMYFUNCTION("""COMPUTED_VALUE"""),"Luka Samanic")</f>
        <v>Luka Samanic</v>
      </c>
      <c r="B446" s="1" t="str">
        <f ca="1">IFERROR(__xludf.DUMMYFUNCTION("""COMPUTED_VALUE"""),"PF")</f>
        <v>PF</v>
      </c>
      <c r="C446" s="2">
        <f ca="1">IFERROR(__xludf.DUMMYFUNCTION("""COMPUTED_VALUE"""),44723)</f>
        <v>44723</v>
      </c>
      <c r="D446" s="1">
        <f ca="1">IFERROR(__xludf.DUMMYFUNCTION("""COMPUTED_VALUE"""),235)</f>
        <v>235</v>
      </c>
      <c r="E446" s="1">
        <f ca="1">IFERROR(__xludf.DUMMYFUNCTION("""COMPUTED_VALUE"""),21)</f>
        <v>21</v>
      </c>
      <c r="F446" s="1" t="str">
        <f ca="1">IFERROR(__xludf.DUMMYFUNCTION("""COMPUTED_VALUE"""),"SAS")</f>
        <v>SAS</v>
      </c>
      <c r="G446" s="1">
        <f ca="1">IFERROR(__xludf.DUMMYFUNCTION("""COMPUTED_VALUE"""),33)</f>
        <v>33</v>
      </c>
      <c r="H446" s="1">
        <f ca="1">IFERROR(__xludf.DUMMYFUNCTION("""COMPUTED_VALUE"""),1)</f>
        <v>1</v>
      </c>
      <c r="I446" s="1" t="str">
        <f ca="1">IFERROR(__xludf.DUMMYFUNCTION("""COMPUTED_VALUE"""),"Union Olimpija (Slovenia)")</f>
        <v>Union Olimpija (Slovenia)</v>
      </c>
      <c r="J446" s="1" t="str">
        <f ca="1">IFERROR(__xludf.DUMMYFUNCTION("""COMPUTED_VALUE"""),"2019 Rnd 1 Pick 19")</f>
        <v>2019 Rnd 1 Pick 19</v>
      </c>
      <c r="K446" s="1" t="str">
        <f ca="1">IFERROR(__xludf.DUMMYFUNCTION("""COMPUTED_VALUE"""),"Croatia")</f>
        <v>Croatia</v>
      </c>
    </row>
    <row r="447" spans="1:11" ht="13" x14ac:dyDescent="0.15">
      <c r="A447" s="1" t="str">
        <f ca="1">IFERROR(__xludf.DUMMYFUNCTION("""COMPUTED_VALUE"""),"JaKarr Sampson")</f>
        <v>JaKarr Sampson</v>
      </c>
      <c r="B447" s="1" t="str">
        <f ca="1">IFERROR(__xludf.DUMMYFUNCTION("""COMPUTED_VALUE"""),"F")</f>
        <v>F</v>
      </c>
      <c r="C447" s="2">
        <f ca="1">IFERROR(__xludf.DUMMYFUNCTION("""COMPUTED_VALUE"""),44721)</f>
        <v>44721</v>
      </c>
      <c r="D447" s="1">
        <f ca="1">IFERROR(__xludf.DUMMYFUNCTION("""COMPUTED_VALUE"""),215)</f>
        <v>215</v>
      </c>
      <c r="E447" s="1">
        <f ca="1">IFERROR(__xludf.DUMMYFUNCTION("""COMPUTED_VALUE"""),27)</f>
        <v>27</v>
      </c>
      <c r="F447" s="1" t="str">
        <f ca="1">IFERROR(__xludf.DUMMYFUNCTION("""COMPUTED_VALUE"""),"IND")</f>
        <v>IND</v>
      </c>
      <c r="G447" s="1">
        <f ca="1">IFERROR(__xludf.DUMMYFUNCTION("""COMPUTED_VALUE"""),29)</f>
        <v>29</v>
      </c>
      <c r="H447" s="1">
        <f ca="1">IFERROR(__xludf.DUMMYFUNCTION("""COMPUTED_VALUE"""),5)</f>
        <v>5</v>
      </c>
      <c r="I447" s="1" t="str">
        <f ca="1">IFERROR(__xludf.DUMMYFUNCTION("""COMPUTED_VALUE"""),"St. John's")</f>
        <v>St. John's</v>
      </c>
      <c r="J447" s="1" t="str">
        <f ca="1">IFERROR(__xludf.DUMMYFUNCTION("""COMPUTED_VALUE"""),"2014 NBA Draft, Undrafted")</f>
        <v>2014 NBA Draft, Undrafted</v>
      </c>
      <c r="K447" s="1" t="str">
        <f ca="1">IFERROR(__xludf.DUMMYFUNCTION("""COMPUTED_VALUE"""),"United States")</f>
        <v>United States</v>
      </c>
    </row>
    <row r="448" spans="1:11" ht="13" x14ac:dyDescent="0.15">
      <c r="A448" s="1" t="str">
        <f ca="1">IFERROR(__xludf.DUMMYFUNCTION("""COMPUTED_VALUE"""),"Dario Saric")</f>
        <v>Dario Saric</v>
      </c>
      <c r="B448" s="1" t="str">
        <f ca="1">IFERROR(__xludf.DUMMYFUNCTION("""COMPUTED_VALUE"""),"SF")</f>
        <v>SF</v>
      </c>
      <c r="C448" s="2">
        <f ca="1">IFERROR(__xludf.DUMMYFUNCTION("""COMPUTED_VALUE"""),44722)</f>
        <v>44722</v>
      </c>
      <c r="D448" s="1">
        <f ca="1">IFERROR(__xludf.DUMMYFUNCTION("""COMPUTED_VALUE"""),250)</f>
        <v>250</v>
      </c>
      <c r="E448" s="1">
        <f ca="1">IFERROR(__xludf.DUMMYFUNCTION("""COMPUTED_VALUE"""),26)</f>
        <v>26</v>
      </c>
      <c r="F448" s="1" t="str">
        <f ca="1">IFERROR(__xludf.DUMMYFUNCTION("""COMPUTED_VALUE"""),"PHX")</f>
        <v>PHX</v>
      </c>
      <c r="G448" s="1">
        <f ca="1">IFERROR(__xludf.DUMMYFUNCTION("""COMPUTED_VALUE"""),50)</f>
        <v>50</v>
      </c>
      <c r="H448" s="1">
        <f ca="1">IFERROR(__xludf.DUMMYFUNCTION("""COMPUTED_VALUE"""),4)</f>
        <v>4</v>
      </c>
      <c r="I448" s="1" t="str">
        <f ca="1">IFERROR(__xludf.DUMMYFUNCTION("""COMPUTED_VALUE"""),"KK Cibona (Croatia)")</f>
        <v>KK Cibona (Croatia)</v>
      </c>
      <c r="J448" s="1" t="str">
        <f ca="1">IFERROR(__xludf.DUMMYFUNCTION("""COMPUTED_VALUE"""),"2014 Rnd 1 Pick 12")</f>
        <v>2014 Rnd 1 Pick 12</v>
      </c>
      <c r="K448" s="1" t="str">
        <f ca="1">IFERROR(__xludf.DUMMYFUNCTION("""COMPUTED_VALUE"""),"Croatia")</f>
        <v>Croatia</v>
      </c>
    </row>
    <row r="449" spans="1:11" ht="13" x14ac:dyDescent="0.15">
      <c r="A449" s="1" t="str">
        <f ca="1">IFERROR(__xludf.DUMMYFUNCTION("""COMPUTED_VALUE"""),"Tomas Satoransky")</f>
        <v>Tomas Satoransky</v>
      </c>
      <c r="B449" s="1" t="str">
        <f ca="1">IFERROR(__xludf.DUMMYFUNCTION("""COMPUTED_VALUE"""),"PG")</f>
        <v>PG</v>
      </c>
      <c r="C449" s="2">
        <f ca="1">IFERROR(__xludf.DUMMYFUNCTION("""COMPUTED_VALUE"""),44719)</f>
        <v>44719</v>
      </c>
      <c r="D449" s="1">
        <f ca="1">IFERROR(__xludf.DUMMYFUNCTION("""COMPUTED_VALUE"""),210)</f>
        <v>210</v>
      </c>
      <c r="E449" s="1">
        <f ca="1">IFERROR(__xludf.DUMMYFUNCTION("""COMPUTED_VALUE"""),29)</f>
        <v>29</v>
      </c>
      <c r="F449" s="1" t="str">
        <f ca="1">IFERROR(__xludf.DUMMYFUNCTION("""COMPUTED_VALUE"""),"CHI")</f>
        <v>CHI</v>
      </c>
      <c r="G449" s="1">
        <f ca="1">IFERROR(__xludf.DUMMYFUNCTION("""COMPUTED_VALUE"""),58)</f>
        <v>58</v>
      </c>
      <c r="H449" s="1">
        <f ca="1">IFERROR(__xludf.DUMMYFUNCTION("""COMPUTED_VALUE"""),4)</f>
        <v>4</v>
      </c>
      <c r="I449" s="1" t="str">
        <f ca="1">IFERROR(__xludf.DUMMYFUNCTION("""COMPUTED_VALUE"""),"Coosur Real Betis (Spain)")</f>
        <v>Coosur Real Betis (Spain)</v>
      </c>
      <c r="J449" s="1" t="str">
        <f ca="1">IFERROR(__xludf.DUMMYFUNCTION("""COMPUTED_VALUE"""),"2012 Rnd 2 Pick 2")</f>
        <v>2012 Rnd 2 Pick 2</v>
      </c>
      <c r="K449" s="1" t="str">
        <f ca="1">IFERROR(__xludf.DUMMYFUNCTION("""COMPUTED_VALUE"""),"Czech Republic")</f>
        <v>Czech Republic</v>
      </c>
    </row>
    <row r="450" spans="1:11" ht="13" x14ac:dyDescent="0.15">
      <c r="A450" s="1" t="str">
        <f ca="1">IFERROR(__xludf.DUMMYFUNCTION("""COMPUTED_VALUE"""),"Dennis Schroder")</f>
        <v>Dennis Schroder</v>
      </c>
      <c r="B450" s="1" t="str">
        <f ca="1">IFERROR(__xludf.DUMMYFUNCTION("""COMPUTED_VALUE"""),"PG")</f>
        <v>PG</v>
      </c>
      <c r="C450" s="2">
        <f ca="1">IFERROR(__xludf.DUMMYFUNCTION("""COMPUTED_VALUE"""),44715)</f>
        <v>44715</v>
      </c>
      <c r="D450" s="1">
        <f ca="1">IFERROR(__xludf.DUMMYFUNCTION("""COMPUTED_VALUE"""),172)</f>
        <v>172</v>
      </c>
      <c r="E450" s="1">
        <f ca="1">IFERROR(__xludf.DUMMYFUNCTION("""COMPUTED_VALUE"""),27)</f>
        <v>27</v>
      </c>
      <c r="F450" s="1" t="str">
        <f ca="1">IFERROR(__xludf.DUMMYFUNCTION("""COMPUTED_VALUE"""),"LAL")</f>
        <v>LAL</v>
      </c>
      <c r="G450" s="1">
        <f ca="1">IFERROR(__xludf.DUMMYFUNCTION("""COMPUTED_VALUE"""),61)</f>
        <v>61</v>
      </c>
      <c r="H450" s="1">
        <f ca="1">IFERROR(__xludf.DUMMYFUNCTION("""COMPUTED_VALUE"""),7)</f>
        <v>7</v>
      </c>
      <c r="I450" s="1" t="str">
        <f ca="1">IFERROR(__xludf.DUMMYFUNCTION("""COMPUTED_VALUE"""),"Basketball Lowen Braunschweig (Germany)")</f>
        <v>Basketball Lowen Braunschweig (Germany)</v>
      </c>
      <c r="J450" s="1" t="str">
        <f ca="1">IFERROR(__xludf.DUMMYFUNCTION("""COMPUTED_VALUE"""),"2013 Rnd 1 Pick 17")</f>
        <v>2013 Rnd 1 Pick 17</v>
      </c>
      <c r="K450" s="1" t="str">
        <f ca="1">IFERROR(__xludf.DUMMYFUNCTION("""COMPUTED_VALUE"""),"Germany")</f>
        <v>Germany</v>
      </c>
    </row>
    <row r="451" spans="1:11" ht="13" x14ac:dyDescent="0.15">
      <c r="A451" s="1" t="str">
        <f ca="1">IFERROR(__xludf.DUMMYFUNCTION("""COMPUTED_VALUE"""),"Mike Scott")</f>
        <v>Mike Scott</v>
      </c>
      <c r="B451" s="1" t="str">
        <f ca="1">IFERROR(__xludf.DUMMYFUNCTION("""COMPUTED_VALUE"""),"PF")</f>
        <v>PF</v>
      </c>
      <c r="C451" s="2">
        <f ca="1">IFERROR(__xludf.DUMMYFUNCTION("""COMPUTED_VALUE"""),44720)</f>
        <v>44720</v>
      </c>
      <c r="D451" s="1">
        <f ca="1">IFERROR(__xludf.DUMMYFUNCTION("""COMPUTED_VALUE"""),237)</f>
        <v>237</v>
      </c>
      <c r="E451" s="1">
        <f ca="1">IFERROR(__xludf.DUMMYFUNCTION("""COMPUTED_VALUE"""),32)</f>
        <v>32</v>
      </c>
      <c r="F451" s="1" t="str">
        <f ca="1">IFERROR(__xludf.DUMMYFUNCTION("""COMPUTED_VALUE"""),"PHI")</f>
        <v>PHI</v>
      </c>
      <c r="G451" s="1">
        <f ca="1">IFERROR(__xludf.DUMMYFUNCTION("""COMPUTED_VALUE"""),51)</f>
        <v>51</v>
      </c>
      <c r="H451" s="1">
        <f ca="1">IFERROR(__xludf.DUMMYFUNCTION("""COMPUTED_VALUE"""),8)</f>
        <v>8</v>
      </c>
      <c r="I451" s="1" t="str">
        <f ca="1">IFERROR(__xludf.DUMMYFUNCTION("""COMPUTED_VALUE"""),"Virginia")</f>
        <v>Virginia</v>
      </c>
      <c r="J451" s="1" t="str">
        <f ca="1">IFERROR(__xludf.DUMMYFUNCTION("""COMPUTED_VALUE"""),"2012 Rnd 2 Pick 13")</f>
        <v>2012 Rnd 2 Pick 13</v>
      </c>
      <c r="K451" s="1" t="str">
        <f ca="1">IFERROR(__xludf.DUMMYFUNCTION("""COMPUTED_VALUE"""),"United States")</f>
        <v>United States</v>
      </c>
    </row>
    <row r="452" spans="1:11" ht="13" x14ac:dyDescent="0.15">
      <c r="A452" s="1" t="str">
        <f ca="1">IFERROR(__xludf.DUMMYFUNCTION("""COMPUTED_VALUE"""),"Jayden Scrubb")</f>
        <v>Jayden Scrubb</v>
      </c>
      <c r="B452" s="1" t="str">
        <f ca="1">IFERROR(__xludf.DUMMYFUNCTION("""COMPUTED_VALUE"""),"SG")</f>
        <v>SG</v>
      </c>
      <c r="C452" s="2">
        <f ca="1">IFERROR(__xludf.DUMMYFUNCTION("""COMPUTED_VALUE"""),44717)</f>
        <v>44717</v>
      </c>
      <c r="D452" s="1">
        <f ca="1">IFERROR(__xludf.DUMMYFUNCTION("""COMPUTED_VALUE"""),220)</f>
        <v>220</v>
      </c>
      <c r="E452" s="1">
        <f ca="1">IFERROR(__xludf.DUMMYFUNCTION("""COMPUTED_VALUE"""),20)</f>
        <v>20</v>
      </c>
      <c r="F452" s="1" t="str">
        <f ca="1">IFERROR(__xludf.DUMMYFUNCTION("""COMPUTED_VALUE"""),"LAC")</f>
        <v>LAC</v>
      </c>
      <c r="G452" s="1">
        <f ca="1">IFERROR(__xludf.DUMMYFUNCTION("""COMPUTED_VALUE"""),4)</f>
        <v>4</v>
      </c>
      <c r="H452" s="1">
        <f ca="1">IFERROR(__xludf.DUMMYFUNCTION("""COMPUTED_VALUE"""),0)</f>
        <v>0</v>
      </c>
      <c r="I452" s="1" t="str">
        <f ca="1">IFERROR(__xludf.DUMMYFUNCTION("""COMPUTED_VALUE"""),"John A. Logan")</f>
        <v>John A. Logan</v>
      </c>
      <c r="J452" s="1" t="str">
        <f ca="1">IFERROR(__xludf.DUMMYFUNCTION("""COMPUTED_VALUE"""),"2020 Rnd 2 Pick 25")</f>
        <v>2020 Rnd 2 Pick 25</v>
      </c>
      <c r="K452" s="1" t="str">
        <f ca="1">IFERROR(__xludf.DUMMYFUNCTION("""COMPUTED_VALUE"""),"United States")</f>
        <v>United States</v>
      </c>
    </row>
    <row r="453" spans="1:11" ht="13" x14ac:dyDescent="0.15">
      <c r="A453" s="1" t="str">
        <f ca="1">IFERROR(__xludf.DUMMYFUNCTION("""COMPUTED_VALUE"""),"Collin Sexton")</f>
        <v>Collin Sexton</v>
      </c>
      <c r="B453" s="1" t="str">
        <f ca="1">IFERROR(__xludf.DUMMYFUNCTION("""COMPUTED_VALUE"""),"PG")</f>
        <v>PG</v>
      </c>
      <c r="C453" s="2">
        <f ca="1">IFERROR(__xludf.DUMMYFUNCTION("""COMPUTED_VALUE"""),44713)</f>
        <v>44713</v>
      </c>
      <c r="D453" s="1">
        <f ca="1">IFERROR(__xludf.DUMMYFUNCTION("""COMPUTED_VALUE"""),192)</f>
        <v>192</v>
      </c>
      <c r="E453" s="1">
        <f ca="1">IFERROR(__xludf.DUMMYFUNCTION("""COMPUTED_VALUE"""),22)</f>
        <v>22</v>
      </c>
      <c r="F453" s="1" t="str">
        <f ca="1">IFERROR(__xludf.DUMMYFUNCTION("""COMPUTED_VALUE"""),"CLE")</f>
        <v>CLE</v>
      </c>
      <c r="G453" s="1">
        <f ca="1">IFERROR(__xludf.DUMMYFUNCTION("""COMPUTED_VALUE"""),60)</f>
        <v>60</v>
      </c>
      <c r="H453" s="1">
        <f ca="1">IFERROR(__xludf.DUMMYFUNCTION("""COMPUTED_VALUE"""),2)</f>
        <v>2</v>
      </c>
      <c r="I453" s="1" t="str">
        <f ca="1">IFERROR(__xludf.DUMMYFUNCTION("""COMPUTED_VALUE"""),"Alabama")</f>
        <v>Alabama</v>
      </c>
      <c r="J453" s="1" t="str">
        <f ca="1">IFERROR(__xludf.DUMMYFUNCTION("""COMPUTED_VALUE"""),"2018 Rnd 1 Pick 8")</f>
        <v>2018 Rnd 1 Pick 8</v>
      </c>
      <c r="K453" s="1" t="str">
        <f ca="1">IFERROR(__xludf.DUMMYFUNCTION("""COMPUTED_VALUE"""),"United States")</f>
        <v>United States</v>
      </c>
    </row>
    <row r="454" spans="1:11" ht="13" x14ac:dyDescent="0.15">
      <c r="A454" s="1" t="str">
        <f ca="1">IFERROR(__xludf.DUMMYFUNCTION("""COMPUTED_VALUE"""),"Landry Shamet")</f>
        <v>Landry Shamet</v>
      </c>
      <c r="B454" s="1" t="str">
        <f ca="1">IFERROR(__xludf.DUMMYFUNCTION("""COMPUTED_VALUE"""),"PG")</f>
        <v>PG</v>
      </c>
      <c r="C454" s="2">
        <f ca="1">IFERROR(__xludf.DUMMYFUNCTION("""COMPUTED_VALUE"""),44716)</f>
        <v>44716</v>
      </c>
      <c r="D454" s="1">
        <f ca="1">IFERROR(__xludf.DUMMYFUNCTION("""COMPUTED_VALUE"""),190)</f>
        <v>190</v>
      </c>
      <c r="E454" s="1">
        <f ca="1">IFERROR(__xludf.DUMMYFUNCTION("""COMPUTED_VALUE"""),23)</f>
        <v>23</v>
      </c>
      <c r="F454" s="1" t="str">
        <f ca="1">IFERROR(__xludf.DUMMYFUNCTION("""COMPUTED_VALUE"""),"BRK")</f>
        <v>BRK</v>
      </c>
      <c r="G454" s="1">
        <f ca="1">IFERROR(__xludf.DUMMYFUNCTION("""COMPUTED_VALUE"""),61)</f>
        <v>61</v>
      </c>
      <c r="H454" s="1">
        <f ca="1">IFERROR(__xludf.DUMMYFUNCTION("""COMPUTED_VALUE"""),2)</f>
        <v>2</v>
      </c>
      <c r="I454" s="1" t="str">
        <f ca="1">IFERROR(__xludf.DUMMYFUNCTION("""COMPUTED_VALUE"""),"Wichita State")</f>
        <v>Wichita State</v>
      </c>
      <c r="J454" s="1" t="str">
        <f ca="1">IFERROR(__xludf.DUMMYFUNCTION("""COMPUTED_VALUE"""),"2018 Rnd 1 Pick 26")</f>
        <v>2018 Rnd 1 Pick 26</v>
      </c>
      <c r="K454" s="1" t="str">
        <f ca="1">IFERROR(__xludf.DUMMYFUNCTION("""COMPUTED_VALUE"""),"United States")</f>
        <v>United States</v>
      </c>
    </row>
    <row r="455" spans="1:11" ht="13" x14ac:dyDescent="0.15">
      <c r="A455" s="1" t="str">
        <f ca="1">IFERROR(__xludf.DUMMYFUNCTION("""COMPUTED_VALUE"""),"Iman Shumpert")</f>
        <v>Iman Shumpert</v>
      </c>
      <c r="B455" s="1" t="str">
        <f ca="1">IFERROR(__xludf.DUMMYFUNCTION("""COMPUTED_VALUE"""),"G")</f>
        <v>G</v>
      </c>
      <c r="C455" s="2">
        <f ca="1">IFERROR(__xludf.DUMMYFUNCTION("""COMPUTED_VALUE"""),44717)</f>
        <v>44717</v>
      </c>
      <c r="D455" s="1">
        <f ca="1">IFERROR(__xludf.DUMMYFUNCTION("""COMPUTED_VALUE"""),220)</f>
        <v>220</v>
      </c>
      <c r="E455" s="1">
        <f ca="1">IFERROR(__xludf.DUMMYFUNCTION("""COMPUTED_VALUE"""),30)</f>
        <v>30</v>
      </c>
      <c r="F455" s="1" t="str">
        <f ca="1">IFERROR(__xludf.DUMMYFUNCTION("""COMPUTED_VALUE"""),"BRK")</f>
        <v>BRK</v>
      </c>
      <c r="G455" s="1">
        <f ca="1">IFERROR(__xludf.DUMMYFUNCTION("""COMPUTED_VALUE"""),2)</f>
        <v>2</v>
      </c>
      <c r="H455" s="1">
        <f ca="1">IFERROR(__xludf.DUMMYFUNCTION("""COMPUTED_VALUE"""),9)</f>
        <v>9</v>
      </c>
      <c r="I455" s="1" t="str">
        <f ca="1">IFERROR(__xludf.DUMMYFUNCTION("""COMPUTED_VALUE"""),"Georgia Tech")</f>
        <v>Georgia Tech</v>
      </c>
      <c r="J455" s="1" t="str">
        <f ca="1">IFERROR(__xludf.DUMMYFUNCTION("""COMPUTED_VALUE"""),"2011 Rnd 1 Pick 17")</f>
        <v>2011 Rnd 1 Pick 17</v>
      </c>
      <c r="K455" s="1" t="str">
        <f ca="1">IFERROR(__xludf.DUMMYFUNCTION("""COMPUTED_VALUE"""),"United States")</f>
        <v>United States</v>
      </c>
    </row>
    <row r="456" spans="1:11" ht="13" x14ac:dyDescent="0.15">
      <c r="A456" s="1" t="str">
        <f ca="1">IFERROR(__xludf.DUMMYFUNCTION("""COMPUTED_VALUE"""),"Pascal Siakam")</f>
        <v>Pascal Siakam</v>
      </c>
      <c r="B456" s="1" t="str">
        <f ca="1">IFERROR(__xludf.DUMMYFUNCTION("""COMPUTED_VALUE"""),"F")</f>
        <v>F</v>
      </c>
      <c r="C456" s="2">
        <f ca="1">IFERROR(__xludf.DUMMYFUNCTION("""COMPUTED_VALUE"""),44721)</f>
        <v>44721</v>
      </c>
      <c r="D456" s="1">
        <f ca="1">IFERROR(__xludf.DUMMYFUNCTION("""COMPUTED_VALUE"""),230)</f>
        <v>230</v>
      </c>
      <c r="E456" s="1">
        <f ca="1">IFERROR(__xludf.DUMMYFUNCTION("""COMPUTED_VALUE"""),26)</f>
        <v>26</v>
      </c>
      <c r="F456" s="1" t="str">
        <f ca="1">IFERROR(__xludf.DUMMYFUNCTION("""COMPUTED_VALUE"""),"TOR")</f>
        <v>TOR</v>
      </c>
      <c r="G456" s="1">
        <f ca="1">IFERROR(__xludf.DUMMYFUNCTION("""COMPUTED_VALUE"""),56)</f>
        <v>56</v>
      </c>
      <c r="H456" s="1">
        <f ca="1">IFERROR(__xludf.DUMMYFUNCTION("""COMPUTED_VALUE"""),4)</f>
        <v>4</v>
      </c>
      <c r="I456" s="1" t="str">
        <f ca="1">IFERROR(__xludf.DUMMYFUNCTION("""COMPUTED_VALUE"""),"New Mexico State")</f>
        <v>New Mexico State</v>
      </c>
      <c r="J456" s="1" t="str">
        <f ca="1">IFERROR(__xludf.DUMMYFUNCTION("""COMPUTED_VALUE"""),"2016 Rnd 1 Pick 27")</f>
        <v>2016 Rnd 1 Pick 27</v>
      </c>
      <c r="K456" s="1" t="str">
        <f ca="1">IFERROR(__xludf.DUMMYFUNCTION("""COMPUTED_VALUE"""),"Cameroon")</f>
        <v>Cameroon</v>
      </c>
    </row>
    <row r="457" spans="1:11" ht="13" x14ac:dyDescent="0.15">
      <c r="A457" s="1" t="str">
        <f ca="1">IFERROR(__xludf.DUMMYFUNCTION("""COMPUTED_VALUE"""),"Chris Silva")</f>
        <v>Chris Silva</v>
      </c>
      <c r="B457" s="1" t="str">
        <f ca="1">IFERROR(__xludf.DUMMYFUNCTION("""COMPUTED_VALUE"""),"PF")</f>
        <v>PF</v>
      </c>
      <c r="C457" s="2">
        <f ca="1">IFERROR(__xludf.DUMMYFUNCTION("""COMPUTED_VALUE"""),44720)</f>
        <v>44720</v>
      </c>
      <c r="D457" s="1">
        <f ca="1">IFERROR(__xludf.DUMMYFUNCTION("""COMPUTED_VALUE"""),234)</f>
        <v>234</v>
      </c>
      <c r="E457" s="1">
        <f ca="1">IFERROR(__xludf.DUMMYFUNCTION("""COMPUTED_VALUE"""),24)</f>
        <v>24</v>
      </c>
      <c r="F457" s="1" t="str">
        <f ca="1">IFERROR(__xludf.DUMMYFUNCTION("""COMPUTED_VALUE"""),"MIA, SAC")</f>
        <v>MIA, SAC</v>
      </c>
      <c r="G457" s="1">
        <f ca="1">IFERROR(__xludf.DUMMYFUNCTION("""COMPUTED_VALUE"""),15)</f>
        <v>15</v>
      </c>
      <c r="H457" s="1">
        <f ca="1">IFERROR(__xludf.DUMMYFUNCTION("""COMPUTED_VALUE"""),1)</f>
        <v>1</v>
      </c>
      <c r="I457" s="1" t="str">
        <f ca="1">IFERROR(__xludf.DUMMYFUNCTION("""COMPUTED_VALUE"""),"South Carolina")</f>
        <v>South Carolina</v>
      </c>
      <c r="J457" s="1" t="str">
        <f ca="1">IFERROR(__xludf.DUMMYFUNCTION("""COMPUTED_VALUE"""),"2019 NBA Draft, Undrafted")</f>
        <v>2019 NBA Draft, Undrafted</v>
      </c>
      <c r="K457" s="1" t="str">
        <f ca="1">IFERROR(__xludf.DUMMYFUNCTION("""COMPUTED_VALUE"""),"Gabon")</f>
        <v>Gabon</v>
      </c>
    </row>
    <row r="458" spans="1:11" ht="13" x14ac:dyDescent="0.15">
      <c r="A458" s="1" t="str">
        <f ca="1">IFERROR(__xludf.DUMMYFUNCTION("""COMPUTED_VALUE"""),"Ben Simmons")</f>
        <v>Ben Simmons</v>
      </c>
      <c r="B458" s="1" t="str">
        <f ca="1">IFERROR(__xludf.DUMMYFUNCTION("""COMPUTED_VALUE"""),"PF")</f>
        <v>PF</v>
      </c>
      <c r="C458" s="2">
        <f ca="1">IFERROR(__xludf.DUMMYFUNCTION("""COMPUTED_VALUE"""),44722)</f>
        <v>44722</v>
      </c>
      <c r="D458" s="1">
        <f ca="1">IFERROR(__xludf.DUMMYFUNCTION("""COMPUTED_VALUE"""),240)</f>
        <v>240</v>
      </c>
      <c r="E458" s="1">
        <f ca="1">IFERROR(__xludf.DUMMYFUNCTION("""COMPUTED_VALUE"""),24)</f>
        <v>24</v>
      </c>
      <c r="F458" s="1" t="str">
        <f ca="1">IFERROR(__xludf.DUMMYFUNCTION("""COMPUTED_VALUE"""),"PHI")</f>
        <v>PHI</v>
      </c>
      <c r="G458" s="1">
        <f ca="1">IFERROR(__xludf.DUMMYFUNCTION("""COMPUTED_VALUE"""),58)</f>
        <v>58</v>
      </c>
      <c r="H458" s="1">
        <f ca="1">IFERROR(__xludf.DUMMYFUNCTION("""COMPUTED_VALUE"""),4)</f>
        <v>4</v>
      </c>
      <c r="I458" s="1" t="str">
        <f ca="1">IFERROR(__xludf.DUMMYFUNCTION("""COMPUTED_VALUE"""),"LSU")</f>
        <v>LSU</v>
      </c>
      <c r="J458" s="1" t="str">
        <f ca="1">IFERROR(__xludf.DUMMYFUNCTION("""COMPUTED_VALUE"""),"2016 Rnd 1 Pick 1")</f>
        <v>2016 Rnd 1 Pick 1</v>
      </c>
      <c r="K458" s="1" t="str">
        <f ca="1">IFERROR(__xludf.DUMMYFUNCTION("""COMPUTED_VALUE"""),"Australia")</f>
        <v>Australia</v>
      </c>
    </row>
    <row r="459" spans="1:11" ht="13" x14ac:dyDescent="0.15">
      <c r="A459" s="1" t="str">
        <f ca="1">IFERROR(__xludf.DUMMYFUNCTION("""COMPUTED_VALUE"""),"Anfernee Simons")</f>
        <v>Anfernee Simons</v>
      </c>
      <c r="B459" s="1" t="str">
        <f ca="1">IFERROR(__xludf.DUMMYFUNCTION("""COMPUTED_VALUE"""),"SG")</f>
        <v>SG</v>
      </c>
      <c r="C459" s="2">
        <f ca="1">IFERROR(__xludf.DUMMYFUNCTION("""COMPUTED_VALUE"""),44715)</f>
        <v>44715</v>
      </c>
      <c r="D459" s="1">
        <f ca="1">IFERROR(__xludf.DUMMYFUNCTION("""COMPUTED_VALUE"""),181)</f>
        <v>181</v>
      </c>
      <c r="E459" s="1">
        <f ca="1">IFERROR(__xludf.DUMMYFUNCTION("""COMPUTED_VALUE"""),21)</f>
        <v>21</v>
      </c>
      <c r="F459" s="1" t="str">
        <f ca="1">IFERROR(__xludf.DUMMYFUNCTION("""COMPUTED_VALUE"""),"POR")</f>
        <v>POR</v>
      </c>
      <c r="G459" s="1">
        <f ca="1">IFERROR(__xludf.DUMMYFUNCTION("""COMPUTED_VALUE"""),64)</f>
        <v>64</v>
      </c>
      <c r="H459" s="1">
        <f ca="1">IFERROR(__xludf.DUMMYFUNCTION("""COMPUTED_VALUE"""),2)</f>
        <v>2</v>
      </c>
      <c r="I459" s="1" t="str">
        <f ca="1">IFERROR(__xludf.DUMMYFUNCTION("""COMPUTED_VALUE"""),"IMG Academy (Florida)")</f>
        <v>IMG Academy (Florida)</v>
      </c>
      <c r="J459" s="1" t="str">
        <f ca="1">IFERROR(__xludf.DUMMYFUNCTION("""COMPUTED_VALUE"""),"2018 Rnd 1 Pick 24")</f>
        <v>2018 Rnd 1 Pick 24</v>
      </c>
      <c r="K459" s="1" t="str">
        <f ca="1">IFERROR(__xludf.DUMMYFUNCTION("""COMPUTED_VALUE"""),"United States")</f>
        <v>United States</v>
      </c>
    </row>
    <row r="460" spans="1:11" ht="13" x14ac:dyDescent="0.15">
      <c r="A460" s="1" t="str">
        <f ca="1">IFERROR(__xludf.DUMMYFUNCTION("""COMPUTED_VALUE"""),"Deividas Sirvydis")</f>
        <v>Deividas Sirvydis</v>
      </c>
      <c r="B460" s="1" t="str">
        <f ca="1">IFERROR(__xludf.DUMMYFUNCTION("""COMPUTED_VALUE"""),"GF")</f>
        <v>GF</v>
      </c>
      <c r="C460" s="2">
        <f ca="1">IFERROR(__xludf.DUMMYFUNCTION("""COMPUTED_VALUE"""),44720)</f>
        <v>44720</v>
      </c>
      <c r="D460" s="1">
        <f ca="1">IFERROR(__xludf.DUMMYFUNCTION("""COMPUTED_VALUE"""),190)</f>
        <v>190</v>
      </c>
      <c r="E460" s="1">
        <f ca="1">IFERROR(__xludf.DUMMYFUNCTION("""COMPUTED_VALUE"""),20)</f>
        <v>20</v>
      </c>
      <c r="F460" s="1" t="str">
        <f ca="1">IFERROR(__xludf.DUMMYFUNCTION("""COMPUTED_VALUE"""),"DET")</f>
        <v>DET</v>
      </c>
      <c r="G460" s="1">
        <f ca="1">IFERROR(__xludf.DUMMYFUNCTION("""COMPUTED_VALUE"""),20)</f>
        <v>20</v>
      </c>
      <c r="H460" s="1">
        <f ca="1">IFERROR(__xludf.DUMMYFUNCTION("""COMPUTED_VALUE"""),0)</f>
        <v>0</v>
      </c>
      <c r="I460" s="1" t="str">
        <f ca="1">IFERROR(__xludf.DUMMYFUNCTION("""COMPUTED_VALUE"""),"Lietuvos Rytas U18 (Lithuania)")</f>
        <v>Lietuvos Rytas U18 (Lithuania)</v>
      </c>
      <c r="J460" s="1" t="str">
        <f ca="1">IFERROR(__xludf.DUMMYFUNCTION("""COMPUTED_VALUE"""),"2019 Rnd 2 Pick 7")</f>
        <v>2019 Rnd 2 Pick 7</v>
      </c>
      <c r="K460" s="1" t="str">
        <f ca="1">IFERROR(__xludf.DUMMYFUNCTION("""COMPUTED_VALUE"""),"Lithuania")</f>
        <v>Lithuania</v>
      </c>
    </row>
    <row r="461" spans="1:11" ht="13" x14ac:dyDescent="0.15">
      <c r="A461" s="1" t="str">
        <f ca="1">IFERROR(__xludf.DUMMYFUNCTION("""COMPUTED_VALUE"""),"Alen Smailagic")</f>
        <v>Alen Smailagic</v>
      </c>
      <c r="B461" s="1" t="str">
        <f ca="1">IFERROR(__xludf.DUMMYFUNCTION("""COMPUTED_VALUE"""),"PF")</f>
        <v>PF</v>
      </c>
      <c r="C461" s="2">
        <f ca="1">IFERROR(__xludf.DUMMYFUNCTION("""COMPUTED_VALUE"""),44722)</f>
        <v>44722</v>
      </c>
      <c r="D461" s="1">
        <f ca="1">IFERROR(__xludf.DUMMYFUNCTION("""COMPUTED_VALUE"""),215)</f>
        <v>215</v>
      </c>
      <c r="E461" s="1">
        <f ca="1">IFERROR(__xludf.DUMMYFUNCTION("""COMPUTED_VALUE"""),20)</f>
        <v>20</v>
      </c>
      <c r="F461" s="1" t="str">
        <f ca="1">IFERROR(__xludf.DUMMYFUNCTION("""COMPUTED_VALUE"""),"GSW")</f>
        <v>GSW</v>
      </c>
      <c r="G461" s="1">
        <f ca="1">IFERROR(__xludf.DUMMYFUNCTION("""COMPUTED_VALUE"""),15)</f>
        <v>15</v>
      </c>
      <c r="H461" s="1">
        <f ca="1">IFERROR(__xludf.DUMMYFUNCTION("""COMPUTED_VALUE"""),1)</f>
        <v>1</v>
      </c>
      <c r="I461" s="1" t="str">
        <f ca="1">IFERROR(__xludf.DUMMYFUNCTION("""COMPUTED_VALUE"""),"Santa Cruz Warriors")</f>
        <v>Santa Cruz Warriors</v>
      </c>
      <c r="J461" s="1" t="str">
        <f ca="1">IFERROR(__xludf.DUMMYFUNCTION("""COMPUTED_VALUE"""),"2019 Rnd 2 Pick 9")</f>
        <v>2019 Rnd 2 Pick 9</v>
      </c>
      <c r="K461" s="1" t="str">
        <f ca="1">IFERROR(__xludf.DUMMYFUNCTION("""COMPUTED_VALUE"""),"Serbia")</f>
        <v>Serbia</v>
      </c>
    </row>
    <row r="462" spans="1:11" ht="13" x14ac:dyDescent="0.15">
      <c r="A462" s="1" t="str">
        <f ca="1">IFERROR(__xludf.DUMMYFUNCTION("""COMPUTED_VALUE"""),"Marcus Smart")</f>
        <v>Marcus Smart</v>
      </c>
      <c r="B462" s="1" t="str">
        <f ca="1">IFERROR(__xludf.DUMMYFUNCTION("""COMPUTED_VALUE"""),"PG")</f>
        <v>PG</v>
      </c>
      <c r="C462" s="2">
        <f ca="1">IFERROR(__xludf.DUMMYFUNCTION("""COMPUTED_VALUE"""),44715)</f>
        <v>44715</v>
      </c>
      <c r="D462" s="1">
        <f ca="1">IFERROR(__xludf.DUMMYFUNCTION("""COMPUTED_VALUE"""),220)</f>
        <v>220</v>
      </c>
      <c r="E462" s="1">
        <f ca="1">IFERROR(__xludf.DUMMYFUNCTION("""COMPUTED_VALUE"""),26)</f>
        <v>26</v>
      </c>
      <c r="F462" s="1" t="str">
        <f ca="1">IFERROR(__xludf.DUMMYFUNCTION("""COMPUTED_VALUE"""),"BOS")</f>
        <v>BOS</v>
      </c>
      <c r="G462" s="1">
        <f ca="1">IFERROR(__xludf.DUMMYFUNCTION("""COMPUTED_VALUE"""),48)</f>
        <v>48</v>
      </c>
      <c r="H462" s="1">
        <f ca="1">IFERROR(__xludf.DUMMYFUNCTION("""COMPUTED_VALUE"""),6)</f>
        <v>6</v>
      </c>
      <c r="I462" s="1" t="str">
        <f ca="1">IFERROR(__xludf.DUMMYFUNCTION("""COMPUTED_VALUE"""),"Oklahoma State")</f>
        <v>Oklahoma State</v>
      </c>
      <c r="J462" s="1" t="str">
        <f ca="1">IFERROR(__xludf.DUMMYFUNCTION("""COMPUTED_VALUE"""),"2014 Rnd 1 Pick 6")</f>
        <v>2014 Rnd 1 Pick 6</v>
      </c>
      <c r="K462" s="1" t="str">
        <f ca="1">IFERROR(__xludf.DUMMYFUNCTION("""COMPUTED_VALUE"""),"United States")</f>
        <v>United States</v>
      </c>
    </row>
    <row r="463" spans="1:11" ht="13" x14ac:dyDescent="0.15">
      <c r="A463" s="1" t="str">
        <f ca="1">IFERROR(__xludf.DUMMYFUNCTION("""COMPUTED_VALUE"""),"Dennis Smith")</f>
        <v>Dennis Smith</v>
      </c>
      <c r="B463" s="1" t="str">
        <f ca="1">IFERROR(__xludf.DUMMYFUNCTION("""COMPUTED_VALUE"""),"PG")</f>
        <v>PG</v>
      </c>
      <c r="C463" s="2">
        <f ca="1">IFERROR(__xludf.DUMMYFUNCTION("""COMPUTED_VALUE"""),44714)</f>
        <v>44714</v>
      </c>
      <c r="D463" s="1">
        <f ca="1">IFERROR(__xludf.DUMMYFUNCTION("""COMPUTED_VALUE"""),205)</f>
        <v>205</v>
      </c>
      <c r="E463" s="1">
        <f ca="1">IFERROR(__xludf.DUMMYFUNCTION("""COMPUTED_VALUE"""),23)</f>
        <v>23</v>
      </c>
      <c r="F463" s="1" t="str">
        <f ca="1">IFERROR(__xludf.DUMMYFUNCTION("""COMPUTED_VALUE"""),"DET, NYK")</f>
        <v>DET, NYK</v>
      </c>
      <c r="G463" s="1">
        <f ca="1">IFERROR(__xludf.DUMMYFUNCTION("""COMPUTED_VALUE"""),23)</f>
        <v>23</v>
      </c>
      <c r="H463" s="1">
        <f ca="1">IFERROR(__xludf.DUMMYFUNCTION("""COMPUTED_VALUE"""),3)</f>
        <v>3</v>
      </c>
      <c r="I463" s="1" t="str">
        <f ca="1">IFERROR(__xludf.DUMMYFUNCTION("""COMPUTED_VALUE"""),"NC State")</f>
        <v>NC State</v>
      </c>
      <c r="J463" s="1" t="str">
        <f ca="1">IFERROR(__xludf.DUMMYFUNCTION("""COMPUTED_VALUE"""),"2017 Rnd 1 Pick 9")</f>
        <v>2017 Rnd 1 Pick 9</v>
      </c>
      <c r="K463" s="1" t="str">
        <f ca="1">IFERROR(__xludf.DUMMYFUNCTION("""COMPUTED_VALUE"""),"United States")</f>
        <v>United States</v>
      </c>
    </row>
    <row r="464" spans="1:11" ht="13" x14ac:dyDescent="0.15">
      <c r="A464" s="1" t="str">
        <f ca="1">IFERROR(__xludf.DUMMYFUNCTION("""COMPUTED_VALUE"""),"Ish Smith")</f>
        <v>Ish Smith</v>
      </c>
      <c r="B464" s="1" t="str">
        <f ca="1">IFERROR(__xludf.DUMMYFUNCTION("""COMPUTED_VALUE"""),"PG")</f>
        <v>PG</v>
      </c>
      <c r="C464" s="1" t="str">
        <f ca="1">IFERROR(__xludf.DUMMYFUNCTION("""COMPUTED_VALUE"""),"6-0")</f>
        <v>6-0</v>
      </c>
      <c r="D464" s="1">
        <f ca="1">IFERROR(__xludf.DUMMYFUNCTION("""COMPUTED_VALUE"""),180)</f>
        <v>180</v>
      </c>
      <c r="E464" s="1">
        <f ca="1">IFERROR(__xludf.DUMMYFUNCTION("""COMPUTED_VALUE"""),32)</f>
        <v>32</v>
      </c>
      <c r="F464" s="1" t="str">
        <f ca="1">IFERROR(__xludf.DUMMYFUNCTION("""COMPUTED_VALUE"""),"WAS")</f>
        <v>WAS</v>
      </c>
      <c r="G464" s="1">
        <f ca="1">IFERROR(__xludf.DUMMYFUNCTION("""COMPUTED_VALUE"""),44)</f>
        <v>44</v>
      </c>
      <c r="H464" s="1">
        <f ca="1">IFERROR(__xludf.DUMMYFUNCTION("""COMPUTED_VALUE"""),10)</f>
        <v>10</v>
      </c>
      <c r="I464" s="1" t="str">
        <f ca="1">IFERROR(__xludf.DUMMYFUNCTION("""COMPUTED_VALUE"""),"Wake Forest")</f>
        <v>Wake Forest</v>
      </c>
      <c r="J464" s="1" t="str">
        <f ca="1">IFERROR(__xludf.DUMMYFUNCTION("""COMPUTED_VALUE"""),"2010 NBA Draft, Undrafted")</f>
        <v>2010 NBA Draft, Undrafted</v>
      </c>
      <c r="K464" s="1" t="str">
        <f ca="1">IFERROR(__xludf.DUMMYFUNCTION("""COMPUTED_VALUE"""),"United States")</f>
        <v>United States</v>
      </c>
    </row>
    <row r="465" spans="1:11" ht="13" x14ac:dyDescent="0.15">
      <c r="A465" s="1" t="str">
        <f ca="1">IFERROR(__xludf.DUMMYFUNCTION("""COMPUTED_VALUE"""),"Jalen Smith")</f>
        <v>Jalen Smith</v>
      </c>
      <c r="B465" s="1" t="str">
        <f ca="1">IFERROR(__xludf.DUMMYFUNCTION("""COMPUTED_VALUE"""),"C")</f>
        <v>C</v>
      </c>
      <c r="C465" s="2">
        <f ca="1">IFERROR(__xludf.DUMMYFUNCTION("""COMPUTED_VALUE"""),44722)</f>
        <v>44722</v>
      </c>
      <c r="D465" s="1">
        <f ca="1">IFERROR(__xludf.DUMMYFUNCTION("""COMPUTED_VALUE"""),215)</f>
        <v>215</v>
      </c>
      <c r="E465" s="1">
        <f ca="1">IFERROR(__xludf.DUMMYFUNCTION("""COMPUTED_VALUE"""),20)</f>
        <v>20</v>
      </c>
      <c r="F465" s="1" t="str">
        <f ca="1">IFERROR(__xludf.DUMMYFUNCTION("""COMPUTED_VALUE"""),"PHX")</f>
        <v>PHX</v>
      </c>
      <c r="G465" s="1">
        <f ca="1">IFERROR(__xludf.DUMMYFUNCTION("""COMPUTED_VALUE"""),27)</f>
        <v>27</v>
      </c>
      <c r="H465" s="1">
        <f ca="1">IFERROR(__xludf.DUMMYFUNCTION("""COMPUTED_VALUE"""),0)</f>
        <v>0</v>
      </c>
      <c r="I465" s="1" t="str">
        <f ca="1">IFERROR(__xludf.DUMMYFUNCTION("""COMPUTED_VALUE"""),"Maryland")</f>
        <v>Maryland</v>
      </c>
      <c r="J465" s="1" t="str">
        <f ca="1">IFERROR(__xludf.DUMMYFUNCTION("""COMPUTED_VALUE"""),"2020 Rnd 1 Pick 10")</f>
        <v>2020 Rnd 1 Pick 10</v>
      </c>
      <c r="K465" s="1" t="str">
        <f ca="1">IFERROR(__xludf.DUMMYFUNCTION("""COMPUTED_VALUE"""),"United States")</f>
        <v>United States</v>
      </c>
    </row>
    <row r="466" spans="1:11" ht="13" x14ac:dyDescent="0.15">
      <c r="A466" s="1" t="str">
        <f ca="1">IFERROR(__xludf.DUMMYFUNCTION("""COMPUTED_VALUE"""),"Tony Snell")</f>
        <v>Tony Snell</v>
      </c>
      <c r="B466" s="1" t="str">
        <f ca="1">IFERROR(__xludf.DUMMYFUNCTION("""COMPUTED_VALUE"""),"G")</f>
        <v>G</v>
      </c>
      <c r="C466" s="2">
        <f ca="1">IFERROR(__xludf.DUMMYFUNCTION("""COMPUTED_VALUE"""),44718)</f>
        <v>44718</v>
      </c>
      <c r="D466" s="1">
        <f ca="1">IFERROR(__xludf.DUMMYFUNCTION("""COMPUTED_VALUE"""),213)</f>
        <v>213</v>
      </c>
      <c r="E466" s="1">
        <f ca="1">IFERROR(__xludf.DUMMYFUNCTION("""COMPUTED_VALUE"""),29)</f>
        <v>29</v>
      </c>
      <c r="F466" s="1" t="str">
        <f ca="1">IFERROR(__xludf.DUMMYFUNCTION("""COMPUTED_VALUE"""),"ATL")</f>
        <v>ATL</v>
      </c>
      <c r="G466" s="1">
        <f ca="1">IFERROR(__xludf.DUMMYFUNCTION("""COMPUTED_VALUE"""),47)</f>
        <v>47</v>
      </c>
      <c r="H466" s="1">
        <f ca="1">IFERROR(__xludf.DUMMYFUNCTION("""COMPUTED_VALUE"""),7)</f>
        <v>7</v>
      </c>
      <c r="I466" s="1" t="str">
        <f ca="1">IFERROR(__xludf.DUMMYFUNCTION("""COMPUTED_VALUE"""),"New Mexico")</f>
        <v>New Mexico</v>
      </c>
      <c r="J466" s="1" t="str">
        <f ca="1">IFERROR(__xludf.DUMMYFUNCTION("""COMPUTED_VALUE"""),"2013 Rnd 1 Pick 20")</f>
        <v>2013 Rnd 1 Pick 20</v>
      </c>
      <c r="K466" s="1" t="str">
        <f ca="1">IFERROR(__xludf.DUMMYFUNCTION("""COMPUTED_VALUE"""),"United States")</f>
        <v>United States</v>
      </c>
    </row>
    <row r="467" spans="1:11" ht="13" x14ac:dyDescent="0.15">
      <c r="A467" s="1" t="str">
        <f ca="1">IFERROR(__xludf.DUMMYFUNCTION("""COMPUTED_VALUE"""),"Raymond Spalding")</f>
        <v>Raymond Spalding</v>
      </c>
      <c r="B467" s="1" t="str">
        <f ca="1">IFERROR(__xludf.DUMMYFUNCTION("""COMPUTED_VALUE"""),"PF")</f>
        <v>PF</v>
      </c>
      <c r="C467" s="2">
        <f ca="1">IFERROR(__xludf.DUMMYFUNCTION("""COMPUTED_VALUE"""),44722)</f>
        <v>44722</v>
      </c>
      <c r="D467" s="1">
        <f ca="1">IFERROR(__xludf.DUMMYFUNCTION("""COMPUTED_VALUE"""),215)</f>
        <v>215</v>
      </c>
      <c r="E467" s="1">
        <f ca="1">IFERROR(__xludf.DUMMYFUNCTION("""COMPUTED_VALUE"""),23)</f>
        <v>23</v>
      </c>
      <c r="F467" s="1" t="str">
        <f ca="1">IFERROR(__xludf.DUMMYFUNCTION("""COMPUTED_VALUE"""),"HOU")</f>
        <v>HOU</v>
      </c>
      <c r="G467" s="1">
        <f ca="1">IFERROR(__xludf.DUMMYFUNCTION("""COMPUTED_VALUE"""),2)</f>
        <v>2</v>
      </c>
      <c r="H467" s="1">
        <f ca="1">IFERROR(__xludf.DUMMYFUNCTION("""COMPUTED_VALUE"""),2)</f>
        <v>2</v>
      </c>
      <c r="I467" s="1" t="str">
        <f ca="1">IFERROR(__xludf.DUMMYFUNCTION("""COMPUTED_VALUE"""),"Louisville")</f>
        <v>Louisville</v>
      </c>
      <c r="J467" s="1" t="str">
        <f ca="1">IFERROR(__xludf.DUMMYFUNCTION("""COMPUTED_VALUE"""),"2018 Rnd 2 Pick 26")</f>
        <v>2018 Rnd 2 Pick 26</v>
      </c>
      <c r="K467" s="1" t="str">
        <f ca="1">IFERROR(__xludf.DUMMYFUNCTION("""COMPUTED_VALUE"""),"United States")</f>
        <v>United States</v>
      </c>
    </row>
    <row r="468" spans="1:11" ht="13" x14ac:dyDescent="0.15">
      <c r="A468" s="1" t="str">
        <f ca="1">IFERROR(__xludf.DUMMYFUNCTION("""COMPUTED_VALUE"""),"Cassius Stanley")</f>
        <v>Cassius Stanley</v>
      </c>
      <c r="B468" s="1" t="str">
        <f ca="1">IFERROR(__xludf.DUMMYFUNCTION("""COMPUTED_VALUE"""),"G")</f>
        <v>G</v>
      </c>
      <c r="C468" s="2">
        <f ca="1">IFERROR(__xludf.DUMMYFUNCTION("""COMPUTED_VALUE"""),44718)</f>
        <v>44718</v>
      </c>
      <c r="D468" s="1">
        <f ca="1">IFERROR(__xludf.DUMMYFUNCTION("""COMPUTED_VALUE"""),193)</f>
        <v>193</v>
      </c>
      <c r="E468" s="1">
        <f ca="1">IFERROR(__xludf.DUMMYFUNCTION("""COMPUTED_VALUE"""),21)</f>
        <v>21</v>
      </c>
      <c r="F468" s="1" t="str">
        <f ca="1">IFERROR(__xludf.DUMMYFUNCTION("""COMPUTED_VALUE"""),"IND")</f>
        <v>IND</v>
      </c>
      <c r="G468" s="1">
        <f ca="1">IFERROR(__xludf.DUMMYFUNCTION("""COMPUTED_VALUE"""),24)</f>
        <v>24</v>
      </c>
      <c r="H468" s="1">
        <f ca="1">IFERROR(__xludf.DUMMYFUNCTION("""COMPUTED_VALUE"""),0)</f>
        <v>0</v>
      </c>
      <c r="I468" s="1" t="str">
        <f ca="1">IFERROR(__xludf.DUMMYFUNCTION("""COMPUTED_VALUE"""),"Duke")</f>
        <v>Duke</v>
      </c>
      <c r="J468" s="1" t="str">
        <f ca="1">IFERROR(__xludf.DUMMYFUNCTION("""COMPUTED_VALUE"""),"2020 Rnd 2 Pick 24")</f>
        <v>2020 Rnd 2 Pick 24</v>
      </c>
      <c r="K468" s="1" t="str">
        <f ca="1">IFERROR(__xludf.DUMMYFUNCTION("""COMPUTED_VALUE"""),"United States")</f>
        <v>United States</v>
      </c>
    </row>
    <row r="469" spans="1:11" ht="13" x14ac:dyDescent="0.15">
      <c r="A469" s="1" t="str">
        <f ca="1">IFERROR(__xludf.DUMMYFUNCTION("""COMPUTED_VALUE"""),"Lamar Stevens")</f>
        <v>Lamar Stevens</v>
      </c>
      <c r="B469" s="1" t="str">
        <f ca="1">IFERROR(__xludf.DUMMYFUNCTION("""COMPUTED_VALUE"""),"SF")</f>
        <v>SF</v>
      </c>
      <c r="C469" s="2">
        <f ca="1">IFERROR(__xludf.DUMMYFUNCTION("""COMPUTED_VALUE"""),44720)</f>
        <v>44720</v>
      </c>
      <c r="D469" s="1">
        <f ca="1">IFERROR(__xludf.DUMMYFUNCTION("""COMPUTED_VALUE"""),225)</f>
        <v>225</v>
      </c>
      <c r="E469" s="1">
        <f ca="1">IFERROR(__xludf.DUMMYFUNCTION("""COMPUTED_VALUE"""),23)</f>
        <v>23</v>
      </c>
      <c r="F469" s="1" t="str">
        <f ca="1">IFERROR(__xludf.DUMMYFUNCTION("""COMPUTED_VALUE"""),"CLE")</f>
        <v>CLE</v>
      </c>
      <c r="G469" s="1">
        <f ca="1">IFERROR(__xludf.DUMMYFUNCTION("""COMPUTED_VALUE"""),40)</f>
        <v>40</v>
      </c>
      <c r="H469" s="1">
        <f ca="1">IFERROR(__xludf.DUMMYFUNCTION("""COMPUTED_VALUE"""),0)</f>
        <v>0</v>
      </c>
      <c r="I469" s="1" t="str">
        <f ca="1">IFERROR(__xludf.DUMMYFUNCTION("""COMPUTED_VALUE"""),"Penn State")</f>
        <v>Penn State</v>
      </c>
      <c r="J469" s="1" t="str">
        <f ca="1">IFERROR(__xludf.DUMMYFUNCTION("""COMPUTED_VALUE"""),"2020 NBA Draft, Undrafted")</f>
        <v>2020 NBA Draft, Undrafted</v>
      </c>
      <c r="K469" s="1" t="str">
        <f ca="1">IFERROR(__xludf.DUMMYFUNCTION("""COMPUTED_VALUE"""),"United States")</f>
        <v>United States</v>
      </c>
    </row>
    <row r="470" spans="1:11" ht="13" x14ac:dyDescent="0.15">
      <c r="A470" s="1" t="str">
        <f ca="1">IFERROR(__xludf.DUMMYFUNCTION("""COMPUTED_VALUE"""),"Isaiah Stewart II")</f>
        <v>Isaiah Stewart II</v>
      </c>
      <c r="B470" s="1" t="str">
        <f ca="1">IFERROR(__xludf.DUMMYFUNCTION("""COMPUTED_VALUE"""),"C")</f>
        <v>C</v>
      </c>
      <c r="C470" s="2">
        <f ca="1">IFERROR(__xludf.DUMMYFUNCTION("""COMPUTED_VALUE"""),44720)</f>
        <v>44720</v>
      </c>
      <c r="D470" s="1">
        <f ca="1">IFERROR(__xludf.DUMMYFUNCTION("""COMPUTED_VALUE"""),250)</f>
        <v>250</v>
      </c>
      <c r="E470" s="1">
        <f ca="1">IFERROR(__xludf.DUMMYFUNCTION("""COMPUTED_VALUE"""),19)</f>
        <v>19</v>
      </c>
      <c r="F470" s="1" t="str">
        <f ca="1">IFERROR(__xludf.DUMMYFUNCTION("""COMPUTED_VALUE"""),"DET")</f>
        <v>DET</v>
      </c>
      <c r="G470" s="1">
        <f ca="1">IFERROR(__xludf.DUMMYFUNCTION("""COMPUTED_VALUE"""),68)</f>
        <v>68</v>
      </c>
      <c r="H470" s="1">
        <f ca="1">IFERROR(__xludf.DUMMYFUNCTION("""COMPUTED_VALUE"""),0)</f>
        <v>0</v>
      </c>
      <c r="I470" s="1" t="str">
        <f ca="1">IFERROR(__xludf.DUMMYFUNCTION("""COMPUTED_VALUE"""),"Washington")</f>
        <v>Washington</v>
      </c>
      <c r="J470" s="1" t="str">
        <f ca="1">IFERROR(__xludf.DUMMYFUNCTION("""COMPUTED_VALUE"""),"2020 Rnd 1 Pick 16")</f>
        <v>2020 Rnd 1 Pick 16</v>
      </c>
      <c r="K470" s="1" t="str">
        <f ca="1">IFERROR(__xludf.DUMMYFUNCTION("""COMPUTED_VALUE"""),"United States")</f>
        <v>United States</v>
      </c>
    </row>
    <row r="471" spans="1:11" ht="13" x14ac:dyDescent="0.15">
      <c r="A471" s="1" t="str">
        <f ca="1">IFERROR(__xludf.DUMMYFUNCTION("""COMPUTED_VALUE"""),"Max Strus")</f>
        <v>Max Strus</v>
      </c>
      <c r="B471" s="1" t="str">
        <f ca="1">IFERROR(__xludf.DUMMYFUNCTION("""COMPUTED_VALUE"""),"G")</f>
        <v>G</v>
      </c>
      <c r="C471" s="2">
        <f ca="1">IFERROR(__xludf.DUMMYFUNCTION("""COMPUTED_VALUE"""),44717)</f>
        <v>44717</v>
      </c>
      <c r="D471" s="1">
        <f ca="1">IFERROR(__xludf.DUMMYFUNCTION("""COMPUTED_VALUE"""),220)</f>
        <v>220</v>
      </c>
      <c r="E471" s="1">
        <f ca="1">IFERROR(__xludf.DUMMYFUNCTION("""COMPUTED_VALUE"""),24)</f>
        <v>24</v>
      </c>
      <c r="F471" s="1" t="str">
        <f ca="1">IFERROR(__xludf.DUMMYFUNCTION("""COMPUTED_VALUE"""),"MIA")</f>
        <v>MIA</v>
      </c>
      <c r="G471" s="1">
        <f ca="1">IFERROR(__xludf.DUMMYFUNCTION("""COMPUTED_VALUE"""),39)</f>
        <v>39</v>
      </c>
      <c r="H471" s="1">
        <f ca="1">IFERROR(__xludf.DUMMYFUNCTION("""COMPUTED_VALUE"""),1)</f>
        <v>1</v>
      </c>
      <c r="I471" s="1" t="str">
        <f ca="1">IFERROR(__xludf.DUMMYFUNCTION("""COMPUTED_VALUE"""),"DePaul")</f>
        <v>DePaul</v>
      </c>
      <c r="J471" s="1" t="str">
        <f ca="1">IFERROR(__xludf.DUMMYFUNCTION("""COMPUTED_VALUE"""),"2019 NBA Draft, Undrafted")</f>
        <v>2019 NBA Draft, Undrafted</v>
      </c>
      <c r="K471" s="1" t="str">
        <f ca="1">IFERROR(__xludf.DUMMYFUNCTION("""COMPUTED_VALUE"""),"United States")</f>
        <v>United States</v>
      </c>
    </row>
    <row r="472" spans="1:11" ht="13" x14ac:dyDescent="0.15">
      <c r="A472" s="1" t="str">
        <f ca="1">IFERROR(__xludf.DUMMYFUNCTION("""COMPUTED_VALUE"""),"Edmond Sumner")</f>
        <v>Edmond Sumner</v>
      </c>
      <c r="B472" s="1" t="str">
        <f ca="1">IFERROR(__xludf.DUMMYFUNCTION("""COMPUTED_VALUE"""),"G")</f>
        <v>G</v>
      </c>
      <c r="C472" s="2">
        <f ca="1">IFERROR(__xludf.DUMMYFUNCTION("""COMPUTED_VALUE"""),44718)</f>
        <v>44718</v>
      </c>
      <c r="D472" s="1">
        <f ca="1">IFERROR(__xludf.DUMMYFUNCTION("""COMPUTED_VALUE"""),196)</f>
        <v>196</v>
      </c>
      <c r="E472" s="1">
        <f ca="1">IFERROR(__xludf.DUMMYFUNCTION("""COMPUTED_VALUE"""),25)</f>
        <v>25</v>
      </c>
      <c r="F472" s="1" t="str">
        <f ca="1">IFERROR(__xludf.DUMMYFUNCTION("""COMPUTED_VALUE"""),"IND")</f>
        <v>IND</v>
      </c>
      <c r="G472" s="1">
        <f ca="1">IFERROR(__xludf.DUMMYFUNCTION("""COMPUTED_VALUE"""),53)</f>
        <v>53</v>
      </c>
      <c r="H472" s="1">
        <f ca="1">IFERROR(__xludf.DUMMYFUNCTION("""COMPUTED_VALUE"""),3)</f>
        <v>3</v>
      </c>
      <c r="I472" s="1" t="str">
        <f ca="1">IFERROR(__xludf.DUMMYFUNCTION("""COMPUTED_VALUE"""),"Xavier")</f>
        <v>Xavier</v>
      </c>
      <c r="J472" s="1" t="str">
        <f ca="1">IFERROR(__xludf.DUMMYFUNCTION("""COMPUTED_VALUE"""),"2017 Rnd 2 Pick 22")</f>
        <v>2017 Rnd 2 Pick 22</v>
      </c>
      <c r="K472" s="1" t="str">
        <f ca="1">IFERROR(__xludf.DUMMYFUNCTION("""COMPUTED_VALUE"""),"United States")</f>
        <v>United States</v>
      </c>
    </row>
    <row r="473" spans="1:11" ht="13" x14ac:dyDescent="0.15">
      <c r="A473" s="1" t="str">
        <f ca="1">IFERROR(__xludf.DUMMYFUNCTION("""COMPUTED_VALUE"""),"Jae'sean Tate")</f>
        <v>Jae'sean Tate</v>
      </c>
      <c r="B473" s="1" t="str">
        <f ca="1">IFERROR(__xludf.DUMMYFUNCTION("""COMPUTED_VALUE"""),"F")</f>
        <v>F</v>
      </c>
      <c r="C473" s="2">
        <f ca="1">IFERROR(__xludf.DUMMYFUNCTION("""COMPUTED_VALUE"""),44716)</f>
        <v>44716</v>
      </c>
      <c r="D473" s="1">
        <f ca="1">IFERROR(__xludf.DUMMYFUNCTION("""COMPUTED_VALUE"""),230)</f>
        <v>230</v>
      </c>
      <c r="E473" s="1">
        <f ca="1">IFERROR(__xludf.DUMMYFUNCTION("""COMPUTED_VALUE"""),25)</f>
        <v>25</v>
      </c>
      <c r="F473" s="1" t="str">
        <f ca="1">IFERROR(__xludf.DUMMYFUNCTION("""COMPUTED_VALUE"""),"HOU")</f>
        <v>HOU</v>
      </c>
      <c r="G473" s="1">
        <f ca="1">IFERROR(__xludf.DUMMYFUNCTION("""COMPUTED_VALUE"""),70)</f>
        <v>70</v>
      </c>
      <c r="H473" s="1">
        <f ca="1">IFERROR(__xludf.DUMMYFUNCTION("""COMPUTED_VALUE"""),0)</f>
        <v>0</v>
      </c>
      <c r="I473" s="1" t="str">
        <f ca="1">IFERROR(__xludf.DUMMYFUNCTION("""COMPUTED_VALUE"""),"Ohio State")</f>
        <v>Ohio State</v>
      </c>
      <c r="J473" s="1" t="str">
        <f ca="1">IFERROR(__xludf.DUMMYFUNCTION("""COMPUTED_VALUE"""),"2018 NBA Draft, Undrafted")</f>
        <v>2018 NBA Draft, Undrafted</v>
      </c>
      <c r="K473" s="1" t="str">
        <f ca="1">IFERROR(__xludf.DUMMYFUNCTION("""COMPUTED_VALUE"""),"United States")</f>
        <v>United States</v>
      </c>
    </row>
    <row r="474" spans="1:11" ht="13" x14ac:dyDescent="0.15">
      <c r="A474" s="1" t="str">
        <f ca="1">IFERROR(__xludf.DUMMYFUNCTION("""COMPUTED_VALUE"""),"Jayson Tatum")</f>
        <v>Jayson Tatum</v>
      </c>
      <c r="B474" s="1" t="str">
        <f ca="1">IFERROR(__xludf.DUMMYFUNCTION("""COMPUTED_VALUE"""),"SF")</f>
        <v>SF</v>
      </c>
      <c r="C474" s="2">
        <f ca="1">IFERROR(__xludf.DUMMYFUNCTION("""COMPUTED_VALUE"""),44720)</f>
        <v>44720</v>
      </c>
      <c r="D474" s="1">
        <f ca="1">IFERROR(__xludf.DUMMYFUNCTION("""COMPUTED_VALUE"""),210)</f>
        <v>210</v>
      </c>
      <c r="E474" s="1">
        <f ca="1">IFERROR(__xludf.DUMMYFUNCTION("""COMPUTED_VALUE"""),22)</f>
        <v>22</v>
      </c>
      <c r="F474" s="1" t="str">
        <f ca="1">IFERROR(__xludf.DUMMYFUNCTION("""COMPUTED_VALUE"""),"BOS")</f>
        <v>BOS</v>
      </c>
      <c r="G474" s="1">
        <f ca="1">IFERROR(__xludf.DUMMYFUNCTION("""COMPUTED_VALUE"""),64)</f>
        <v>64</v>
      </c>
      <c r="H474" s="1">
        <f ca="1">IFERROR(__xludf.DUMMYFUNCTION("""COMPUTED_VALUE"""),3)</f>
        <v>3</v>
      </c>
      <c r="I474" s="1" t="str">
        <f ca="1">IFERROR(__xludf.DUMMYFUNCTION("""COMPUTED_VALUE"""),"Duke")</f>
        <v>Duke</v>
      </c>
      <c r="J474" s="1" t="str">
        <f ca="1">IFERROR(__xludf.DUMMYFUNCTION("""COMPUTED_VALUE"""),"2017 Rnd 1 Pick 3")</f>
        <v>2017 Rnd 1 Pick 3</v>
      </c>
      <c r="K474" s="1" t="str">
        <f ca="1">IFERROR(__xludf.DUMMYFUNCTION("""COMPUTED_VALUE"""),"United States")</f>
        <v>United States</v>
      </c>
    </row>
    <row r="475" spans="1:11" ht="13" x14ac:dyDescent="0.15">
      <c r="A475" s="1" t="str">
        <f ca="1">IFERROR(__xludf.DUMMYFUNCTION("""COMPUTED_VALUE"""),"Jeff Teague")</f>
        <v>Jeff Teague</v>
      </c>
      <c r="B475" s="1" t="str">
        <f ca="1">IFERROR(__xludf.DUMMYFUNCTION("""COMPUTED_VALUE"""),"PG")</f>
        <v>PG</v>
      </c>
      <c r="C475" s="2">
        <f ca="1">IFERROR(__xludf.DUMMYFUNCTION("""COMPUTED_VALUE"""),44715)</f>
        <v>44715</v>
      </c>
      <c r="D475" s="1">
        <f ca="1">IFERROR(__xludf.DUMMYFUNCTION("""COMPUTED_VALUE"""),195)</f>
        <v>195</v>
      </c>
      <c r="E475" s="1">
        <f ca="1">IFERROR(__xludf.DUMMYFUNCTION("""COMPUTED_VALUE"""),32)</f>
        <v>32</v>
      </c>
      <c r="F475" s="1" t="str">
        <f ca="1">IFERROR(__xludf.DUMMYFUNCTION("""COMPUTED_VALUE"""),"BOS, MIL")</f>
        <v>BOS, MIL</v>
      </c>
      <c r="G475" s="1">
        <f ca="1">IFERROR(__xludf.DUMMYFUNCTION("""COMPUTED_VALUE"""),55)</f>
        <v>55</v>
      </c>
      <c r="H475" s="1">
        <f ca="1">IFERROR(__xludf.DUMMYFUNCTION("""COMPUTED_VALUE"""),11)</f>
        <v>11</v>
      </c>
      <c r="I475" s="1" t="str">
        <f ca="1">IFERROR(__xludf.DUMMYFUNCTION("""COMPUTED_VALUE"""),"Wake Forest")</f>
        <v>Wake Forest</v>
      </c>
      <c r="J475" s="1" t="str">
        <f ca="1">IFERROR(__xludf.DUMMYFUNCTION("""COMPUTED_VALUE"""),"2009 Rnd 1 Pick 19")</f>
        <v>2009 Rnd 1 Pick 19</v>
      </c>
      <c r="K475" s="1" t="str">
        <f ca="1">IFERROR(__xludf.DUMMYFUNCTION("""COMPUTED_VALUE"""),"United States")</f>
        <v>United States</v>
      </c>
    </row>
    <row r="476" spans="1:11" ht="13" x14ac:dyDescent="0.15">
      <c r="A476" s="1" t="str">
        <f ca="1">IFERROR(__xludf.DUMMYFUNCTION("""COMPUTED_VALUE"""),"Garrett Temple")</f>
        <v>Garrett Temple</v>
      </c>
      <c r="B476" s="1" t="str">
        <f ca="1">IFERROR(__xludf.DUMMYFUNCTION("""COMPUTED_VALUE"""),"G")</f>
        <v>G</v>
      </c>
      <c r="C476" s="2">
        <f ca="1">IFERROR(__xludf.DUMMYFUNCTION("""COMPUTED_VALUE"""),44717)</f>
        <v>44717</v>
      </c>
      <c r="D476" s="1">
        <f ca="1">IFERROR(__xludf.DUMMYFUNCTION("""COMPUTED_VALUE"""),195)</f>
        <v>195</v>
      </c>
      <c r="E476" s="1">
        <f ca="1">IFERROR(__xludf.DUMMYFUNCTION("""COMPUTED_VALUE"""),34)</f>
        <v>34</v>
      </c>
      <c r="F476" s="1" t="str">
        <f ca="1">IFERROR(__xludf.DUMMYFUNCTION("""COMPUTED_VALUE"""),"CHI")</f>
        <v>CHI</v>
      </c>
      <c r="G476" s="1">
        <f ca="1">IFERROR(__xludf.DUMMYFUNCTION("""COMPUTED_VALUE"""),56)</f>
        <v>56</v>
      </c>
      <c r="H476" s="1">
        <f ca="1">IFERROR(__xludf.DUMMYFUNCTION("""COMPUTED_VALUE"""),10)</f>
        <v>10</v>
      </c>
      <c r="I476" s="1" t="str">
        <f ca="1">IFERROR(__xludf.DUMMYFUNCTION("""COMPUTED_VALUE"""),"LSU")</f>
        <v>LSU</v>
      </c>
      <c r="J476" s="1" t="str">
        <f ca="1">IFERROR(__xludf.DUMMYFUNCTION("""COMPUTED_VALUE"""),"2009 NBA Draft, Undrafted")</f>
        <v>2009 NBA Draft, Undrafted</v>
      </c>
      <c r="K476" s="1" t="str">
        <f ca="1">IFERROR(__xludf.DUMMYFUNCTION("""COMPUTED_VALUE"""),"United States")</f>
        <v>United States</v>
      </c>
    </row>
    <row r="477" spans="1:11" ht="13" x14ac:dyDescent="0.15">
      <c r="A477" s="1" t="str">
        <f ca="1">IFERROR(__xludf.DUMMYFUNCTION("""COMPUTED_VALUE"""),"Tyrell Terry")</f>
        <v>Tyrell Terry</v>
      </c>
      <c r="B477" s="1" t="str">
        <f ca="1">IFERROR(__xludf.DUMMYFUNCTION("""COMPUTED_VALUE"""),"PG")</f>
        <v>PG</v>
      </c>
      <c r="C477" s="2">
        <f ca="1">IFERROR(__xludf.DUMMYFUNCTION("""COMPUTED_VALUE"""),44714)</f>
        <v>44714</v>
      </c>
      <c r="D477" s="1">
        <f ca="1">IFERROR(__xludf.DUMMYFUNCTION("""COMPUTED_VALUE"""),170)</f>
        <v>170</v>
      </c>
      <c r="E477" s="1">
        <f ca="1">IFERROR(__xludf.DUMMYFUNCTION("""COMPUTED_VALUE"""),20)</f>
        <v>20</v>
      </c>
      <c r="F477" s="1" t="str">
        <f ca="1">IFERROR(__xludf.DUMMYFUNCTION("""COMPUTED_VALUE"""),"DAL")</f>
        <v>DAL</v>
      </c>
      <c r="G477" s="1">
        <f ca="1">IFERROR(__xludf.DUMMYFUNCTION("""COMPUTED_VALUE"""),11)</f>
        <v>11</v>
      </c>
      <c r="H477" s="1">
        <f ca="1">IFERROR(__xludf.DUMMYFUNCTION("""COMPUTED_VALUE"""),0)</f>
        <v>0</v>
      </c>
      <c r="I477" s="1" t="str">
        <f ca="1">IFERROR(__xludf.DUMMYFUNCTION("""COMPUTED_VALUE"""),"Stanford")</f>
        <v>Stanford</v>
      </c>
      <c r="J477" s="1" t="str">
        <f ca="1">IFERROR(__xludf.DUMMYFUNCTION("""COMPUTED_VALUE"""),"2020 Rnd 2 Pick 1")</f>
        <v>2020 Rnd 2 Pick 1</v>
      </c>
      <c r="K477" s="1" t="str">
        <f ca="1">IFERROR(__xludf.DUMMYFUNCTION("""COMPUTED_VALUE"""),"United States")</f>
        <v>United States</v>
      </c>
    </row>
    <row r="478" spans="1:11" ht="13" x14ac:dyDescent="0.15">
      <c r="A478" s="1" t="str">
        <f ca="1">IFERROR(__xludf.DUMMYFUNCTION("""COMPUTED_VALUE"""),"Daniel Theis")</f>
        <v>Daniel Theis</v>
      </c>
      <c r="B478" s="1" t="str">
        <f ca="1">IFERROR(__xludf.DUMMYFUNCTION("""COMPUTED_VALUE"""),"C")</f>
        <v>C</v>
      </c>
      <c r="C478" s="2">
        <f ca="1">IFERROR(__xludf.DUMMYFUNCTION("""COMPUTED_VALUE"""),44720)</f>
        <v>44720</v>
      </c>
      <c r="D478" s="1">
        <f ca="1">IFERROR(__xludf.DUMMYFUNCTION("""COMPUTED_VALUE"""),245)</f>
        <v>245</v>
      </c>
      <c r="E478" s="1">
        <f ca="1">IFERROR(__xludf.DUMMYFUNCTION("""COMPUTED_VALUE"""),28)</f>
        <v>28</v>
      </c>
      <c r="F478" s="1" t="str">
        <f ca="1">IFERROR(__xludf.DUMMYFUNCTION("""COMPUTED_VALUE"""),"BOS, CHI")</f>
        <v>BOS, CHI</v>
      </c>
      <c r="G478" s="1">
        <f ca="1">IFERROR(__xludf.DUMMYFUNCTION("""COMPUTED_VALUE"""),65)</f>
        <v>65</v>
      </c>
      <c r="H478" s="1">
        <f ca="1">IFERROR(__xludf.DUMMYFUNCTION("""COMPUTED_VALUE"""),3)</f>
        <v>3</v>
      </c>
      <c r="I478" s="1" t="str">
        <f ca="1">IFERROR(__xludf.DUMMYFUNCTION("""COMPUTED_VALUE"""),"Ratiopharm Ulm (Germany)")</f>
        <v>Ratiopharm Ulm (Germany)</v>
      </c>
      <c r="J478" s="1" t="str">
        <f ca="1">IFERROR(__xludf.DUMMYFUNCTION("""COMPUTED_VALUE"""),"2013 NBA Draft, Undrafted")</f>
        <v>2013 NBA Draft, Undrafted</v>
      </c>
      <c r="K478" s="1" t="str">
        <f ca="1">IFERROR(__xludf.DUMMYFUNCTION("""COMPUTED_VALUE"""),"Germany")</f>
        <v>Germany</v>
      </c>
    </row>
    <row r="479" spans="1:11" ht="13" x14ac:dyDescent="0.15">
      <c r="A479" s="1" t="str">
        <f ca="1">IFERROR(__xludf.DUMMYFUNCTION("""COMPUTED_VALUE"""),"Brodric Thomas")</f>
        <v>Brodric Thomas</v>
      </c>
      <c r="B479" s="1" t="str">
        <f ca="1">IFERROR(__xludf.DUMMYFUNCTION("""COMPUTED_VALUE"""),"G")</f>
        <v>G</v>
      </c>
      <c r="C479" s="2">
        <f ca="1">IFERROR(__xludf.DUMMYFUNCTION("""COMPUTED_VALUE"""),44717)</f>
        <v>44717</v>
      </c>
      <c r="D479" s="1">
        <f ca="1">IFERROR(__xludf.DUMMYFUNCTION("""COMPUTED_VALUE"""),185)</f>
        <v>185</v>
      </c>
      <c r="E479" s="1">
        <f ca="1">IFERROR(__xludf.DUMMYFUNCTION("""COMPUTED_VALUE"""),24)</f>
        <v>24</v>
      </c>
      <c r="F479" s="1" t="str">
        <f ca="1">IFERROR(__xludf.DUMMYFUNCTION("""COMPUTED_VALUE"""),"CLE, HOU")</f>
        <v>CLE, HOU</v>
      </c>
      <c r="G479" s="1">
        <f ca="1">IFERROR(__xludf.DUMMYFUNCTION("""COMPUTED_VALUE"""),32)</f>
        <v>32</v>
      </c>
      <c r="H479" s="1">
        <f ca="1">IFERROR(__xludf.DUMMYFUNCTION("""COMPUTED_VALUE"""),0)</f>
        <v>0</v>
      </c>
      <c r="I479" s="1" t="str">
        <f ca="1">IFERROR(__xludf.DUMMYFUNCTION("""COMPUTED_VALUE"""),"Truman State")</f>
        <v>Truman State</v>
      </c>
      <c r="J479" s="1" t="str">
        <f ca="1">IFERROR(__xludf.DUMMYFUNCTION("""COMPUTED_VALUE"""),"2020 NBA Draft, Undrafted")</f>
        <v>2020 NBA Draft, Undrafted</v>
      </c>
      <c r="K479" s="1" t="str">
        <f ca="1">IFERROR(__xludf.DUMMYFUNCTION("""COMPUTED_VALUE"""),"United States")</f>
        <v>United States</v>
      </c>
    </row>
    <row r="480" spans="1:11" ht="13" x14ac:dyDescent="0.15">
      <c r="A480" s="1" t="str">
        <f ca="1">IFERROR(__xludf.DUMMYFUNCTION("""COMPUTED_VALUE"""),"Isaiah Thomas")</f>
        <v>Isaiah Thomas</v>
      </c>
      <c r="B480" s="1" t="str">
        <f ca="1">IFERROR(__xludf.DUMMYFUNCTION("""COMPUTED_VALUE"""),"PG")</f>
        <v>PG</v>
      </c>
      <c r="C480" s="2">
        <f ca="1">IFERROR(__xludf.DUMMYFUNCTION("""COMPUTED_VALUE"""),44690)</f>
        <v>44690</v>
      </c>
      <c r="D480" s="1">
        <f ca="1">IFERROR(__xludf.DUMMYFUNCTION("""COMPUTED_VALUE"""),185)</f>
        <v>185</v>
      </c>
      <c r="E480" s="1">
        <f ca="1">IFERROR(__xludf.DUMMYFUNCTION("""COMPUTED_VALUE"""),32)</f>
        <v>32</v>
      </c>
      <c r="F480" s="1" t="str">
        <f ca="1">IFERROR(__xludf.DUMMYFUNCTION("""COMPUTED_VALUE"""),"NOP")</f>
        <v>NOP</v>
      </c>
      <c r="G480" s="1">
        <f ca="1">IFERROR(__xludf.DUMMYFUNCTION("""COMPUTED_VALUE"""),3)</f>
        <v>3</v>
      </c>
      <c r="H480" s="1">
        <f ca="1">IFERROR(__xludf.DUMMYFUNCTION("""COMPUTED_VALUE"""),9)</f>
        <v>9</v>
      </c>
      <c r="I480" s="1" t="str">
        <f ca="1">IFERROR(__xludf.DUMMYFUNCTION("""COMPUTED_VALUE"""),"Washington")</f>
        <v>Washington</v>
      </c>
      <c r="J480" s="1" t="str">
        <f ca="1">IFERROR(__xludf.DUMMYFUNCTION("""COMPUTED_VALUE"""),"2011 Rnd 2 Pick 30")</f>
        <v>2011 Rnd 2 Pick 30</v>
      </c>
      <c r="K480" s="1" t="str">
        <f ca="1">IFERROR(__xludf.DUMMYFUNCTION("""COMPUTED_VALUE"""),"United States")</f>
        <v>United States</v>
      </c>
    </row>
    <row r="481" spans="1:11" ht="13" x14ac:dyDescent="0.15">
      <c r="A481" s="1" t="str">
        <f ca="1">IFERROR(__xludf.DUMMYFUNCTION("""COMPUTED_VALUE"""),"Khyri Thomas")</f>
        <v>Khyri Thomas</v>
      </c>
      <c r="B481" s="1" t="str">
        <f ca="1">IFERROR(__xludf.DUMMYFUNCTION("""COMPUTED_VALUE"""),"SG")</f>
        <v>SG</v>
      </c>
      <c r="C481" s="2">
        <f ca="1">IFERROR(__xludf.DUMMYFUNCTION("""COMPUTED_VALUE"""),44715)</f>
        <v>44715</v>
      </c>
      <c r="D481" s="1">
        <f ca="1">IFERROR(__xludf.DUMMYFUNCTION("""COMPUTED_VALUE"""),210)</f>
        <v>210</v>
      </c>
      <c r="E481" s="1">
        <f ca="1">IFERROR(__xludf.DUMMYFUNCTION("""COMPUTED_VALUE"""),24)</f>
        <v>24</v>
      </c>
      <c r="F481" s="1" t="str">
        <f ca="1">IFERROR(__xludf.DUMMYFUNCTION("""COMPUTED_VALUE"""),"HOU")</f>
        <v>HOU</v>
      </c>
      <c r="G481" s="1">
        <f ca="1">IFERROR(__xludf.DUMMYFUNCTION("""COMPUTED_VALUE"""),5)</f>
        <v>5</v>
      </c>
      <c r="H481" s="1">
        <f ca="1">IFERROR(__xludf.DUMMYFUNCTION("""COMPUTED_VALUE"""),2)</f>
        <v>2</v>
      </c>
      <c r="I481" s="1" t="str">
        <f ca="1">IFERROR(__xludf.DUMMYFUNCTION("""COMPUTED_VALUE"""),"Creighton")</f>
        <v>Creighton</v>
      </c>
      <c r="J481" s="1" t="str">
        <f ca="1">IFERROR(__xludf.DUMMYFUNCTION("""COMPUTED_VALUE"""),"2018 Rnd 2 Pick 8")</f>
        <v>2018 Rnd 2 Pick 8</v>
      </c>
      <c r="K481" s="1" t="str">
        <f ca="1">IFERROR(__xludf.DUMMYFUNCTION("""COMPUTED_VALUE"""),"United States")</f>
        <v>United States</v>
      </c>
    </row>
    <row r="482" spans="1:11" ht="13" x14ac:dyDescent="0.15">
      <c r="A482" s="1" t="str">
        <f ca="1">IFERROR(__xludf.DUMMYFUNCTION("""COMPUTED_VALUE"""),"Matt Thomas")</f>
        <v>Matt Thomas</v>
      </c>
      <c r="B482" s="1" t="str">
        <f ca="1">IFERROR(__xludf.DUMMYFUNCTION("""COMPUTED_VALUE"""),"G")</f>
        <v>G</v>
      </c>
      <c r="C482" s="2">
        <f ca="1">IFERROR(__xludf.DUMMYFUNCTION("""COMPUTED_VALUE"""),44716)</f>
        <v>44716</v>
      </c>
      <c r="D482" s="1">
        <f ca="1">IFERROR(__xludf.DUMMYFUNCTION("""COMPUTED_VALUE"""),190)</f>
        <v>190</v>
      </c>
      <c r="E482" s="1">
        <f ca="1">IFERROR(__xludf.DUMMYFUNCTION("""COMPUTED_VALUE"""),26)</f>
        <v>26</v>
      </c>
      <c r="F482" s="1" t="str">
        <f ca="1">IFERROR(__xludf.DUMMYFUNCTION("""COMPUTED_VALUE"""),"TOR, UTH")</f>
        <v>TOR, UTH</v>
      </c>
      <c r="G482" s="1">
        <f ca="1">IFERROR(__xludf.DUMMYFUNCTION("""COMPUTED_VALUE"""),45)</f>
        <v>45</v>
      </c>
      <c r="H482" s="1">
        <f ca="1">IFERROR(__xludf.DUMMYFUNCTION("""COMPUTED_VALUE"""),1)</f>
        <v>1</v>
      </c>
      <c r="I482" s="1" t="str">
        <f ca="1">IFERROR(__xludf.DUMMYFUNCTION("""COMPUTED_VALUE"""),"Iowa State")</f>
        <v>Iowa State</v>
      </c>
      <c r="J482" s="1" t="str">
        <f ca="1">IFERROR(__xludf.DUMMYFUNCTION("""COMPUTED_VALUE"""),"2017 NBA Draft, Undrafted")</f>
        <v>2017 NBA Draft, Undrafted</v>
      </c>
      <c r="K482" s="1" t="str">
        <f ca="1">IFERROR(__xludf.DUMMYFUNCTION("""COMPUTED_VALUE"""),"United States")</f>
        <v>United States</v>
      </c>
    </row>
    <row r="483" spans="1:11" ht="13" x14ac:dyDescent="0.15">
      <c r="A483" s="1" t="str">
        <f ca="1">IFERROR(__xludf.DUMMYFUNCTION("""COMPUTED_VALUE"""),"Tristan Thompson")</f>
        <v>Tristan Thompson</v>
      </c>
      <c r="B483" s="1" t="str">
        <f ca="1">IFERROR(__xludf.DUMMYFUNCTION("""COMPUTED_VALUE"""),"F")</f>
        <v>F</v>
      </c>
      <c r="C483" s="2">
        <f ca="1">IFERROR(__xludf.DUMMYFUNCTION("""COMPUTED_VALUE"""),44721)</f>
        <v>44721</v>
      </c>
      <c r="D483" s="1">
        <f ca="1">IFERROR(__xludf.DUMMYFUNCTION("""COMPUTED_VALUE"""),254)</f>
        <v>254</v>
      </c>
      <c r="E483" s="1">
        <f ca="1">IFERROR(__xludf.DUMMYFUNCTION("""COMPUTED_VALUE"""),29)</f>
        <v>29</v>
      </c>
      <c r="F483" s="1" t="str">
        <f ca="1">IFERROR(__xludf.DUMMYFUNCTION("""COMPUTED_VALUE"""),"BOS")</f>
        <v>BOS</v>
      </c>
      <c r="G483" s="1">
        <f ca="1">IFERROR(__xludf.DUMMYFUNCTION("""COMPUTED_VALUE"""),54)</f>
        <v>54</v>
      </c>
      <c r="H483" s="1">
        <f ca="1">IFERROR(__xludf.DUMMYFUNCTION("""COMPUTED_VALUE"""),9)</f>
        <v>9</v>
      </c>
      <c r="I483" s="1" t="str">
        <f ca="1">IFERROR(__xludf.DUMMYFUNCTION("""COMPUTED_VALUE"""),"Texas")</f>
        <v>Texas</v>
      </c>
      <c r="J483" s="1" t="str">
        <f ca="1">IFERROR(__xludf.DUMMYFUNCTION("""COMPUTED_VALUE"""),"2011 Rnd 1 Pick 4")</f>
        <v>2011 Rnd 1 Pick 4</v>
      </c>
      <c r="K483" s="1" t="str">
        <f ca="1">IFERROR(__xludf.DUMMYFUNCTION("""COMPUTED_VALUE"""),"Canada")</f>
        <v>Canada</v>
      </c>
    </row>
    <row r="484" spans="1:11" ht="13" x14ac:dyDescent="0.15">
      <c r="A484" s="1" t="str">
        <f ca="1">IFERROR(__xludf.DUMMYFUNCTION("""COMPUTED_VALUE"""),"Sindarius Thornwell")</f>
        <v>Sindarius Thornwell</v>
      </c>
      <c r="B484" s="1" t="str">
        <f ca="1">IFERROR(__xludf.DUMMYFUNCTION("""COMPUTED_VALUE"""),"SG")</f>
        <v>SG</v>
      </c>
      <c r="C484" s="2">
        <f ca="1">IFERROR(__xludf.DUMMYFUNCTION("""COMPUTED_VALUE"""),44716)</f>
        <v>44716</v>
      </c>
      <c r="D484" s="1">
        <f ca="1">IFERROR(__xludf.DUMMYFUNCTION("""COMPUTED_VALUE"""),215)</f>
        <v>215</v>
      </c>
      <c r="E484" s="1">
        <f ca="1">IFERROR(__xludf.DUMMYFUNCTION("""COMPUTED_VALUE"""),26)</f>
        <v>26</v>
      </c>
      <c r="F484" s="1" t="str">
        <f ca="1">IFERROR(__xludf.DUMMYFUNCTION("""COMPUTED_VALUE"""),"NOP, ORL")</f>
        <v>NOP, ORL</v>
      </c>
      <c r="G484" s="1">
        <f ca="1">IFERROR(__xludf.DUMMYFUNCTION("""COMPUTED_VALUE"""),21)</f>
        <v>21</v>
      </c>
      <c r="H484" s="1">
        <f ca="1">IFERROR(__xludf.DUMMYFUNCTION("""COMPUTED_VALUE"""),2)</f>
        <v>2</v>
      </c>
      <c r="I484" s="1" t="str">
        <f ca="1">IFERROR(__xludf.DUMMYFUNCTION("""COMPUTED_VALUE"""),"South Carolina")</f>
        <v>South Carolina</v>
      </c>
      <c r="J484" s="1" t="str">
        <f ca="1">IFERROR(__xludf.DUMMYFUNCTION("""COMPUTED_VALUE"""),"2017 Rnd 2 Pick 18")</f>
        <v>2017 Rnd 2 Pick 18</v>
      </c>
      <c r="K484" s="1" t="str">
        <f ca="1">IFERROR(__xludf.DUMMYFUNCTION("""COMPUTED_VALUE"""),"United States")</f>
        <v>United States</v>
      </c>
    </row>
    <row r="485" spans="1:11" ht="13" x14ac:dyDescent="0.15">
      <c r="A485" s="1" t="str">
        <f ca="1">IFERROR(__xludf.DUMMYFUNCTION("""COMPUTED_VALUE"""),"Matisse Thybulle")</f>
        <v>Matisse Thybulle</v>
      </c>
      <c r="B485" s="1" t="str">
        <f ca="1">IFERROR(__xludf.DUMMYFUNCTION("""COMPUTED_VALUE"""),"SF")</f>
        <v>SF</v>
      </c>
      <c r="C485" s="2">
        <f ca="1">IFERROR(__xludf.DUMMYFUNCTION("""COMPUTED_VALUE"""),44717)</f>
        <v>44717</v>
      </c>
      <c r="D485" s="1">
        <f ca="1">IFERROR(__xludf.DUMMYFUNCTION("""COMPUTED_VALUE"""),205)</f>
        <v>205</v>
      </c>
      <c r="E485" s="1">
        <f ca="1">IFERROR(__xludf.DUMMYFUNCTION("""COMPUTED_VALUE"""),23)</f>
        <v>23</v>
      </c>
      <c r="F485" s="1" t="str">
        <f ca="1">IFERROR(__xludf.DUMMYFUNCTION("""COMPUTED_VALUE"""),"PHI")</f>
        <v>PHI</v>
      </c>
      <c r="G485" s="1">
        <f ca="1">IFERROR(__xludf.DUMMYFUNCTION("""COMPUTED_VALUE"""),65)</f>
        <v>65</v>
      </c>
      <c r="H485" s="1">
        <f ca="1">IFERROR(__xludf.DUMMYFUNCTION("""COMPUTED_VALUE"""),1)</f>
        <v>1</v>
      </c>
      <c r="I485" s="1" t="str">
        <f ca="1">IFERROR(__xludf.DUMMYFUNCTION("""COMPUTED_VALUE"""),"Washington")</f>
        <v>Washington</v>
      </c>
      <c r="J485" s="1" t="str">
        <f ca="1">IFERROR(__xludf.DUMMYFUNCTION("""COMPUTED_VALUE"""),"2019 Rnd 1 Pick 20")</f>
        <v>2019 Rnd 1 Pick 20</v>
      </c>
      <c r="K485" s="1" t="str">
        <f ca="1">IFERROR(__xludf.DUMMYFUNCTION("""COMPUTED_VALUE"""),"United States
Australia")</f>
        <v>United States
Australia</v>
      </c>
    </row>
    <row r="486" spans="1:11" ht="13" x14ac:dyDescent="0.15">
      <c r="A486" s="1" t="str">
        <f ca="1">IFERROR(__xludf.DUMMYFUNCTION("""COMPUTED_VALUE"""),"Killian Tillie")</f>
        <v>Killian Tillie</v>
      </c>
      <c r="B486" s="1" t="str">
        <f ca="1">IFERROR(__xludf.DUMMYFUNCTION("""COMPUTED_VALUE"""),"C")</f>
        <v>C</v>
      </c>
      <c r="C486" s="2">
        <f ca="1">IFERROR(__xludf.DUMMYFUNCTION("""COMPUTED_VALUE"""),44722)</f>
        <v>44722</v>
      </c>
      <c r="D486" s="1">
        <f ca="1">IFERROR(__xludf.DUMMYFUNCTION("""COMPUTED_VALUE"""),220)</f>
        <v>220</v>
      </c>
      <c r="E486" s="1">
        <f ca="1">IFERROR(__xludf.DUMMYFUNCTION("""COMPUTED_VALUE"""),22)</f>
        <v>22</v>
      </c>
      <c r="F486" s="1" t="str">
        <f ca="1">IFERROR(__xludf.DUMMYFUNCTION("""COMPUTED_VALUE"""),"MEM")</f>
        <v>MEM</v>
      </c>
      <c r="G486" s="1">
        <f ca="1">IFERROR(__xludf.DUMMYFUNCTION("""COMPUTED_VALUE"""),18)</f>
        <v>18</v>
      </c>
      <c r="H486" s="1">
        <f ca="1">IFERROR(__xludf.DUMMYFUNCTION("""COMPUTED_VALUE"""),0)</f>
        <v>0</v>
      </c>
      <c r="I486" s="1" t="str">
        <f ca="1">IFERROR(__xludf.DUMMYFUNCTION("""COMPUTED_VALUE"""),"Gonzaga")</f>
        <v>Gonzaga</v>
      </c>
      <c r="J486" s="1" t="str">
        <f ca="1">IFERROR(__xludf.DUMMYFUNCTION("""COMPUTED_VALUE"""),"2020 NBA Draft, Undrafted")</f>
        <v>2020 NBA Draft, Undrafted</v>
      </c>
      <c r="K486" s="1" t="str">
        <f ca="1">IFERROR(__xludf.DUMMYFUNCTION("""COMPUTED_VALUE"""),"France")</f>
        <v>France</v>
      </c>
    </row>
    <row r="487" spans="1:11" ht="13" x14ac:dyDescent="0.15">
      <c r="A487" s="1" t="str">
        <f ca="1">IFERROR(__xludf.DUMMYFUNCTION("""COMPUTED_VALUE"""),"Xavier Tillman, Sr.")</f>
        <v>Xavier Tillman, Sr.</v>
      </c>
      <c r="B487" s="1" t="str">
        <f ca="1">IFERROR(__xludf.DUMMYFUNCTION("""COMPUTED_VALUE"""),"PF")</f>
        <v>PF</v>
      </c>
      <c r="C487" s="2">
        <f ca="1">IFERROR(__xludf.DUMMYFUNCTION("""COMPUTED_VALUE"""),44720)</f>
        <v>44720</v>
      </c>
      <c r="D487" s="1">
        <f ca="1">IFERROR(__xludf.DUMMYFUNCTION("""COMPUTED_VALUE"""),245)</f>
        <v>245</v>
      </c>
      <c r="E487" s="1">
        <f ca="1">IFERROR(__xludf.DUMMYFUNCTION("""COMPUTED_VALUE"""),22)</f>
        <v>22</v>
      </c>
      <c r="F487" s="1" t="str">
        <f ca="1">IFERROR(__xludf.DUMMYFUNCTION("""COMPUTED_VALUE"""),"MEM")</f>
        <v>MEM</v>
      </c>
      <c r="G487" s="1">
        <f ca="1">IFERROR(__xludf.DUMMYFUNCTION("""COMPUTED_VALUE"""),59)</f>
        <v>59</v>
      </c>
      <c r="H487" s="1">
        <f ca="1">IFERROR(__xludf.DUMMYFUNCTION("""COMPUTED_VALUE"""),0)</f>
        <v>0</v>
      </c>
      <c r="I487" s="1" t="str">
        <f ca="1">IFERROR(__xludf.DUMMYFUNCTION("""COMPUTED_VALUE"""),"Michigan State")</f>
        <v>Michigan State</v>
      </c>
      <c r="J487" s="1" t="str">
        <f ca="1">IFERROR(__xludf.DUMMYFUNCTION("""COMPUTED_VALUE"""),"2020 Rnd 2 Pick 5")</f>
        <v>2020 Rnd 2 Pick 5</v>
      </c>
      <c r="K487" s="1" t="str">
        <f ca="1">IFERROR(__xludf.DUMMYFUNCTION("""COMPUTED_VALUE"""),"United States")</f>
        <v>United States</v>
      </c>
    </row>
    <row r="488" spans="1:11" ht="13" x14ac:dyDescent="0.15">
      <c r="A488" s="1" t="str">
        <f ca="1">IFERROR(__xludf.DUMMYFUNCTION("""COMPUTED_VALUE"""),"Anthony Tolliver")</f>
        <v>Anthony Tolliver</v>
      </c>
      <c r="B488" s="1" t="str">
        <f ca="1">IFERROR(__xludf.DUMMYFUNCTION("""COMPUTED_VALUE"""),"PF")</f>
        <v>PF</v>
      </c>
      <c r="C488" s="2">
        <f ca="1">IFERROR(__xludf.DUMMYFUNCTION("""COMPUTED_VALUE"""),44720)</f>
        <v>44720</v>
      </c>
      <c r="D488" s="1">
        <f ca="1">IFERROR(__xludf.DUMMYFUNCTION("""COMPUTED_VALUE"""),245)</f>
        <v>245</v>
      </c>
      <c r="E488" s="1">
        <f ca="1">IFERROR(__xludf.DUMMYFUNCTION("""COMPUTED_VALUE"""),35)</f>
        <v>35</v>
      </c>
      <c r="F488" s="1" t="str">
        <f ca="1">IFERROR(__xludf.DUMMYFUNCTION("""COMPUTED_VALUE"""),"PHI")</f>
        <v>PHI</v>
      </c>
      <c r="G488" s="1">
        <f ca="1">IFERROR(__xludf.DUMMYFUNCTION("""COMPUTED_VALUE"""),11)</f>
        <v>11</v>
      </c>
      <c r="H488" s="1">
        <f ca="1">IFERROR(__xludf.DUMMYFUNCTION("""COMPUTED_VALUE"""),13)</f>
        <v>13</v>
      </c>
      <c r="I488" s="1" t="str">
        <f ca="1">IFERROR(__xludf.DUMMYFUNCTION("""COMPUTED_VALUE"""),"Creighton")</f>
        <v>Creighton</v>
      </c>
      <c r="J488" s="1" t="str">
        <f ca="1">IFERROR(__xludf.DUMMYFUNCTION("""COMPUTED_VALUE"""),"2007 NBA Draft, Undrafted")</f>
        <v>2007 NBA Draft, Undrafted</v>
      </c>
      <c r="K488" s="1" t="str">
        <f ca="1">IFERROR(__xludf.DUMMYFUNCTION("""COMPUTED_VALUE"""),"United States")</f>
        <v>United States</v>
      </c>
    </row>
    <row r="489" spans="1:11" ht="13" x14ac:dyDescent="0.15">
      <c r="A489" s="1" t="str">
        <f ca="1">IFERROR(__xludf.DUMMYFUNCTION("""COMPUTED_VALUE"""),"Obi Toppin")</f>
        <v>Obi Toppin</v>
      </c>
      <c r="B489" s="1" t="str">
        <f ca="1">IFERROR(__xludf.DUMMYFUNCTION("""COMPUTED_VALUE"""),"F")</f>
        <v>F</v>
      </c>
      <c r="C489" s="2">
        <f ca="1">IFERROR(__xludf.DUMMYFUNCTION("""COMPUTED_VALUE"""),44721)</f>
        <v>44721</v>
      </c>
      <c r="D489" s="1">
        <f ca="1">IFERROR(__xludf.DUMMYFUNCTION("""COMPUTED_VALUE"""),193)</f>
        <v>193</v>
      </c>
      <c r="E489" s="1">
        <f ca="1">IFERROR(__xludf.DUMMYFUNCTION("""COMPUTED_VALUE"""),22)</f>
        <v>22</v>
      </c>
      <c r="F489" s="1" t="str">
        <f ca="1">IFERROR(__xludf.DUMMYFUNCTION("""COMPUTED_VALUE"""),"NYK")</f>
        <v>NYK</v>
      </c>
      <c r="G489" s="1">
        <f ca="1">IFERROR(__xludf.DUMMYFUNCTION("""COMPUTED_VALUE"""),62)</f>
        <v>62</v>
      </c>
      <c r="H489" s="1">
        <f ca="1">IFERROR(__xludf.DUMMYFUNCTION("""COMPUTED_VALUE"""),0)</f>
        <v>0</v>
      </c>
      <c r="I489" s="1" t="str">
        <f ca="1">IFERROR(__xludf.DUMMYFUNCTION("""COMPUTED_VALUE"""),"Dayton")</f>
        <v>Dayton</v>
      </c>
      <c r="J489" s="1" t="str">
        <f ca="1">IFERROR(__xludf.DUMMYFUNCTION("""COMPUTED_VALUE"""),"2020 Rnd 1 Pick 8")</f>
        <v>2020 Rnd 1 Pick 8</v>
      </c>
      <c r="K489" s="1" t="str">
        <f ca="1">IFERROR(__xludf.DUMMYFUNCTION("""COMPUTED_VALUE"""),"United States")</f>
        <v>United States</v>
      </c>
    </row>
    <row r="490" spans="1:11" ht="13" x14ac:dyDescent="0.15">
      <c r="A490" s="1" t="str">
        <f ca="1">IFERROR(__xludf.DUMMYFUNCTION("""COMPUTED_VALUE"""),"Juan Toscano-Anderson")</f>
        <v>Juan Toscano-Anderson</v>
      </c>
      <c r="B490" s="1" t="str">
        <f ca="1">IFERROR(__xludf.DUMMYFUNCTION("""COMPUTED_VALUE"""),"F")</f>
        <v>F</v>
      </c>
      <c r="C490" s="2">
        <f ca="1">IFERROR(__xludf.DUMMYFUNCTION("""COMPUTED_VALUE"""),44718)</f>
        <v>44718</v>
      </c>
      <c r="D490" s="1">
        <f ca="1">IFERROR(__xludf.DUMMYFUNCTION("""COMPUTED_VALUE"""),213)</f>
        <v>213</v>
      </c>
      <c r="E490" s="1">
        <f ca="1">IFERROR(__xludf.DUMMYFUNCTION("""COMPUTED_VALUE"""),27)</f>
        <v>27</v>
      </c>
      <c r="F490" s="1" t="str">
        <f ca="1">IFERROR(__xludf.DUMMYFUNCTION("""COMPUTED_VALUE"""),"GSW")</f>
        <v>GSW</v>
      </c>
      <c r="G490" s="1">
        <f ca="1">IFERROR(__xludf.DUMMYFUNCTION("""COMPUTED_VALUE"""),53)</f>
        <v>53</v>
      </c>
      <c r="H490" s="1">
        <f ca="1">IFERROR(__xludf.DUMMYFUNCTION("""COMPUTED_VALUE"""),1)</f>
        <v>1</v>
      </c>
      <c r="I490" s="1" t="str">
        <f ca="1">IFERROR(__xludf.DUMMYFUNCTION("""COMPUTED_VALUE"""),"Marquette")</f>
        <v>Marquette</v>
      </c>
      <c r="J490" s="1" t="str">
        <f ca="1">IFERROR(__xludf.DUMMYFUNCTION("""COMPUTED_VALUE"""),"2015 NBA Draft, Undrafted")</f>
        <v>2015 NBA Draft, Undrafted</v>
      </c>
      <c r="K490" s="1" t="str">
        <f ca="1">IFERROR(__xludf.DUMMYFUNCTION("""COMPUTED_VALUE"""),"United States
Mexico")</f>
        <v>United States
Mexico</v>
      </c>
    </row>
    <row r="491" spans="1:11" ht="13" x14ac:dyDescent="0.15">
      <c r="A491" s="1" t="str">
        <f ca="1">IFERROR(__xludf.DUMMYFUNCTION("""COMPUTED_VALUE"""),"Axel Toupane")</f>
        <v>Axel Toupane</v>
      </c>
      <c r="B491" s="1" t="str">
        <f ca="1">IFERROR(__xludf.DUMMYFUNCTION("""COMPUTED_VALUE"""),"SG")</f>
        <v>SG</v>
      </c>
      <c r="C491" s="2">
        <f ca="1">IFERROR(__xludf.DUMMYFUNCTION("""COMPUTED_VALUE"""),44719)</f>
        <v>44719</v>
      </c>
      <c r="D491" s="1">
        <f ca="1">IFERROR(__xludf.DUMMYFUNCTION("""COMPUTED_VALUE"""),197)</f>
        <v>197</v>
      </c>
      <c r="E491" s="1">
        <f ca="1">IFERROR(__xludf.DUMMYFUNCTION("""COMPUTED_VALUE"""),28)</f>
        <v>28</v>
      </c>
      <c r="F491" s="1" t="str">
        <f ca="1">IFERROR(__xludf.DUMMYFUNCTION("""COMPUTED_VALUE"""),"MIL")</f>
        <v>MIL</v>
      </c>
      <c r="G491" s="1">
        <f ca="1">IFERROR(__xludf.DUMMYFUNCTION("""COMPUTED_VALUE"""),8)</f>
        <v>8</v>
      </c>
      <c r="H491" s="1">
        <f ca="1">IFERROR(__xludf.DUMMYFUNCTION("""COMPUTED_VALUE"""),2)</f>
        <v>2</v>
      </c>
      <c r="I491" s="1" t="str">
        <f ca="1">IFERROR(__xludf.DUMMYFUNCTION("""COMPUTED_VALUE"""),"Strasbourg IG (France)")</f>
        <v>Strasbourg IG (France)</v>
      </c>
      <c r="J491" s="1" t="str">
        <f ca="1">IFERROR(__xludf.DUMMYFUNCTION("""COMPUTED_VALUE"""),"2014 NBA Draft, Undrafted")</f>
        <v>2014 NBA Draft, Undrafted</v>
      </c>
      <c r="K491" s="1" t="str">
        <f ca="1">IFERROR(__xludf.DUMMYFUNCTION("""COMPUTED_VALUE"""),"France")</f>
        <v>France</v>
      </c>
    </row>
    <row r="492" spans="1:11" ht="13" x14ac:dyDescent="0.15">
      <c r="A492" s="1" t="str">
        <f ca="1">IFERROR(__xludf.DUMMYFUNCTION("""COMPUTED_VALUE"""),"Karl-Anthony Towns")</f>
        <v>Karl-Anthony Towns</v>
      </c>
      <c r="B492" s="1" t="str">
        <f ca="1">IFERROR(__xludf.DUMMYFUNCTION("""COMPUTED_VALUE"""),"C")</f>
        <v>C</v>
      </c>
      <c r="C492" s="1" t="str">
        <f ca="1">IFERROR(__xludf.DUMMYFUNCTION("""COMPUTED_VALUE"""),"7-0")</f>
        <v>7-0</v>
      </c>
      <c r="D492" s="1">
        <f ca="1">IFERROR(__xludf.DUMMYFUNCTION("""COMPUTED_VALUE"""),250)</f>
        <v>250</v>
      </c>
      <c r="E492" s="1">
        <f ca="1">IFERROR(__xludf.DUMMYFUNCTION("""COMPUTED_VALUE"""),25)</f>
        <v>25</v>
      </c>
      <c r="F492" s="1" t="str">
        <f ca="1">IFERROR(__xludf.DUMMYFUNCTION("""COMPUTED_VALUE"""),"MIN")</f>
        <v>MIN</v>
      </c>
      <c r="G492" s="1">
        <f ca="1">IFERROR(__xludf.DUMMYFUNCTION("""COMPUTED_VALUE"""),50)</f>
        <v>50</v>
      </c>
      <c r="H492" s="1">
        <f ca="1">IFERROR(__xludf.DUMMYFUNCTION("""COMPUTED_VALUE"""),5)</f>
        <v>5</v>
      </c>
      <c r="I492" s="1" t="str">
        <f ca="1">IFERROR(__xludf.DUMMYFUNCTION("""COMPUTED_VALUE"""),"Kentucky")</f>
        <v>Kentucky</v>
      </c>
      <c r="J492" s="1" t="str">
        <f ca="1">IFERROR(__xludf.DUMMYFUNCTION("""COMPUTED_VALUE"""),"2015 Rnd 1 Pick 1")</f>
        <v>2015 Rnd 1 Pick 1</v>
      </c>
      <c r="K492" s="1" t="str">
        <f ca="1">IFERROR(__xludf.DUMMYFUNCTION("""COMPUTED_VALUE"""),"United States
Dominican Republic")</f>
        <v>United States
Dominican Republic</v>
      </c>
    </row>
    <row r="493" spans="1:11" ht="13" x14ac:dyDescent="0.15">
      <c r="A493" s="1" t="str">
        <f ca="1">IFERROR(__xludf.DUMMYFUNCTION("""COMPUTED_VALUE"""),"Gary Trent Jr.")</f>
        <v>Gary Trent Jr.</v>
      </c>
      <c r="B493" s="1" t="str">
        <f ca="1">IFERROR(__xludf.DUMMYFUNCTION("""COMPUTED_VALUE"""),"SG")</f>
        <v>SG</v>
      </c>
      <c r="C493" s="2">
        <f ca="1">IFERROR(__xludf.DUMMYFUNCTION("""COMPUTED_VALUE"""),44718)</f>
        <v>44718</v>
      </c>
      <c r="D493" s="1">
        <f ca="1">IFERROR(__xludf.DUMMYFUNCTION("""COMPUTED_VALUE"""),205)</f>
        <v>205</v>
      </c>
      <c r="E493" s="1">
        <f ca="1">IFERROR(__xludf.DUMMYFUNCTION("""COMPUTED_VALUE"""),22)</f>
        <v>22</v>
      </c>
      <c r="F493" s="1" t="str">
        <f ca="1">IFERROR(__xludf.DUMMYFUNCTION("""COMPUTED_VALUE"""),"POR, TOR")</f>
        <v>POR, TOR</v>
      </c>
      <c r="G493" s="1">
        <f ca="1">IFERROR(__xludf.DUMMYFUNCTION("""COMPUTED_VALUE"""),58)</f>
        <v>58</v>
      </c>
      <c r="H493" s="1">
        <f ca="1">IFERROR(__xludf.DUMMYFUNCTION("""COMPUTED_VALUE"""),2)</f>
        <v>2</v>
      </c>
      <c r="I493" s="1" t="str">
        <f ca="1">IFERROR(__xludf.DUMMYFUNCTION("""COMPUTED_VALUE"""),"Duke")</f>
        <v>Duke</v>
      </c>
      <c r="J493" s="1" t="str">
        <f ca="1">IFERROR(__xludf.DUMMYFUNCTION("""COMPUTED_VALUE"""),"2018 Rnd 2 Pick 7")</f>
        <v>2018 Rnd 2 Pick 7</v>
      </c>
      <c r="K493" s="1" t="str">
        <f ca="1">IFERROR(__xludf.DUMMYFUNCTION("""COMPUTED_VALUE"""),"United States")</f>
        <v>United States</v>
      </c>
    </row>
    <row r="494" spans="1:11" ht="13" x14ac:dyDescent="0.15">
      <c r="A494" s="1" t="str">
        <f ca="1">IFERROR(__xludf.DUMMYFUNCTION("""COMPUTED_VALUE"""),"PJ Tucker")</f>
        <v>PJ Tucker</v>
      </c>
      <c r="B494" s="1" t="str">
        <f ca="1">IFERROR(__xludf.DUMMYFUNCTION("""COMPUTED_VALUE"""),"SF")</f>
        <v>SF</v>
      </c>
      <c r="C494" s="2">
        <f ca="1">IFERROR(__xludf.DUMMYFUNCTION("""COMPUTED_VALUE"""),44718)</f>
        <v>44718</v>
      </c>
      <c r="D494" s="1">
        <f ca="1">IFERROR(__xludf.DUMMYFUNCTION("""COMPUTED_VALUE"""),245)</f>
        <v>245</v>
      </c>
      <c r="E494" s="1">
        <f ca="1">IFERROR(__xludf.DUMMYFUNCTION("""COMPUTED_VALUE"""),35)</f>
        <v>35</v>
      </c>
      <c r="F494" s="1" t="str">
        <f ca="1">IFERROR(__xludf.DUMMYFUNCTION("""COMPUTED_VALUE"""),"HOU, MIL")</f>
        <v>HOU, MIL</v>
      </c>
      <c r="G494" s="1">
        <f ca="1">IFERROR(__xludf.DUMMYFUNCTION("""COMPUTED_VALUE"""),52)</f>
        <v>52</v>
      </c>
      <c r="H494" s="1">
        <f ca="1">IFERROR(__xludf.DUMMYFUNCTION("""COMPUTED_VALUE"""),9)</f>
        <v>9</v>
      </c>
      <c r="I494" s="1" t="str">
        <f ca="1">IFERROR(__xludf.DUMMYFUNCTION("""COMPUTED_VALUE"""),"Texas")</f>
        <v>Texas</v>
      </c>
      <c r="J494" s="1" t="str">
        <f ca="1">IFERROR(__xludf.DUMMYFUNCTION("""COMPUTED_VALUE"""),"2006 Rnd 2 Pick 5")</f>
        <v>2006 Rnd 2 Pick 5</v>
      </c>
      <c r="K494" s="1" t="str">
        <f ca="1">IFERROR(__xludf.DUMMYFUNCTION("""COMPUTED_VALUE"""),"United States")</f>
        <v>United States</v>
      </c>
    </row>
    <row r="495" spans="1:11" ht="13" x14ac:dyDescent="0.15">
      <c r="A495" s="1" t="str">
        <f ca="1">IFERROR(__xludf.DUMMYFUNCTION("""COMPUTED_VALUE"""),"Rayjon Tucker")</f>
        <v>Rayjon Tucker</v>
      </c>
      <c r="B495" s="1" t="str">
        <f ca="1">IFERROR(__xludf.DUMMYFUNCTION("""COMPUTED_VALUE"""),"SF")</f>
        <v>SF</v>
      </c>
      <c r="C495" s="2">
        <f ca="1">IFERROR(__xludf.DUMMYFUNCTION("""COMPUTED_VALUE"""),44715)</f>
        <v>44715</v>
      </c>
      <c r="D495" s="1">
        <f ca="1">IFERROR(__xludf.DUMMYFUNCTION("""COMPUTED_VALUE"""),209)</f>
        <v>209</v>
      </c>
      <c r="E495" s="1">
        <f ca="1">IFERROR(__xludf.DUMMYFUNCTION("""COMPUTED_VALUE"""),23)</f>
        <v>23</v>
      </c>
      <c r="F495" s="1" t="str">
        <f ca="1">IFERROR(__xludf.DUMMYFUNCTION("""COMPUTED_VALUE"""),"PHI")</f>
        <v>PHI</v>
      </c>
      <c r="G495" s="1">
        <f ca="1">IFERROR(__xludf.DUMMYFUNCTION("""COMPUTED_VALUE"""),14)</f>
        <v>14</v>
      </c>
      <c r="H495" s="1">
        <f ca="1">IFERROR(__xludf.DUMMYFUNCTION("""COMPUTED_VALUE"""),1)</f>
        <v>1</v>
      </c>
      <c r="I495" s="1" t="str">
        <f ca="1">IFERROR(__xludf.DUMMYFUNCTION("""COMPUTED_VALUE"""),"Little Rock")</f>
        <v>Little Rock</v>
      </c>
      <c r="J495" s="1" t="str">
        <f ca="1">IFERROR(__xludf.DUMMYFUNCTION("""COMPUTED_VALUE"""),"2019 NBA Draft, Undrafted")</f>
        <v>2019 NBA Draft, Undrafted</v>
      </c>
      <c r="K495" s="1" t="str">
        <f ca="1">IFERROR(__xludf.DUMMYFUNCTION("""COMPUTED_VALUE"""),"United States")</f>
        <v>United States</v>
      </c>
    </row>
    <row r="496" spans="1:11" ht="13" x14ac:dyDescent="0.15">
      <c r="A496" s="1" t="str">
        <f ca="1">IFERROR(__xludf.DUMMYFUNCTION("""COMPUTED_VALUE"""),"Myles Turner")</f>
        <v>Myles Turner</v>
      </c>
      <c r="B496" s="1" t="str">
        <f ca="1">IFERROR(__xludf.DUMMYFUNCTION("""COMPUTED_VALUE"""),"FC")</f>
        <v>FC</v>
      </c>
      <c r="C496" s="2">
        <f ca="1">IFERROR(__xludf.DUMMYFUNCTION("""COMPUTED_VALUE"""),44723)</f>
        <v>44723</v>
      </c>
      <c r="D496" s="1">
        <f ca="1">IFERROR(__xludf.DUMMYFUNCTION("""COMPUTED_VALUE"""),250)</f>
        <v>250</v>
      </c>
      <c r="E496" s="1">
        <f ca="1">IFERROR(__xludf.DUMMYFUNCTION("""COMPUTED_VALUE"""),24)</f>
        <v>24</v>
      </c>
      <c r="F496" s="1" t="str">
        <f ca="1">IFERROR(__xludf.DUMMYFUNCTION("""COMPUTED_VALUE"""),"IND")</f>
        <v>IND</v>
      </c>
      <c r="G496" s="1">
        <f ca="1">IFERROR(__xludf.DUMMYFUNCTION("""COMPUTED_VALUE"""),47)</f>
        <v>47</v>
      </c>
      <c r="H496" s="1">
        <f ca="1">IFERROR(__xludf.DUMMYFUNCTION("""COMPUTED_VALUE"""),5)</f>
        <v>5</v>
      </c>
      <c r="I496" s="1" t="str">
        <f ca="1">IFERROR(__xludf.DUMMYFUNCTION("""COMPUTED_VALUE"""),"Texas")</f>
        <v>Texas</v>
      </c>
      <c r="J496" s="1" t="str">
        <f ca="1">IFERROR(__xludf.DUMMYFUNCTION("""COMPUTED_VALUE"""),"2015 Rnd 1 Pick 11")</f>
        <v>2015 Rnd 1 Pick 11</v>
      </c>
      <c r="K496" s="1" t="str">
        <f ca="1">IFERROR(__xludf.DUMMYFUNCTION("""COMPUTED_VALUE"""),"United States")</f>
        <v>United States</v>
      </c>
    </row>
    <row r="497" spans="1:11" ht="13" x14ac:dyDescent="0.15">
      <c r="A497" s="1" t="str">
        <f ca="1">IFERROR(__xludf.DUMMYFUNCTION("""COMPUTED_VALUE"""),"Jonas Valanciunas")</f>
        <v>Jonas Valanciunas</v>
      </c>
      <c r="B497" s="1" t="str">
        <f ca="1">IFERROR(__xludf.DUMMYFUNCTION("""COMPUTED_VALUE"""),"C")</f>
        <v>C</v>
      </c>
      <c r="C497" s="2">
        <f ca="1">IFERROR(__xludf.DUMMYFUNCTION("""COMPUTED_VALUE"""),44723)</f>
        <v>44723</v>
      </c>
      <c r="D497" s="1">
        <f ca="1">IFERROR(__xludf.DUMMYFUNCTION("""COMPUTED_VALUE"""),265)</f>
        <v>265</v>
      </c>
      <c r="E497" s="1">
        <f ca="1">IFERROR(__xludf.DUMMYFUNCTION("""COMPUTED_VALUE"""),28)</f>
        <v>28</v>
      </c>
      <c r="F497" s="1" t="str">
        <f ca="1">IFERROR(__xludf.DUMMYFUNCTION("""COMPUTED_VALUE"""),"MEM")</f>
        <v>MEM</v>
      </c>
      <c r="G497" s="1">
        <f ca="1">IFERROR(__xludf.DUMMYFUNCTION("""COMPUTED_VALUE"""),62)</f>
        <v>62</v>
      </c>
      <c r="H497" s="1">
        <f ca="1">IFERROR(__xludf.DUMMYFUNCTION("""COMPUTED_VALUE"""),8)</f>
        <v>8</v>
      </c>
      <c r="I497" s="1" t="str">
        <f ca="1">IFERROR(__xludf.DUMMYFUNCTION("""COMPUTED_VALUE"""),"Lietuvos Rytas (Lithuania)")</f>
        <v>Lietuvos Rytas (Lithuania)</v>
      </c>
      <c r="J497" s="1" t="str">
        <f ca="1">IFERROR(__xludf.DUMMYFUNCTION("""COMPUTED_VALUE"""),"2011 Rnd 1 Pick 5")</f>
        <v>2011 Rnd 1 Pick 5</v>
      </c>
      <c r="K497" s="1" t="str">
        <f ca="1">IFERROR(__xludf.DUMMYFUNCTION("""COMPUTED_VALUE"""),"Lithuania")</f>
        <v>Lithuania</v>
      </c>
    </row>
    <row r="498" spans="1:11" ht="13" x14ac:dyDescent="0.15">
      <c r="A498" s="1" t="str">
        <f ca="1">IFERROR(__xludf.DUMMYFUNCTION("""COMPUTED_VALUE"""),"Denzel Valentine")</f>
        <v>Denzel Valentine</v>
      </c>
      <c r="B498" s="1" t="str">
        <f ca="1">IFERROR(__xludf.DUMMYFUNCTION("""COMPUTED_VALUE"""),"F")</f>
        <v>F</v>
      </c>
      <c r="C498" s="2">
        <f ca="1">IFERROR(__xludf.DUMMYFUNCTION("""COMPUTED_VALUE"""),44717)</f>
        <v>44717</v>
      </c>
      <c r="D498" s="1">
        <f ca="1">IFERROR(__xludf.DUMMYFUNCTION("""COMPUTED_VALUE"""),218)</f>
        <v>218</v>
      </c>
      <c r="E498" s="1">
        <f ca="1">IFERROR(__xludf.DUMMYFUNCTION("""COMPUTED_VALUE"""),27)</f>
        <v>27</v>
      </c>
      <c r="F498" s="1" t="str">
        <f ca="1">IFERROR(__xludf.DUMMYFUNCTION("""COMPUTED_VALUE"""),"CHI")</f>
        <v>CHI</v>
      </c>
      <c r="G498" s="1">
        <f ca="1">IFERROR(__xludf.DUMMYFUNCTION("""COMPUTED_VALUE"""),62)</f>
        <v>62</v>
      </c>
      <c r="H498" s="1">
        <f ca="1">IFERROR(__xludf.DUMMYFUNCTION("""COMPUTED_VALUE"""),4)</f>
        <v>4</v>
      </c>
      <c r="I498" s="1" t="str">
        <f ca="1">IFERROR(__xludf.DUMMYFUNCTION("""COMPUTED_VALUE"""),"Michigan State")</f>
        <v>Michigan State</v>
      </c>
      <c r="J498" s="1" t="str">
        <f ca="1">IFERROR(__xludf.DUMMYFUNCTION("""COMPUTED_VALUE"""),"2016 Rnd 1 Pick 14")</f>
        <v>2016 Rnd 1 Pick 14</v>
      </c>
      <c r="K498" s="1" t="str">
        <f ca="1">IFERROR(__xludf.DUMMYFUNCTION("""COMPUTED_VALUE"""),"United States")</f>
        <v>United States</v>
      </c>
    </row>
    <row r="499" spans="1:11" ht="13" x14ac:dyDescent="0.15">
      <c r="A499" s="1" t="str">
        <f ca="1">IFERROR(__xludf.DUMMYFUNCTION("""COMPUTED_VALUE"""),"Fred VanVleet")</f>
        <v>Fred VanVleet</v>
      </c>
      <c r="B499" s="1" t="str">
        <f ca="1">IFERROR(__xludf.DUMMYFUNCTION("""COMPUTED_VALUE"""),"G")</f>
        <v>G</v>
      </c>
      <c r="C499" s="1" t="str">
        <f ca="1">IFERROR(__xludf.DUMMYFUNCTION("""COMPUTED_VALUE"""),"6-0")</f>
        <v>6-0</v>
      </c>
      <c r="D499" s="1">
        <f ca="1">IFERROR(__xludf.DUMMYFUNCTION("""COMPUTED_VALUE"""),195)</f>
        <v>195</v>
      </c>
      <c r="E499" s="1">
        <f ca="1">IFERROR(__xludf.DUMMYFUNCTION("""COMPUTED_VALUE"""),27)</f>
        <v>27</v>
      </c>
      <c r="F499" s="1" t="str">
        <f ca="1">IFERROR(__xludf.DUMMYFUNCTION("""COMPUTED_VALUE"""),"TOR")</f>
        <v>TOR</v>
      </c>
      <c r="G499" s="1">
        <f ca="1">IFERROR(__xludf.DUMMYFUNCTION("""COMPUTED_VALUE"""),52)</f>
        <v>52</v>
      </c>
      <c r="H499" s="1">
        <f ca="1">IFERROR(__xludf.DUMMYFUNCTION("""COMPUTED_VALUE"""),4)</f>
        <v>4</v>
      </c>
      <c r="I499" s="1" t="str">
        <f ca="1">IFERROR(__xludf.DUMMYFUNCTION("""COMPUTED_VALUE"""),"Wichita State")</f>
        <v>Wichita State</v>
      </c>
      <c r="J499" s="1" t="str">
        <f ca="1">IFERROR(__xludf.DUMMYFUNCTION("""COMPUTED_VALUE"""),"2016 NBA Draft, Undrafted")</f>
        <v>2016 NBA Draft, Undrafted</v>
      </c>
      <c r="K499" s="1" t="str">
        <f ca="1">IFERROR(__xludf.DUMMYFUNCTION("""COMPUTED_VALUE"""),"United States")</f>
        <v>United States</v>
      </c>
    </row>
    <row r="500" spans="1:11" ht="13" x14ac:dyDescent="0.15">
      <c r="A500" s="1" t="str">
        <f ca="1">IFERROR(__xludf.DUMMYFUNCTION("""COMPUTED_VALUE"""),"Jarred Vanderbilt")</f>
        <v>Jarred Vanderbilt</v>
      </c>
      <c r="B500" s="1" t="str">
        <f ca="1">IFERROR(__xludf.DUMMYFUNCTION("""COMPUTED_VALUE"""),"PF")</f>
        <v>PF</v>
      </c>
      <c r="C500" s="2">
        <f ca="1">IFERROR(__xludf.DUMMYFUNCTION("""COMPUTED_VALUE"""),44720)</f>
        <v>44720</v>
      </c>
      <c r="D500" s="1">
        <f ca="1">IFERROR(__xludf.DUMMYFUNCTION("""COMPUTED_VALUE"""),214)</f>
        <v>214</v>
      </c>
      <c r="E500" s="1">
        <f ca="1">IFERROR(__xludf.DUMMYFUNCTION("""COMPUTED_VALUE"""),21)</f>
        <v>21</v>
      </c>
      <c r="F500" s="1" t="str">
        <f ca="1">IFERROR(__xludf.DUMMYFUNCTION("""COMPUTED_VALUE"""),"MIN")</f>
        <v>MIN</v>
      </c>
      <c r="G500" s="1">
        <f ca="1">IFERROR(__xludf.DUMMYFUNCTION("""COMPUTED_VALUE"""),64)</f>
        <v>64</v>
      </c>
      <c r="H500" s="1">
        <f ca="1">IFERROR(__xludf.DUMMYFUNCTION("""COMPUTED_VALUE"""),2)</f>
        <v>2</v>
      </c>
      <c r="I500" s="1" t="str">
        <f ca="1">IFERROR(__xludf.DUMMYFUNCTION("""COMPUTED_VALUE"""),"Kentucky")</f>
        <v>Kentucky</v>
      </c>
      <c r="J500" s="1" t="str">
        <f ca="1">IFERROR(__xludf.DUMMYFUNCTION("""COMPUTED_VALUE"""),"2018 Rnd 2 Pick 11")</f>
        <v>2018 Rnd 2 Pick 11</v>
      </c>
      <c r="K500" s="1" t="str">
        <f ca="1">IFERROR(__xludf.DUMMYFUNCTION("""COMPUTED_VALUE"""),"United States")</f>
        <v>United States</v>
      </c>
    </row>
    <row r="501" spans="1:11" ht="13" x14ac:dyDescent="0.15">
      <c r="A501" s="1" t="str">
        <f ca="1">IFERROR(__xludf.DUMMYFUNCTION("""COMPUTED_VALUE"""),"Anderson Varejao")</f>
        <v>Anderson Varejao</v>
      </c>
      <c r="B501" s="1" t="str">
        <f ca="1">IFERROR(__xludf.DUMMYFUNCTION("""COMPUTED_VALUE"""),"C")</f>
        <v>C</v>
      </c>
      <c r="C501" s="2">
        <f ca="1">IFERROR(__xludf.DUMMYFUNCTION("""COMPUTED_VALUE"""),44722)</f>
        <v>44722</v>
      </c>
      <c r="D501" s="1">
        <f ca="1">IFERROR(__xludf.DUMMYFUNCTION("""COMPUTED_VALUE"""),273)</f>
        <v>273</v>
      </c>
      <c r="E501" s="1">
        <f ca="1">IFERROR(__xludf.DUMMYFUNCTION("""COMPUTED_VALUE"""),38)</f>
        <v>38</v>
      </c>
      <c r="F501" s="1" t="str">
        <f ca="1">IFERROR(__xludf.DUMMYFUNCTION("""COMPUTED_VALUE"""),"CLE")</f>
        <v>CLE</v>
      </c>
      <c r="G501" s="1">
        <f ca="1">IFERROR(__xludf.DUMMYFUNCTION("""COMPUTED_VALUE"""),5)</f>
        <v>5</v>
      </c>
      <c r="H501" s="1">
        <f ca="1">IFERROR(__xludf.DUMMYFUNCTION("""COMPUTED_VALUE"""),13)</f>
        <v>13</v>
      </c>
      <c r="I501" s="1" t="str">
        <f ca="1">IFERROR(__xludf.DUMMYFUNCTION("""COMPUTED_VALUE"""),"Barca (Spain)")</f>
        <v>Barca (Spain)</v>
      </c>
      <c r="J501" s="1" t="str">
        <f ca="1">IFERROR(__xludf.DUMMYFUNCTION("""COMPUTED_VALUE"""),"2004 Rnd 2 Pick 1")</f>
        <v>2004 Rnd 2 Pick 1</v>
      </c>
      <c r="K501" s="1" t="str">
        <f ca="1">IFERROR(__xludf.DUMMYFUNCTION("""COMPUTED_VALUE"""),"Brazil")</f>
        <v>Brazil</v>
      </c>
    </row>
    <row r="502" spans="1:11" ht="13" x14ac:dyDescent="0.15">
      <c r="A502" s="1" t="str">
        <f ca="1">IFERROR(__xludf.DUMMYFUNCTION("""COMPUTED_VALUE"""),"Devin Vassell")</f>
        <v>Devin Vassell</v>
      </c>
      <c r="B502" s="1" t="str">
        <f ca="1">IFERROR(__xludf.DUMMYFUNCTION("""COMPUTED_VALUE"""),"SG")</f>
        <v>SG</v>
      </c>
      <c r="C502" s="2">
        <f ca="1">IFERROR(__xludf.DUMMYFUNCTION("""COMPUTED_VALUE"""),44719)</f>
        <v>44719</v>
      </c>
      <c r="D502" s="1">
        <f ca="1">IFERROR(__xludf.DUMMYFUNCTION("""COMPUTED_VALUE"""),195)</f>
        <v>195</v>
      </c>
      <c r="E502" s="1">
        <f ca="1">IFERROR(__xludf.DUMMYFUNCTION("""COMPUTED_VALUE"""),20)</f>
        <v>20</v>
      </c>
      <c r="F502" s="1" t="str">
        <f ca="1">IFERROR(__xludf.DUMMYFUNCTION("""COMPUTED_VALUE"""),"SAS")</f>
        <v>SAS</v>
      </c>
      <c r="G502" s="1">
        <f ca="1">IFERROR(__xludf.DUMMYFUNCTION("""COMPUTED_VALUE"""),62)</f>
        <v>62</v>
      </c>
      <c r="H502" s="1">
        <f ca="1">IFERROR(__xludf.DUMMYFUNCTION("""COMPUTED_VALUE"""),0)</f>
        <v>0</v>
      </c>
      <c r="I502" s="1" t="str">
        <f ca="1">IFERROR(__xludf.DUMMYFUNCTION("""COMPUTED_VALUE"""),"Florida State")</f>
        <v>Florida State</v>
      </c>
      <c r="J502" s="1" t="str">
        <f ca="1">IFERROR(__xludf.DUMMYFUNCTION("""COMPUTED_VALUE"""),"2020 Rnd 1 Pick 11")</f>
        <v>2020 Rnd 1 Pick 11</v>
      </c>
      <c r="K502" s="1" t="str">
        <f ca="1">IFERROR(__xludf.DUMMYFUNCTION("""COMPUTED_VALUE"""),"United States")</f>
        <v>United States</v>
      </c>
    </row>
    <row r="503" spans="1:11" ht="13" x14ac:dyDescent="0.15">
      <c r="A503" s="1" t="str">
        <f ca="1">IFERROR(__xludf.DUMMYFUNCTION("""COMPUTED_VALUE"""),"Gabe Vincent")</f>
        <v>Gabe Vincent</v>
      </c>
      <c r="B503" s="1" t="str">
        <f ca="1">IFERROR(__xludf.DUMMYFUNCTION("""COMPUTED_VALUE"""),"G")</f>
        <v>G</v>
      </c>
      <c r="C503" s="2">
        <f ca="1">IFERROR(__xludf.DUMMYFUNCTION("""COMPUTED_VALUE"""),44715)</f>
        <v>44715</v>
      </c>
      <c r="D503" s="1">
        <f ca="1">IFERROR(__xludf.DUMMYFUNCTION("""COMPUTED_VALUE"""),195)</f>
        <v>195</v>
      </c>
      <c r="E503" s="1">
        <f ca="1">IFERROR(__xludf.DUMMYFUNCTION("""COMPUTED_VALUE"""),24)</f>
        <v>24</v>
      </c>
      <c r="F503" s="1" t="str">
        <f ca="1">IFERROR(__xludf.DUMMYFUNCTION("""COMPUTED_VALUE"""),"MIA")</f>
        <v>MIA</v>
      </c>
      <c r="G503" s="1">
        <f ca="1">IFERROR(__xludf.DUMMYFUNCTION("""COMPUTED_VALUE"""),50)</f>
        <v>50</v>
      </c>
      <c r="H503" s="1">
        <f ca="1">IFERROR(__xludf.DUMMYFUNCTION("""COMPUTED_VALUE"""),1)</f>
        <v>1</v>
      </c>
      <c r="I503" s="1" t="str">
        <f ca="1">IFERROR(__xludf.DUMMYFUNCTION("""COMPUTED_VALUE"""),"UC Santa Barbara")</f>
        <v>UC Santa Barbara</v>
      </c>
      <c r="J503" s="1" t="str">
        <f ca="1">IFERROR(__xludf.DUMMYFUNCTION("""COMPUTED_VALUE"""),"2018 NBA Draft, Undrafted")</f>
        <v>2018 NBA Draft, Undrafted</v>
      </c>
      <c r="K503" s="1" t="str">
        <f ca="1">IFERROR(__xludf.DUMMYFUNCTION("""COMPUTED_VALUE"""),"United States
Nigeria")</f>
        <v>United States
Nigeria</v>
      </c>
    </row>
    <row r="504" spans="1:11" ht="13" x14ac:dyDescent="0.15">
      <c r="A504" s="1" t="str">
        <f ca="1">IFERROR(__xludf.DUMMYFUNCTION("""COMPUTED_VALUE"""),"Noah Vonleh")</f>
        <v>Noah Vonleh</v>
      </c>
      <c r="B504" s="1" t="str">
        <f ca="1">IFERROR(__xludf.DUMMYFUNCTION("""COMPUTED_VALUE"""),"FC")</f>
        <v>FC</v>
      </c>
      <c r="C504" s="2">
        <f ca="1">IFERROR(__xludf.DUMMYFUNCTION("""COMPUTED_VALUE"""),44722)</f>
        <v>44722</v>
      </c>
      <c r="D504" s="1">
        <f ca="1">IFERROR(__xludf.DUMMYFUNCTION("""COMPUTED_VALUE"""),257)</f>
        <v>257</v>
      </c>
      <c r="E504" s="1">
        <f ca="1">IFERROR(__xludf.DUMMYFUNCTION("""COMPUTED_VALUE"""),25)</f>
        <v>25</v>
      </c>
      <c r="F504" s="1" t="str">
        <f ca="1">IFERROR(__xludf.DUMMYFUNCTION("""COMPUTED_VALUE"""),"BRK")</f>
        <v>BRK</v>
      </c>
      <c r="G504" s="1">
        <f ca="1">IFERROR(__xludf.DUMMYFUNCTION("""COMPUTED_VALUE"""),4)</f>
        <v>4</v>
      </c>
      <c r="H504" s="1">
        <f ca="1">IFERROR(__xludf.DUMMYFUNCTION("""COMPUTED_VALUE"""),6)</f>
        <v>6</v>
      </c>
      <c r="I504" s="1" t="str">
        <f ca="1">IFERROR(__xludf.DUMMYFUNCTION("""COMPUTED_VALUE"""),"Indiana")</f>
        <v>Indiana</v>
      </c>
      <c r="J504" s="1" t="str">
        <f ca="1">IFERROR(__xludf.DUMMYFUNCTION("""COMPUTED_VALUE"""),"2014 Rnd 1 Pick 9")</f>
        <v>2014 Rnd 1 Pick 9</v>
      </c>
      <c r="K504" s="1" t="str">
        <f ca="1">IFERROR(__xludf.DUMMYFUNCTION("""COMPUTED_VALUE"""),"United States")</f>
        <v>United States</v>
      </c>
    </row>
    <row r="505" spans="1:11" ht="13" x14ac:dyDescent="0.15">
      <c r="A505" s="1" t="str">
        <f ca="1">IFERROR(__xludf.DUMMYFUNCTION("""COMPUTED_VALUE"""),"Nikola Vucevic")</f>
        <v>Nikola Vucevic</v>
      </c>
      <c r="B505" s="1" t="str">
        <f ca="1">IFERROR(__xludf.DUMMYFUNCTION("""COMPUTED_VALUE"""),"PF")</f>
        <v>PF</v>
      </c>
      <c r="C505" s="1" t="str">
        <f ca="1">IFERROR(__xludf.DUMMYFUNCTION("""COMPUTED_VALUE"""),"7-0")</f>
        <v>7-0</v>
      </c>
      <c r="D505" s="1">
        <f ca="1">IFERROR(__xludf.DUMMYFUNCTION("""COMPUTED_VALUE"""),260)</f>
        <v>260</v>
      </c>
      <c r="E505" s="1">
        <f ca="1">IFERROR(__xludf.DUMMYFUNCTION("""COMPUTED_VALUE"""),30)</f>
        <v>30</v>
      </c>
      <c r="F505" s="1" t="str">
        <f ca="1">IFERROR(__xludf.DUMMYFUNCTION("""COMPUTED_VALUE"""),"CHI, ORL")</f>
        <v>CHI, ORL</v>
      </c>
      <c r="G505" s="1">
        <f ca="1">IFERROR(__xludf.DUMMYFUNCTION("""COMPUTED_VALUE"""),70)</f>
        <v>70</v>
      </c>
      <c r="H505" s="1">
        <f ca="1">IFERROR(__xludf.DUMMYFUNCTION("""COMPUTED_VALUE"""),9)</f>
        <v>9</v>
      </c>
      <c r="I505" s="1" t="str">
        <f ca="1">IFERROR(__xludf.DUMMYFUNCTION("""COMPUTED_VALUE"""),"USC")</f>
        <v>USC</v>
      </c>
      <c r="J505" s="1" t="str">
        <f ca="1">IFERROR(__xludf.DUMMYFUNCTION("""COMPUTED_VALUE"""),"2011 Rnd 1 Pick 16")</f>
        <v>2011 Rnd 1 Pick 16</v>
      </c>
      <c r="K505" s="1" t="str">
        <f ca="1">IFERROR(__xludf.DUMMYFUNCTION("""COMPUTED_VALUE"""),"Switzerland
Montenegro")</f>
        <v>Switzerland
Montenegro</v>
      </c>
    </row>
    <row r="506" spans="1:11" ht="13" x14ac:dyDescent="0.15">
      <c r="A506" s="1" t="str">
        <f ca="1">IFERROR(__xludf.DUMMYFUNCTION("""COMPUTED_VALUE"""),"Dean Wade")</f>
        <v>Dean Wade</v>
      </c>
      <c r="B506" s="1" t="str">
        <f ca="1">IFERROR(__xludf.DUMMYFUNCTION("""COMPUTED_VALUE"""),"PF")</f>
        <v>PF</v>
      </c>
      <c r="C506" s="2">
        <f ca="1">IFERROR(__xludf.DUMMYFUNCTION("""COMPUTED_VALUE"""),44721)</f>
        <v>44721</v>
      </c>
      <c r="D506" s="1">
        <f ca="1">IFERROR(__xludf.DUMMYFUNCTION("""COMPUTED_VALUE"""),219)</f>
        <v>219</v>
      </c>
      <c r="E506" s="1">
        <f ca="1">IFERROR(__xludf.DUMMYFUNCTION("""COMPUTED_VALUE"""),24)</f>
        <v>24</v>
      </c>
      <c r="F506" s="1" t="str">
        <f ca="1">IFERROR(__xludf.DUMMYFUNCTION("""COMPUTED_VALUE"""),"CLE")</f>
        <v>CLE</v>
      </c>
      <c r="G506" s="1">
        <f ca="1">IFERROR(__xludf.DUMMYFUNCTION("""COMPUTED_VALUE"""),63)</f>
        <v>63</v>
      </c>
      <c r="H506" s="1">
        <f ca="1">IFERROR(__xludf.DUMMYFUNCTION("""COMPUTED_VALUE"""),1)</f>
        <v>1</v>
      </c>
      <c r="I506" s="1" t="str">
        <f ca="1">IFERROR(__xludf.DUMMYFUNCTION("""COMPUTED_VALUE"""),"Kansas State")</f>
        <v>Kansas State</v>
      </c>
      <c r="J506" s="1" t="str">
        <f ca="1">IFERROR(__xludf.DUMMYFUNCTION("""COMPUTED_VALUE"""),"2019 NBA Draft, Undrafted")</f>
        <v>2019 NBA Draft, Undrafted</v>
      </c>
      <c r="K506" s="1" t="str">
        <f ca="1">IFERROR(__xludf.DUMMYFUNCTION("""COMPUTED_VALUE"""),"United States")</f>
        <v>United States</v>
      </c>
    </row>
    <row r="507" spans="1:11" ht="13" x14ac:dyDescent="0.15">
      <c r="A507" s="1" t="str">
        <f ca="1">IFERROR(__xludf.DUMMYFUNCTION("""COMPUTED_VALUE"""),"Moe Wagner")</f>
        <v>Moe Wagner</v>
      </c>
      <c r="B507" s="1" t="str">
        <f ca="1">IFERROR(__xludf.DUMMYFUNCTION("""COMPUTED_VALUE"""),"PF")</f>
        <v>PF</v>
      </c>
      <c r="C507" s="2">
        <f ca="1">IFERROR(__xludf.DUMMYFUNCTION("""COMPUTED_VALUE"""),44723)</f>
        <v>44723</v>
      </c>
      <c r="D507" s="1">
        <f ca="1">IFERROR(__xludf.DUMMYFUNCTION("""COMPUTED_VALUE"""),245)</f>
        <v>245</v>
      </c>
      <c r="E507" s="1">
        <f ca="1">IFERROR(__xludf.DUMMYFUNCTION("""COMPUTED_VALUE"""),23)</f>
        <v>23</v>
      </c>
      <c r="F507" s="1" t="str">
        <f ca="1">IFERROR(__xludf.DUMMYFUNCTION("""COMPUTED_VALUE"""),"BOS, ORL, WAS")</f>
        <v>BOS, ORL, WAS</v>
      </c>
      <c r="G507" s="1">
        <f ca="1">IFERROR(__xludf.DUMMYFUNCTION("""COMPUTED_VALUE"""),45)</f>
        <v>45</v>
      </c>
      <c r="H507" s="1">
        <f ca="1">IFERROR(__xludf.DUMMYFUNCTION("""COMPUTED_VALUE"""),2)</f>
        <v>2</v>
      </c>
      <c r="I507" s="1" t="str">
        <f ca="1">IFERROR(__xludf.DUMMYFUNCTION("""COMPUTED_VALUE"""),"Michigan")</f>
        <v>Michigan</v>
      </c>
      <c r="J507" s="1" t="str">
        <f ca="1">IFERROR(__xludf.DUMMYFUNCTION("""COMPUTED_VALUE"""),"2018 Rnd 1 Pick 25")</f>
        <v>2018 Rnd 1 Pick 25</v>
      </c>
      <c r="K507" s="1" t="str">
        <f ca="1">IFERROR(__xludf.DUMMYFUNCTION("""COMPUTED_VALUE"""),"Germany")</f>
        <v>Germany</v>
      </c>
    </row>
    <row r="508" spans="1:11" ht="13" x14ac:dyDescent="0.15">
      <c r="A508" s="1" t="str">
        <f ca="1">IFERROR(__xludf.DUMMYFUNCTION("""COMPUTED_VALUE"""),"Kemba Walker")</f>
        <v>Kemba Walker</v>
      </c>
      <c r="B508" s="1" t="str">
        <f ca="1">IFERROR(__xludf.DUMMYFUNCTION("""COMPUTED_VALUE"""),"G")</f>
        <v>G</v>
      </c>
      <c r="C508" s="1" t="str">
        <f ca="1">IFERROR(__xludf.DUMMYFUNCTION("""COMPUTED_VALUE"""),"6-0")</f>
        <v>6-0</v>
      </c>
      <c r="D508" s="1">
        <f ca="1">IFERROR(__xludf.DUMMYFUNCTION("""COMPUTED_VALUE"""),184)</f>
        <v>184</v>
      </c>
      <c r="E508" s="1">
        <f ca="1">IFERROR(__xludf.DUMMYFUNCTION("""COMPUTED_VALUE"""),30)</f>
        <v>30</v>
      </c>
      <c r="F508" s="1" t="str">
        <f ca="1">IFERROR(__xludf.DUMMYFUNCTION("""COMPUTED_VALUE"""),"BOS")</f>
        <v>BOS</v>
      </c>
      <c r="G508" s="1">
        <f ca="1">IFERROR(__xludf.DUMMYFUNCTION("""COMPUTED_VALUE"""),43)</f>
        <v>43</v>
      </c>
      <c r="H508" s="1">
        <f ca="1">IFERROR(__xludf.DUMMYFUNCTION("""COMPUTED_VALUE"""),9)</f>
        <v>9</v>
      </c>
      <c r="I508" s="1" t="str">
        <f ca="1">IFERROR(__xludf.DUMMYFUNCTION("""COMPUTED_VALUE"""),"Connecticut")</f>
        <v>Connecticut</v>
      </c>
      <c r="J508" s="1" t="str">
        <f ca="1">IFERROR(__xludf.DUMMYFUNCTION("""COMPUTED_VALUE"""),"2011 Rnd 1 Pick 9")</f>
        <v>2011 Rnd 1 Pick 9</v>
      </c>
      <c r="K508" s="1" t="str">
        <f ca="1">IFERROR(__xludf.DUMMYFUNCTION("""COMPUTED_VALUE"""),"United States")</f>
        <v>United States</v>
      </c>
    </row>
    <row r="509" spans="1:11" ht="13" x14ac:dyDescent="0.15">
      <c r="A509" s="1" t="str">
        <f ca="1">IFERROR(__xludf.DUMMYFUNCTION("""COMPUTED_VALUE"""),"Lonnie Walker")</f>
        <v>Lonnie Walker</v>
      </c>
      <c r="B509" s="1" t="str">
        <f ca="1">IFERROR(__xludf.DUMMYFUNCTION("""COMPUTED_VALUE"""),"SG")</f>
        <v>SG</v>
      </c>
      <c r="C509" s="2">
        <f ca="1">IFERROR(__xludf.DUMMYFUNCTION("""COMPUTED_VALUE"""),44717)</f>
        <v>44717</v>
      </c>
      <c r="D509" s="1">
        <f ca="1">IFERROR(__xludf.DUMMYFUNCTION("""COMPUTED_VALUE"""),205)</f>
        <v>205</v>
      </c>
      <c r="E509" s="1">
        <f ca="1">IFERROR(__xludf.DUMMYFUNCTION("""COMPUTED_VALUE"""),22)</f>
        <v>22</v>
      </c>
      <c r="F509" s="1" t="str">
        <f ca="1">IFERROR(__xludf.DUMMYFUNCTION("""COMPUTED_VALUE"""),"SAS")</f>
        <v>SAS</v>
      </c>
      <c r="G509" s="1">
        <f ca="1">IFERROR(__xludf.DUMMYFUNCTION("""COMPUTED_VALUE"""),60)</f>
        <v>60</v>
      </c>
      <c r="H509" s="1">
        <f ca="1">IFERROR(__xludf.DUMMYFUNCTION("""COMPUTED_VALUE"""),2)</f>
        <v>2</v>
      </c>
      <c r="I509" s="1" t="str">
        <f ca="1">IFERROR(__xludf.DUMMYFUNCTION("""COMPUTED_VALUE"""),"Miami (FL)")</f>
        <v>Miami (FL)</v>
      </c>
      <c r="J509" s="1" t="str">
        <f ca="1">IFERROR(__xludf.DUMMYFUNCTION("""COMPUTED_VALUE"""),"2018 Rnd 1 Pick 18")</f>
        <v>2018 Rnd 1 Pick 18</v>
      </c>
      <c r="K509" s="1" t="str">
        <f ca="1">IFERROR(__xludf.DUMMYFUNCTION("""COMPUTED_VALUE"""),"United States")</f>
        <v>United States</v>
      </c>
    </row>
    <row r="510" spans="1:11" ht="13" x14ac:dyDescent="0.15">
      <c r="A510" s="1" t="str">
        <f ca="1">IFERROR(__xludf.DUMMYFUNCTION("""COMPUTED_VALUE"""),"John Wall")</f>
        <v>John Wall</v>
      </c>
      <c r="B510" s="1" t="str">
        <f ca="1">IFERROR(__xludf.DUMMYFUNCTION("""COMPUTED_VALUE"""),"PG")</f>
        <v>PG</v>
      </c>
      <c r="C510" s="2">
        <f ca="1">IFERROR(__xludf.DUMMYFUNCTION("""COMPUTED_VALUE"""),44716)</f>
        <v>44716</v>
      </c>
      <c r="D510" s="1">
        <f ca="1">IFERROR(__xludf.DUMMYFUNCTION("""COMPUTED_VALUE"""),210)</f>
        <v>210</v>
      </c>
      <c r="E510" s="1">
        <f ca="1">IFERROR(__xludf.DUMMYFUNCTION("""COMPUTED_VALUE"""),30)</f>
        <v>30</v>
      </c>
      <c r="F510" s="1" t="str">
        <f ca="1">IFERROR(__xludf.DUMMYFUNCTION("""COMPUTED_VALUE"""),"HOU")</f>
        <v>HOU</v>
      </c>
      <c r="G510" s="1">
        <f ca="1">IFERROR(__xludf.DUMMYFUNCTION("""COMPUTED_VALUE"""),40)</f>
        <v>40</v>
      </c>
      <c r="H510" s="1">
        <f ca="1">IFERROR(__xludf.DUMMYFUNCTION("""COMPUTED_VALUE"""),10)</f>
        <v>10</v>
      </c>
      <c r="I510" s="1" t="str">
        <f ca="1">IFERROR(__xludf.DUMMYFUNCTION("""COMPUTED_VALUE"""),"Kentucky")</f>
        <v>Kentucky</v>
      </c>
      <c r="J510" s="1" t="str">
        <f ca="1">IFERROR(__xludf.DUMMYFUNCTION("""COMPUTED_VALUE"""),"2010 Rnd 1 Pick 1")</f>
        <v>2010 Rnd 1 Pick 1</v>
      </c>
      <c r="K510" s="1" t="str">
        <f ca="1">IFERROR(__xludf.DUMMYFUNCTION("""COMPUTED_VALUE"""),"United States")</f>
        <v>United States</v>
      </c>
    </row>
    <row r="511" spans="1:11" ht="13" x14ac:dyDescent="0.15">
      <c r="A511" s="1" t="str">
        <f ca="1">IFERROR(__xludf.DUMMYFUNCTION("""COMPUTED_VALUE"""),"Brad Wanamaker")</f>
        <v>Brad Wanamaker</v>
      </c>
      <c r="B511" s="1" t="str">
        <f ca="1">IFERROR(__xludf.DUMMYFUNCTION("""COMPUTED_VALUE"""),"SG")</f>
        <v>SG</v>
      </c>
      <c r="C511" s="2">
        <f ca="1">IFERROR(__xludf.DUMMYFUNCTION("""COMPUTED_VALUE"""),44715)</f>
        <v>44715</v>
      </c>
      <c r="D511" s="1">
        <f ca="1">IFERROR(__xludf.DUMMYFUNCTION("""COMPUTED_VALUE"""),210)</f>
        <v>210</v>
      </c>
      <c r="E511" s="1">
        <f ca="1">IFERROR(__xludf.DUMMYFUNCTION("""COMPUTED_VALUE"""),31)</f>
        <v>31</v>
      </c>
      <c r="F511" s="1" t="str">
        <f ca="1">IFERROR(__xludf.DUMMYFUNCTION("""COMPUTED_VALUE"""),"CHA, GOS")</f>
        <v>CHA, GOS</v>
      </c>
      <c r="G511" s="1">
        <f ca="1">IFERROR(__xludf.DUMMYFUNCTION("""COMPUTED_VALUE"""),61)</f>
        <v>61</v>
      </c>
      <c r="H511" s="1">
        <f ca="1">IFERROR(__xludf.DUMMYFUNCTION("""COMPUTED_VALUE"""),2)</f>
        <v>2</v>
      </c>
      <c r="I511" s="1" t="str">
        <f ca="1">IFERROR(__xludf.DUMMYFUNCTION("""COMPUTED_VALUE"""),"Pittsburgh")</f>
        <v>Pittsburgh</v>
      </c>
      <c r="J511" s="1" t="str">
        <f ca="1">IFERROR(__xludf.DUMMYFUNCTION("""COMPUTED_VALUE"""),"2011 NBA Draft, Undrafted")</f>
        <v>2011 NBA Draft, Undrafted</v>
      </c>
      <c r="K511" s="1" t="str">
        <f ca="1">IFERROR(__xludf.DUMMYFUNCTION("""COMPUTED_VALUE"""),"United States")</f>
        <v>United States</v>
      </c>
    </row>
    <row r="512" spans="1:11" ht="13" x14ac:dyDescent="0.15">
      <c r="A512" s="1" t="str">
        <f ca="1">IFERROR(__xludf.DUMMYFUNCTION("""COMPUTED_VALUE"""),"TJ Warren")</f>
        <v>TJ Warren</v>
      </c>
      <c r="B512" s="1" t="str">
        <f ca="1">IFERROR(__xludf.DUMMYFUNCTION("""COMPUTED_VALUE"""),"F")</f>
        <v>F</v>
      </c>
      <c r="C512" s="2">
        <f ca="1">IFERROR(__xludf.DUMMYFUNCTION("""COMPUTED_VALUE"""),44720)</f>
        <v>44720</v>
      </c>
      <c r="D512" s="1">
        <f ca="1">IFERROR(__xludf.DUMMYFUNCTION("""COMPUTED_VALUE"""),215)</f>
        <v>215</v>
      </c>
      <c r="E512" s="1">
        <f ca="1">IFERROR(__xludf.DUMMYFUNCTION("""COMPUTED_VALUE"""),27)</f>
        <v>27</v>
      </c>
      <c r="F512" s="1" t="str">
        <f ca="1">IFERROR(__xludf.DUMMYFUNCTION("""COMPUTED_VALUE"""),"IND")</f>
        <v>IND</v>
      </c>
      <c r="G512" s="1">
        <f ca="1">IFERROR(__xludf.DUMMYFUNCTION("""COMPUTED_VALUE"""),4)</f>
        <v>4</v>
      </c>
      <c r="H512" s="1">
        <f ca="1">IFERROR(__xludf.DUMMYFUNCTION("""COMPUTED_VALUE"""),6)</f>
        <v>6</v>
      </c>
      <c r="I512" s="1" t="str">
        <f ca="1">IFERROR(__xludf.DUMMYFUNCTION("""COMPUTED_VALUE"""),"NC State")</f>
        <v>NC State</v>
      </c>
      <c r="J512" s="1" t="str">
        <f ca="1">IFERROR(__xludf.DUMMYFUNCTION("""COMPUTED_VALUE"""),"2014 Rnd 1 Pick 14")</f>
        <v>2014 Rnd 1 Pick 14</v>
      </c>
      <c r="K512" s="1" t="str">
        <f ca="1">IFERROR(__xludf.DUMMYFUNCTION("""COMPUTED_VALUE"""),"United States")</f>
        <v>United States</v>
      </c>
    </row>
    <row r="513" spans="1:11" ht="13" x14ac:dyDescent="0.15">
      <c r="A513" s="1" t="str">
        <f ca="1">IFERROR(__xludf.DUMMYFUNCTION("""COMPUTED_VALUE"""),"PJ Washington")</f>
        <v>PJ Washington</v>
      </c>
      <c r="B513" s="1" t="str">
        <f ca="1">IFERROR(__xludf.DUMMYFUNCTION("""COMPUTED_VALUE"""),"PF")</f>
        <v>PF</v>
      </c>
      <c r="C513" s="2">
        <f ca="1">IFERROR(__xludf.DUMMYFUNCTION("""COMPUTED_VALUE"""),44719)</f>
        <v>44719</v>
      </c>
      <c r="D513" s="1">
        <f ca="1">IFERROR(__xludf.DUMMYFUNCTION("""COMPUTED_VALUE"""),230)</f>
        <v>230</v>
      </c>
      <c r="E513" s="1">
        <f ca="1">IFERROR(__xludf.DUMMYFUNCTION("""COMPUTED_VALUE"""),22)</f>
        <v>22</v>
      </c>
      <c r="F513" s="1" t="str">
        <f ca="1">IFERROR(__xludf.DUMMYFUNCTION("""COMPUTED_VALUE"""),"CHA")</f>
        <v>CHA</v>
      </c>
      <c r="G513" s="1">
        <f ca="1">IFERROR(__xludf.DUMMYFUNCTION("""COMPUTED_VALUE"""),64)</f>
        <v>64</v>
      </c>
      <c r="H513" s="1">
        <f ca="1">IFERROR(__xludf.DUMMYFUNCTION("""COMPUTED_VALUE"""),1)</f>
        <v>1</v>
      </c>
      <c r="I513" s="1" t="str">
        <f ca="1">IFERROR(__xludf.DUMMYFUNCTION("""COMPUTED_VALUE"""),"Kentucky")</f>
        <v>Kentucky</v>
      </c>
      <c r="J513" s="1" t="str">
        <f ca="1">IFERROR(__xludf.DUMMYFUNCTION("""COMPUTED_VALUE"""),"2019 Rnd 1 Pick 12")</f>
        <v>2019 Rnd 1 Pick 12</v>
      </c>
      <c r="K513" s="1" t="str">
        <f ca="1">IFERROR(__xludf.DUMMYFUNCTION("""COMPUTED_VALUE"""),"United States")</f>
        <v>United States</v>
      </c>
    </row>
    <row r="514" spans="1:11" ht="13" x14ac:dyDescent="0.15">
      <c r="A514" s="1" t="str">
        <f ca="1">IFERROR(__xludf.DUMMYFUNCTION("""COMPUTED_VALUE"""),"Yuta Watanabe")</f>
        <v>Yuta Watanabe</v>
      </c>
      <c r="B514" s="1" t="str">
        <f ca="1">IFERROR(__xludf.DUMMYFUNCTION("""COMPUTED_VALUE"""),"F")</f>
        <v>F</v>
      </c>
      <c r="C514" s="2">
        <f ca="1">IFERROR(__xludf.DUMMYFUNCTION("""COMPUTED_VALUE"""),44721)</f>
        <v>44721</v>
      </c>
      <c r="D514" s="1">
        <f ca="1">IFERROR(__xludf.DUMMYFUNCTION("""COMPUTED_VALUE"""),205)</f>
        <v>205</v>
      </c>
      <c r="E514" s="1">
        <f ca="1">IFERROR(__xludf.DUMMYFUNCTION("""COMPUTED_VALUE"""),26)</f>
        <v>26</v>
      </c>
      <c r="F514" s="1" t="str">
        <f ca="1">IFERROR(__xludf.DUMMYFUNCTION("""COMPUTED_VALUE"""),"TOR")</f>
        <v>TOR</v>
      </c>
      <c r="G514" s="1">
        <f ca="1">IFERROR(__xludf.DUMMYFUNCTION("""COMPUTED_VALUE"""),50)</f>
        <v>50</v>
      </c>
      <c r="H514" s="1">
        <f ca="1">IFERROR(__xludf.DUMMYFUNCTION("""COMPUTED_VALUE"""),2)</f>
        <v>2</v>
      </c>
      <c r="I514" s="1" t="str">
        <f ca="1">IFERROR(__xludf.DUMMYFUNCTION("""COMPUTED_VALUE"""),"George Washington")</f>
        <v>George Washington</v>
      </c>
      <c r="J514" s="1" t="str">
        <f ca="1">IFERROR(__xludf.DUMMYFUNCTION("""COMPUTED_VALUE"""),"2018 NBA Draft, Undrafted")</f>
        <v>2018 NBA Draft, Undrafted</v>
      </c>
      <c r="K514" s="1" t="str">
        <f ca="1">IFERROR(__xludf.DUMMYFUNCTION("""COMPUTED_VALUE"""),"Japan")</f>
        <v>Japan</v>
      </c>
    </row>
    <row r="515" spans="1:11" ht="13" x14ac:dyDescent="0.15">
      <c r="A515" s="1" t="str">
        <f ca="1">IFERROR(__xludf.DUMMYFUNCTION("""COMPUTED_VALUE"""),"Tremont Waters")</f>
        <v>Tremont Waters</v>
      </c>
      <c r="B515" s="1" t="str">
        <f ca="1">IFERROR(__xludf.DUMMYFUNCTION("""COMPUTED_VALUE"""),"PG")</f>
        <v>PG</v>
      </c>
      <c r="C515" s="2">
        <f ca="1">IFERROR(__xludf.DUMMYFUNCTION("""COMPUTED_VALUE"""),44691)</f>
        <v>44691</v>
      </c>
      <c r="D515" s="1">
        <f ca="1">IFERROR(__xludf.DUMMYFUNCTION("""COMPUTED_VALUE"""),175)</f>
        <v>175</v>
      </c>
      <c r="E515" s="1">
        <f ca="1">IFERROR(__xludf.DUMMYFUNCTION("""COMPUTED_VALUE"""),23)</f>
        <v>23</v>
      </c>
      <c r="F515" s="1" t="str">
        <f ca="1">IFERROR(__xludf.DUMMYFUNCTION("""COMPUTED_VALUE"""),"BOS")</f>
        <v>BOS</v>
      </c>
      <c r="G515" s="1">
        <f ca="1">IFERROR(__xludf.DUMMYFUNCTION("""COMPUTED_VALUE"""),26)</f>
        <v>26</v>
      </c>
      <c r="H515" s="1">
        <f ca="1">IFERROR(__xludf.DUMMYFUNCTION("""COMPUTED_VALUE"""),1)</f>
        <v>1</v>
      </c>
      <c r="I515" s="1" t="str">
        <f ca="1">IFERROR(__xludf.DUMMYFUNCTION("""COMPUTED_VALUE"""),"LSU")</f>
        <v>LSU</v>
      </c>
      <c r="J515" s="1" t="str">
        <f ca="1">IFERROR(__xludf.DUMMYFUNCTION("""COMPUTED_VALUE"""),"2019 Rnd 2 Pick 21")</f>
        <v>2019 Rnd 2 Pick 21</v>
      </c>
      <c r="K515" s="1" t="str">
        <f ca="1">IFERROR(__xludf.DUMMYFUNCTION("""COMPUTED_VALUE"""),"United States")</f>
        <v>United States</v>
      </c>
    </row>
    <row r="516" spans="1:11" ht="13" x14ac:dyDescent="0.15">
      <c r="A516" s="1" t="str">
        <f ca="1">IFERROR(__xludf.DUMMYFUNCTION("""COMPUTED_VALUE"""),"Paul Watson")</f>
        <v>Paul Watson</v>
      </c>
      <c r="B516" s="1" t="str">
        <f ca="1">IFERROR(__xludf.DUMMYFUNCTION("""COMPUTED_VALUE"""),"GF")</f>
        <v>GF</v>
      </c>
      <c r="C516" s="2">
        <f ca="1">IFERROR(__xludf.DUMMYFUNCTION("""COMPUTED_VALUE"""),44718)</f>
        <v>44718</v>
      </c>
      <c r="D516" s="1">
        <f ca="1">IFERROR(__xludf.DUMMYFUNCTION("""COMPUTED_VALUE"""),210)</f>
        <v>210</v>
      </c>
      <c r="E516" s="1">
        <f ca="1">IFERROR(__xludf.DUMMYFUNCTION("""COMPUTED_VALUE"""),26)</f>
        <v>26</v>
      </c>
      <c r="F516" s="1" t="str">
        <f ca="1">IFERROR(__xludf.DUMMYFUNCTION("""COMPUTED_VALUE"""),"TOR")</f>
        <v>TOR</v>
      </c>
      <c r="G516" s="1">
        <f ca="1">IFERROR(__xludf.DUMMYFUNCTION("""COMPUTED_VALUE"""),27)</f>
        <v>27</v>
      </c>
      <c r="H516" s="1">
        <f ca="1">IFERROR(__xludf.DUMMYFUNCTION("""COMPUTED_VALUE"""),1)</f>
        <v>1</v>
      </c>
      <c r="I516" s="1" t="str">
        <f ca="1">IFERROR(__xludf.DUMMYFUNCTION("""COMPUTED_VALUE"""),"Fresno State")</f>
        <v>Fresno State</v>
      </c>
      <c r="J516" s="1" t="str">
        <f ca="1">IFERROR(__xludf.DUMMYFUNCTION("""COMPUTED_VALUE"""),"2017 NBA Draft, Undrafted")</f>
        <v>2017 NBA Draft, Undrafted</v>
      </c>
      <c r="K516" s="1" t="str">
        <f ca="1">IFERROR(__xludf.DUMMYFUNCTION("""COMPUTED_VALUE"""),"United States")</f>
        <v>United States</v>
      </c>
    </row>
    <row r="517" spans="1:11" ht="13" x14ac:dyDescent="0.15">
      <c r="A517" s="1" t="str">
        <f ca="1">IFERROR(__xludf.DUMMYFUNCTION("""COMPUTED_VALUE"""),"Quinndary Weatherspoon")</f>
        <v>Quinndary Weatherspoon</v>
      </c>
      <c r="B517" s="1" t="str">
        <f ca="1">IFERROR(__xludf.DUMMYFUNCTION("""COMPUTED_VALUE"""),"SG")</f>
        <v>SG</v>
      </c>
      <c r="C517" s="2">
        <f ca="1">IFERROR(__xludf.DUMMYFUNCTION("""COMPUTED_VALUE"""),44715)</f>
        <v>44715</v>
      </c>
      <c r="D517" s="1">
        <f ca="1">IFERROR(__xludf.DUMMYFUNCTION("""COMPUTED_VALUE"""),207)</f>
        <v>207</v>
      </c>
      <c r="E517" s="1">
        <f ca="1">IFERROR(__xludf.DUMMYFUNCTION("""COMPUTED_VALUE"""),24)</f>
        <v>24</v>
      </c>
      <c r="F517" s="1" t="str">
        <f ca="1">IFERROR(__xludf.DUMMYFUNCTION("""COMPUTED_VALUE"""),"SAS")</f>
        <v>SAS</v>
      </c>
      <c r="G517" s="1">
        <f ca="1">IFERROR(__xludf.DUMMYFUNCTION("""COMPUTED_VALUE"""),20)</f>
        <v>20</v>
      </c>
      <c r="H517" s="1">
        <f ca="1">IFERROR(__xludf.DUMMYFUNCTION("""COMPUTED_VALUE"""),1)</f>
        <v>1</v>
      </c>
      <c r="I517" s="1" t="str">
        <f ca="1">IFERROR(__xludf.DUMMYFUNCTION("""COMPUTED_VALUE"""),"Mississippi State")</f>
        <v>Mississippi State</v>
      </c>
      <c r="J517" s="1" t="str">
        <f ca="1">IFERROR(__xludf.DUMMYFUNCTION("""COMPUTED_VALUE"""),"2019 Rnd 2 Pick 19")</f>
        <v>2019 Rnd 2 Pick 19</v>
      </c>
      <c r="K517" s="1" t="str">
        <f ca="1">IFERROR(__xludf.DUMMYFUNCTION("""COMPUTED_VALUE"""),"United States")</f>
        <v>United States</v>
      </c>
    </row>
    <row r="518" spans="1:11" ht="13" x14ac:dyDescent="0.15">
      <c r="A518" s="1" t="str">
        <f ca="1">IFERROR(__xludf.DUMMYFUNCTION("""COMPUTED_VALUE"""),"Russell Westbrook")</f>
        <v>Russell Westbrook</v>
      </c>
      <c r="B518" s="1" t="str">
        <f ca="1">IFERROR(__xludf.DUMMYFUNCTION("""COMPUTED_VALUE"""),"G")</f>
        <v>G</v>
      </c>
      <c r="C518" s="2">
        <f ca="1">IFERROR(__xludf.DUMMYFUNCTION("""COMPUTED_VALUE"""),44715)</f>
        <v>44715</v>
      </c>
      <c r="D518" s="1">
        <f ca="1">IFERROR(__xludf.DUMMYFUNCTION("""COMPUTED_VALUE"""),200)</f>
        <v>200</v>
      </c>
      <c r="E518" s="1">
        <f ca="1">IFERROR(__xludf.DUMMYFUNCTION("""COMPUTED_VALUE"""),32)</f>
        <v>32</v>
      </c>
      <c r="F518" s="1" t="str">
        <f ca="1">IFERROR(__xludf.DUMMYFUNCTION("""COMPUTED_VALUE"""),"WAS")</f>
        <v>WAS</v>
      </c>
      <c r="G518" s="1">
        <f ca="1">IFERROR(__xludf.DUMMYFUNCTION("""COMPUTED_VALUE"""),65)</f>
        <v>65</v>
      </c>
      <c r="H518" s="1">
        <f ca="1">IFERROR(__xludf.DUMMYFUNCTION("""COMPUTED_VALUE"""),12)</f>
        <v>12</v>
      </c>
      <c r="I518" s="1" t="str">
        <f ca="1">IFERROR(__xludf.DUMMYFUNCTION("""COMPUTED_VALUE"""),"UCLA")</f>
        <v>UCLA</v>
      </c>
      <c r="J518" s="1" t="str">
        <f ca="1">IFERROR(__xludf.DUMMYFUNCTION("""COMPUTED_VALUE"""),"2008 Rnd 1 Pick 4")</f>
        <v>2008 Rnd 1 Pick 4</v>
      </c>
      <c r="K518" s="1" t="str">
        <f ca="1">IFERROR(__xludf.DUMMYFUNCTION("""COMPUTED_VALUE"""),"United States")</f>
        <v>United States</v>
      </c>
    </row>
    <row r="519" spans="1:11" ht="13" x14ac:dyDescent="0.15">
      <c r="A519" s="1" t="str">
        <f ca="1">IFERROR(__xludf.DUMMYFUNCTION("""COMPUTED_VALUE"""),"Coby White")</f>
        <v>Coby White</v>
      </c>
      <c r="B519" s="1" t="str">
        <f ca="1">IFERROR(__xludf.DUMMYFUNCTION("""COMPUTED_VALUE"""),"PG")</f>
        <v>PG</v>
      </c>
      <c r="C519" s="2">
        <f ca="1">IFERROR(__xludf.DUMMYFUNCTION("""COMPUTED_VALUE"""),44717)</f>
        <v>44717</v>
      </c>
      <c r="D519" s="1">
        <f ca="1">IFERROR(__xludf.DUMMYFUNCTION("""COMPUTED_VALUE"""),191)</f>
        <v>191</v>
      </c>
      <c r="E519" s="1">
        <f ca="1">IFERROR(__xludf.DUMMYFUNCTION("""COMPUTED_VALUE"""),21)</f>
        <v>21</v>
      </c>
      <c r="F519" s="1" t="str">
        <f ca="1">IFERROR(__xludf.DUMMYFUNCTION("""COMPUTED_VALUE"""),"CHI")</f>
        <v>CHI</v>
      </c>
      <c r="G519" s="1">
        <f ca="1">IFERROR(__xludf.DUMMYFUNCTION("""COMPUTED_VALUE"""),69)</f>
        <v>69</v>
      </c>
      <c r="H519" s="1">
        <f ca="1">IFERROR(__xludf.DUMMYFUNCTION("""COMPUTED_VALUE"""),1)</f>
        <v>1</v>
      </c>
      <c r="I519" s="1" t="str">
        <f ca="1">IFERROR(__xludf.DUMMYFUNCTION("""COMPUTED_VALUE"""),"North Carolina")</f>
        <v>North Carolina</v>
      </c>
      <c r="J519" s="1" t="str">
        <f ca="1">IFERROR(__xludf.DUMMYFUNCTION("""COMPUTED_VALUE"""),"2019 Rnd 1 Pick 7")</f>
        <v>2019 Rnd 1 Pick 7</v>
      </c>
      <c r="K519" s="1" t="str">
        <f ca="1">IFERROR(__xludf.DUMMYFUNCTION("""COMPUTED_VALUE"""),"United States")</f>
        <v>United States</v>
      </c>
    </row>
    <row r="520" spans="1:11" ht="13" x14ac:dyDescent="0.15">
      <c r="A520" s="1" t="str">
        <f ca="1">IFERROR(__xludf.DUMMYFUNCTION("""COMPUTED_VALUE"""),"Derrick White")</f>
        <v>Derrick White</v>
      </c>
      <c r="B520" s="1" t="str">
        <f ca="1">IFERROR(__xludf.DUMMYFUNCTION("""COMPUTED_VALUE"""),"G")</f>
        <v>G</v>
      </c>
      <c r="C520" s="2">
        <f ca="1">IFERROR(__xludf.DUMMYFUNCTION("""COMPUTED_VALUE"""),44716)</f>
        <v>44716</v>
      </c>
      <c r="D520" s="1">
        <f ca="1">IFERROR(__xludf.DUMMYFUNCTION("""COMPUTED_VALUE"""),195)</f>
        <v>195</v>
      </c>
      <c r="E520" s="1">
        <f ca="1">IFERROR(__xludf.DUMMYFUNCTION("""COMPUTED_VALUE"""),26)</f>
        <v>26</v>
      </c>
      <c r="F520" s="1" t="str">
        <f ca="1">IFERROR(__xludf.DUMMYFUNCTION("""COMPUTED_VALUE"""),"SAS")</f>
        <v>SAS</v>
      </c>
      <c r="G520" s="1">
        <f ca="1">IFERROR(__xludf.DUMMYFUNCTION("""COMPUTED_VALUE"""),36)</f>
        <v>36</v>
      </c>
      <c r="H520" s="1">
        <f ca="1">IFERROR(__xludf.DUMMYFUNCTION("""COMPUTED_VALUE"""),3)</f>
        <v>3</v>
      </c>
      <c r="I520" s="1" t="str">
        <f ca="1">IFERROR(__xludf.DUMMYFUNCTION("""COMPUTED_VALUE"""),"Colorado")</f>
        <v>Colorado</v>
      </c>
      <c r="J520" s="1" t="str">
        <f ca="1">IFERROR(__xludf.DUMMYFUNCTION("""COMPUTED_VALUE"""),"2017 Rnd 1 Pick 29")</f>
        <v>2017 Rnd 1 Pick 29</v>
      </c>
      <c r="K520" s="1" t="str">
        <f ca="1">IFERROR(__xludf.DUMMYFUNCTION("""COMPUTED_VALUE"""),"United States")</f>
        <v>United States</v>
      </c>
    </row>
    <row r="521" spans="1:11" ht="13" x14ac:dyDescent="0.15">
      <c r="A521" s="1" t="str">
        <f ca="1">IFERROR(__xludf.DUMMYFUNCTION("""COMPUTED_VALUE"""),"Hassan Whiteside")</f>
        <v>Hassan Whiteside</v>
      </c>
      <c r="B521" s="1" t="str">
        <f ca="1">IFERROR(__xludf.DUMMYFUNCTION("""COMPUTED_VALUE"""),"C")</f>
        <v>C</v>
      </c>
      <c r="C521" s="1" t="str">
        <f ca="1">IFERROR(__xludf.DUMMYFUNCTION("""COMPUTED_VALUE"""),"7-0")</f>
        <v>7-0</v>
      </c>
      <c r="D521" s="1">
        <f ca="1">IFERROR(__xludf.DUMMYFUNCTION("""COMPUTED_VALUE"""),265)</f>
        <v>265</v>
      </c>
      <c r="E521" s="1">
        <f ca="1">IFERROR(__xludf.DUMMYFUNCTION("""COMPUTED_VALUE"""),31)</f>
        <v>31</v>
      </c>
      <c r="F521" s="1" t="str">
        <f ca="1">IFERROR(__xludf.DUMMYFUNCTION("""COMPUTED_VALUE"""),"SAC")</f>
        <v>SAC</v>
      </c>
      <c r="G521" s="1">
        <f ca="1">IFERROR(__xludf.DUMMYFUNCTION("""COMPUTED_VALUE"""),36)</f>
        <v>36</v>
      </c>
      <c r="H521" s="1">
        <f ca="1">IFERROR(__xludf.DUMMYFUNCTION("""COMPUTED_VALUE"""),8)</f>
        <v>8</v>
      </c>
      <c r="I521" s="1" t="str">
        <f ca="1">IFERROR(__xludf.DUMMYFUNCTION("""COMPUTED_VALUE"""),"Marshall")</f>
        <v>Marshall</v>
      </c>
      <c r="J521" s="1" t="str">
        <f ca="1">IFERROR(__xludf.DUMMYFUNCTION("""COMPUTED_VALUE"""),"2010 Rnd 2 Pick 3")</f>
        <v>2010 Rnd 2 Pick 3</v>
      </c>
      <c r="K521" s="1" t="str">
        <f ca="1">IFERROR(__xludf.DUMMYFUNCTION("""COMPUTED_VALUE"""),"United States")</f>
        <v>United States</v>
      </c>
    </row>
    <row r="522" spans="1:11" ht="13" x14ac:dyDescent="0.15">
      <c r="A522" s="1" t="str">
        <f ca="1">IFERROR(__xludf.DUMMYFUNCTION("""COMPUTED_VALUE"""),"Greg Whittington")</f>
        <v>Greg Whittington</v>
      </c>
      <c r="B522" s="1" t="str">
        <f ca="1">IFERROR(__xludf.DUMMYFUNCTION("""COMPUTED_VALUE"""),"PF")</f>
        <v>PF</v>
      </c>
      <c r="C522" s="2">
        <f ca="1">IFERROR(__xludf.DUMMYFUNCTION("""COMPUTED_VALUE"""),44720)</f>
        <v>44720</v>
      </c>
      <c r="D522" s="1">
        <f ca="1">IFERROR(__xludf.DUMMYFUNCTION("""COMPUTED_VALUE"""),212)</f>
        <v>212</v>
      </c>
      <c r="E522" s="1">
        <f ca="1">IFERROR(__xludf.DUMMYFUNCTION("""COMPUTED_VALUE"""),28)</f>
        <v>28</v>
      </c>
      <c r="F522" s="1" t="str">
        <f ca="1">IFERROR(__xludf.DUMMYFUNCTION("""COMPUTED_VALUE"""),"DEN")</f>
        <v>DEN</v>
      </c>
      <c r="G522" s="1">
        <f ca="1">IFERROR(__xludf.DUMMYFUNCTION("""COMPUTED_VALUE"""),4)</f>
        <v>4</v>
      </c>
      <c r="H522" s="1">
        <f ca="1">IFERROR(__xludf.DUMMYFUNCTION("""COMPUTED_VALUE"""),0)</f>
        <v>0</v>
      </c>
      <c r="I522" s="1" t="str">
        <f ca="1">IFERROR(__xludf.DUMMYFUNCTION("""COMPUTED_VALUE"""),"Georgetown")</f>
        <v>Georgetown</v>
      </c>
      <c r="J522" s="1" t="str">
        <f ca="1">IFERROR(__xludf.DUMMYFUNCTION("""COMPUTED_VALUE"""),"2015 NBA Draft, Undrafted")</f>
        <v>2015 NBA Draft, Undrafted</v>
      </c>
      <c r="K522" s="1" t="str">
        <f ca="1">IFERROR(__xludf.DUMMYFUNCTION("""COMPUTED_VALUE"""),"United States")</f>
        <v>United States</v>
      </c>
    </row>
    <row r="523" spans="1:11" ht="13" x14ac:dyDescent="0.15">
      <c r="A523" s="1" t="str">
        <f ca="1">IFERROR(__xludf.DUMMYFUNCTION("""COMPUTED_VALUE"""),"Andrew Wiggins")</f>
        <v>Andrew Wiggins</v>
      </c>
      <c r="B523" s="1" t="str">
        <f ca="1">IFERROR(__xludf.DUMMYFUNCTION("""COMPUTED_VALUE"""),"F")</f>
        <v>F</v>
      </c>
      <c r="C523" s="2">
        <f ca="1">IFERROR(__xludf.DUMMYFUNCTION("""COMPUTED_VALUE"""),44719)</f>
        <v>44719</v>
      </c>
      <c r="D523" s="1">
        <f ca="1">IFERROR(__xludf.DUMMYFUNCTION("""COMPUTED_VALUE"""),205)</f>
        <v>205</v>
      </c>
      <c r="E523" s="1">
        <f ca="1">IFERROR(__xludf.DUMMYFUNCTION("""COMPUTED_VALUE"""),26)</f>
        <v>26</v>
      </c>
      <c r="F523" s="1" t="str">
        <f ca="1">IFERROR(__xludf.DUMMYFUNCTION("""COMPUTED_VALUE"""),"GSW")</f>
        <v>GSW</v>
      </c>
      <c r="G523" s="1">
        <f ca="1">IFERROR(__xludf.DUMMYFUNCTION("""COMPUTED_VALUE"""),71)</f>
        <v>71</v>
      </c>
      <c r="H523" s="1">
        <f ca="1">IFERROR(__xludf.DUMMYFUNCTION("""COMPUTED_VALUE"""),6)</f>
        <v>6</v>
      </c>
      <c r="I523" s="1" t="str">
        <f ca="1">IFERROR(__xludf.DUMMYFUNCTION("""COMPUTED_VALUE"""),"Kansas")</f>
        <v>Kansas</v>
      </c>
      <c r="J523" s="1" t="str">
        <f ca="1">IFERROR(__xludf.DUMMYFUNCTION("""COMPUTED_VALUE"""),"2014 Rnd 1 Pick 1")</f>
        <v>2014 Rnd 1 Pick 1</v>
      </c>
      <c r="K523" s="1" t="str">
        <f ca="1">IFERROR(__xludf.DUMMYFUNCTION("""COMPUTED_VALUE"""),"Canada")</f>
        <v>Canada</v>
      </c>
    </row>
    <row r="524" spans="1:11" ht="13" x14ac:dyDescent="0.15">
      <c r="A524" s="1" t="str">
        <f ca="1">IFERROR(__xludf.DUMMYFUNCTION("""COMPUTED_VALUE"""),"Grant Williams")</f>
        <v>Grant Williams</v>
      </c>
      <c r="B524" s="1" t="str">
        <f ca="1">IFERROR(__xludf.DUMMYFUNCTION("""COMPUTED_VALUE"""),"SF")</f>
        <v>SF</v>
      </c>
      <c r="C524" s="2">
        <f ca="1">IFERROR(__xludf.DUMMYFUNCTION("""COMPUTED_VALUE"""),44718)</f>
        <v>44718</v>
      </c>
      <c r="D524" s="1">
        <f ca="1">IFERROR(__xludf.DUMMYFUNCTION("""COMPUTED_VALUE"""),236)</f>
        <v>236</v>
      </c>
      <c r="E524" s="1">
        <f ca="1">IFERROR(__xludf.DUMMYFUNCTION("""COMPUTED_VALUE"""),22)</f>
        <v>22</v>
      </c>
      <c r="F524" s="1" t="str">
        <f ca="1">IFERROR(__xludf.DUMMYFUNCTION("""COMPUTED_VALUE"""),"BOS")</f>
        <v>BOS</v>
      </c>
      <c r="G524" s="1">
        <f ca="1">IFERROR(__xludf.DUMMYFUNCTION("""COMPUTED_VALUE"""),63)</f>
        <v>63</v>
      </c>
      <c r="H524" s="1">
        <f ca="1">IFERROR(__xludf.DUMMYFUNCTION("""COMPUTED_VALUE"""),1)</f>
        <v>1</v>
      </c>
      <c r="I524" s="1" t="str">
        <f ca="1">IFERROR(__xludf.DUMMYFUNCTION("""COMPUTED_VALUE"""),"Tennessee")</f>
        <v>Tennessee</v>
      </c>
      <c r="J524" s="1" t="str">
        <f ca="1">IFERROR(__xludf.DUMMYFUNCTION("""COMPUTED_VALUE"""),"2019 Rnd 1 Pick 22")</f>
        <v>2019 Rnd 1 Pick 22</v>
      </c>
      <c r="K524" s="1" t="str">
        <f ca="1">IFERROR(__xludf.DUMMYFUNCTION("""COMPUTED_VALUE"""),"United States")</f>
        <v>United States</v>
      </c>
    </row>
    <row r="525" spans="1:11" ht="13" x14ac:dyDescent="0.15">
      <c r="A525" s="1" t="str">
        <f ca="1">IFERROR(__xludf.DUMMYFUNCTION("""COMPUTED_VALUE"""),"Kenrich Williams")</f>
        <v>Kenrich Williams</v>
      </c>
      <c r="B525" s="1" t="str">
        <f ca="1">IFERROR(__xludf.DUMMYFUNCTION("""COMPUTED_VALUE"""),"SF")</f>
        <v>SF</v>
      </c>
      <c r="C525" s="2">
        <f ca="1">IFERROR(__xludf.DUMMYFUNCTION("""COMPUTED_VALUE"""),44719)</f>
        <v>44719</v>
      </c>
      <c r="D525" s="1">
        <f ca="1">IFERROR(__xludf.DUMMYFUNCTION("""COMPUTED_VALUE"""),210)</f>
        <v>210</v>
      </c>
      <c r="E525" s="1">
        <f ca="1">IFERROR(__xludf.DUMMYFUNCTION("""COMPUTED_VALUE"""),26)</f>
        <v>26</v>
      </c>
      <c r="F525" s="1" t="str">
        <f ca="1">IFERROR(__xludf.DUMMYFUNCTION("""COMPUTED_VALUE"""),"OKC")</f>
        <v>OKC</v>
      </c>
      <c r="G525" s="1">
        <f ca="1">IFERROR(__xludf.DUMMYFUNCTION("""COMPUTED_VALUE"""),66)</f>
        <v>66</v>
      </c>
      <c r="H525" s="1">
        <f ca="1">IFERROR(__xludf.DUMMYFUNCTION("""COMPUTED_VALUE"""),2)</f>
        <v>2</v>
      </c>
      <c r="I525" s="1" t="str">
        <f ca="1">IFERROR(__xludf.DUMMYFUNCTION("""COMPUTED_VALUE"""),"Texas Christian")</f>
        <v>Texas Christian</v>
      </c>
      <c r="J525" s="1" t="str">
        <f ca="1">IFERROR(__xludf.DUMMYFUNCTION("""COMPUTED_VALUE"""),"2018 NBA Draft, Undrafted")</f>
        <v>2018 NBA Draft, Undrafted</v>
      </c>
      <c r="K525" s="1" t="str">
        <f ca="1">IFERROR(__xludf.DUMMYFUNCTION("""COMPUTED_VALUE"""),"United States")</f>
        <v>United States</v>
      </c>
    </row>
    <row r="526" spans="1:11" ht="13" x14ac:dyDescent="0.15">
      <c r="A526" s="1" t="str">
        <f ca="1">IFERROR(__xludf.DUMMYFUNCTION("""COMPUTED_VALUE"""),"Lou Williams")</f>
        <v>Lou Williams</v>
      </c>
      <c r="B526" s="1" t="str">
        <f ca="1">IFERROR(__xludf.DUMMYFUNCTION("""COMPUTED_VALUE"""),"G")</f>
        <v>G</v>
      </c>
      <c r="C526" s="2">
        <f ca="1">IFERROR(__xludf.DUMMYFUNCTION("""COMPUTED_VALUE"""),44713)</f>
        <v>44713</v>
      </c>
      <c r="D526" s="1">
        <f ca="1">IFERROR(__xludf.DUMMYFUNCTION("""COMPUTED_VALUE"""),175)</f>
        <v>175</v>
      </c>
      <c r="E526" s="1">
        <f ca="1">IFERROR(__xludf.DUMMYFUNCTION("""COMPUTED_VALUE"""),34)</f>
        <v>34</v>
      </c>
      <c r="F526" s="1" t="str">
        <f ca="1">IFERROR(__xludf.DUMMYFUNCTION("""COMPUTED_VALUE"""),"ATL, LAC")</f>
        <v>ATL, LAC</v>
      </c>
      <c r="G526" s="1">
        <f ca="1">IFERROR(__xludf.DUMMYFUNCTION("""COMPUTED_VALUE"""),66)</f>
        <v>66</v>
      </c>
      <c r="H526" s="1">
        <f ca="1">IFERROR(__xludf.DUMMYFUNCTION("""COMPUTED_VALUE"""),15)</f>
        <v>15</v>
      </c>
      <c r="I526" s="1" t="str">
        <f ca="1">IFERROR(__xludf.DUMMYFUNCTION("""COMPUTED_VALUE"""),"South Gwinnett High School (Georgia)")</f>
        <v>South Gwinnett High School (Georgia)</v>
      </c>
      <c r="J526" s="1" t="str">
        <f ca="1">IFERROR(__xludf.DUMMYFUNCTION("""COMPUTED_VALUE"""),"2005 Rnd 2 Pick 15")</f>
        <v>2005 Rnd 2 Pick 15</v>
      </c>
      <c r="K526" s="1" t="str">
        <f ca="1">IFERROR(__xludf.DUMMYFUNCTION("""COMPUTED_VALUE"""),"United States")</f>
        <v>United States</v>
      </c>
    </row>
    <row r="527" spans="1:11" ht="13" x14ac:dyDescent="0.15">
      <c r="A527" s="1" t="str">
        <f ca="1">IFERROR(__xludf.DUMMYFUNCTION("""COMPUTED_VALUE"""),"Patrick Williams")</f>
        <v>Patrick Williams</v>
      </c>
      <c r="B527" s="1" t="str">
        <f ca="1">IFERROR(__xludf.DUMMYFUNCTION("""COMPUTED_VALUE"""),"G")</f>
        <v>G</v>
      </c>
      <c r="C527" s="2">
        <f ca="1">IFERROR(__xludf.DUMMYFUNCTION("""COMPUTED_VALUE"""),44719)</f>
        <v>44719</v>
      </c>
      <c r="D527" s="1">
        <f ca="1">IFERROR(__xludf.DUMMYFUNCTION("""COMPUTED_VALUE"""),227)</f>
        <v>227</v>
      </c>
      <c r="E527" s="1">
        <f ca="1">IFERROR(__xludf.DUMMYFUNCTION("""COMPUTED_VALUE"""),19)</f>
        <v>19</v>
      </c>
      <c r="F527" s="1" t="str">
        <f ca="1">IFERROR(__xludf.DUMMYFUNCTION("""COMPUTED_VALUE"""),"CHI")</f>
        <v>CHI</v>
      </c>
      <c r="G527" s="1">
        <f ca="1">IFERROR(__xludf.DUMMYFUNCTION("""COMPUTED_VALUE"""),71)</f>
        <v>71</v>
      </c>
      <c r="H527" s="1">
        <f ca="1">IFERROR(__xludf.DUMMYFUNCTION("""COMPUTED_VALUE"""),0)</f>
        <v>0</v>
      </c>
      <c r="I527" s="1" t="str">
        <f ca="1">IFERROR(__xludf.DUMMYFUNCTION("""COMPUTED_VALUE"""),"Florida State")</f>
        <v>Florida State</v>
      </c>
      <c r="J527" s="1" t="str">
        <f ca="1">IFERROR(__xludf.DUMMYFUNCTION("""COMPUTED_VALUE"""),"2020 Rnd 1 Pick 4")</f>
        <v>2020 Rnd 1 Pick 4</v>
      </c>
      <c r="K527" s="1" t="str">
        <f ca="1">IFERROR(__xludf.DUMMYFUNCTION("""COMPUTED_VALUE"""),"United States")</f>
        <v>United States</v>
      </c>
    </row>
    <row r="528" spans="1:11" ht="13" x14ac:dyDescent="0.15">
      <c r="A528" s="1" t="str">
        <f ca="1">IFERROR(__xludf.DUMMYFUNCTION("""COMPUTED_VALUE"""),"Robert Williams")</f>
        <v>Robert Williams</v>
      </c>
      <c r="B528" s="1" t="str">
        <f ca="1">IFERROR(__xludf.DUMMYFUNCTION("""COMPUTED_VALUE"""),"PF")</f>
        <v>PF</v>
      </c>
      <c r="C528" s="2">
        <f ca="1">IFERROR(__xludf.DUMMYFUNCTION("""COMPUTED_VALUE"""),44720)</f>
        <v>44720</v>
      </c>
      <c r="D528" s="1">
        <f ca="1">IFERROR(__xludf.DUMMYFUNCTION("""COMPUTED_VALUE"""),240)</f>
        <v>240</v>
      </c>
      <c r="E528" s="1">
        <f ca="1">IFERROR(__xludf.DUMMYFUNCTION("""COMPUTED_VALUE"""),23)</f>
        <v>23</v>
      </c>
      <c r="F528" s="1" t="str">
        <f ca="1">IFERROR(__xludf.DUMMYFUNCTION("""COMPUTED_VALUE"""),"BOS")</f>
        <v>BOS</v>
      </c>
      <c r="G528" s="1">
        <f ca="1">IFERROR(__xludf.DUMMYFUNCTION("""COMPUTED_VALUE"""),52)</f>
        <v>52</v>
      </c>
      <c r="H528" s="1">
        <f ca="1">IFERROR(__xludf.DUMMYFUNCTION("""COMPUTED_VALUE"""),2)</f>
        <v>2</v>
      </c>
      <c r="I528" s="1" t="str">
        <f ca="1">IFERROR(__xludf.DUMMYFUNCTION("""COMPUTED_VALUE"""),"Texas A&amp;M")</f>
        <v>Texas A&amp;M</v>
      </c>
      <c r="J528" s="1" t="str">
        <f ca="1">IFERROR(__xludf.DUMMYFUNCTION("""COMPUTED_VALUE"""),"2018 Rnd 1 Pick 27")</f>
        <v>2018 Rnd 1 Pick 27</v>
      </c>
      <c r="K528" s="1" t="str">
        <f ca="1">IFERROR(__xludf.DUMMYFUNCTION("""COMPUTED_VALUE"""),"United States")</f>
        <v>United States</v>
      </c>
    </row>
    <row r="529" spans="1:11" ht="13" x14ac:dyDescent="0.15">
      <c r="A529" s="1" t="str">
        <f ca="1">IFERROR(__xludf.DUMMYFUNCTION("""COMPUTED_VALUE"""),"Zion Williamson")</f>
        <v>Zion Williamson</v>
      </c>
      <c r="B529" s="1" t="str">
        <f ca="1">IFERROR(__xludf.DUMMYFUNCTION("""COMPUTED_VALUE"""),"PF")</f>
        <v>PF</v>
      </c>
      <c r="C529" s="2">
        <f ca="1">IFERROR(__xludf.DUMMYFUNCTION("""COMPUTED_VALUE"""),44718)</f>
        <v>44718</v>
      </c>
      <c r="D529" s="1">
        <f ca="1">IFERROR(__xludf.DUMMYFUNCTION("""COMPUTED_VALUE"""),284)</f>
        <v>284</v>
      </c>
      <c r="E529" s="1">
        <f ca="1">IFERROR(__xludf.DUMMYFUNCTION("""COMPUTED_VALUE"""),20)</f>
        <v>20</v>
      </c>
      <c r="F529" s="1" t="str">
        <f ca="1">IFERROR(__xludf.DUMMYFUNCTION("""COMPUTED_VALUE"""),"NOP")</f>
        <v>NOP</v>
      </c>
      <c r="G529" s="1">
        <f ca="1">IFERROR(__xludf.DUMMYFUNCTION("""COMPUTED_VALUE"""),61)</f>
        <v>61</v>
      </c>
      <c r="H529" s="1">
        <f ca="1">IFERROR(__xludf.DUMMYFUNCTION("""COMPUTED_VALUE"""),1)</f>
        <v>1</v>
      </c>
      <c r="I529" s="1" t="str">
        <f ca="1">IFERROR(__xludf.DUMMYFUNCTION("""COMPUTED_VALUE"""),"Duke")</f>
        <v>Duke</v>
      </c>
      <c r="J529" s="1" t="str">
        <f ca="1">IFERROR(__xludf.DUMMYFUNCTION("""COMPUTED_VALUE"""),"2019 Rnd 1 Pick 1")</f>
        <v>2019 Rnd 1 Pick 1</v>
      </c>
      <c r="K529" s="1" t="str">
        <f ca="1">IFERROR(__xludf.DUMMYFUNCTION("""COMPUTED_VALUE"""),"United States")</f>
        <v>United States</v>
      </c>
    </row>
    <row r="530" spans="1:11" ht="13" x14ac:dyDescent="0.15">
      <c r="A530" s="1" t="str">
        <f ca="1">IFERROR(__xludf.DUMMYFUNCTION("""COMPUTED_VALUE"""),"DJ Wilson")</f>
        <v>DJ Wilson</v>
      </c>
      <c r="B530" s="1" t="str">
        <f ca="1">IFERROR(__xludf.DUMMYFUNCTION("""COMPUTED_VALUE"""),"F")</f>
        <v>F</v>
      </c>
      <c r="C530" s="2">
        <f ca="1">IFERROR(__xludf.DUMMYFUNCTION("""COMPUTED_VALUE"""),44722)</f>
        <v>44722</v>
      </c>
      <c r="D530" s="1">
        <f ca="1">IFERROR(__xludf.DUMMYFUNCTION("""COMPUTED_VALUE"""),231)</f>
        <v>231</v>
      </c>
      <c r="E530" s="1">
        <f ca="1">IFERROR(__xludf.DUMMYFUNCTION("""COMPUTED_VALUE"""),25)</f>
        <v>25</v>
      </c>
      <c r="F530" s="1" t="str">
        <f ca="1">IFERROR(__xludf.DUMMYFUNCTION("""COMPUTED_VALUE"""),"HOU, MIL")</f>
        <v>HOU, MIL</v>
      </c>
      <c r="G530" s="1">
        <f ca="1">IFERROR(__xludf.DUMMYFUNCTION("""COMPUTED_VALUE"""),35)</f>
        <v>35</v>
      </c>
      <c r="H530" s="1">
        <f ca="1">IFERROR(__xludf.DUMMYFUNCTION("""COMPUTED_VALUE"""),3)</f>
        <v>3</v>
      </c>
      <c r="I530" s="1" t="str">
        <f ca="1">IFERROR(__xludf.DUMMYFUNCTION("""COMPUTED_VALUE"""),"Michigan")</f>
        <v>Michigan</v>
      </c>
      <c r="J530" s="1" t="str">
        <f ca="1">IFERROR(__xludf.DUMMYFUNCTION("""COMPUTED_VALUE"""),"2017 Rnd 1 Pick 17")</f>
        <v>2017 Rnd 1 Pick 17</v>
      </c>
      <c r="K530" s="1" t="str">
        <f ca="1">IFERROR(__xludf.DUMMYFUNCTION("""COMPUTED_VALUE"""),"United States")</f>
        <v>United States</v>
      </c>
    </row>
    <row r="531" spans="1:11" ht="13" x14ac:dyDescent="0.15">
      <c r="A531" s="1" t="str">
        <f ca="1">IFERROR(__xludf.DUMMYFUNCTION("""COMPUTED_VALUE"""),"Dylan Windler")</f>
        <v>Dylan Windler</v>
      </c>
      <c r="B531" s="1" t="str">
        <f ca="1">IFERROR(__xludf.DUMMYFUNCTION("""COMPUTED_VALUE"""),"SF")</f>
        <v>SF</v>
      </c>
      <c r="C531" s="2">
        <f ca="1">IFERROR(__xludf.DUMMYFUNCTION("""COMPUTED_VALUE"""),44718)</f>
        <v>44718</v>
      </c>
      <c r="D531" s="1">
        <f ca="1">IFERROR(__xludf.DUMMYFUNCTION("""COMPUTED_VALUE"""),199)</f>
        <v>199</v>
      </c>
      <c r="E531" s="1">
        <f ca="1">IFERROR(__xludf.DUMMYFUNCTION("""COMPUTED_VALUE"""),24)</f>
        <v>24</v>
      </c>
      <c r="F531" s="1" t="str">
        <f ca="1">IFERROR(__xludf.DUMMYFUNCTION("""COMPUTED_VALUE"""),"CLE")</f>
        <v>CLE</v>
      </c>
      <c r="G531" s="1">
        <f ca="1">IFERROR(__xludf.DUMMYFUNCTION("""COMPUTED_VALUE"""),31)</f>
        <v>31</v>
      </c>
      <c r="H531" s="1">
        <f ca="1">IFERROR(__xludf.DUMMYFUNCTION("""COMPUTED_VALUE"""),1)</f>
        <v>1</v>
      </c>
      <c r="I531" s="1" t="str">
        <f ca="1">IFERROR(__xludf.DUMMYFUNCTION("""COMPUTED_VALUE"""),"Belmont")</f>
        <v>Belmont</v>
      </c>
      <c r="J531" s="1" t="str">
        <f ca="1">IFERROR(__xludf.DUMMYFUNCTION("""COMPUTED_VALUE"""),"2019 Rnd 1 Pick 26")</f>
        <v>2019 Rnd 1 Pick 26</v>
      </c>
      <c r="K531" s="1" t="str">
        <f ca="1">IFERROR(__xludf.DUMMYFUNCTION("""COMPUTED_VALUE"""),"United States")</f>
        <v>United States</v>
      </c>
    </row>
    <row r="532" spans="1:11" ht="13" x14ac:dyDescent="0.15">
      <c r="A532" s="1" t="str">
        <f ca="1">IFERROR(__xludf.DUMMYFUNCTION("""COMPUTED_VALUE"""),"Justise Winslow")</f>
        <v>Justise Winslow</v>
      </c>
      <c r="B532" s="1" t="str">
        <f ca="1">IFERROR(__xludf.DUMMYFUNCTION("""COMPUTED_VALUE"""),"SF")</f>
        <v>SF</v>
      </c>
      <c r="C532" s="2">
        <f ca="1">IFERROR(__xludf.DUMMYFUNCTION("""COMPUTED_VALUE"""),44718)</f>
        <v>44718</v>
      </c>
      <c r="D532" s="1">
        <f ca="1">IFERROR(__xludf.DUMMYFUNCTION("""COMPUTED_VALUE"""),222)</f>
        <v>222</v>
      </c>
      <c r="E532" s="1">
        <f ca="1">IFERROR(__xludf.DUMMYFUNCTION("""COMPUTED_VALUE"""),24)</f>
        <v>24</v>
      </c>
      <c r="F532" s="1" t="str">
        <f ca="1">IFERROR(__xludf.DUMMYFUNCTION("""COMPUTED_VALUE"""),"MEM")</f>
        <v>MEM</v>
      </c>
      <c r="G532" s="1">
        <f ca="1">IFERROR(__xludf.DUMMYFUNCTION("""COMPUTED_VALUE"""),26)</f>
        <v>26</v>
      </c>
      <c r="H532" s="1">
        <f ca="1">IFERROR(__xludf.DUMMYFUNCTION("""COMPUTED_VALUE"""),5)</f>
        <v>5</v>
      </c>
      <c r="I532" s="1" t="str">
        <f ca="1">IFERROR(__xludf.DUMMYFUNCTION("""COMPUTED_VALUE"""),"Duke")</f>
        <v>Duke</v>
      </c>
      <c r="J532" s="1" t="str">
        <f ca="1">IFERROR(__xludf.DUMMYFUNCTION("""COMPUTED_VALUE"""),"2015 Rnd 1 Pick 10")</f>
        <v>2015 Rnd 1 Pick 10</v>
      </c>
      <c r="K532" s="1" t="str">
        <f ca="1">IFERROR(__xludf.DUMMYFUNCTION("""COMPUTED_VALUE"""),"United States")</f>
        <v>United States</v>
      </c>
    </row>
    <row r="533" spans="1:11" ht="13" x14ac:dyDescent="0.15">
      <c r="A533" s="1" t="str">
        <f ca="1">IFERROR(__xludf.DUMMYFUNCTION("""COMPUTED_VALUE"""),"Cassius Winston")</f>
        <v>Cassius Winston</v>
      </c>
      <c r="B533" s="1" t="str">
        <f ca="1">IFERROR(__xludf.DUMMYFUNCTION("""COMPUTED_VALUE"""),"PG")</f>
        <v>PG</v>
      </c>
      <c r="C533" s="2">
        <f ca="1">IFERROR(__xludf.DUMMYFUNCTION("""COMPUTED_VALUE"""),44713)</f>
        <v>44713</v>
      </c>
      <c r="D533" s="1">
        <f ca="1">IFERROR(__xludf.DUMMYFUNCTION("""COMPUTED_VALUE"""),185)</f>
        <v>185</v>
      </c>
      <c r="E533" s="1">
        <f ca="1">IFERROR(__xludf.DUMMYFUNCTION("""COMPUTED_VALUE"""),23)</f>
        <v>23</v>
      </c>
      <c r="F533" s="1" t="str">
        <f ca="1">IFERROR(__xludf.DUMMYFUNCTION("""COMPUTED_VALUE"""),"WAS")</f>
        <v>WAS</v>
      </c>
      <c r="G533" s="1">
        <f ca="1">IFERROR(__xludf.DUMMYFUNCTION("""COMPUTED_VALUE"""),22)</f>
        <v>22</v>
      </c>
      <c r="H533" s="1">
        <f ca="1">IFERROR(__xludf.DUMMYFUNCTION("""COMPUTED_VALUE"""),0)</f>
        <v>0</v>
      </c>
      <c r="I533" s="1" t="str">
        <f ca="1">IFERROR(__xludf.DUMMYFUNCTION("""COMPUTED_VALUE"""),"Michigan State")</f>
        <v>Michigan State</v>
      </c>
      <c r="J533" s="1" t="str">
        <f ca="1">IFERROR(__xludf.DUMMYFUNCTION("""COMPUTED_VALUE"""),"2020 Rnd 2 Pick 23")</f>
        <v>2020 Rnd 2 Pick 23</v>
      </c>
      <c r="K533" s="1" t="str">
        <f ca="1">IFERROR(__xludf.DUMMYFUNCTION("""COMPUTED_VALUE"""),"United States")</f>
        <v>United States</v>
      </c>
    </row>
    <row r="534" spans="1:11" ht="13" x14ac:dyDescent="0.15">
      <c r="A534" s="1" t="str">
        <f ca="1">IFERROR(__xludf.DUMMYFUNCTION("""COMPUTED_VALUE"""),"James Wiseman")</f>
        <v>James Wiseman</v>
      </c>
      <c r="B534" s="1" t="str">
        <f ca="1">IFERROR(__xludf.DUMMYFUNCTION("""COMPUTED_VALUE"""),"C")</f>
        <v>C</v>
      </c>
      <c r="C534" s="1" t="str">
        <f ca="1">IFERROR(__xludf.DUMMYFUNCTION("""COMPUTED_VALUE"""),"7-0")</f>
        <v>7-0</v>
      </c>
      <c r="D534" s="1">
        <f ca="1">IFERROR(__xludf.DUMMYFUNCTION("""COMPUTED_VALUE"""),258)</f>
        <v>258</v>
      </c>
      <c r="E534" s="1">
        <f ca="1">IFERROR(__xludf.DUMMYFUNCTION("""COMPUTED_VALUE"""),19)</f>
        <v>19</v>
      </c>
      <c r="F534" s="1" t="str">
        <f ca="1">IFERROR(__xludf.DUMMYFUNCTION("""COMPUTED_VALUE"""),"GSW")</f>
        <v>GSW</v>
      </c>
      <c r="G534" s="1">
        <f ca="1">IFERROR(__xludf.DUMMYFUNCTION("""COMPUTED_VALUE"""),39)</f>
        <v>39</v>
      </c>
      <c r="H534" s="1">
        <f ca="1">IFERROR(__xludf.DUMMYFUNCTION("""COMPUTED_VALUE"""),0)</f>
        <v>0</v>
      </c>
      <c r="I534" s="1" t="str">
        <f ca="1">IFERROR(__xludf.DUMMYFUNCTION("""COMPUTED_VALUE"""),"Memphis")</f>
        <v>Memphis</v>
      </c>
      <c r="J534" s="1" t="str">
        <f ca="1">IFERROR(__xludf.DUMMYFUNCTION("""COMPUTED_VALUE"""),"2020 Rnd 1 Pick 2")</f>
        <v>2020 Rnd 1 Pick 2</v>
      </c>
      <c r="K534" s="1" t="str">
        <f ca="1">IFERROR(__xludf.DUMMYFUNCTION("""COMPUTED_VALUE"""),"United States")</f>
        <v>United States</v>
      </c>
    </row>
    <row r="535" spans="1:11" ht="13" x14ac:dyDescent="0.15">
      <c r="A535" s="1" t="str">
        <f ca="1">IFERROR(__xludf.DUMMYFUNCTION("""COMPUTED_VALUE"""),"Christian Wood")</f>
        <v>Christian Wood</v>
      </c>
      <c r="B535" s="1" t="str">
        <f ca="1">IFERROR(__xludf.DUMMYFUNCTION("""COMPUTED_VALUE"""),"PF")</f>
        <v>PF</v>
      </c>
      <c r="C535" s="2">
        <f ca="1">IFERROR(__xludf.DUMMYFUNCTION("""COMPUTED_VALUE"""),44722)</f>
        <v>44722</v>
      </c>
      <c r="D535" s="1">
        <f ca="1">IFERROR(__xludf.DUMMYFUNCTION("""COMPUTED_VALUE"""),223)</f>
        <v>223</v>
      </c>
      <c r="E535" s="1">
        <f ca="1">IFERROR(__xludf.DUMMYFUNCTION("""COMPUTED_VALUE"""),25)</f>
        <v>25</v>
      </c>
      <c r="F535" s="1" t="str">
        <f ca="1">IFERROR(__xludf.DUMMYFUNCTION("""COMPUTED_VALUE"""),"HOU")</f>
        <v>HOU</v>
      </c>
      <c r="G535" s="1">
        <f ca="1">IFERROR(__xludf.DUMMYFUNCTION("""COMPUTED_VALUE"""),41)</f>
        <v>41</v>
      </c>
      <c r="H535" s="1">
        <f ca="1">IFERROR(__xludf.DUMMYFUNCTION("""COMPUTED_VALUE"""),4)</f>
        <v>4</v>
      </c>
      <c r="I535" s="1" t="str">
        <f ca="1">IFERROR(__xludf.DUMMYFUNCTION("""COMPUTED_VALUE"""),"UNLV")</f>
        <v>UNLV</v>
      </c>
      <c r="J535" s="1" t="str">
        <f ca="1">IFERROR(__xludf.DUMMYFUNCTION("""COMPUTED_VALUE"""),"2015 NBA Draft, Undrafted")</f>
        <v>2015 NBA Draft, Undrafted</v>
      </c>
      <c r="K535" s="1" t="str">
        <f ca="1">IFERROR(__xludf.DUMMYFUNCTION("""COMPUTED_VALUE"""),"United States")</f>
        <v>United States</v>
      </c>
    </row>
    <row r="536" spans="1:11" ht="13" x14ac:dyDescent="0.15">
      <c r="A536" s="1" t="str">
        <f ca="1">IFERROR(__xludf.DUMMYFUNCTION("""COMPUTED_VALUE"""),"Robert Woodard II")</f>
        <v>Robert Woodard II</v>
      </c>
      <c r="B536" s="1" t="str">
        <f ca="1">IFERROR(__xludf.DUMMYFUNCTION("""COMPUTED_VALUE"""),"G")</f>
        <v>G</v>
      </c>
      <c r="C536" s="2">
        <f ca="1">IFERROR(__xludf.DUMMYFUNCTION("""COMPUTED_VALUE"""),44719)</f>
        <v>44719</v>
      </c>
      <c r="D536" s="1">
        <f ca="1">IFERROR(__xludf.DUMMYFUNCTION("""COMPUTED_VALUE"""),230)</f>
        <v>230</v>
      </c>
      <c r="E536" s="1">
        <f ca="1">IFERROR(__xludf.DUMMYFUNCTION("""COMPUTED_VALUE"""),21)</f>
        <v>21</v>
      </c>
      <c r="F536" s="1" t="str">
        <f ca="1">IFERROR(__xludf.DUMMYFUNCTION("""COMPUTED_VALUE"""),"SAC")</f>
        <v>SAC</v>
      </c>
      <c r="G536" s="1">
        <f ca="1">IFERROR(__xludf.DUMMYFUNCTION("""COMPUTED_VALUE"""),13)</f>
        <v>13</v>
      </c>
      <c r="H536" s="1">
        <f ca="1">IFERROR(__xludf.DUMMYFUNCTION("""COMPUTED_VALUE"""),0)</f>
        <v>0</v>
      </c>
      <c r="I536" s="1" t="str">
        <f ca="1">IFERROR(__xludf.DUMMYFUNCTION("""COMPUTED_VALUE"""),"Mississippi State")</f>
        <v>Mississippi State</v>
      </c>
      <c r="J536" s="1" t="str">
        <f ca="1">IFERROR(__xludf.DUMMYFUNCTION("""COMPUTED_VALUE"""),"2020 Rnd 2 Pick 10")</f>
        <v>2020 Rnd 2 Pick 10</v>
      </c>
      <c r="K536" s="1" t="str">
        <f ca="1">IFERROR(__xludf.DUMMYFUNCTION("""COMPUTED_VALUE"""),"United States")</f>
        <v>United States</v>
      </c>
    </row>
    <row r="537" spans="1:11" ht="13" x14ac:dyDescent="0.15">
      <c r="A537" s="1" t="str">
        <f ca="1">IFERROR(__xludf.DUMMYFUNCTION("""COMPUTED_VALUE"""),"Delon Wright")</f>
        <v>Delon Wright</v>
      </c>
      <c r="B537" s="1" t="str">
        <f ca="1">IFERROR(__xludf.DUMMYFUNCTION("""COMPUTED_VALUE"""),"G")</f>
        <v>G</v>
      </c>
      <c r="C537" s="2">
        <f ca="1">IFERROR(__xludf.DUMMYFUNCTION("""COMPUTED_VALUE"""),44717)</f>
        <v>44717</v>
      </c>
      <c r="D537" s="1">
        <f ca="1">IFERROR(__xludf.DUMMYFUNCTION("""COMPUTED_VALUE"""),185)</f>
        <v>185</v>
      </c>
      <c r="E537" s="1">
        <f ca="1">IFERROR(__xludf.DUMMYFUNCTION("""COMPUTED_VALUE"""),28)</f>
        <v>28</v>
      </c>
      <c r="F537" s="1" t="str">
        <f ca="1">IFERROR(__xludf.DUMMYFUNCTION("""COMPUTED_VALUE"""),"DET, SAC")</f>
        <v>DET, SAC</v>
      </c>
      <c r="G537" s="1">
        <f ca="1">IFERROR(__xludf.DUMMYFUNCTION("""COMPUTED_VALUE"""),63)</f>
        <v>63</v>
      </c>
      <c r="H537" s="1">
        <f ca="1">IFERROR(__xludf.DUMMYFUNCTION("""COMPUTED_VALUE"""),5)</f>
        <v>5</v>
      </c>
      <c r="I537" s="1" t="str">
        <f ca="1">IFERROR(__xludf.DUMMYFUNCTION("""COMPUTED_VALUE"""),"Utah")</f>
        <v>Utah</v>
      </c>
      <c r="J537" s="1" t="str">
        <f ca="1">IFERROR(__xludf.DUMMYFUNCTION("""COMPUTED_VALUE"""),"2015 Rnd 1 Pick 20")</f>
        <v>2015 Rnd 1 Pick 20</v>
      </c>
      <c r="K537" s="1" t="str">
        <f ca="1">IFERROR(__xludf.DUMMYFUNCTION("""COMPUTED_VALUE"""),"United States")</f>
        <v>United States</v>
      </c>
    </row>
    <row r="538" spans="1:11" ht="13" x14ac:dyDescent="0.15">
      <c r="A538" s="1" t="str">
        <f ca="1">IFERROR(__xludf.DUMMYFUNCTION("""COMPUTED_VALUE"""),"Thaddeus Young")</f>
        <v>Thaddeus Young</v>
      </c>
      <c r="B538" s="1" t="str">
        <f ca="1">IFERROR(__xludf.DUMMYFUNCTION("""COMPUTED_VALUE"""),"F")</f>
        <v>F</v>
      </c>
      <c r="C538" s="2">
        <f ca="1">IFERROR(__xludf.DUMMYFUNCTION("""COMPUTED_VALUE"""),44720)</f>
        <v>44720</v>
      </c>
      <c r="D538" s="1">
        <f ca="1">IFERROR(__xludf.DUMMYFUNCTION("""COMPUTED_VALUE"""),235)</f>
        <v>235</v>
      </c>
      <c r="E538" s="1">
        <f ca="1">IFERROR(__xludf.DUMMYFUNCTION("""COMPUTED_VALUE"""),32)</f>
        <v>32</v>
      </c>
      <c r="F538" s="1" t="str">
        <f ca="1">IFERROR(__xludf.DUMMYFUNCTION("""COMPUTED_VALUE"""),"CHI")</f>
        <v>CHI</v>
      </c>
      <c r="G538" s="1">
        <f ca="1">IFERROR(__xludf.DUMMYFUNCTION("""COMPUTED_VALUE"""),68)</f>
        <v>68</v>
      </c>
      <c r="H538" s="1">
        <f ca="1">IFERROR(__xludf.DUMMYFUNCTION("""COMPUTED_VALUE"""),13)</f>
        <v>13</v>
      </c>
      <c r="I538" s="1" t="str">
        <f ca="1">IFERROR(__xludf.DUMMYFUNCTION("""COMPUTED_VALUE"""),"Georgia Tech")</f>
        <v>Georgia Tech</v>
      </c>
      <c r="J538" s="1" t="str">
        <f ca="1">IFERROR(__xludf.DUMMYFUNCTION("""COMPUTED_VALUE"""),"2007 Rnd 1 Pick 12")</f>
        <v>2007 Rnd 1 Pick 12</v>
      </c>
      <c r="K538" s="1" t="str">
        <f ca="1">IFERROR(__xludf.DUMMYFUNCTION("""COMPUTED_VALUE"""),"United States")</f>
        <v>United States</v>
      </c>
    </row>
    <row r="539" spans="1:11" ht="13" x14ac:dyDescent="0.15">
      <c r="A539" s="1" t="str">
        <f ca="1">IFERROR(__xludf.DUMMYFUNCTION("""COMPUTED_VALUE"""),"Trae Young")</f>
        <v>Trae Young</v>
      </c>
      <c r="B539" s="1" t="str">
        <f ca="1">IFERROR(__xludf.DUMMYFUNCTION("""COMPUTED_VALUE"""),"PG")</f>
        <v>PG</v>
      </c>
      <c r="C539" s="2">
        <f ca="1">IFERROR(__xludf.DUMMYFUNCTION("""COMPUTED_VALUE"""),44713)</f>
        <v>44713</v>
      </c>
      <c r="D539" s="1">
        <f ca="1">IFERROR(__xludf.DUMMYFUNCTION("""COMPUTED_VALUE"""),180)</f>
        <v>180</v>
      </c>
      <c r="E539" s="1">
        <f ca="1">IFERROR(__xludf.DUMMYFUNCTION("""COMPUTED_VALUE"""),22)</f>
        <v>22</v>
      </c>
      <c r="F539" s="1" t="str">
        <f ca="1">IFERROR(__xludf.DUMMYFUNCTION("""COMPUTED_VALUE"""),"ATL")</f>
        <v>ATL</v>
      </c>
      <c r="G539" s="1">
        <f ca="1">IFERROR(__xludf.DUMMYFUNCTION("""COMPUTED_VALUE"""),63)</f>
        <v>63</v>
      </c>
      <c r="H539" s="1">
        <f ca="1">IFERROR(__xludf.DUMMYFUNCTION("""COMPUTED_VALUE"""),2)</f>
        <v>2</v>
      </c>
      <c r="I539" s="1" t="str">
        <f ca="1">IFERROR(__xludf.DUMMYFUNCTION("""COMPUTED_VALUE"""),"Oklahoma")</f>
        <v>Oklahoma</v>
      </c>
      <c r="J539" s="1" t="str">
        <f ca="1">IFERROR(__xludf.DUMMYFUNCTION("""COMPUTED_VALUE"""),"2018 Rnd 1 Pick 5")</f>
        <v>2018 Rnd 1 Pick 5</v>
      </c>
      <c r="K539" s="1" t="str">
        <f ca="1">IFERROR(__xludf.DUMMYFUNCTION("""COMPUTED_VALUE"""),"United States")</f>
        <v>United States</v>
      </c>
    </row>
    <row r="540" spans="1:11" ht="13" x14ac:dyDescent="0.15">
      <c r="A540" s="1" t="str">
        <f ca="1">IFERROR(__xludf.DUMMYFUNCTION("""COMPUTED_VALUE"""),"Cody Zeller")</f>
        <v>Cody Zeller</v>
      </c>
      <c r="B540" s="1" t="str">
        <f ca="1">IFERROR(__xludf.DUMMYFUNCTION("""COMPUTED_VALUE"""),"F")</f>
        <v>F</v>
      </c>
      <c r="C540" s="2">
        <f ca="1">IFERROR(__xludf.DUMMYFUNCTION("""COMPUTED_VALUE"""),44723)</f>
        <v>44723</v>
      </c>
      <c r="D540" s="1">
        <f ca="1">IFERROR(__xludf.DUMMYFUNCTION("""COMPUTED_VALUE"""),240)</f>
        <v>240</v>
      </c>
      <c r="E540" s="1">
        <f ca="1">IFERROR(__xludf.DUMMYFUNCTION("""COMPUTED_VALUE"""),28)</f>
        <v>28</v>
      </c>
      <c r="F540" s="1" t="str">
        <f ca="1">IFERROR(__xludf.DUMMYFUNCTION("""COMPUTED_VALUE"""),"CHA")</f>
        <v>CHA</v>
      </c>
      <c r="G540" s="1">
        <f ca="1">IFERROR(__xludf.DUMMYFUNCTION("""COMPUTED_VALUE"""),48)</f>
        <v>48</v>
      </c>
      <c r="H540" s="1">
        <f ca="1">IFERROR(__xludf.DUMMYFUNCTION("""COMPUTED_VALUE"""),7)</f>
        <v>7</v>
      </c>
      <c r="I540" s="1" t="str">
        <f ca="1">IFERROR(__xludf.DUMMYFUNCTION("""COMPUTED_VALUE"""),"Indiana")</f>
        <v>Indiana</v>
      </c>
      <c r="J540" s="1" t="str">
        <f ca="1">IFERROR(__xludf.DUMMYFUNCTION("""COMPUTED_VALUE"""),"2013 Rnd 1 Pick 4")</f>
        <v>2013 Rnd 1 Pick 4</v>
      </c>
      <c r="K540" s="1" t="str">
        <f ca="1">IFERROR(__xludf.DUMMYFUNCTION("""COMPUTED_VALUE"""),"United States")</f>
        <v>United States</v>
      </c>
    </row>
    <row r="541" spans="1:11" ht="13" x14ac:dyDescent="0.15">
      <c r="A541" s="1" t="str">
        <f ca="1">IFERROR(__xludf.DUMMYFUNCTION("""COMPUTED_VALUE"""),"Ivica Zubac")</f>
        <v>Ivica Zubac</v>
      </c>
      <c r="B541" s="1" t="str">
        <f ca="1">IFERROR(__xludf.DUMMYFUNCTION("""COMPUTED_VALUE"""),"C")</f>
        <v>C</v>
      </c>
      <c r="C541" s="1" t="str">
        <f ca="1">IFERROR(__xludf.DUMMYFUNCTION("""COMPUTED_VALUE"""),"7-0")</f>
        <v>7-0</v>
      </c>
      <c r="D541" s="1">
        <f ca="1">IFERROR(__xludf.DUMMYFUNCTION("""COMPUTED_VALUE"""),240)</f>
        <v>240</v>
      </c>
      <c r="E541" s="1">
        <f ca="1">IFERROR(__xludf.DUMMYFUNCTION("""COMPUTED_VALUE"""),23)</f>
        <v>23</v>
      </c>
      <c r="F541" s="1" t="str">
        <f ca="1">IFERROR(__xludf.DUMMYFUNCTION("""COMPUTED_VALUE"""),"LAC")</f>
        <v>LAC</v>
      </c>
      <c r="G541" s="1">
        <f ca="1">IFERROR(__xludf.DUMMYFUNCTION("""COMPUTED_VALUE"""),72)</f>
        <v>72</v>
      </c>
      <c r="H541" s="1">
        <f ca="1">IFERROR(__xludf.DUMMYFUNCTION("""COMPUTED_VALUE"""),4)</f>
        <v>4</v>
      </c>
      <c r="I541" s="1" t="str">
        <f ca="1">IFERROR(__xludf.DUMMYFUNCTION("""COMPUTED_VALUE"""),"KK Mega Bemax (Serbia)")</f>
        <v>KK Mega Bemax (Serbia)</v>
      </c>
      <c r="J541" s="1" t="str">
        <f ca="1">IFERROR(__xludf.DUMMYFUNCTION("""COMPUTED_VALUE"""),"2016 Rnd 2 Pick 2")</f>
        <v>2016 Rnd 2 Pick 2</v>
      </c>
      <c r="K541" s="1" t="str">
        <f ca="1">IFERROR(__xludf.DUMMYFUNCTION("""COMPUTED_VALUE"""),"Bosnia and Herzegovina
Croatia")</f>
        <v>Bosnia and Herzegovina
Croatia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2022-08-12T16:37:05Z</dcterms:modified>
</cp:coreProperties>
</file>