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17"/>
  <workbookPr/>
  <mc:AlternateContent xmlns:mc="http://schemas.openxmlformats.org/markup-compatibility/2006">
    <mc:Choice Requires="x15">
      <x15ac:absPath xmlns:x15ac="http://schemas.microsoft.com/office/spreadsheetml/2010/11/ac" url="C:\Users\Rono\Downloads\AAAA Hackathon\Datasets\Makanga_data\"/>
    </mc:Choice>
  </mc:AlternateContent>
  <xr:revisionPtr revIDLastSave="0" documentId="13_ncr:1_{C65E44DD-9456-4C59-907D-246DE37BA6E0}" xr6:coauthVersionLast="36" xr6:coauthVersionMax="36" xr10:uidLastSave="{00000000-0000-0000-0000-000000000000}"/>
  <bookViews>
    <workbookView xWindow="0" yWindow="0" windowWidth="28800" windowHeight="121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ARRAYTEXT_WF"/>
        <xcalcf:feature name="microsoft.com:CNMTM"/>
        <xcalcf:feature name="microsoft.com:LAMBDA_WF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97" i="1" l="1"/>
  <c r="P297" i="1"/>
  <c r="O297" i="1"/>
  <c r="N297" i="1"/>
  <c r="M297" i="1"/>
  <c r="L297" i="1"/>
  <c r="K297" i="1"/>
  <c r="J297" i="1"/>
  <c r="I297" i="1"/>
  <c r="H297" i="1"/>
  <c r="G297" i="1"/>
  <c r="F297" i="1"/>
  <c r="E297" i="1"/>
  <c r="D297" i="1"/>
  <c r="C297" i="1"/>
  <c r="Q287" i="1"/>
  <c r="P287" i="1"/>
  <c r="O287" i="1"/>
  <c r="N287" i="1"/>
  <c r="M287" i="1"/>
  <c r="L287" i="1"/>
  <c r="K287" i="1"/>
  <c r="J287" i="1"/>
  <c r="I287" i="1"/>
  <c r="H287" i="1"/>
  <c r="G287" i="1"/>
  <c r="F287" i="1"/>
  <c r="E287" i="1"/>
  <c r="D287" i="1"/>
  <c r="C287" i="1"/>
  <c r="Q279" i="1"/>
  <c r="P279" i="1"/>
  <c r="O279" i="1"/>
  <c r="N279" i="1"/>
  <c r="M279" i="1"/>
  <c r="L279" i="1"/>
  <c r="K279" i="1"/>
  <c r="J279" i="1"/>
  <c r="I279" i="1"/>
  <c r="H279" i="1"/>
  <c r="G279" i="1"/>
  <c r="F279" i="1"/>
  <c r="E279" i="1"/>
  <c r="D279" i="1"/>
  <c r="C279" i="1"/>
  <c r="Q269" i="1"/>
  <c r="P269" i="1"/>
  <c r="O269" i="1"/>
  <c r="M269" i="1"/>
  <c r="L269" i="1"/>
  <c r="J269" i="1"/>
  <c r="I269" i="1"/>
  <c r="H269" i="1"/>
  <c r="G269" i="1"/>
  <c r="F269" i="1"/>
  <c r="E269" i="1"/>
  <c r="D269" i="1"/>
  <c r="C269" i="1"/>
  <c r="L265" i="1"/>
  <c r="Q262" i="1"/>
  <c r="P262" i="1"/>
  <c r="O262" i="1"/>
  <c r="N262" i="1"/>
  <c r="M262" i="1"/>
  <c r="L262" i="1"/>
  <c r="K262" i="1"/>
  <c r="J262" i="1"/>
  <c r="I262" i="1"/>
  <c r="H262" i="1"/>
  <c r="G262" i="1"/>
  <c r="F262" i="1"/>
  <c r="E262" i="1"/>
  <c r="D262" i="1"/>
  <c r="C262" i="1"/>
  <c r="Q257" i="1"/>
  <c r="P257" i="1"/>
  <c r="O257" i="1"/>
  <c r="N257" i="1"/>
  <c r="M257" i="1"/>
  <c r="L257" i="1"/>
  <c r="J257" i="1"/>
  <c r="I257" i="1"/>
  <c r="H257" i="1"/>
  <c r="G257" i="1"/>
  <c r="F257" i="1"/>
  <c r="E257" i="1"/>
  <c r="D257" i="1"/>
  <c r="C257" i="1"/>
  <c r="Q247" i="1"/>
  <c r="P247" i="1"/>
  <c r="O247" i="1"/>
  <c r="N247" i="1"/>
  <c r="M247" i="1"/>
  <c r="L247" i="1"/>
  <c r="J247" i="1"/>
  <c r="I247" i="1"/>
  <c r="H247" i="1"/>
  <c r="G247" i="1"/>
  <c r="F247" i="1"/>
  <c r="D247" i="1"/>
  <c r="C247" i="1"/>
  <c r="Q242" i="1"/>
  <c r="P242" i="1"/>
  <c r="O242" i="1"/>
  <c r="N242" i="1"/>
  <c r="M242" i="1"/>
  <c r="L242" i="1"/>
  <c r="K242" i="1"/>
  <c r="J242" i="1"/>
  <c r="I242" i="1"/>
  <c r="H242" i="1"/>
  <c r="G242" i="1"/>
  <c r="F242" i="1"/>
  <c r="E242" i="1"/>
  <c r="D242" i="1"/>
  <c r="C242" i="1"/>
  <c r="Q228" i="1"/>
  <c r="P228" i="1"/>
  <c r="O228" i="1"/>
  <c r="N228" i="1"/>
  <c r="M228" i="1"/>
  <c r="L228" i="1"/>
  <c r="K228" i="1"/>
  <c r="J228" i="1"/>
  <c r="I228" i="1"/>
  <c r="H228" i="1"/>
  <c r="G228" i="1"/>
  <c r="F228" i="1"/>
  <c r="E228" i="1"/>
  <c r="D228" i="1"/>
  <c r="C228" i="1"/>
  <c r="Q215" i="1"/>
  <c r="P215" i="1"/>
  <c r="O215" i="1"/>
  <c r="N215" i="1"/>
  <c r="M215" i="1"/>
  <c r="L215" i="1"/>
  <c r="K215" i="1"/>
  <c r="J215" i="1"/>
  <c r="I215" i="1"/>
  <c r="H215" i="1"/>
  <c r="G215" i="1"/>
  <c r="F215" i="1"/>
  <c r="E215" i="1"/>
  <c r="D215" i="1"/>
  <c r="C215" i="1"/>
  <c r="G213" i="1"/>
  <c r="F213" i="1"/>
  <c r="E213" i="1"/>
  <c r="D213" i="1"/>
  <c r="H212" i="1"/>
  <c r="G212" i="1"/>
  <c r="F212" i="1"/>
  <c r="E212" i="1"/>
  <c r="D212" i="1"/>
  <c r="H211" i="1"/>
  <c r="G211" i="1"/>
  <c r="F211" i="1"/>
  <c r="E211" i="1"/>
  <c r="D211" i="1"/>
  <c r="H210" i="1"/>
  <c r="G210" i="1"/>
  <c r="F210" i="1"/>
  <c r="E210" i="1"/>
  <c r="D210" i="1"/>
  <c r="H209" i="1"/>
  <c r="G209" i="1"/>
  <c r="F209" i="1"/>
  <c r="E209" i="1"/>
  <c r="D209" i="1"/>
  <c r="H208" i="1"/>
  <c r="G208" i="1"/>
  <c r="F208" i="1"/>
  <c r="E208" i="1"/>
  <c r="D208" i="1"/>
  <c r="Q206" i="1"/>
  <c r="P206" i="1"/>
  <c r="O206" i="1"/>
  <c r="N206" i="1"/>
  <c r="M206" i="1"/>
  <c r="L206" i="1"/>
  <c r="J206" i="1"/>
  <c r="I206" i="1"/>
  <c r="H206" i="1"/>
  <c r="G206" i="1"/>
  <c r="F206" i="1"/>
  <c r="E206" i="1"/>
  <c r="D206" i="1"/>
  <c r="C206" i="1"/>
  <c r="Q199" i="1"/>
  <c r="P199" i="1"/>
  <c r="O199" i="1"/>
  <c r="N199" i="1"/>
  <c r="M199" i="1"/>
  <c r="L199" i="1"/>
  <c r="K199" i="1"/>
  <c r="J199" i="1"/>
  <c r="I199" i="1"/>
  <c r="H199" i="1"/>
  <c r="G199" i="1"/>
  <c r="F199" i="1"/>
  <c r="E199" i="1"/>
  <c r="D199" i="1"/>
  <c r="C199" i="1"/>
  <c r="Q178" i="1"/>
  <c r="P178" i="1"/>
  <c r="O178" i="1"/>
  <c r="N178" i="1"/>
  <c r="M178" i="1"/>
  <c r="L178" i="1"/>
  <c r="K178" i="1"/>
  <c r="J178" i="1"/>
  <c r="I178" i="1"/>
  <c r="H178" i="1"/>
  <c r="G178" i="1"/>
  <c r="F178" i="1"/>
  <c r="E178" i="1"/>
  <c r="D178" i="1"/>
  <c r="C178" i="1"/>
  <c r="Q167" i="1"/>
  <c r="P167" i="1"/>
  <c r="O167" i="1"/>
  <c r="N167" i="1"/>
  <c r="M167" i="1"/>
  <c r="L167" i="1"/>
  <c r="K167" i="1"/>
  <c r="J167" i="1"/>
  <c r="I167" i="1"/>
  <c r="H167" i="1"/>
  <c r="G167" i="1"/>
  <c r="F167" i="1"/>
  <c r="E167" i="1"/>
  <c r="D167" i="1"/>
  <c r="C167" i="1"/>
  <c r="Q160" i="1"/>
  <c r="P160" i="1"/>
  <c r="O160" i="1"/>
  <c r="N160" i="1"/>
  <c r="M160" i="1"/>
  <c r="L160" i="1"/>
  <c r="J160" i="1"/>
  <c r="I160" i="1"/>
  <c r="H160" i="1"/>
  <c r="G160" i="1"/>
  <c r="F160" i="1"/>
  <c r="E160" i="1"/>
  <c r="D160" i="1"/>
  <c r="C160" i="1"/>
  <c r="M154" i="1"/>
  <c r="L154" i="1"/>
  <c r="K154" i="1"/>
  <c r="J154" i="1"/>
  <c r="I154" i="1"/>
  <c r="H154" i="1"/>
  <c r="G154" i="1"/>
  <c r="F154" i="1"/>
  <c r="E154" i="1"/>
  <c r="D154" i="1"/>
  <c r="C154" i="1"/>
  <c r="R146" i="1"/>
  <c r="Q146" i="1"/>
  <c r="P146" i="1"/>
  <c r="O146" i="1"/>
  <c r="N146" i="1"/>
  <c r="M146" i="1"/>
  <c r="L146" i="1"/>
  <c r="K146" i="1"/>
  <c r="J146" i="1"/>
  <c r="I146" i="1"/>
  <c r="H146" i="1"/>
  <c r="G146" i="1"/>
  <c r="F146" i="1"/>
  <c r="E146" i="1"/>
  <c r="D146" i="1"/>
  <c r="C146" i="1"/>
  <c r="R140" i="1"/>
  <c r="Q140" i="1"/>
  <c r="P140" i="1"/>
  <c r="O140" i="1"/>
  <c r="N140" i="1"/>
  <c r="M140" i="1"/>
  <c r="L140" i="1"/>
  <c r="K140" i="1"/>
  <c r="J140" i="1"/>
  <c r="I140" i="1"/>
  <c r="H140" i="1"/>
  <c r="G140" i="1"/>
  <c r="F140" i="1"/>
  <c r="E140" i="1"/>
  <c r="D140" i="1"/>
  <c r="C140" i="1"/>
  <c r="Q131" i="1"/>
  <c r="P131" i="1"/>
  <c r="O131" i="1"/>
  <c r="N131" i="1"/>
  <c r="M131" i="1"/>
  <c r="L131" i="1"/>
  <c r="K131" i="1"/>
  <c r="J131" i="1"/>
  <c r="I131" i="1"/>
  <c r="H131" i="1"/>
  <c r="G131" i="1"/>
  <c r="F131" i="1"/>
  <c r="E131" i="1"/>
  <c r="D131" i="1"/>
  <c r="C131" i="1"/>
  <c r="Q123" i="1"/>
  <c r="P123" i="1"/>
  <c r="O123" i="1"/>
  <c r="N123" i="1"/>
  <c r="M123" i="1"/>
  <c r="L123" i="1"/>
  <c r="K123" i="1"/>
  <c r="J123" i="1"/>
  <c r="I123" i="1"/>
  <c r="H123" i="1"/>
  <c r="G123" i="1"/>
  <c r="F123" i="1"/>
  <c r="E123" i="1"/>
  <c r="D123" i="1"/>
  <c r="C123" i="1"/>
  <c r="P122" i="1"/>
  <c r="O122" i="1"/>
  <c r="N122" i="1"/>
  <c r="M122" i="1"/>
  <c r="J122" i="1"/>
  <c r="I122" i="1"/>
  <c r="H122" i="1"/>
  <c r="G122" i="1"/>
  <c r="F122" i="1"/>
  <c r="D122" i="1"/>
  <c r="C122" i="1"/>
  <c r="Q121" i="1"/>
  <c r="P121" i="1"/>
  <c r="O121" i="1"/>
  <c r="N121" i="1"/>
  <c r="M121" i="1"/>
  <c r="J121" i="1"/>
  <c r="I121" i="1"/>
  <c r="H121" i="1"/>
  <c r="G121" i="1"/>
  <c r="F121" i="1"/>
  <c r="D121" i="1"/>
  <c r="C121" i="1"/>
  <c r="Q120" i="1"/>
  <c r="P120" i="1"/>
  <c r="O120" i="1"/>
  <c r="N120" i="1"/>
  <c r="M120" i="1"/>
  <c r="J120" i="1"/>
  <c r="H120" i="1"/>
  <c r="G120" i="1"/>
  <c r="D120" i="1"/>
  <c r="Q119" i="1"/>
  <c r="P119" i="1"/>
  <c r="O119" i="1"/>
  <c r="N119" i="1"/>
  <c r="M119" i="1"/>
  <c r="J119" i="1"/>
  <c r="I119" i="1"/>
  <c r="H119" i="1"/>
  <c r="G119" i="1"/>
  <c r="F119" i="1"/>
  <c r="D119" i="1"/>
  <c r="C119" i="1"/>
  <c r="Q118" i="1"/>
  <c r="P118" i="1"/>
  <c r="O118" i="1"/>
  <c r="N118" i="1"/>
  <c r="M118" i="1"/>
  <c r="J118" i="1"/>
  <c r="I118" i="1"/>
  <c r="H118" i="1"/>
  <c r="G118" i="1"/>
  <c r="F118" i="1"/>
  <c r="D118" i="1"/>
  <c r="C118" i="1"/>
  <c r="Q117" i="1"/>
  <c r="P117" i="1"/>
  <c r="O117" i="1"/>
  <c r="N117" i="1"/>
  <c r="M117" i="1"/>
  <c r="J117" i="1"/>
  <c r="I117" i="1"/>
  <c r="H117" i="1"/>
  <c r="G117" i="1"/>
  <c r="F117" i="1"/>
  <c r="D117" i="1"/>
  <c r="C117" i="1"/>
  <c r="Q115" i="1"/>
  <c r="P115" i="1"/>
  <c r="O115" i="1"/>
  <c r="N115" i="1"/>
  <c r="M115" i="1"/>
  <c r="L115" i="1"/>
  <c r="K115" i="1"/>
  <c r="J115" i="1"/>
  <c r="I115" i="1"/>
  <c r="H115" i="1"/>
  <c r="G115" i="1"/>
  <c r="F115" i="1"/>
  <c r="E115" i="1"/>
  <c r="D115" i="1"/>
  <c r="C11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D105" i="1"/>
  <c r="C105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D93" i="1"/>
  <c r="C93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D85" i="1"/>
  <c r="C85" i="1"/>
  <c r="Q73" i="1"/>
  <c r="P73" i="1"/>
  <c r="O73" i="1"/>
  <c r="N73" i="1"/>
  <c r="M73" i="1"/>
  <c r="L73" i="1"/>
  <c r="J73" i="1"/>
  <c r="I73" i="1"/>
  <c r="H73" i="1"/>
  <c r="G73" i="1"/>
  <c r="F73" i="1"/>
  <c r="E73" i="1"/>
  <c r="D73" i="1"/>
  <c r="C73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D67" i="1"/>
  <c r="C6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C57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Q30" i="1"/>
  <c r="P30" i="1"/>
  <c r="O30" i="1"/>
  <c r="M30" i="1"/>
  <c r="L30" i="1"/>
  <c r="I30" i="1"/>
  <c r="H30" i="1"/>
  <c r="G30" i="1"/>
  <c r="F30" i="1"/>
  <c r="E30" i="1"/>
  <c r="D30" i="1"/>
  <c r="C30" i="1"/>
  <c r="Q21" i="1"/>
  <c r="P21" i="1"/>
  <c r="O21" i="1"/>
  <c r="N21" i="1"/>
  <c r="M21" i="1"/>
  <c r="L21" i="1"/>
  <c r="J21" i="1"/>
  <c r="I21" i="1"/>
  <c r="H21" i="1"/>
  <c r="G21" i="1"/>
  <c r="F21" i="1"/>
  <c r="E21" i="1"/>
  <c r="D21" i="1"/>
  <c r="C21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<sst xmlns="http://schemas.openxmlformats.org/spreadsheetml/2006/main" count="330" uniqueCount="290">
  <si>
    <t>County</t>
  </si>
  <si>
    <t>Sub-County</t>
  </si>
  <si>
    <t>Milk (kg)</t>
  </si>
  <si>
    <t>Beef (kg)</t>
  </si>
  <si>
    <t>Wool (kg)</t>
  </si>
  <si>
    <t>chevon (kg)</t>
  </si>
  <si>
    <t>Mutton (kg)</t>
  </si>
  <si>
    <t>Pork (kg)</t>
  </si>
  <si>
    <t>Rabbit meat (kg)</t>
  </si>
  <si>
    <t>Poultry meat Ind.(kg)</t>
  </si>
  <si>
    <t>Poultry meat(Broilers) (kg)</t>
  </si>
  <si>
    <t>Camel meat (kg)</t>
  </si>
  <si>
    <t>Honey (kg)</t>
  </si>
  <si>
    <t>Wax (kg)</t>
  </si>
  <si>
    <t>Eggs(Trays)</t>
  </si>
  <si>
    <t>Hides (No.)</t>
  </si>
  <si>
    <t>Skins (No.)</t>
  </si>
  <si>
    <t>Trans-Nzoia</t>
  </si>
  <si>
    <t>Kiminini</t>
  </si>
  <si>
    <t>Saboti</t>
  </si>
  <si>
    <t>Cherangany</t>
  </si>
  <si>
    <t>Endebess</t>
  </si>
  <si>
    <t>Kwanza</t>
  </si>
  <si>
    <t>Totals</t>
  </si>
  <si>
    <t>West Pokot</t>
  </si>
  <si>
    <t>Pokot south</t>
  </si>
  <si>
    <t>pokot north</t>
  </si>
  <si>
    <t>pokot central</t>
  </si>
  <si>
    <t>west pokot</t>
  </si>
  <si>
    <t>Uasin Gishu</t>
  </si>
  <si>
    <t>Ainabkoi</t>
  </si>
  <si>
    <t>Kapseret</t>
  </si>
  <si>
    <t>Kesses</t>
  </si>
  <si>
    <t>Moiben</t>
  </si>
  <si>
    <t>Soy</t>
  </si>
  <si>
    <t>Turbo</t>
  </si>
  <si>
    <t>Total</t>
  </si>
  <si>
    <t>Turkana</t>
  </si>
  <si>
    <t>Loima</t>
  </si>
  <si>
    <t>Turkana Central</t>
  </si>
  <si>
    <t>Turkana South</t>
  </si>
  <si>
    <t>Turkana East</t>
  </si>
  <si>
    <t>Turkana West</t>
  </si>
  <si>
    <t>Turkana North</t>
  </si>
  <si>
    <t>Kibish</t>
  </si>
  <si>
    <t>Kirinyaga</t>
  </si>
  <si>
    <t>Kirinyaga Central</t>
  </si>
  <si>
    <t>Kirinyaga East</t>
  </si>
  <si>
    <t>Kirinyaga West</t>
  </si>
  <si>
    <t>Mwea East</t>
  </si>
  <si>
    <t>Mwea West</t>
  </si>
  <si>
    <t>Nakuru</t>
  </si>
  <si>
    <t>Nakuru West</t>
  </si>
  <si>
    <t xml:space="preserve">                 -  </t>
  </si>
  <si>
    <t>Subukia</t>
  </si>
  <si>
    <t>Rongai</t>
  </si>
  <si>
    <t>Njoro</t>
  </si>
  <si>
    <t>Nakuru East</t>
  </si>
  <si>
    <t>Naivasha</t>
  </si>
  <si>
    <t>Molo</t>
  </si>
  <si>
    <t>Kuresoi South</t>
  </si>
  <si>
    <t xml:space="preserve">                              -  </t>
  </si>
  <si>
    <t xml:space="preserve">                                    -  </t>
  </si>
  <si>
    <t>Kuresoi North</t>
  </si>
  <si>
    <t>Gilgil</t>
  </si>
  <si>
    <t>Bahati</t>
  </si>
  <si>
    <t>Nyandarua</t>
  </si>
  <si>
    <t>Ndaragua</t>
  </si>
  <si>
    <t>Oljo-ororok</t>
  </si>
  <si>
    <t>Olkalau</t>
  </si>
  <si>
    <t>Kipipiri</t>
  </si>
  <si>
    <t>Kinangop</t>
  </si>
  <si>
    <t xml:space="preserve">Totals </t>
  </si>
  <si>
    <t>NYERI</t>
  </si>
  <si>
    <t>KIENI EAST</t>
  </si>
  <si>
    <t>KIENI WEST</t>
  </si>
  <si>
    <t>MATHIRA EAST</t>
  </si>
  <si>
    <t>-</t>
  </si>
  <si>
    <t>MATHIRA WEST</t>
  </si>
  <si>
    <t>MUKURWEINI</t>
  </si>
  <si>
    <t>NYERI CENTRAL</t>
  </si>
  <si>
    <t>NYERI SOUTH</t>
  </si>
  <si>
    <t>TETU</t>
  </si>
  <si>
    <t>EMBU</t>
  </si>
  <si>
    <t>Manyata</t>
  </si>
  <si>
    <t>Runyenjes</t>
  </si>
  <si>
    <t>Mbeere south</t>
  </si>
  <si>
    <t>Mbeere north</t>
  </si>
  <si>
    <t>Isiolo</t>
  </si>
  <si>
    <t>Garbatulla</t>
  </si>
  <si>
    <t>Merti</t>
  </si>
  <si>
    <t>Marsabit</t>
  </si>
  <si>
    <t>Moyale</t>
  </si>
  <si>
    <t>North Horr</t>
  </si>
  <si>
    <t>Saku</t>
  </si>
  <si>
    <t>Laisamis</t>
  </si>
  <si>
    <t>Tharaka Nithi</t>
  </si>
  <si>
    <t>CHUKA</t>
  </si>
  <si>
    <t>GAMBANGOMBE</t>
  </si>
  <si>
    <t>Tharaka North</t>
  </si>
  <si>
    <t>31,75</t>
  </si>
  <si>
    <t>Tharaka South</t>
  </si>
  <si>
    <t>Maara</t>
  </si>
  <si>
    <t>177,38</t>
  </si>
  <si>
    <t>Muthambi</t>
  </si>
  <si>
    <t>Homa Bay</t>
  </si>
  <si>
    <t>Suba South</t>
  </si>
  <si>
    <t>Suba North</t>
  </si>
  <si>
    <t>Rachuonyo North</t>
  </si>
  <si>
    <t xml:space="preserve">Rachuonyo South </t>
  </si>
  <si>
    <t>Rachuonyo East</t>
  </si>
  <si>
    <t>Rangwe</t>
  </si>
  <si>
    <t>Homabay Town</t>
  </si>
  <si>
    <t>Ndhiwa</t>
  </si>
  <si>
    <t>Migori</t>
  </si>
  <si>
    <t>Rongo</t>
  </si>
  <si>
    <t>Awendo</t>
  </si>
  <si>
    <t>Suna West</t>
  </si>
  <si>
    <t>Suna East</t>
  </si>
  <si>
    <t>Kuria West</t>
  </si>
  <si>
    <t>Kuria East</t>
  </si>
  <si>
    <t>Nyatike</t>
  </si>
  <si>
    <t>Uriri</t>
  </si>
  <si>
    <t>TOTAL</t>
  </si>
  <si>
    <t>Siaya</t>
  </si>
  <si>
    <t>Alego Usonga</t>
  </si>
  <si>
    <t>Gem</t>
  </si>
  <si>
    <t>Bondo</t>
  </si>
  <si>
    <t>Ugenya</t>
  </si>
  <si>
    <t>Rarieda</t>
  </si>
  <si>
    <t>Ugunja</t>
  </si>
  <si>
    <t>Kisumu</t>
  </si>
  <si>
    <t>Kisumu East</t>
  </si>
  <si>
    <t>Kisumu West</t>
  </si>
  <si>
    <t>Muhoroni</t>
  </si>
  <si>
    <t>Nyakach</t>
  </si>
  <si>
    <t>Nyando</t>
  </si>
  <si>
    <t>Seme</t>
  </si>
  <si>
    <t>Kilifi</t>
  </si>
  <si>
    <t>Malindi</t>
  </si>
  <si>
    <t>Kilifi south</t>
  </si>
  <si>
    <t>Kaloleni</t>
  </si>
  <si>
    <t>Magarini</t>
  </si>
  <si>
    <t>Ganze</t>
  </si>
  <si>
    <t>Kilifi North</t>
  </si>
  <si>
    <t>Rabai</t>
  </si>
  <si>
    <t>Kwale</t>
  </si>
  <si>
    <t>KINANGO</t>
  </si>
  <si>
    <t>N/A</t>
  </si>
  <si>
    <t>Msambweni</t>
  </si>
  <si>
    <t>Matuga</t>
  </si>
  <si>
    <t>lungalunga</t>
  </si>
  <si>
    <t>Mombasa</t>
  </si>
  <si>
    <t xml:space="preserve">Nyali </t>
  </si>
  <si>
    <t>Kisauni</t>
  </si>
  <si>
    <t xml:space="preserve">Changamwe </t>
  </si>
  <si>
    <t>Jomvu</t>
  </si>
  <si>
    <t>Likoni</t>
  </si>
  <si>
    <t xml:space="preserve">Mvita </t>
  </si>
  <si>
    <t>T/Taveta</t>
  </si>
  <si>
    <t>Mwatate</t>
  </si>
  <si>
    <t>Voi</t>
  </si>
  <si>
    <t>Taita</t>
  </si>
  <si>
    <t>Taveta</t>
  </si>
  <si>
    <t>Vihiga</t>
  </si>
  <si>
    <t>Emuhaya</t>
  </si>
  <si>
    <t>Luanda</t>
  </si>
  <si>
    <t>Sabatia</t>
  </si>
  <si>
    <t>Hamisi</t>
  </si>
  <si>
    <t>Bungoma</t>
  </si>
  <si>
    <t>Kanduyi</t>
  </si>
  <si>
    <t>Webuye E.</t>
  </si>
  <si>
    <t>Webuye W.</t>
  </si>
  <si>
    <t>Kimilili</t>
  </si>
  <si>
    <t>Kabuchai</t>
  </si>
  <si>
    <t>Sirisia</t>
  </si>
  <si>
    <t>Mt. Elgon</t>
  </si>
  <si>
    <t>Bumula</t>
  </si>
  <si>
    <t>Tongaren</t>
  </si>
  <si>
    <t>Nyamira</t>
  </si>
  <si>
    <t>Nyamira South</t>
  </si>
  <si>
    <t>Nyamira North</t>
  </si>
  <si>
    <t>Manga</t>
  </si>
  <si>
    <t>Masaba North</t>
  </si>
  <si>
    <t>Borabu</t>
  </si>
  <si>
    <t>KISII</t>
  </si>
  <si>
    <t>ETAGO</t>
  </si>
  <si>
    <t>GUCHA</t>
  </si>
  <si>
    <t>GUCHA SOUTH</t>
  </si>
  <si>
    <t>KENYENYA</t>
  </si>
  <si>
    <t>KISII CENTRAL</t>
  </si>
  <si>
    <t>KISII SOUTH</t>
  </si>
  <si>
    <t>KITUTU CENTRAL</t>
  </si>
  <si>
    <t>MARANI</t>
  </si>
  <si>
    <t>MASABA SOUTH</t>
  </si>
  <si>
    <t>NYAMACHE</t>
  </si>
  <si>
    <t>SAMETA</t>
  </si>
  <si>
    <t>Bomet</t>
  </si>
  <si>
    <t>Sotik</t>
  </si>
  <si>
    <t>Konoini</t>
  </si>
  <si>
    <t>Chebalungu</t>
  </si>
  <si>
    <t>Bomet East</t>
  </si>
  <si>
    <t>Bomet Central</t>
  </si>
  <si>
    <t>NAROK</t>
  </si>
  <si>
    <t>NAROK EAST</t>
  </si>
  <si>
    <t>NAROK NORTH</t>
  </si>
  <si>
    <t>NAROK SOUTH</t>
  </si>
  <si>
    <t>NAROK WEST</t>
  </si>
  <si>
    <t>TRANS MARA EAST</t>
  </si>
  <si>
    <t>TRANS MARA WEST</t>
  </si>
  <si>
    <t>MAU FOREST</t>
  </si>
  <si>
    <t xml:space="preserve">Nairobi </t>
  </si>
  <si>
    <t>DAGORETTI</t>
  </si>
  <si>
    <t xml:space="preserve">EMBAKASI </t>
  </si>
  <si>
    <t>KAMUKUNJI</t>
  </si>
  <si>
    <t>NJIRU</t>
  </si>
  <si>
    <t>KIBRA</t>
  </si>
  <si>
    <t>LANGATA</t>
  </si>
  <si>
    <t>MAKADARA</t>
  </si>
  <si>
    <t>MATHARE</t>
  </si>
  <si>
    <t>KASARANI</t>
  </si>
  <si>
    <t xml:space="preserve">STAREHE </t>
  </si>
  <si>
    <t>WESTLANDS</t>
  </si>
  <si>
    <t>Kiambu</t>
  </si>
  <si>
    <t>Kikuyu</t>
  </si>
  <si>
    <t>Kiambaa</t>
  </si>
  <si>
    <t>Juja</t>
  </si>
  <si>
    <t>Gatundu North</t>
  </si>
  <si>
    <t>Gatundu south</t>
  </si>
  <si>
    <t>Githunguri</t>
  </si>
  <si>
    <t>Kabete</t>
  </si>
  <si>
    <t>Ruiru</t>
  </si>
  <si>
    <t>Limuru</t>
  </si>
  <si>
    <t>Thika</t>
  </si>
  <si>
    <t>Lari</t>
  </si>
  <si>
    <t xml:space="preserve">Samburu </t>
  </si>
  <si>
    <t xml:space="preserve">Samburu Central </t>
  </si>
  <si>
    <t xml:space="preserve">Samburu East </t>
  </si>
  <si>
    <t xml:space="preserve">Samburu North </t>
  </si>
  <si>
    <t>Murang'a</t>
  </si>
  <si>
    <t>Gatanga</t>
  </si>
  <si>
    <t>Kandara</t>
  </si>
  <si>
    <t>Kigumo</t>
  </si>
  <si>
    <t>Maragua</t>
  </si>
  <si>
    <t>Kahuro</t>
  </si>
  <si>
    <t>Kiharu</t>
  </si>
  <si>
    <t>Mathioya</t>
  </si>
  <si>
    <t>Kangema</t>
  </si>
  <si>
    <t>Laikipia</t>
  </si>
  <si>
    <t xml:space="preserve">Laikipia North  </t>
  </si>
  <si>
    <t>Laikipia East</t>
  </si>
  <si>
    <t>Laikipia West</t>
  </si>
  <si>
    <t>Kajiado</t>
  </si>
  <si>
    <t>Central</t>
  </si>
  <si>
    <t>East</t>
  </si>
  <si>
    <t>West</t>
  </si>
  <si>
    <t>North</t>
  </si>
  <si>
    <t>South</t>
  </si>
  <si>
    <t>Machakos</t>
  </si>
  <si>
    <t>Mavoko</t>
  </si>
  <si>
    <t>Mwala</t>
  </si>
  <si>
    <t>Matungulu</t>
  </si>
  <si>
    <t>Kathiani</t>
  </si>
  <si>
    <t>Masinga</t>
  </si>
  <si>
    <t>Kangundo</t>
  </si>
  <si>
    <t>Yatta</t>
  </si>
  <si>
    <t>Makueni</t>
  </si>
  <si>
    <t>kilome</t>
  </si>
  <si>
    <t>makueni</t>
  </si>
  <si>
    <t>mbooni</t>
  </si>
  <si>
    <t>kibwezi east</t>
  </si>
  <si>
    <t>kaiti</t>
  </si>
  <si>
    <t>kibwezi west</t>
  </si>
  <si>
    <t>Kitui</t>
  </si>
  <si>
    <t>Mwingi North</t>
  </si>
  <si>
    <t>Mwingi West</t>
  </si>
  <si>
    <t>Mwingi Central</t>
  </si>
  <si>
    <t>Kitui West</t>
  </si>
  <si>
    <t>Kitui Rural</t>
  </si>
  <si>
    <t>Kitui Central</t>
  </si>
  <si>
    <t>Kitui East</t>
  </si>
  <si>
    <t>Kitui South</t>
  </si>
  <si>
    <t>Busia</t>
  </si>
  <si>
    <t>Teso North</t>
  </si>
  <si>
    <t xml:space="preserve">Teso South  </t>
  </si>
  <si>
    <t xml:space="preserve">Nambale </t>
  </si>
  <si>
    <t xml:space="preserve">Samia </t>
  </si>
  <si>
    <t>Bunyala</t>
  </si>
  <si>
    <t xml:space="preserve">Butula </t>
  </si>
  <si>
    <t>Matayos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</si>
</sst>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_ * #,##0.00_ ;_ * \-#,##0.00_ ;_ * &quot;-&quot;??_ ;_ @_ "/>
    <numFmt numFmtId="165" formatCode="_-* #,##0.00_-;\-* #,##0.00_-;_-* &quot;-&quot;??_-;_-@_-"/>
    <numFmt numFmtId="166" formatCode="_(* #,##0_);_(* \(#,##0\);_(* &quot;-&quot;??_);_(@_)"/>
    <numFmt numFmtId="167" formatCode="_ * #,##0_ ;_ * \-#,##0_ ;_ * &quot;-&quot;??_ ;_ @_ "/>
    <numFmt numFmtId="168" formatCode="_-* #,##0_-;\-* #,##0_-;_-* &quot;-&quot;??_-;_-@_-"/>
  </numFmts>
  <fonts count="10">
    <font>
      <sz val="11"/>
      <color theme="1"/>
      <name val="Calibri"/>
      <charset val="134"/>
      <scheme val="minor"/>
    </font>
    <font>
      <sz val="12"/>
      <name val="Times New Roman"/>
      <charset val="134"/>
    </font>
    <font>
      <sz val="12"/>
      <color theme="1"/>
      <name val="Times New Roman"/>
      <charset val="134"/>
    </font>
    <font>
      <b/>
      <sz val="12"/>
      <color theme="1"/>
      <name val="Times New Roman"/>
      <charset val="134"/>
    </font>
    <font>
      <b/>
      <sz val="12"/>
      <name val="Times New Roman"/>
      <charset val="134"/>
    </font>
    <font>
      <sz val="11"/>
      <name val="Georgia"/>
      <charset val="134"/>
    </font>
    <font>
      <sz val="11"/>
      <name val="Calibri"/>
      <charset val="134"/>
      <scheme val="minor"/>
    </font>
    <font>
      <b/>
      <sz val="11"/>
      <name val="Calibri"/>
      <charset val="134"/>
      <scheme val="minor"/>
    </font>
    <font>
      <sz val="11"/>
      <color indexed="8"/>
      <name val="Calibri"/>
      <charset val="134"/>
    </font>
    <font>
      <sz val="11"/>
      <color theme="1"/>
      <name val="Calibri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8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>
      <alignment vertical="center"/>
    </xf>
    <xf numFmtId="164" fontId="9" fillId="0" borderId="0" applyFont="0" applyFill="0" applyBorder="0" applyAlignment="0" applyProtection="0">
      <alignment vertical="center"/>
    </xf>
    <xf numFmtId="165" fontId="8" fillId="0" borderId="0" applyFont="0" applyFill="0" applyBorder="0" applyAlignment="0" applyProtection="0"/>
    <xf numFmtId="0" fontId="8" fillId="0" borderId="0"/>
    <xf numFmtId="165" fontId="9" fillId="0" borderId="0" applyFont="0" applyFill="0" applyBorder="0" applyAlignment="0" applyProtection="0"/>
    <xf numFmtId="0" fontId="9" fillId="0" borderId="0"/>
  </cellStyleXfs>
  <cellXfs count="102">
    <xf numFmtId="0" fontId="0" fillId="0" borderId="0" xfId="0">
      <alignment vertical="center"/>
    </xf>
    <xf numFmtId="0" fontId="1" fillId="0" borderId="0" xfId="0" applyFont="1" applyFill="1" applyBorder="1" applyAlignment="1"/>
    <xf numFmtId="0" fontId="2" fillId="0" borderId="0" xfId="0" applyFont="1" applyFill="1" applyBorder="1" applyAlignment="1"/>
    <xf numFmtId="0" fontId="3" fillId="0" borderId="0" xfId="0" applyFont="1" applyFill="1" applyBorder="1" applyAlignment="1"/>
    <xf numFmtId="0" fontId="1" fillId="0" borderId="0" xfId="0" applyFont="1" applyFill="1" applyBorder="1" applyAlignment="1">
      <alignment vertical="top"/>
    </xf>
    <xf numFmtId="166" fontId="1" fillId="0" borderId="0" xfId="1" applyNumberFormat="1" applyFont="1" applyBorder="1" applyAlignment="1">
      <alignment vertical="top"/>
    </xf>
    <xf numFmtId="0" fontId="4" fillId="0" borderId="0" xfId="0" applyFont="1" applyFill="1" applyBorder="1" applyAlignment="1">
      <alignment vertical="top"/>
    </xf>
    <xf numFmtId="166" fontId="4" fillId="0" borderId="0" xfId="1" applyNumberFormat="1" applyFont="1" applyBorder="1" applyAlignment="1">
      <alignment vertical="top"/>
    </xf>
    <xf numFmtId="166" fontId="1" fillId="0" borderId="0" xfId="1" applyNumberFormat="1" applyFont="1" applyBorder="1" applyAlignment="1"/>
    <xf numFmtId="166" fontId="1" fillId="0" borderId="0" xfId="1" applyNumberFormat="1" applyFont="1" applyBorder="1" applyAlignment="1">
      <alignment horizontal="right" vertical="center"/>
    </xf>
    <xf numFmtId="166" fontId="1" fillId="2" borderId="0" xfId="1" applyNumberFormat="1" applyFont="1" applyFill="1" applyBorder="1" applyAlignment="1">
      <alignment horizontal="right" vertical="center"/>
    </xf>
    <xf numFmtId="166" fontId="1" fillId="0" borderId="0" xfId="1" applyNumberFormat="1" applyFont="1" applyBorder="1" applyAlignment="1">
      <alignment horizontal="center"/>
    </xf>
    <xf numFmtId="166" fontId="1" fillId="0" borderId="0" xfId="1" applyNumberFormat="1" applyFont="1" applyFill="1" applyBorder="1" applyAlignment="1"/>
    <xf numFmtId="166" fontId="4" fillId="0" borderId="0" xfId="1" applyNumberFormat="1" applyFont="1" applyBorder="1" applyAlignment="1"/>
    <xf numFmtId="166" fontId="1" fillId="0" borderId="0" xfId="1" applyNumberFormat="1" applyFont="1" applyFill="1" applyBorder="1" applyAlignment="1">
      <alignment horizontal="right"/>
    </xf>
    <xf numFmtId="166" fontId="1" fillId="0" borderId="0" xfId="1" applyNumberFormat="1" applyFont="1" applyFill="1" applyBorder="1" applyAlignment="1">
      <alignment horizontal="right" vertical="top"/>
    </xf>
    <xf numFmtId="166" fontId="1" fillId="0" borderId="0" xfId="1" applyNumberFormat="1" applyFont="1" applyFill="1" applyBorder="1" applyAlignment="1">
      <alignment horizontal="right" vertical="center"/>
    </xf>
    <xf numFmtId="0" fontId="4" fillId="0" borderId="0" xfId="0" applyFont="1" applyFill="1" applyBorder="1" applyAlignment="1"/>
    <xf numFmtId="166" fontId="4" fillId="0" borderId="0" xfId="1" applyNumberFormat="1" applyFont="1" applyFill="1" applyBorder="1" applyAlignment="1">
      <alignment horizontal="right" vertical="top"/>
    </xf>
    <xf numFmtId="166" fontId="1" fillId="0" borderId="0" xfId="1" applyNumberFormat="1" applyFont="1" applyBorder="1" applyAlignment="1" applyProtection="1">
      <alignment vertical="top"/>
    </xf>
    <xf numFmtId="166" fontId="1" fillId="0" borderId="0" xfId="1" applyNumberFormat="1" applyFont="1" applyFill="1" applyBorder="1" applyAlignment="1">
      <alignment horizontal="left" vertical="top"/>
    </xf>
    <xf numFmtId="166" fontId="1" fillId="0" borderId="0" xfId="1" applyNumberFormat="1" applyFont="1" applyFill="1" applyBorder="1" applyAlignment="1">
      <alignment vertical="top"/>
    </xf>
    <xf numFmtId="0" fontId="1" fillId="0" borderId="0" xfId="0" applyFont="1" applyFill="1" applyBorder="1" applyAlignment="1">
      <alignment horizontal="left" vertical="top"/>
    </xf>
    <xf numFmtId="166" fontId="1" fillId="0" borderId="0" xfId="1" applyNumberFormat="1" applyFont="1" applyFill="1" applyBorder="1" applyAlignment="1">
      <alignment horizontal="left"/>
    </xf>
    <xf numFmtId="166" fontId="1" fillId="0" borderId="0" xfId="1" applyNumberFormat="1" applyFont="1" applyBorder="1" applyAlignment="1" applyProtection="1"/>
    <xf numFmtId="0" fontId="4" fillId="0" borderId="0" xfId="0" applyFont="1" applyFill="1" applyBorder="1" applyAlignment="1">
      <alignment vertical="center"/>
    </xf>
    <xf numFmtId="166" fontId="1" fillId="0" borderId="0" xfId="1" applyNumberFormat="1" applyFont="1" applyBorder="1" applyAlignment="1">
      <alignment vertical="center"/>
    </xf>
    <xf numFmtId="166" fontId="4" fillId="0" borderId="0" xfId="1" applyNumberFormat="1" applyFont="1" applyBorder="1" applyAlignment="1">
      <alignment vertical="center"/>
    </xf>
    <xf numFmtId="166" fontId="1" fillId="0" borderId="0" xfId="1" applyNumberFormat="1" applyFont="1" applyBorder="1" applyAlignment="1">
      <alignment horizontal="right" vertical="top"/>
    </xf>
    <xf numFmtId="0" fontId="4" fillId="0" borderId="0" xfId="0" applyFont="1" applyFill="1" applyBorder="1" applyAlignment="1">
      <alignment horizontal="left" vertical="top"/>
    </xf>
    <xf numFmtId="166" fontId="4" fillId="0" borderId="0" xfId="1" applyNumberFormat="1" applyFont="1" applyBorder="1" applyAlignment="1">
      <alignment horizontal="right" vertical="top"/>
    </xf>
    <xf numFmtId="0" fontId="1" fillId="0" borderId="0" xfId="0" applyFont="1" applyFill="1" applyBorder="1" applyAlignment="1">
      <alignment vertical="top" wrapText="1"/>
    </xf>
    <xf numFmtId="167" fontId="1" fillId="0" borderId="0" xfId="1" applyNumberFormat="1" applyFont="1" applyBorder="1" applyAlignment="1">
      <alignment vertical="top" wrapText="1"/>
    </xf>
    <xf numFmtId="167" fontId="4" fillId="0" borderId="0" xfId="0" applyNumberFormat="1" applyFont="1" applyFill="1" applyBorder="1" applyAlignment="1"/>
    <xf numFmtId="167" fontId="1" fillId="3" borderId="0" xfId="1" applyNumberFormat="1" applyFont="1" applyFill="1" applyBorder="1" applyAlignment="1">
      <alignment vertical="top" wrapText="1"/>
    </xf>
    <xf numFmtId="0" fontId="5" fillId="0" borderId="0" xfId="0" applyFont="1" applyFill="1" applyBorder="1" applyAlignment="1">
      <alignment horizontal="left" vertical="center" wrapText="1"/>
    </xf>
    <xf numFmtId="166" fontId="1" fillId="3" borderId="0" xfId="1" applyNumberFormat="1" applyFont="1" applyFill="1" applyBorder="1" applyAlignment="1">
      <alignment vertical="top" wrapText="1"/>
    </xf>
    <xf numFmtId="0" fontId="1" fillId="3" borderId="0" xfId="0" applyFont="1" applyFill="1" applyBorder="1" applyAlignment="1">
      <alignment vertical="top" wrapText="1"/>
    </xf>
    <xf numFmtId="3" fontId="1" fillId="3" borderId="0" xfId="0" applyNumberFormat="1" applyFont="1" applyFill="1" applyBorder="1" applyAlignment="1">
      <alignment vertical="top" wrapText="1"/>
    </xf>
    <xf numFmtId="0" fontId="5" fillId="0" borderId="0" xfId="0" applyFont="1" applyFill="1" applyBorder="1" applyAlignment="1">
      <alignment horizontal="left" vertical="center"/>
    </xf>
    <xf numFmtId="166" fontId="4" fillId="0" borderId="0" xfId="0" applyNumberFormat="1" applyFont="1" applyFill="1" applyBorder="1" applyAlignment="1"/>
    <xf numFmtId="166" fontId="1" fillId="0" borderId="0" xfId="1" applyNumberFormat="1" applyFont="1" applyBorder="1" applyAlignment="1"/>
    <xf numFmtId="166" fontId="1" fillId="3" borderId="0" xfId="1" applyNumberFormat="1" applyFont="1" applyFill="1" applyBorder="1" applyAlignment="1">
      <alignment horizontal="right" vertical="top"/>
    </xf>
    <xf numFmtId="166" fontId="1" fillId="0" borderId="0" xfId="1" applyNumberFormat="1" applyFont="1" applyBorder="1" applyAlignment="1">
      <alignment horizontal="right"/>
    </xf>
    <xf numFmtId="166" fontId="1" fillId="3" borderId="0" xfId="1" applyNumberFormat="1" applyFont="1" applyFill="1" applyBorder="1" applyAlignment="1">
      <alignment horizontal="right"/>
    </xf>
    <xf numFmtId="167" fontId="6" fillId="3" borderId="0" xfId="1" applyNumberFormat="1" applyFont="1" applyFill="1" applyBorder="1" applyAlignment="1"/>
    <xf numFmtId="167" fontId="1" fillId="3" borderId="0" xfId="1" applyNumberFormat="1" applyFont="1" applyFill="1" applyBorder="1" applyAlignment="1"/>
    <xf numFmtId="167" fontId="1" fillId="0" borderId="0" xfId="1" applyNumberFormat="1" applyFont="1" applyBorder="1" applyAlignment="1"/>
    <xf numFmtId="167" fontId="1" fillId="0" borderId="0" xfId="1" applyNumberFormat="1" applyFont="1" applyBorder="1" applyAlignment="1">
      <alignment vertical="top"/>
    </xf>
    <xf numFmtId="166" fontId="1" fillId="3" borderId="0" xfId="1" applyNumberFormat="1" applyFont="1" applyFill="1" applyBorder="1" applyAlignment="1"/>
    <xf numFmtId="166" fontId="1" fillId="3" borderId="0" xfId="1" applyNumberFormat="1" applyFont="1" applyFill="1" applyBorder="1" applyAlignment="1">
      <alignment vertical="top"/>
    </xf>
    <xf numFmtId="168" fontId="1" fillId="0" borderId="0" xfId="1" applyNumberFormat="1" applyFont="1" applyBorder="1" applyAlignment="1">
      <alignment vertical="top" wrapText="1"/>
    </xf>
    <xf numFmtId="168" fontId="4" fillId="0" borderId="0" xfId="0" applyNumberFormat="1" applyFont="1" applyFill="1" applyBorder="1" applyAlignment="1"/>
    <xf numFmtId="166" fontId="1" fillId="0" borderId="0" xfId="1" applyNumberFormat="1" applyFont="1" applyBorder="1" applyAlignment="1">
      <alignment vertical="top" wrapText="1"/>
    </xf>
    <xf numFmtId="166" fontId="6" fillId="0" borderId="0" xfId="1" applyNumberFormat="1" applyFont="1" applyBorder="1" applyAlignment="1"/>
    <xf numFmtId="168" fontId="1" fillId="3" borderId="0" xfId="1" applyNumberFormat="1" applyFont="1" applyFill="1" applyBorder="1" applyAlignment="1">
      <alignment vertical="top" wrapText="1"/>
    </xf>
    <xf numFmtId="168" fontId="1" fillId="3" borderId="0" xfId="1" applyNumberFormat="1" applyFont="1" applyFill="1" applyBorder="1" applyAlignment="1"/>
    <xf numFmtId="168" fontId="1" fillId="3" borderId="0" xfId="1" applyNumberFormat="1" applyFont="1" applyFill="1" applyBorder="1" applyAlignment="1">
      <alignment vertical="top"/>
    </xf>
    <xf numFmtId="168" fontId="4" fillId="0" borderId="0" xfId="1" applyNumberFormat="1" applyFont="1" applyBorder="1" applyAlignment="1">
      <alignment vertical="top" wrapText="1"/>
    </xf>
    <xf numFmtId="0" fontId="1" fillId="4" borderId="0" xfId="0" applyFont="1" applyFill="1" applyBorder="1" applyAlignment="1">
      <alignment vertical="top" wrapText="1"/>
    </xf>
    <xf numFmtId="166" fontId="1" fillId="0" borderId="0" xfId="0" applyNumberFormat="1" applyFont="1" applyFill="1" applyBorder="1" applyAlignment="1">
      <alignment vertical="top" wrapText="1"/>
    </xf>
    <xf numFmtId="166" fontId="1" fillId="5" borderId="0" xfId="0" applyNumberFormat="1" applyFont="1" applyFill="1" applyBorder="1" applyAlignment="1">
      <alignment vertical="top" wrapText="1"/>
    </xf>
    <xf numFmtId="0" fontId="1" fillId="3" borderId="0" xfId="0" applyFont="1" applyFill="1" applyBorder="1" applyAlignment="1"/>
    <xf numFmtId="1" fontId="1" fillId="3" borderId="0" xfId="0" applyNumberFormat="1" applyFont="1" applyFill="1" applyBorder="1" applyAlignment="1"/>
    <xf numFmtId="168" fontId="1" fillId="0" borderId="0" xfId="2" applyNumberFormat="1" applyFont="1" applyBorder="1" applyAlignment="1"/>
    <xf numFmtId="1" fontId="1" fillId="0" borderId="0" xfId="0" applyNumberFormat="1" applyFont="1" applyFill="1" applyBorder="1" applyAlignment="1">
      <alignment vertical="center"/>
    </xf>
    <xf numFmtId="1" fontId="1" fillId="0" borderId="0" xfId="0" applyNumberFormat="1" applyFont="1" applyFill="1" applyBorder="1" applyAlignment="1">
      <alignment horizontal="left" vertical="top"/>
    </xf>
    <xf numFmtId="168" fontId="1" fillId="0" borderId="0" xfId="1" applyNumberFormat="1" applyFont="1" applyBorder="1" applyAlignment="1"/>
    <xf numFmtId="168" fontId="1" fillId="0" borderId="0" xfId="1" applyNumberFormat="1" applyFont="1" applyBorder="1" applyAlignment="1">
      <alignment horizontal="right"/>
    </xf>
    <xf numFmtId="168" fontId="1" fillId="0" borderId="0" xfId="1" applyNumberFormat="1" applyFont="1" applyBorder="1" applyAlignment="1">
      <alignment vertical="top"/>
    </xf>
    <xf numFmtId="166" fontId="7" fillId="0" borderId="0" xfId="1" applyNumberFormat="1" applyFont="1" applyBorder="1" applyAlignment="1"/>
    <xf numFmtId="168" fontId="4" fillId="3" borderId="0" xfId="1" applyNumberFormat="1" applyFont="1" applyFill="1" applyBorder="1" applyAlignment="1">
      <alignment vertical="top" wrapText="1"/>
    </xf>
    <xf numFmtId="168" fontId="4" fillId="3" borderId="0" xfId="1" applyNumberFormat="1" applyFont="1" applyFill="1" applyBorder="1" applyAlignment="1"/>
    <xf numFmtId="3" fontId="1" fillId="0" borderId="0" xfId="3" applyNumberFormat="1" applyFont="1" applyFill="1" applyBorder="1" applyAlignment="1" applyProtection="1">
      <protection locked="0"/>
    </xf>
    <xf numFmtId="1" fontId="1" fillId="0" borderId="0" xfId="0" applyNumberFormat="1" applyFont="1" applyFill="1" applyBorder="1" applyAlignment="1"/>
    <xf numFmtId="168" fontId="1" fillId="0" borderId="0" xfId="0" applyNumberFormat="1" applyFont="1" applyFill="1" applyBorder="1" applyAlignment="1"/>
    <xf numFmtId="168" fontId="1" fillId="0" borderId="0" xfId="4" applyNumberFormat="1" applyFont="1" applyBorder="1" applyAlignment="1"/>
    <xf numFmtId="168" fontId="1" fillId="0" borderId="0" xfId="4" applyNumberFormat="1" applyFont="1" applyBorder="1" applyAlignment="1">
      <alignment vertical="top"/>
    </xf>
    <xf numFmtId="168" fontId="1" fillId="0" borderId="0" xfId="4" applyNumberFormat="1" applyFont="1" applyBorder="1" applyAlignment="1">
      <alignment vertical="center"/>
    </xf>
    <xf numFmtId="0" fontId="1" fillId="3" borderId="0" xfId="0" applyFont="1" applyFill="1" applyBorder="1" applyAlignment="1">
      <alignment vertical="top"/>
    </xf>
    <xf numFmtId="1" fontId="1" fillId="3" borderId="0" xfId="0" applyNumberFormat="1" applyFont="1" applyFill="1" applyBorder="1" applyAlignment="1">
      <alignment vertical="top"/>
    </xf>
    <xf numFmtId="0" fontId="1" fillId="0" borderId="0" xfId="0" applyFont="1" applyFill="1" applyBorder="1" applyAlignment="1">
      <alignment vertical="center"/>
    </xf>
    <xf numFmtId="1" fontId="1" fillId="0" borderId="0" xfId="0" applyNumberFormat="1" applyFont="1" applyFill="1" applyBorder="1" applyAlignment="1">
      <alignment vertical="top"/>
    </xf>
    <xf numFmtId="166" fontId="1" fillId="3" borderId="0" xfId="1" applyNumberFormat="1" applyFont="1" applyFill="1" applyBorder="1" applyAlignment="1"/>
    <xf numFmtId="166" fontId="1" fillId="6" borderId="0" xfId="1" applyNumberFormat="1" applyFont="1" applyFill="1" applyBorder="1" applyAlignment="1">
      <alignment vertical="top"/>
    </xf>
    <xf numFmtId="166" fontId="1" fillId="0" borderId="0" xfId="1" applyNumberFormat="1" applyFont="1" applyBorder="1" applyAlignment="1">
      <alignment horizontal="center" vertical="top"/>
    </xf>
    <xf numFmtId="168" fontId="1" fillId="7" borderId="0" xfId="4" applyNumberFormat="1" applyFont="1" applyFill="1" applyBorder="1" applyAlignment="1"/>
    <xf numFmtId="0" fontId="1" fillId="0" borderId="0" xfId="0" applyFont="1" applyFill="1" applyBorder="1" applyAlignment="1">
      <alignment horizontal="right" vertical="center"/>
    </xf>
    <xf numFmtId="3" fontId="1" fillId="0" borderId="0" xfId="0" applyNumberFormat="1" applyFont="1" applyFill="1" applyBorder="1" applyAlignment="1">
      <alignment horizontal="right" vertical="center"/>
    </xf>
    <xf numFmtId="0" fontId="1" fillId="0" borderId="0" xfId="0" applyFont="1" applyFill="1" applyBorder="1" applyAlignment="1">
      <alignment horizontal="left" vertical="center"/>
    </xf>
    <xf numFmtId="166" fontId="1" fillId="0" borderId="0" xfId="1" applyNumberFormat="1" applyFont="1" applyFill="1" applyBorder="1" applyAlignment="1">
      <alignment vertical="top" wrapText="1"/>
    </xf>
    <xf numFmtId="0" fontId="1" fillId="0" borderId="0" xfId="5" applyFont="1" applyBorder="1" applyAlignment="1">
      <alignment vertical="top" wrapText="1"/>
    </xf>
    <xf numFmtId="166" fontId="4" fillId="0" borderId="0" xfId="0" applyNumberFormat="1" applyFont="1" applyFill="1" applyBorder="1" applyAlignment="1">
      <alignment vertical="top"/>
    </xf>
    <xf numFmtId="166" fontId="1" fillId="0" borderId="0" xfId="1" applyNumberFormat="1" applyFont="1" applyBorder="1" applyAlignment="1">
      <alignment horizontal="center" vertical="center"/>
    </xf>
    <xf numFmtId="166" fontId="1" fillId="0" borderId="0" xfId="0" applyNumberFormat="1" applyFont="1" applyFill="1" applyBorder="1" applyAlignment="1"/>
    <xf numFmtId="0" fontId="2" fillId="0" borderId="0" xfId="0" applyFont="1" applyFill="1" applyBorder="1" applyAlignment="1">
      <alignment vertical="top" wrapText="1"/>
    </xf>
    <xf numFmtId="3" fontId="2" fillId="0" borderId="0" xfId="0" applyNumberFormat="1" applyFont="1" applyFill="1" applyBorder="1" applyAlignment="1">
      <alignment vertical="top" wrapText="1"/>
    </xf>
    <xf numFmtId="3" fontId="3" fillId="0" borderId="0" xfId="0" applyNumberFormat="1" applyFont="1" applyFill="1" applyBorder="1" applyAlignment="1"/>
    <xf numFmtId="166" fontId="1" fillId="0" borderId="0" xfId="1" applyNumberFormat="1" applyFont="1" applyFill="1" applyBorder="1" applyAlignment="1"/>
    <xf numFmtId="3" fontId="2" fillId="3" borderId="0" xfId="0" applyNumberFormat="1" applyFont="1" applyFill="1" applyBorder="1" applyAlignment="1">
      <alignment vertical="top" wrapText="1"/>
    </xf>
    <xf numFmtId="0" fontId="2" fillId="3" borderId="0" xfId="0" applyFont="1" applyFill="1" applyBorder="1" applyAlignment="1">
      <alignment vertical="top" wrapText="1"/>
    </xf>
    <xf numFmtId="0" fontId="2" fillId="0" borderId="0" xfId="0" applyFont="1" applyFill="1" applyBorder="1" applyAlignment="1">
      <alignment vertical="top"/>
    </xf>
  </cellXfs>
  <cellStyles count="6">
    <cellStyle name="Comma" xfId="1" builtinId="3"/>
    <cellStyle name="Comma 2 2" xfId="4" xr:uid="{00000000-0005-0000-0000-000033000000}"/>
    <cellStyle name="Comma 3" xfId="2" xr:uid="{00000000-0005-0000-0000-000031000000}"/>
    <cellStyle name="Normal" xfId="0" builtinId="0"/>
    <cellStyle name="Normal 2" xfId="5" xr:uid="{00000000-0005-0000-0000-000034000000}"/>
    <cellStyle name="Normal 3" xfId="3" xr:uid="{00000000-0005-0000-0000-000032000000}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06"/>
  <sheetViews>
    <sheetView tabSelected="1" topLeftCell="A88" workbookViewId="0">
      <selection activeCell="A95" sqref="A95"/>
    </sheetView>
  </sheetViews>
  <sheetFormatPr defaultColWidth="8.85546875" defaultRowHeight="15.75"/>
  <cols>
    <col min="1" max="1" width="15.5703125" style="1" customWidth="1"/>
    <col min="2" max="2" width="18.140625" style="1" customWidth="1"/>
    <col min="3" max="3" width="16.140625" style="1" customWidth="1"/>
    <col min="4" max="4" width="15" style="1" customWidth="1"/>
    <col min="5" max="5" width="13.5703125" style="1" customWidth="1"/>
    <col min="6" max="7" width="15" style="1" customWidth="1"/>
    <col min="8" max="8" width="13.85546875" style="1" customWidth="1"/>
    <col min="9" max="9" width="15.85546875" style="1" customWidth="1"/>
    <col min="10" max="10" width="20" style="1" customWidth="1"/>
    <col min="11" max="11" width="24.85546875" style="1" customWidth="1"/>
    <col min="12" max="12" width="15.85546875" style="1" customWidth="1"/>
    <col min="13" max="13" width="13.85546875" style="1" customWidth="1"/>
    <col min="14" max="14" width="11" style="1" customWidth="1"/>
    <col min="15" max="15" width="14.85546875" style="1" customWidth="1"/>
    <col min="16" max="16" width="11" style="1" customWidth="1"/>
    <col min="17" max="17" width="12.140625" style="1" customWidth="1"/>
    <col min="18" max="18" width="14.140625" style="1" customWidth="1"/>
    <col min="19" max="16384" width="8.85546875" style="1"/>
  </cols>
  <sheetData>
    <row r="1" spans="1:17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</row>
    <row r="2" spans="1:17">
      <c r="A2" s="4" t="s">
        <v>17</v>
      </c>
      <c r="B2" s="4" t="s">
        <v>18</v>
      </c>
      <c r="C2" s="5">
        <v>33108209</v>
      </c>
      <c r="D2" s="5">
        <v>613260</v>
      </c>
      <c r="E2" s="5"/>
      <c r="F2" s="5">
        <v>10040</v>
      </c>
      <c r="G2" s="5">
        <v>66540</v>
      </c>
      <c r="H2" s="5">
        <f>54380*1.1</f>
        <v>59818</v>
      </c>
      <c r="I2" s="5">
        <v>1610</v>
      </c>
      <c r="J2" s="5">
        <v>120980</v>
      </c>
      <c r="K2" s="5">
        <v>13040</v>
      </c>
      <c r="L2" s="5"/>
      <c r="M2" s="5">
        <v>34989</v>
      </c>
      <c r="N2" s="8"/>
      <c r="O2" s="8">
        <v>379410</v>
      </c>
      <c r="P2" s="5"/>
      <c r="Q2" s="5"/>
    </row>
    <row r="3" spans="1:17">
      <c r="A3" s="4"/>
      <c r="B3" s="4" t="s">
        <v>19</v>
      </c>
      <c r="C3" s="5">
        <v>26661882.628083799</v>
      </c>
      <c r="D3" s="5">
        <v>476850</v>
      </c>
      <c r="E3" s="5"/>
      <c r="F3" s="5">
        <v>11140</v>
      </c>
      <c r="G3" s="5">
        <v>46130</v>
      </c>
      <c r="H3" s="5">
        <f>43540*1.1</f>
        <v>47894</v>
      </c>
      <c r="I3" s="5">
        <v>560</v>
      </c>
      <c r="J3" s="5">
        <v>51340</v>
      </c>
      <c r="K3" s="5">
        <v>7410</v>
      </c>
      <c r="L3" s="5"/>
      <c r="M3" s="5">
        <v>24020</v>
      </c>
      <c r="N3" s="8"/>
      <c r="O3" s="8">
        <v>128230</v>
      </c>
      <c r="P3" s="5"/>
      <c r="Q3" s="5"/>
    </row>
    <row r="4" spans="1:17">
      <c r="A4" s="4"/>
      <c r="B4" s="4" t="s">
        <v>20</v>
      </c>
      <c r="C4" s="5">
        <v>74478936.3825486</v>
      </c>
      <c r="D4" s="5">
        <v>1301610</v>
      </c>
      <c r="E4" s="5"/>
      <c r="F4" s="5">
        <v>16760</v>
      </c>
      <c r="G4" s="5">
        <v>108630</v>
      </c>
      <c r="H4" s="5">
        <f>32390*1.1</f>
        <v>35629</v>
      </c>
      <c r="I4" s="5">
        <v>670</v>
      </c>
      <c r="J4" s="5">
        <v>96620</v>
      </c>
      <c r="K4" s="5">
        <v>6280</v>
      </c>
      <c r="L4" s="5"/>
      <c r="M4" s="5">
        <v>49150</v>
      </c>
      <c r="N4" s="8"/>
      <c r="O4" s="8">
        <v>586050</v>
      </c>
      <c r="P4" s="5"/>
      <c r="Q4" s="5"/>
    </row>
    <row r="5" spans="1:17">
      <c r="A5" s="4"/>
      <c r="B5" s="4" t="s">
        <v>21</v>
      </c>
      <c r="C5" s="5">
        <v>24807714.278640501</v>
      </c>
      <c r="D5" s="5">
        <v>430830</v>
      </c>
      <c r="E5" s="5"/>
      <c r="F5" s="5">
        <v>15860</v>
      </c>
      <c r="G5" s="5">
        <v>57060</v>
      </c>
      <c r="H5" s="5">
        <f>10246*1.1</f>
        <v>11270.6</v>
      </c>
      <c r="I5" s="5">
        <v>400</v>
      </c>
      <c r="J5" s="5">
        <v>38590</v>
      </c>
      <c r="K5" s="5">
        <v>1750</v>
      </c>
      <c r="L5" s="5"/>
      <c r="M5" s="5">
        <v>11310</v>
      </c>
      <c r="N5" s="8"/>
      <c r="O5" s="8">
        <v>64600</v>
      </c>
      <c r="P5" s="5"/>
      <c r="Q5" s="5"/>
    </row>
    <row r="6" spans="1:17">
      <c r="A6" s="4"/>
      <c r="B6" s="4" t="s">
        <v>22</v>
      </c>
      <c r="C6" s="5">
        <v>25576301.9597244</v>
      </c>
      <c r="D6" s="5">
        <v>494980</v>
      </c>
      <c r="E6" s="5"/>
      <c r="F6" s="5">
        <v>11270</v>
      </c>
      <c r="G6" s="5">
        <v>54360</v>
      </c>
      <c r="H6" s="5">
        <f>21030*1.1</f>
        <v>23133</v>
      </c>
      <c r="I6" s="5">
        <v>960</v>
      </c>
      <c r="J6" s="5">
        <v>76360</v>
      </c>
      <c r="K6" s="5">
        <v>8580</v>
      </c>
      <c r="L6" s="5"/>
      <c r="M6" s="5">
        <v>18370</v>
      </c>
      <c r="N6" s="8"/>
      <c r="O6" s="8">
        <v>120270</v>
      </c>
      <c r="P6" s="5"/>
      <c r="Q6" s="5"/>
    </row>
    <row r="7" spans="1:17">
      <c r="B7" s="6" t="s">
        <v>23</v>
      </c>
      <c r="C7" s="7">
        <f t="shared" ref="C7:Q7" si="0">SUM(C2:C6)</f>
        <v>184633044.248997</v>
      </c>
      <c r="D7" s="7">
        <f t="shared" si="0"/>
        <v>3317530</v>
      </c>
      <c r="E7" s="7">
        <f t="shared" si="0"/>
        <v>0</v>
      </c>
      <c r="F7" s="7">
        <f t="shared" si="0"/>
        <v>65070</v>
      </c>
      <c r="G7" s="7">
        <f t="shared" si="0"/>
        <v>332720</v>
      </c>
      <c r="H7" s="7">
        <f t="shared" si="0"/>
        <v>177744.6</v>
      </c>
      <c r="I7" s="7">
        <f t="shared" si="0"/>
        <v>4200</v>
      </c>
      <c r="J7" s="7">
        <f t="shared" si="0"/>
        <v>383890</v>
      </c>
      <c r="K7" s="7">
        <f t="shared" si="0"/>
        <v>37060</v>
      </c>
      <c r="L7" s="7">
        <f t="shared" si="0"/>
        <v>0</v>
      </c>
      <c r="M7" s="7">
        <f t="shared" si="0"/>
        <v>137839</v>
      </c>
      <c r="N7" s="7">
        <f t="shared" si="0"/>
        <v>0</v>
      </c>
      <c r="O7" s="7">
        <f t="shared" si="0"/>
        <v>1278560</v>
      </c>
      <c r="P7" s="7">
        <f t="shared" si="0"/>
        <v>0</v>
      </c>
      <c r="Q7" s="7">
        <f t="shared" si="0"/>
        <v>0</v>
      </c>
    </row>
    <row r="8" spans="1:17"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</row>
    <row r="9" spans="1:17">
      <c r="A9" s="4" t="s">
        <v>24</v>
      </c>
      <c r="B9" s="4" t="s">
        <v>25</v>
      </c>
      <c r="C9" s="5">
        <v>5830481</v>
      </c>
      <c r="D9" s="5">
        <v>1026726.5</v>
      </c>
      <c r="E9" s="5"/>
      <c r="F9" s="5">
        <v>238264.2</v>
      </c>
      <c r="G9" s="5">
        <v>181266.75</v>
      </c>
      <c r="H9" s="5">
        <v>682.5</v>
      </c>
      <c r="I9" s="5">
        <v>840</v>
      </c>
      <c r="J9" s="5">
        <v>281746.92</v>
      </c>
      <c r="K9" s="5">
        <v>513</v>
      </c>
      <c r="L9" s="5">
        <v>390</v>
      </c>
      <c r="M9" s="5">
        <v>342400</v>
      </c>
      <c r="N9" s="8"/>
      <c r="O9" s="8">
        <v>121909.7</v>
      </c>
      <c r="P9" s="5"/>
      <c r="Q9" s="5"/>
    </row>
    <row r="10" spans="1:17">
      <c r="A10" s="4"/>
      <c r="B10" s="4" t="s">
        <v>26</v>
      </c>
      <c r="C10" s="5">
        <v>176640</v>
      </c>
      <c r="D10" s="5">
        <v>1815000</v>
      </c>
      <c r="E10" s="5"/>
      <c r="F10" s="5">
        <v>339480</v>
      </c>
      <c r="G10" s="5">
        <v>276525</v>
      </c>
      <c r="H10" s="5">
        <v>0</v>
      </c>
      <c r="I10" s="5">
        <v>1008</v>
      </c>
      <c r="J10" s="5">
        <v>195015.6</v>
      </c>
      <c r="K10" s="5">
        <v>0</v>
      </c>
      <c r="L10" s="5">
        <v>9000</v>
      </c>
      <c r="M10" s="5">
        <v>436160</v>
      </c>
      <c r="N10" s="8"/>
      <c r="O10" s="8">
        <v>844381.5</v>
      </c>
      <c r="P10" s="5"/>
      <c r="Q10" s="5"/>
    </row>
    <row r="11" spans="1:17">
      <c r="A11" s="4"/>
      <c r="B11" s="4" t="s">
        <v>27</v>
      </c>
      <c r="C11" s="5">
        <v>315191</v>
      </c>
      <c r="D11" s="5">
        <v>1445250</v>
      </c>
      <c r="E11" s="5"/>
      <c r="F11" s="5">
        <v>262296</v>
      </c>
      <c r="G11" s="5">
        <v>288225</v>
      </c>
      <c r="H11" s="5">
        <v>0</v>
      </c>
      <c r="I11" s="5">
        <v>213.36</v>
      </c>
      <c r="J11" s="5">
        <v>190476</v>
      </c>
      <c r="K11" s="5">
        <v>0</v>
      </c>
      <c r="L11" s="5">
        <v>25725</v>
      </c>
      <c r="M11" s="5">
        <v>494160</v>
      </c>
      <c r="N11" s="8"/>
      <c r="O11" s="8">
        <v>82417.5</v>
      </c>
      <c r="P11" s="5"/>
      <c r="Q11" s="5"/>
    </row>
    <row r="12" spans="1:17">
      <c r="A12" s="4"/>
      <c r="B12" s="4" t="s">
        <v>28</v>
      </c>
      <c r="C12" s="5">
        <v>4097486</v>
      </c>
      <c r="D12" s="5">
        <v>1956437.5</v>
      </c>
      <c r="E12" s="5"/>
      <c r="F12" s="5">
        <v>295380</v>
      </c>
      <c r="G12" s="5">
        <v>364700.25</v>
      </c>
      <c r="H12" s="5">
        <v>23432.5</v>
      </c>
      <c r="I12" s="5">
        <v>2990.4</v>
      </c>
      <c r="J12" s="5">
        <v>423072</v>
      </c>
      <c r="K12" s="5">
        <v>2394</v>
      </c>
      <c r="L12" s="5">
        <v>900</v>
      </c>
      <c r="M12" s="5">
        <v>129600</v>
      </c>
      <c r="N12" s="8"/>
      <c r="O12" s="8">
        <v>183060</v>
      </c>
      <c r="P12" s="5"/>
      <c r="Q12" s="5"/>
    </row>
    <row r="13" spans="1:17">
      <c r="B13" s="6" t="s">
        <v>23</v>
      </c>
      <c r="C13" s="7">
        <f t="shared" ref="C13:Q13" si="1">SUM(C9:C12)</f>
        <v>10419798</v>
      </c>
      <c r="D13" s="7">
        <f t="shared" si="1"/>
        <v>6243414</v>
      </c>
      <c r="E13" s="7">
        <f t="shared" si="1"/>
        <v>0</v>
      </c>
      <c r="F13" s="7">
        <f t="shared" si="1"/>
        <v>1135420.2</v>
      </c>
      <c r="G13" s="7">
        <f t="shared" si="1"/>
        <v>1110717</v>
      </c>
      <c r="H13" s="7">
        <f t="shared" si="1"/>
        <v>24115</v>
      </c>
      <c r="I13" s="7">
        <f t="shared" si="1"/>
        <v>5051.76</v>
      </c>
      <c r="J13" s="7">
        <f t="shared" si="1"/>
        <v>1090310.52</v>
      </c>
      <c r="K13" s="7">
        <f t="shared" si="1"/>
        <v>2907</v>
      </c>
      <c r="L13" s="7">
        <f t="shared" si="1"/>
        <v>36015</v>
      </c>
      <c r="M13" s="7">
        <f t="shared" si="1"/>
        <v>1402320</v>
      </c>
      <c r="N13" s="7">
        <f t="shared" si="1"/>
        <v>0</v>
      </c>
      <c r="O13" s="7">
        <f t="shared" si="1"/>
        <v>1231768.7</v>
      </c>
      <c r="P13" s="7">
        <f t="shared" si="1"/>
        <v>0</v>
      </c>
      <c r="Q13" s="7">
        <f t="shared" si="1"/>
        <v>0</v>
      </c>
    </row>
    <row r="14" spans="1:17"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</row>
    <row r="15" spans="1:17">
      <c r="A15" s="4" t="s">
        <v>29</v>
      </c>
      <c r="B15" s="4" t="s">
        <v>30</v>
      </c>
      <c r="C15" s="9">
        <v>68115481</v>
      </c>
      <c r="D15" s="9">
        <v>2178414</v>
      </c>
      <c r="E15" s="9">
        <v>12305</v>
      </c>
      <c r="F15" s="10">
        <v>25026</v>
      </c>
      <c r="G15" s="9">
        <v>147029</v>
      </c>
      <c r="H15" s="10">
        <v>45396</v>
      </c>
      <c r="I15" s="10">
        <v>5268</v>
      </c>
      <c r="J15" s="10">
        <v>68735</v>
      </c>
      <c r="K15" s="8"/>
      <c r="L15" s="5">
        <v>0</v>
      </c>
      <c r="M15" s="9">
        <v>18981</v>
      </c>
      <c r="N15" s="9">
        <v>1898</v>
      </c>
      <c r="O15" s="10">
        <v>3222680</v>
      </c>
      <c r="P15" s="9">
        <v>8714</v>
      </c>
      <c r="Q15" s="9">
        <v>9832</v>
      </c>
    </row>
    <row r="16" spans="1:17">
      <c r="A16" s="4"/>
      <c r="B16" s="4" t="s">
        <v>31</v>
      </c>
      <c r="C16" s="9">
        <v>25083797</v>
      </c>
      <c r="D16" s="9">
        <v>802210</v>
      </c>
      <c r="E16" s="9">
        <v>6624</v>
      </c>
      <c r="F16" s="10">
        <v>16872</v>
      </c>
      <c r="G16" s="9">
        <v>76397</v>
      </c>
      <c r="H16" s="10">
        <v>400803</v>
      </c>
      <c r="I16" s="10">
        <v>1392</v>
      </c>
      <c r="J16" s="10">
        <v>77350</v>
      </c>
      <c r="K16" s="8"/>
      <c r="L16" s="5">
        <v>0</v>
      </c>
      <c r="M16" s="9">
        <v>16557</v>
      </c>
      <c r="N16" s="9">
        <v>4141</v>
      </c>
      <c r="O16" s="10">
        <v>4140233</v>
      </c>
      <c r="P16" s="9">
        <v>3209</v>
      </c>
      <c r="Q16" s="9">
        <v>5330</v>
      </c>
    </row>
    <row r="17" spans="1:17">
      <c r="A17" s="4"/>
      <c r="B17" s="4" t="s">
        <v>32</v>
      </c>
      <c r="C17" s="9">
        <v>21875923</v>
      </c>
      <c r="D17" s="9">
        <v>699638</v>
      </c>
      <c r="E17" s="9">
        <v>8092</v>
      </c>
      <c r="F17" s="10">
        <v>24978</v>
      </c>
      <c r="G17" s="9">
        <v>142469</v>
      </c>
      <c r="H17" s="10">
        <v>44226</v>
      </c>
      <c r="I17" s="10">
        <v>1147</v>
      </c>
      <c r="J17" s="10">
        <v>78574</v>
      </c>
      <c r="K17" s="8"/>
      <c r="L17" s="5">
        <v>0</v>
      </c>
      <c r="M17" s="9">
        <v>52511</v>
      </c>
      <c r="N17" s="9">
        <v>5251</v>
      </c>
      <c r="O17" s="10">
        <v>3553849</v>
      </c>
      <c r="P17" s="9">
        <v>2799</v>
      </c>
      <c r="Q17" s="9">
        <v>9568</v>
      </c>
    </row>
    <row r="18" spans="1:17">
      <c r="A18" s="4"/>
      <c r="B18" s="4" t="s">
        <v>33</v>
      </c>
      <c r="C18" s="9">
        <v>43963621</v>
      </c>
      <c r="D18" s="9">
        <v>1406009</v>
      </c>
      <c r="E18" s="9">
        <v>6186</v>
      </c>
      <c r="F18" s="10">
        <v>365604</v>
      </c>
      <c r="G18" s="9">
        <v>114355</v>
      </c>
      <c r="H18" s="10">
        <v>39039</v>
      </c>
      <c r="I18" s="10">
        <v>1447</v>
      </c>
      <c r="J18" s="10">
        <v>14706</v>
      </c>
      <c r="K18" s="8"/>
      <c r="L18" s="5">
        <v>0</v>
      </c>
      <c r="M18" s="9">
        <v>48043</v>
      </c>
      <c r="N18" s="9">
        <v>4805</v>
      </c>
      <c r="O18" s="10">
        <v>932010</v>
      </c>
      <c r="P18" s="9">
        <v>5624</v>
      </c>
      <c r="Q18" s="9">
        <v>27426</v>
      </c>
    </row>
    <row r="19" spans="1:17">
      <c r="A19" s="4"/>
      <c r="B19" s="4" t="s">
        <v>34</v>
      </c>
      <c r="C19" s="9">
        <v>33253062</v>
      </c>
      <c r="D19" s="9">
        <v>1063472</v>
      </c>
      <c r="E19" s="9">
        <v>1820</v>
      </c>
      <c r="F19" s="10">
        <v>75714</v>
      </c>
      <c r="G19" s="9">
        <v>240374</v>
      </c>
      <c r="H19" s="10">
        <v>42822</v>
      </c>
      <c r="I19" s="10">
        <v>1002</v>
      </c>
      <c r="J19" s="10">
        <v>106498</v>
      </c>
      <c r="K19" s="8"/>
      <c r="L19" s="5">
        <v>0</v>
      </c>
      <c r="M19" s="9">
        <v>44788</v>
      </c>
      <c r="N19" s="9">
        <v>4480</v>
      </c>
      <c r="O19" s="10">
        <v>5279791</v>
      </c>
      <c r="P19" s="9">
        <v>4254</v>
      </c>
      <c r="Q19" s="9">
        <v>18062</v>
      </c>
    </row>
    <row r="20" spans="1:17">
      <c r="A20" s="4"/>
      <c r="B20" s="4" t="s">
        <v>35</v>
      </c>
      <c r="C20" s="9">
        <v>25970443</v>
      </c>
      <c r="D20" s="9">
        <v>830566</v>
      </c>
      <c r="E20" s="9">
        <v>6557</v>
      </c>
      <c r="F20" s="10">
        <v>24990</v>
      </c>
      <c r="G20" s="9">
        <v>113909</v>
      </c>
      <c r="H20" s="10">
        <v>100503</v>
      </c>
      <c r="I20" s="10">
        <v>1324</v>
      </c>
      <c r="J20" s="10">
        <v>114571</v>
      </c>
      <c r="K20" s="8"/>
      <c r="L20" s="5">
        <v>0</v>
      </c>
      <c r="M20" s="9">
        <v>23553</v>
      </c>
      <c r="N20" s="9">
        <v>2356</v>
      </c>
      <c r="O20" s="10">
        <v>5857310</v>
      </c>
      <c r="P20" s="9">
        <v>3322</v>
      </c>
      <c r="Q20" s="9">
        <v>7937</v>
      </c>
    </row>
    <row r="21" spans="1:17">
      <c r="B21" s="4" t="s">
        <v>36</v>
      </c>
      <c r="C21" s="9">
        <f t="shared" ref="C21:J21" si="2">SUM(C15:C20)</f>
        <v>218262327</v>
      </c>
      <c r="D21" s="9">
        <f t="shared" si="2"/>
        <v>6980309</v>
      </c>
      <c r="E21" s="9">
        <f t="shared" si="2"/>
        <v>41584</v>
      </c>
      <c r="F21" s="9">
        <f t="shared" si="2"/>
        <v>533184</v>
      </c>
      <c r="G21" s="9">
        <f t="shared" si="2"/>
        <v>834533</v>
      </c>
      <c r="H21" s="9">
        <f t="shared" si="2"/>
        <v>672789</v>
      </c>
      <c r="I21" s="9">
        <f t="shared" si="2"/>
        <v>11580</v>
      </c>
      <c r="J21" s="9">
        <f t="shared" si="2"/>
        <v>460434</v>
      </c>
      <c r="K21" s="8"/>
      <c r="L21" s="9">
        <f t="shared" ref="L21:Q21" si="3">SUM(L15:L20)</f>
        <v>0</v>
      </c>
      <c r="M21" s="9">
        <f t="shared" si="3"/>
        <v>204433</v>
      </c>
      <c r="N21" s="9">
        <f t="shared" si="3"/>
        <v>22931</v>
      </c>
      <c r="O21" s="9">
        <f t="shared" si="3"/>
        <v>22985873</v>
      </c>
      <c r="P21" s="9">
        <f t="shared" si="3"/>
        <v>27922</v>
      </c>
      <c r="Q21" s="9">
        <f t="shared" si="3"/>
        <v>78155</v>
      </c>
    </row>
    <row r="22" spans="1:17"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</row>
    <row r="23" spans="1:17">
      <c r="A23" s="4" t="s">
        <v>37</v>
      </c>
      <c r="B23" s="4" t="s">
        <v>38</v>
      </c>
      <c r="C23" s="5">
        <v>89877542</v>
      </c>
      <c r="D23" s="5">
        <v>11530862</v>
      </c>
      <c r="E23" s="5"/>
      <c r="F23" s="5">
        <v>1897763</v>
      </c>
      <c r="G23" s="5">
        <v>2162716</v>
      </c>
      <c r="H23" s="5"/>
      <c r="I23" s="5"/>
      <c r="J23" s="8"/>
      <c r="K23" s="8"/>
      <c r="L23" s="5">
        <v>1262900</v>
      </c>
      <c r="M23" s="5">
        <v>22990</v>
      </c>
      <c r="N23" s="8"/>
      <c r="O23" s="8">
        <v>261249</v>
      </c>
      <c r="P23" s="8"/>
      <c r="Q23" s="8"/>
    </row>
    <row r="24" spans="1:17">
      <c r="A24" s="4"/>
      <c r="B24" s="4" t="s">
        <v>39</v>
      </c>
      <c r="C24" s="5">
        <v>34064881</v>
      </c>
      <c r="D24" s="5">
        <v>2075950</v>
      </c>
      <c r="E24" s="5"/>
      <c r="F24" s="5">
        <v>1173720</v>
      </c>
      <c r="G24" s="5">
        <v>1640169</v>
      </c>
      <c r="H24" s="5">
        <v>125933</v>
      </c>
      <c r="I24" s="5">
        <v>0</v>
      </c>
      <c r="J24" s="8"/>
      <c r="K24" s="8"/>
      <c r="L24" s="5">
        <v>1496850</v>
      </c>
      <c r="M24" s="5">
        <v>19968</v>
      </c>
      <c r="N24" s="8"/>
      <c r="O24" s="8">
        <v>33125</v>
      </c>
      <c r="P24" s="8"/>
      <c r="Q24" s="8"/>
    </row>
    <row r="25" spans="1:17">
      <c r="A25" s="4"/>
      <c r="B25" s="4" t="s">
        <v>40</v>
      </c>
      <c r="C25" s="5">
        <v>64342382</v>
      </c>
      <c r="D25" s="5">
        <v>6057012</v>
      </c>
      <c r="E25" s="5"/>
      <c r="F25" s="5">
        <v>2565780</v>
      </c>
      <c r="G25" s="5">
        <v>2515642</v>
      </c>
      <c r="H25" s="5"/>
      <c r="I25" s="5"/>
      <c r="J25" s="8"/>
      <c r="K25" s="8"/>
      <c r="L25" s="5">
        <v>2250475</v>
      </c>
      <c r="M25" s="5">
        <v>33904</v>
      </c>
      <c r="N25" s="8"/>
      <c r="O25" s="5">
        <v>32867</v>
      </c>
      <c r="P25" s="8"/>
      <c r="Q25" s="8"/>
    </row>
    <row r="26" spans="1:17">
      <c r="A26" s="4"/>
      <c r="B26" s="1" t="s">
        <v>41</v>
      </c>
      <c r="C26" s="8">
        <v>67852965</v>
      </c>
      <c r="D26" s="11">
        <v>4956138</v>
      </c>
      <c r="E26" s="8"/>
      <c r="F26" s="8">
        <v>1798298</v>
      </c>
      <c r="G26" s="8">
        <v>2157298</v>
      </c>
      <c r="H26" s="8"/>
      <c r="I26" s="8"/>
      <c r="J26" s="8"/>
      <c r="K26" s="8"/>
      <c r="L26" s="8">
        <v>1791113</v>
      </c>
      <c r="M26" s="8">
        <v>12170</v>
      </c>
      <c r="N26" s="8"/>
      <c r="O26" s="8">
        <v>51456</v>
      </c>
      <c r="P26" s="8"/>
      <c r="Q26" s="8"/>
    </row>
    <row r="27" spans="1:17">
      <c r="A27" s="4"/>
      <c r="B27" s="4" t="s">
        <v>42</v>
      </c>
      <c r="C27" s="12">
        <v>72091238</v>
      </c>
      <c r="D27" s="12">
        <v>5436488</v>
      </c>
      <c r="E27" s="12"/>
      <c r="F27" s="12">
        <v>1918149</v>
      </c>
      <c r="G27" s="12">
        <v>2092174</v>
      </c>
      <c r="H27" s="12"/>
      <c r="I27" s="12"/>
      <c r="J27" s="8"/>
      <c r="K27" s="8"/>
      <c r="L27" s="12">
        <v>3580125</v>
      </c>
      <c r="M27" s="12">
        <v>18535</v>
      </c>
      <c r="N27" s="8"/>
      <c r="O27" s="12">
        <v>14778</v>
      </c>
      <c r="P27" s="8"/>
      <c r="Q27" s="8"/>
    </row>
    <row r="28" spans="1:17">
      <c r="A28" s="4"/>
      <c r="B28" s="4" t="s">
        <v>43</v>
      </c>
      <c r="C28" s="5">
        <v>61343313</v>
      </c>
      <c r="D28" s="5">
        <v>4252450</v>
      </c>
      <c r="E28" s="5">
        <v>0</v>
      </c>
      <c r="F28" s="5">
        <v>2183540</v>
      </c>
      <c r="G28" s="5">
        <v>2120472</v>
      </c>
      <c r="H28" s="5">
        <v>0</v>
      </c>
      <c r="I28" s="5">
        <v>0</v>
      </c>
      <c r="J28" s="8"/>
      <c r="K28" s="8"/>
      <c r="L28" s="5">
        <v>1738125</v>
      </c>
      <c r="M28" s="5">
        <v>935</v>
      </c>
      <c r="N28" s="8"/>
      <c r="O28" s="5">
        <v>9005</v>
      </c>
      <c r="P28" s="5">
        <v>0</v>
      </c>
      <c r="Q28" s="8">
        <v>0</v>
      </c>
    </row>
    <row r="29" spans="1:17">
      <c r="A29" s="4"/>
      <c r="B29" s="4" t="s">
        <v>44</v>
      </c>
      <c r="C29" s="5">
        <v>55291734</v>
      </c>
      <c r="D29" s="5">
        <v>6563475</v>
      </c>
      <c r="E29" s="5">
        <v>0</v>
      </c>
      <c r="F29" s="5">
        <v>1538496</v>
      </c>
      <c r="G29" s="5">
        <v>2129535</v>
      </c>
      <c r="H29" s="5">
        <v>0</v>
      </c>
      <c r="I29" s="5">
        <v>0</v>
      </c>
      <c r="J29" s="8"/>
      <c r="K29" s="8"/>
      <c r="L29" s="5">
        <v>2289513</v>
      </c>
      <c r="M29" s="5">
        <v>150</v>
      </c>
      <c r="N29" s="8"/>
      <c r="O29" s="5">
        <v>3516</v>
      </c>
      <c r="P29" s="5"/>
      <c r="Q29" s="8"/>
    </row>
    <row r="30" spans="1:17">
      <c r="A30" s="4"/>
      <c r="B30" s="7" t="s">
        <v>23</v>
      </c>
      <c r="C30" s="7">
        <f t="shared" ref="C30:H30" si="4">SUM(C23:C29)</f>
        <v>444864055</v>
      </c>
      <c r="D30" s="7">
        <f t="shared" si="4"/>
        <v>40872375</v>
      </c>
      <c r="E30" s="7">
        <f t="shared" si="4"/>
        <v>0</v>
      </c>
      <c r="F30" s="7">
        <f t="shared" si="4"/>
        <v>13075746</v>
      </c>
      <c r="G30" s="7">
        <f t="shared" si="4"/>
        <v>14818006</v>
      </c>
      <c r="H30" s="7">
        <f t="shared" si="4"/>
        <v>125933</v>
      </c>
      <c r="I30" s="7">
        <f>SUM(I24:I29)</f>
        <v>0</v>
      </c>
      <c r="J30" s="13"/>
      <c r="K30" s="13"/>
      <c r="L30" s="7">
        <f t="shared" ref="L30:Q30" si="5">SUM(L23:L29)</f>
        <v>14409101</v>
      </c>
      <c r="M30" s="7">
        <f t="shared" si="5"/>
        <v>108652</v>
      </c>
      <c r="N30" s="13"/>
      <c r="O30" s="13">
        <f t="shared" si="5"/>
        <v>405996</v>
      </c>
      <c r="P30" s="13">
        <f t="shared" si="5"/>
        <v>0</v>
      </c>
      <c r="Q30" s="13">
        <f t="shared" si="5"/>
        <v>0</v>
      </c>
    </row>
    <row r="31" spans="1:17"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</row>
    <row r="32" spans="1:17">
      <c r="A32" s="4" t="s">
        <v>45</v>
      </c>
      <c r="B32" s="4" t="s">
        <v>46</v>
      </c>
      <c r="C32" s="8">
        <v>11897889</v>
      </c>
      <c r="D32" s="5">
        <v>536520</v>
      </c>
      <c r="E32" s="5">
        <v>0</v>
      </c>
      <c r="F32" s="5">
        <v>28328.400000000001</v>
      </c>
      <c r="G32" s="5">
        <v>6520.5</v>
      </c>
      <c r="H32" s="5">
        <v>262944.5</v>
      </c>
      <c r="I32" s="5">
        <v>10484.040000000001</v>
      </c>
      <c r="J32" s="5">
        <v>200101.3884</v>
      </c>
      <c r="K32" s="8"/>
      <c r="L32" s="5">
        <v>0</v>
      </c>
      <c r="M32" s="5">
        <v>35107</v>
      </c>
      <c r="N32" s="8">
        <v>7032</v>
      </c>
      <c r="O32" s="8">
        <v>207885</v>
      </c>
      <c r="P32" s="12">
        <v>2757</v>
      </c>
      <c r="Q32" s="8">
        <v>2795</v>
      </c>
    </row>
    <row r="33" spans="1:17">
      <c r="A33" s="4"/>
      <c r="B33" s="4" t="s">
        <v>47</v>
      </c>
      <c r="C33" s="8">
        <v>15348315</v>
      </c>
      <c r="D33" s="5">
        <v>783627.5</v>
      </c>
      <c r="E33" s="5">
        <v>0</v>
      </c>
      <c r="F33" s="5">
        <v>15645.6</v>
      </c>
      <c r="G33" s="5">
        <v>13522.5</v>
      </c>
      <c r="H33" s="5">
        <v>208026</v>
      </c>
      <c r="I33" s="5">
        <v>2566.1999999999998</v>
      </c>
      <c r="J33" s="5">
        <v>547933.152</v>
      </c>
      <c r="K33" s="8"/>
      <c r="L33" s="5">
        <v>0</v>
      </c>
      <c r="M33" s="5">
        <v>61693</v>
      </c>
      <c r="N33" s="8">
        <v>10361</v>
      </c>
      <c r="O33" s="8">
        <v>351410</v>
      </c>
      <c r="P33" s="12">
        <v>4283</v>
      </c>
      <c r="Q33" s="8">
        <v>2205</v>
      </c>
    </row>
    <row r="34" spans="1:17">
      <c r="A34" s="4"/>
      <c r="B34" s="4" t="s">
        <v>48</v>
      </c>
      <c r="C34" s="8">
        <v>7514143.5</v>
      </c>
      <c r="D34" s="5">
        <v>346280</v>
      </c>
      <c r="E34" s="5">
        <v>0</v>
      </c>
      <c r="F34" s="5">
        <v>23853.599999999999</v>
      </c>
      <c r="G34" s="5">
        <v>8286.75</v>
      </c>
      <c r="H34" s="5">
        <v>72663.5</v>
      </c>
      <c r="I34" s="5">
        <v>5531.4</v>
      </c>
      <c r="J34" s="5">
        <v>203215.764</v>
      </c>
      <c r="K34" s="8"/>
      <c r="L34" s="5">
        <v>0</v>
      </c>
      <c r="M34" s="5">
        <v>37220</v>
      </c>
      <c r="N34" s="8">
        <v>6226</v>
      </c>
      <c r="O34" s="8">
        <v>256029</v>
      </c>
      <c r="P34" s="12">
        <v>1818</v>
      </c>
      <c r="Q34" s="8">
        <v>2540</v>
      </c>
    </row>
    <row r="35" spans="1:17">
      <c r="A35" s="4"/>
      <c r="B35" s="4" t="s">
        <v>49</v>
      </c>
      <c r="C35" s="8">
        <v>4568961</v>
      </c>
      <c r="D35" s="5">
        <v>320590</v>
      </c>
      <c r="E35" s="5">
        <v>0</v>
      </c>
      <c r="F35" s="5">
        <v>28917</v>
      </c>
      <c r="G35" s="5">
        <v>9405</v>
      </c>
      <c r="H35" s="5">
        <v>114978.5</v>
      </c>
      <c r="I35" s="5">
        <v>2196.6</v>
      </c>
      <c r="J35" s="5">
        <v>150060.78599999999</v>
      </c>
      <c r="K35" s="8"/>
      <c r="L35" s="5">
        <v>0</v>
      </c>
      <c r="M35" s="5">
        <v>24193</v>
      </c>
      <c r="N35" s="8">
        <v>3410</v>
      </c>
      <c r="O35" s="8">
        <v>147398</v>
      </c>
      <c r="P35" s="12">
        <v>2071</v>
      </c>
      <c r="Q35" s="8">
        <v>3037</v>
      </c>
    </row>
    <row r="36" spans="1:17">
      <c r="A36" s="4"/>
      <c r="B36" s="4" t="s">
        <v>50</v>
      </c>
      <c r="C36" s="8">
        <v>2570031</v>
      </c>
      <c r="D36" s="5">
        <v>245075</v>
      </c>
      <c r="E36" s="5">
        <v>0</v>
      </c>
      <c r="F36" s="5">
        <v>31856.400000000001</v>
      </c>
      <c r="G36" s="5">
        <v>4941</v>
      </c>
      <c r="H36" s="5">
        <v>251160</v>
      </c>
      <c r="I36" s="5">
        <v>1274.28</v>
      </c>
      <c r="J36" s="5">
        <v>162002.9688</v>
      </c>
      <c r="K36" s="8"/>
      <c r="L36" s="5">
        <v>0</v>
      </c>
      <c r="M36" s="5">
        <v>30232</v>
      </c>
      <c r="N36" s="8">
        <v>3100</v>
      </c>
      <c r="O36" s="8">
        <v>166641</v>
      </c>
      <c r="P36" s="12">
        <v>1749</v>
      </c>
      <c r="Q36" s="8">
        <v>2984</v>
      </c>
    </row>
    <row r="37" spans="1:17">
      <c r="A37" s="4"/>
      <c r="B37" s="6" t="s">
        <v>23</v>
      </c>
      <c r="C37" s="13">
        <f t="shared" ref="C37:Q37" si="6">SUM(C32:C36)</f>
        <v>41899339.5</v>
      </c>
      <c r="D37" s="13">
        <f t="shared" si="6"/>
        <v>2232092.5</v>
      </c>
      <c r="E37" s="13">
        <f t="shared" si="6"/>
        <v>0</v>
      </c>
      <c r="F37" s="13">
        <f t="shared" si="6"/>
        <v>128601</v>
      </c>
      <c r="G37" s="13">
        <f t="shared" si="6"/>
        <v>42675.75</v>
      </c>
      <c r="H37" s="13">
        <f t="shared" si="6"/>
        <v>909772.5</v>
      </c>
      <c r="I37" s="13">
        <f t="shared" si="6"/>
        <v>22052.52</v>
      </c>
      <c r="J37" s="13">
        <f t="shared" si="6"/>
        <v>1263314.0592</v>
      </c>
      <c r="K37" s="13">
        <f t="shared" si="6"/>
        <v>0</v>
      </c>
      <c r="L37" s="13">
        <f t="shared" si="6"/>
        <v>0</v>
      </c>
      <c r="M37" s="13">
        <f t="shared" si="6"/>
        <v>188445</v>
      </c>
      <c r="N37" s="13">
        <f t="shared" si="6"/>
        <v>30129</v>
      </c>
      <c r="O37" s="13">
        <f t="shared" si="6"/>
        <v>1129363</v>
      </c>
      <c r="P37" s="13">
        <f t="shared" si="6"/>
        <v>12678</v>
      </c>
      <c r="Q37" s="13">
        <f t="shared" si="6"/>
        <v>13561</v>
      </c>
    </row>
    <row r="38" spans="1:17"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</row>
    <row r="39" spans="1:17">
      <c r="A39" s="4" t="s">
        <v>51</v>
      </c>
      <c r="B39" s="4" t="s">
        <v>52</v>
      </c>
      <c r="C39" s="14">
        <v>4687803</v>
      </c>
      <c r="D39" s="15">
        <v>24134</v>
      </c>
      <c r="E39" s="15" t="s">
        <v>53</v>
      </c>
      <c r="F39" s="14">
        <v>13209</v>
      </c>
      <c r="G39" s="14">
        <v>16209</v>
      </c>
      <c r="H39" s="15">
        <v>54978</v>
      </c>
      <c r="I39" s="15">
        <v>813</v>
      </c>
      <c r="J39" s="14">
        <v>29260</v>
      </c>
      <c r="K39" s="8"/>
      <c r="L39" s="15">
        <v>0</v>
      </c>
      <c r="M39" s="16">
        <v>3522</v>
      </c>
      <c r="N39" s="16">
        <v>352</v>
      </c>
      <c r="O39" s="15">
        <v>182614</v>
      </c>
      <c r="P39" s="14">
        <v>3819</v>
      </c>
      <c r="Q39" s="14">
        <v>14645</v>
      </c>
    </row>
    <row r="40" spans="1:17">
      <c r="A40" s="4"/>
      <c r="B40" s="1" t="s">
        <v>54</v>
      </c>
      <c r="C40" s="14">
        <v>12476780</v>
      </c>
      <c r="D40" s="15">
        <v>55700</v>
      </c>
      <c r="E40" s="15">
        <v>745</v>
      </c>
      <c r="F40" s="14">
        <v>25303</v>
      </c>
      <c r="G40" s="14">
        <v>49840</v>
      </c>
      <c r="H40" s="15">
        <v>2850</v>
      </c>
      <c r="I40" s="15">
        <v>4245</v>
      </c>
      <c r="J40" s="14">
        <v>152330</v>
      </c>
      <c r="K40" s="8"/>
      <c r="L40" s="15">
        <v>0</v>
      </c>
      <c r="M40" s="16">
        <v>18350</v>
      </c>
      <c r="N40" s="15">
        <v>0</v>
      </c>
      <c r="O40" s="15">
        <v>122666</v>
      </c>
      <c r="P40" s="14">
        <v>260</v>
      </c>
      <c r="Q40" s="14">
        <v>1052</v>
      </c>
    </row>
    <row r="41" spans="1:17">
      <c r="A41" s="4"/>
      <c r="B41" s="1" t="s">
        <v>55</v>
      </c>
      <c r="C41" s="14">
        <v>25304586</v>
      </c>
      <c r="D41" s="15">
        <v>561375</v>
      </c>
      <c r="E41" s="15" t="s">
        <v>53</v>
      </c>
      <c r="F41" s="14">
        <v>51644</v>
      </c>
      <c r="G41" s="14">
        <v>65232</v>
      </c>
      <c r="H41" s="15">
        <v>42270</v>
      </c>
      <c r="I41" s="15">
        <v>1676</v>
      </c>
      <c r="J41" s="14">
        <v>65767</v>
      </c>
      <c r="K41" s="8"/>
      <c r="L41" s="15">
        <v>0</v>
      </c>
      <c r="M41" s="16">
        <v>35596</v>
      </c>
      <c r="N41" s="16">
        <v>1296</v>
      </c>
      <c r="O41" s="15">
        <v>298976</v>
      </c>
      <c r="P41" s="14">
        <v>922</v>
      </c>
      <c r="Q41" s="14">
        <v>2719</v>
      </c>
    </row>
    <row r="42" spans="1:17">
      <c r="A42" s="4"/>
      <c r="B42" s="1" t="s">
        <v>56</v>
      </c>
      <c r="C42" s="14">
        <v>15805650</v>
      </c>
      <c r="D42" s="14">
        <v>788770</v>
      </c>
      <c r="E42" s="15">
        <v>9791</v>
      </c>
      <c r="F42" s="14">
        <v>60400</v>
      </c>
      <c r="G42" s="16">
        <v>182736</v>
      </c>
      <c r="H42" s="15">
        <v>76440</v>
      </c>
      <c r="I42" s="15">
        <v>2344</v>
      </c>
      <c r="J42" s="14">
        <v>737076</v>
      </c>
      <c r="K42" s="8"/>
      <c r="L42" s="15">
        <v>0</v>
      </c>
      <c r="M42" s="16">
        <v>58602</v>
      </c>
      <c r="N42" s="15">
        <v>100</v>
      </c>
      <c r="O42" s="15">
        <v>267177</v>
      </c>
      <c r="P42" s="14">
        <v>3139</v>
      </c>
      <c r="Q42" s="14">
        <v>16154</v>
      </c>
    </row>
    <row r="43" spans="1:17">
      <c r="A43" s="4"/>
      <c r="B43" s="1" t="s">
        <v>57</v>
      </c>
      <c r="C43" s="14">
        <v>8539020</v>
      </c>
      <c r="D43" s="15">
        <v>531800</v>
      </c>
      <c r="E43" s="15" t="s">
        <v>53</v>
      </c>
      <c r="F43" s="14">
        <v>13522</v>
      </c>
      <c r="G43" s="14">
        <v>6885</v>
      </c>
      <c r="H43" s="15">
        <v>185640</v>
      </c>
      <c r="I43" s="15">
        <v>7450</v>
      </c>
      <c r="J43" s="14">
        <v>109902</v>
      </c>
      <c r="K43" s="8"/>
      <c r="L43" s="15">
        <v>0</v>
      </c>
      <c r="M43" s="16">
        <v>120</v>
      </c>
      <c r="N43" s="15">
        <v>12</v>
      </c>
      <c r="O43" s="15">
        <v>1748700</v>
      </c>
      <c r="P43" s="15">
        <v>29058</v>
      </c>
      <c r="Q43" s="15">
        <v>5756</v>
      </c>
    </row>
    <row r="44" spans="1:17">
      <c r="A44" s="4"/>
      <c r="B44" s="1" t="s">
        <v>58</v>
      </c>
      <c r="C44" s="16">
        <v>13357224</v>
      </c>
      <c r="D44" s="15">
        <v>764000</v>
      </c>
      <c r="E44" s="15" t="s">
        <v>53</v>
      </c>
      <c r="F44" s="14">
        <v>2267458</v>
      </c>
      <c r="G44" s="16">
        <v>303840</v>
      </c>
      <c r="H44" s="15">
        <v>297412</v>
      </c>
      <c r="I44" s="15">
        <v>5912.7</v>
      </c>
      <c r="J44" s="14">
        <v>395800</v>
      </c>
      <c r="K44" s="8"/>
      <c r="L44" s="15">
        <v>0</v>
      </c>
      <c r="M44" s="16">
        <v>92900</v>
      </c>
      <c r="N44" s="15">
        <v>0</v>
      </c>
      <c r="O44" s="15">
        <v>264990</v>
      </c>
      <c r="P44" s="14">
        <v>38663</v>
      </c>
      <c r="Q44" s="14">
        <v>31628</v>
      </c>
    </row>
    <row r="45" spans="1:17">
      <c r="A45" s="4"/>
      <c r="B45" s="1" t="s">
        <v>59</v>
      </c>
      <c r="C45" s="14">
        <v>28703400</v>
      </c>
      <c r="D45" s="15">
        <v>150450</v>
      </c>
      <c r="E45" s="15">
        <v>12490</v>
      </c>
      <c r="F45" s="14">
        <v>2850</v>
      </c>
      <c r="G45" s="14">
        <v>43650</v>
      </c>
      <c r="H45" s="15">
        <v>15000</v>
      </c>
      <c r="I45" s="15">
        <v>1500</v>
      </c>
      <c r="J45" s="14">
        <v>46300</v>
      </c>
      <c r="K45" s="8"/>
      <c r="L45" s="15">
        <v>0</v>
      </c>
      <c r="M45" s="16">
        <v>28952</v>
      </c>
      <c r="N45" s="15">
        <v>440</v>
      </c>
      <c r="O45" s="15">
        <v>108510</v>
      </c>
      <c r="P45" s="14">
        <v>2600</v>
      </c>
      <c r="Q45" s="14">
        <v>6500</v>
      </c>
    </row>
    <row r="46" spans="1:17">
      <c r="A46" s="4"/>
      <c r="B46" s="1" t="s">
        <v>60</v>
      </c>
      <c r="C46" s="14">
        <v>91535886</v>
      </c>
      <c r="D46" s="15">
        <v>2809150</v>
      </c>
      <c r="E46" s="15">
        <v>27696</v>
      </c>
      <c r="F46" s="14">
        <v>42534</v>
      </c>
      <c r="G46" s="14">
        <v>239828</v>
      </c>
      <c r="H46" s="15" t="s">
        <v>61</v>
      </c>
      <c r="I46" s="15">
        <v>910</v>
      </c>
      <c r="J46" s="14" t="s">
        <v>62</v>
      </c>
      <c r="K46" s="8"/>
      <c r="L46" s="15">
        <v>0</v>
      </c>
      <c r="M46" s="16">
        <v>107165</v>
      </c>
      <c r="N46" s="15">
        <v>24410</v>
      </c>
      <c r="O46" s="15">
        <v>101927</v>
      </c>
      <c r="P46" s="14">
        <v>1447</v>
      </c>
      <c r="Q46" s="14">
        <v>2550</v>
      </c>
    </row>
    <row r="47" spans="1:17">
      <c r="A47" s="4"/>
      <c r="B47" s="1" t="s">
        <v>63</v>
      </c>
      <c r="C47" s="14">
        <v>66300000</v>
      </c>
      <c r="D47" s="15">
        <v>275000</v>
      </c>
      <c r="E47" s="15">
        <v>11640</v>
      </c>
      <c r="F47" s="14">
        <v>56000</v>
      </c>
      <c r="G47" s="16">
        <v>160000</v>
      </c>
      <c r="H47" s="15">
        <v>4500</v>
      </c>
      <c r="I47" s="15">
        <v>915</v>
      </c>
      <c r="J47" s="14">
        <v>1780</v>
      </c>
      <c r="K47" s="8"/>
      <c r="L47" s="15">
        <v>0</v>
      </c>
      <c r="M47" s="16">
        <v>66540</v>
      </c>
      <c r="N47" s="15">
        <v>619</v>
      </c>
      <c r="O47" s="15">
        <v>118333</v>
      </c>
      <c r="P47" s="14">
        <v>871</v>
      </c>
      <c r="Q47" s="14">
        <v>6298</v>
      </c>
    </row>
    <row r="48" spans="1:17">
      <c r="A48" s="4"/>
      <c r="B48" s="1" t="s">
        <v>64</v>
      </c>
      <c r="C48" s="14">
        <v>13415400</v>
      </c>
      <c r="D48" s="15">
        <v>422215</v>
      </c>
      <c r="E48" s="15">
        <v>472</v>
      </c>
      <c r="F48" s="14">
        <v>21855</v>
      </c>
      <c r="G48" s="14">
        <v>45313</v>
      </c>
      <c r="H48" s="15">
        <v>650</v>
      </c>
      <c r="I48" s="15">
        <v>944</v>
      </c>
      <c r="J48" s="14">
        <v>242726</v>
      </c>
      <c r="K48" s="8"/>
      <c r="L48" s="15">
        <v>11700</v>
      </c>
      <c r="M48" s="16">
        <v>39100</v>
      </c>
      <c r="N48" s="15"/>
      <c r="O48" s="15">
        <v>380829</v>
      </c>
      <c r="P48" s="14">
        <v>1184</v>
      </c>
      <c r="Q48" s="14">
        <v>15310</v>
      </c>
    </row>
    <row r="49" spans="1:17">
      <c r="A49" s="4"/>
      <c r="B49" s="1" t="s">
        <v>65</v>
      </c>
      <c r="C49" s="14">
        <v>29650261.5</v>
      </c>
      <c r="D49" s="15">
        <v>765200</v>
      </c>
      <c r="E49" s="15" t="s">
        <v>53</v>
      </c>
      <c r="F49" s="14">
        <v>13500</v>
      </c>
      <c r="G49" s="14">
        <v>14000</v>
      </c>
      <c r="H49" s="15">
        <v>633</v>
      </c>
      <c r="I49" s="15">
        <v>2938</v>
      </c>
      <c r="J49" s="14">
        <v>128200</v>
      </c>
      <c r="K49" s="8"/>
      <c r="L49" s="15">
        <v>0</v>
      </c>
      <c r="M49" s="16">
        <v>70060</v>
      </c>
      <c r="N49" s="15">
        <v>0</v>
      </c>
      <c r="O49" s="15">
        <v>170000</v>
      </c>
      <c r="P49" s="14">
        <v>326</v>
      </c>
      <c r="Q49" s="14">
        <v>4257</v>
      </c>
    </row>
    <row r="50" spans="1:17">
      <c r="A50" s="4"/>
      <c r="B50" s="17" t="s">
        <v>23</v>
      </c>
      <c r="C50" s="18">
        <f t="shared" ref="C50:Q50" si="7">SUM(C39:C49)</f>
        <v>309776010.5</v>
      </c>
      <c r="D50" s="18">
        <f t="shared" si="7"/>
        <v>7147794</v>
      </c>
      <c r="E50" s="18">
        <f t="shared" si="7"/>
        <v>62834</v>
      </c>
      <c r="F50" s="18">
        <f t="shared" si="7"/>
        <v>2568275</v>
      </c>
      <c r="G50" s="18">
        <f t="shared" si="7"/>
        <v>1127533</v>
      </c>
      <c r="H50" s="18">
        <f t="shared" si="7"/>
        <v>680373</v>
      </c>
      <c r="I50" s="18">
        <f t="shared" si="7"/>
        <v>29647.7</v>
      </c>
      <c r="J50" s="18">
        <f t="shared" si="7"/>
        <v>1909141</v>
      </c>
      <c r="K50" s="18">
        <f t="shared" si="7"/>
        <v>0</v>
      </c>
      <c r="L50" s="18">
        <f t="shared" si="7"/>
        <v>11700</v>
      </c>
      <c r="M50" s="18">
        <f t="shared" si="7"/>
        <v>520907</v>
      </c>
      <c r="N50" s="18">
        <f t="shared" si="7"/>
        <v>27229</v>
      </c>
      <c r="O50" s="18">
        <f t="shared" si="7"/>
        <v>3764722</v>
      </c>
      <c r="P50" s="18">
        <f t="shared" si="7"/>
        <v>82289</v>
      </c>
      <c r="Q50" s="18">
        <f t="shared" si="7"/>
        <v>106869</v>
      </c>
    </row>
    <row r="51" spans="1:17"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8"/>
    </row>
    <row r="52" spans="1:17">
      <c r="A52" s="4" t="s">
        <v>66</v>
      </c>
      <c r="B52" s="4" t="s">
        <v>67</v>
      </c>
      <c r="C52" s="19">
        <v>79497000</v>
      </c>
      <c r="D52" s="19">
        <v>1073250</v>
      </c>
      <c r="E52" s="19">
        <v>30900</v>
      </c>
      <c r="F52" s="19">
        <v>91800</v>
      </c>
      <c r="G52" s="19">
        <v>144000</v>
      </c>
      <c r="H52" s="19">
        <v>68250</v>
      </c>
      <c r="I52" s="19">
        <v>5292</v>
      </c>
      <c r="J52" s="19">
        <v>256500</v>
      </c>
      <c r="K52" s="5"/>
      <c r="L52" s="8"/>
      <c r="M52" s="5">
        <v>55310</v>
      </c>
      <c r="N52" s="5">
        <v>0</v>
      </c>
      <c r="O52" s="24">
        <v>139438</v>
      </c>
      <c r="P52" s="8"/>
      <c r="Q52" s="8"/>
    </row>
    <row r="53" spans="1:17">
      <c r="A53" s="4"/>
      <c r="B53" s="4" t="s">
        <v>68</v>
      </c>
      <c r="C53" s="19">
        <v>41088875</v>
      </c>
      <c r="D53" s="19">
        <v>506500</v>
      </c>
      <c r="E53" s="19">
        <v>155100</v>
      </c>
      <c r="F53" s="19">
        <v>2160</v>
      </c>
      <c r="G53" s="19">
        <v>184950</v>
      </c>
      <c r="H53" s="19">
        <v>45500</v>
      </c>
      <c r="I53" s="19">
        <v>5124</v>
      </c>
      <c r="J53" s="19">
        <v>222168</v>
      </c>
      <c r="K53" s="5"/>
      <c r="L53" s="8"/>
      <c r="M53" s="5">
        <v>14575</v>
      </c>
      <c r="N53" s="5">
        <v>0</v>
      </c>
      <c r="O53" s="19">
        <v>102369</v>
      </c>
      <c r="P53" s="5"/>
      <c r="Q53" s="5"/>
    </row>
    <row r="54" spans="1:17">
      <c r="A54" s="4"/>
      <c r="B54" s="4" t="s">
        <v>69</v>
      </c>
      <c r="C54" s="19">
        <v>51623235</v>
      </c>
      <c r="D54" s="19">
        <v>818250</v>
      </c>
      <c r="E54" s="19">
        <v>201900</v>
      </c>
      <c r="F54" s="19">
        <v>5580</v>
      </c>
      <c r="G54" s="19">
        <v>181580</v>
      </c>
      <c r="H54" s="19">
        <v>54600</v>
      </c>
      <c r="I54" s="19">
        <v>5800</v>
      </c>
      <c r="J54" s="19">
        <v>188450</v>
      </c>
      <c r="K54" s="5"/>
      <c r="L54" s="8"/>
      <c r="M54" s="5">
        <v>25990</v>
      </c>
      <c r="N54" s="5">
        <v>0</v>
      </c>
      <c r="O54" s="24">
        <v>157730</v>
      </c>
      <c r="P54" s="8"/>
      <c r="Q54" s="8"/>
    </row>
    <row r="55" spans="1:17">
      <c r="A55" s="4"/>
      <c r="B55" s="4" t="s">
        <v>70</v>
      </c>
      <c r="C55" s="19">
        <v>52450500</v>
      </c>
      <c r="D55" s="19">
        <v>646500</v>
      </c>
      <c r="E55" s="19">
        <v>111900</v>
      </c>
      <c r="F55" s="19">
        <v>5400</v>
      </c>
      <c r="G55" s="19">
        <v>97200</v>
      </c>
      <c r="H55" s="19">
        <v>45500</v>
      </c>
      <c r="I55" s="19">
        <v>3108</v>
      </c>
      <c r="J55" s="19">
        <v>123424</v>
      </c>
      <c r="K55" s="5"/>
      <c r="L55" s="8"/>
      <c r="M55" s="5">
        <v>21840</v>
      </c>
      <c r="N55" s="5">
        <v>0</v>
      </c>
      <c r="O55" s="24">
        <v>76016</v>
      </c>
      <c r="P55" s="8"/>
      <c r="Q55" s="8"/>
    </row>
    <row r="56" spans="1:17">
      <c r="A56" s="4"/>
      <c r="B56" s="4" t="s">
        <v>71</v>
      </c>
      <c r="C56" s="19">
        <v>93195450</v>
      </c>
      <c r="D56" s="19">
        <v>1163000</v>
      </c>
      <c r="E56" s="19">
        <v>349200</v>
      </c>
      <c r="F56" s="19">
        <v>9900</v>
      </c>
      <c r="G56" s="19">
        <v>463275</v>
      </c>
      <c r="H56" s="19">
        <v>68250</v>
      </c>
      <c r="I56" s="19">
        <v>14868</v>
      </c>
      <c r="J56" s="19">
        <v>162810</v>
      </c>
      <c r="K56" s="5"/>
      <c r="L56" s="8"/>
      <c r="M56" s="5">
        <v>51840</v>
      </c>
      <c r="N56" s="5">
        <v>0</v>
      </c>
      <c r="O56" s="24">
        <v>80940</v>
      </c>
      <c r="P56" s="8"/>
      <c r="Q56" s="8"/>
    </row>
    <row r="57" spans="1:17">
      <c r="B57" s="17" t="s">
        <v>72</v>
      </c>
      <c r="C57" s="13">
        <f t="shared" ref="C57:Q57" si="8">SUM(C52:C56)</f>
        <v>317855060</v>
      </c>
      <c r="D57" s="13">
        <f t="shared" si="8"/>
        <v>4207500</v>
      </c>
      <c r="E57" s="13">
        <f t="shared" si="8"/>
        <v>849000</v>
      </c>
      <c r="F57" s="13">
        <f t="shared" si="8"/>
        <v>114840</v>
      </c>
      <c r="G57" s="13">
        <f t="shared" si="8"/>
        <v>1071005</v>
      </c>
      <c r="H57" s="13">
        <f t="shared" si="8"/>
        <v>282100</v>
      </c>
      <c r="I57" s="13">
        <f t="shared" si="8"/>
        <v>34192</v>
      </c>
      <c r="J57" s="13">
        <f t="shared" si="8"/>
        <v>953352</v>
      </c>
      <c r="K57" s="13">
        <f t="shared" si="8"/>
        <v>0</v>
      </c>
      <c r="L57" s="13">
        <f t="shared" si="8"/>
        <v>0</v>
      </c>
      <c r="M57" s="13">
        <f t="shared" si="8"/>
        <v>169555</v>
      </c>
      <c r="N57" s="13">
        <f t="shared" si="8"/>
        <v>0</v>
      </c>
      <c r="O57" s="13">
        <f t="shared" si="8"/>
        <v>556493</v>
      </c>
      <c r="P57" s="13">
        <f t="shared" si="8"/>
        <v>0</v>
      </c>
      <c r="Q57" s="13">
        <f t="shared" si="8"/>
        <v>0</v>
      </c>
    </row>
    <row r="58" spans="1:17"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</row>
    <row r="59" spans="1:17">
      <c r="A59" s="4" t="s">
        <v>73</v>
      </c>
      <c r="B59" s="4" t="s">
        <v>74</v>
      </c>
      <c r="C59" s="20">
        <v>14862548</v>
      </c>
      <c r="D59" s="21">
        <v>230130</v>
      </c>
      <c r="E59" s="21">
        <v>0</v>
      </c>
      <c r="F59" s="21">
        <v>70700</v>
      </c>
      <c r="G59" s="21">
        <v>198600</v>
      </c>
      <c r="H59" s="21">
        <v>26900</v>
      </c>
      <c r="I59" s="21">
        <v>630</v>
      </c>
      <c r="J59" s="21">
        <v>74320</v>
      </c>
      <c r="K59" s="8"/>
      <c r="L59" s="21">
        <v>0</v>
      </c>
      <c r="M59" s="21">
        <v>1000</v>
      </c>
      <c r="N59" s="21">
        <v>0</v>
      </c>
      <c r="O59" s="21">
        <v>104400</v>
      </c>
      <c r="P59" s="12">
        <v>1770</v>
      </c>
      <c r="Q59" s="12">
        <v>25387</v>
      </c>
    </row>
    <row r="60" spans="1:17">
      <c r="A60" s="4"/>
      <c r="B60" s="4" t="s">
        <v>75</v>
      </c>
      <c r="C60" s="5">
        <v>16600300</v>
      </c>
      <c r="D60" s="5">
        <v>200760</v>
      </c>
      <c r="E60" s="5">
        <v>0</v>
      </c>
      <c r="F60" s="5">
        <v>19260</v>
      </c>
      <c r="G60" s="5">
        <v>49300</v>
      </c>
      <c r="H60" s="5">
        <v>17800</v>
      </c>
      <c r="I60" s="5">
        <v>960</v>
      </c>
      <c r="J60" s="5">
        <v>34720</v>
      </c>
      <c r="K60" s="8"/>
      <c r="L60" s="5">
        <v>0</v>
      </c>
      <c r="M60" s="5">
        <v>820</v>
      </c>
      <c r="N60" s="5">
        <v>0</v>
      </c>
      <c r="O60" s="5">
        <v>68500</v>
      </c>
      <c r="P60" s="5">
        <v>1340</v>
      </c>
      <c r="Q60" s="5">
        <v>7340</v>
      </c>
    </row>
    <row r="61" spans="1:17">
      <c r="A61" s="4"/>
      <c r="B61" s="4" t="s">
        <v>76</v>
      </c>
      <c r="C61" s="20">
        <v>20902050</v>
      </c>
      <c r="D61" s="21">
        <v>580720</v>
      </c>
      <c r="E61" s="21" t="s">
        <v>77</v>
      </c>
      <c r="F61" s="21">
        <v>16400</v>
      </c>
      <c r="G61" s="21">
        <v>23300</v>
      </c>
      <c r="H61" s="21">
        <v>21280</v>
      </c>
      <c r="I61" s="21">
        <v>520</v>
      </c>
      <c r="J61" s="21">
        <v>128020</v>
      </c>
      <c r="K61" s="8"/>
      <c r="L61" s="21">
        <v>0</v>
      </c>
      <c r="M61" s="21">
        <v>700</v>
      </c>
      <c r="N61" s="12">
        <v>6</v>
      </c>
      <c r="O61" s="21">
        <v>220180</v>
      </c>
      <c r="P61" s="12">
        <v>4840</v>
      </c>
      <c r="Q61" s="12">
        <v>16220</v>
      </c>
    </row>
    <row r="62" spans="1:17">
      <c r="A62" s="4"/>
      <c r="B62" s="4" t="s">
        <v>78</v>
      </c>
      <c r="C62" s="20">
        <v>12856268</v>
      </c>
      <c r="D62" s="21">
        <v>28840</v>
      </c>
      <c r="E62" s="21">
        <v>0</v>
      </c>
      <c r="F62" s="21">
        <v>12560</v>
      </c>
      <c r="G62" s="21">
        <v>24110</v>
      </c>
      <c r="H62" s="21">
        <v>18340</v>
      </c>
      <c r="I62" s="21">
        <v>3600</v>
      </c>
      <c r="J62" s="21">
        <v>10150</v>
      </c>
      <c r="K62" s="8"/>
      <c r="L62" s="21">
        <v>0</v>
      </c>
      <c r="M62" s="21">
        <v>700</v>
      </c>
      <c r="N62" s="21">
        <v>1.5</v>
      </c>
      <c r="O62" s="21">
        <v>20560</v>
      </c>
      <c r="P62" s="21">
        <v>320</v>
      </c>
      <c r="Q62" s="21">
        <v>3734</v>
      </c>
    </row>
    <row r="63" spans="1:17">
      <c r="A63" s="4"/>
      <c r="B63" s="4" t="s">
        <v>79</v>
      </c>
      <c r="C63" s="20">
        <v>18131500</v>
      </c>
      <c r="D63" s="21">
        <v>120760</v>
      </c>
      <c r="E63" s="21">
        <v>0</v>
      </c>
      <c r="F63" s="21">
        <v>15750</v>
      </c>
      <c r="G63" s="21">
        <v>6330</v>
      </c>
      <c r="H63" s="21">
        <v>24500</v>
      </c>
      <c r="I63" s="21">
        <v>750</v>
      </c>
      <c r="J63" s="21">
        <v>33400</v>
      </c>
      <c r="K63" s="8"/>
      <c r="L63" s="21">
        <v>0</v>
      </c>
      <c r="M63" s="21">
        <v>800</v>
      </c>
      <c r="N63" s="21">
        <v>0</v>
      </c>
      <c r="O63" s="21">
        <v>92140</v>
      </c>
      <c r="P63" s="21">
        <v>929</v>
      </c>
      <c r="Q63" s="21">
        <v>2497</v>
      </c>
    </row>
    <row r="64" spans="1:17">
      <c r="A64" s="22"/>
      <c r="B64" s="22" t="s">
        <v>80</v>
      </c>
      <c r="C64" s="23">
        <v>10425140</v>
      </c>
      <c r="D64" s="23">
        <v>591230</v>
      </c>
      <c r="E64" s="20">
        <v>0</v>
      </c>
      <c r="F64" s="23">
        <v>44500</v>
      </c>
      <c r="G64" s="23">
        <v>53120</v>
      </c>
      <c r="H64" s="23">
        <v>43350</v>
      </c>
      <c r="I64" s="20">
        <v>870</v>
      </c>
      <c r="J64" s="23">
        <v>102460</v>
      </c>
      <c r="K64" s="8"/>
      <c r="L64" s="20">
        <v>0</v>
      </c>
      <c r="M64" s="20">
        <v>580</v>
      </c>
      <c r="N64" s="20">
        <v>0</v>
      </c>
      <c r="O64" s="20">
        <v>185500</v>
      </c>
      <c r="P64" s="20">
        <v>4547</v>
      </c>
      <c r="Q64" s="20">
        <v>9990</v>
      </c>
    </row>
    <row r="65" spans="1:17">
      <c r="A65" s="4"/>
      <c r="B65" s="4" t="s">
        <v>81</v>
      </c>
      <c r="C65" s="20">
        <v>11200970</v>
      </c>
      <c r="D65" s="21">
        <v>232400</v>
      </c>
      <c r="E65" s="21">
        <v>0</v>
      </c>
      <c r="F65" s="21">
        <v>23004</v>
      </c>
      <c r="G65" s="21">
        <v>49200</v>
      </c>
      <c r="H65" s="21">
        <v>26000</v>
      </c>
      <c r="I65" s="21">
        <v>680</v>
      </c>
      <c r="J65" s="21">
        <v>39870</v>
      </c>
      <c r="K65" s="8"/>
      <c r="L65" s="21">
        <v>0</v>
      </c>
      <c r="M65" s="21">
        <v>960</v>
      </c>
      <c r="N65" s="21">
        <v>2</v>
      </c>
      <c r="O65" s="21">
        <v>80100</v>
      </c>
      <c r="P65" s="20">
        <v>1549</v>
      </c>
      <c r="Q65" s="21">
        <v>6975</v>
      </c>
    </row>
    <row r="66" spans="1:17">
      <c r="A66" s="4"/>
      <c r="B66" s="4" t="s">
        <v>82</v>
      </c>
      <c r="C66" s="20">
        <v>14376200</v>
      </c>
      <c r="D66" s="21">
        <v>107000</v>
      </c>
      <c r="E66" s="21">
        <v>0</v>
      </c>
      <c r="F66" s="21">
        <v>26280</v>
      </c>
      <c r="G66" s="21">
        <v>39450</v>
      </c>
      <c r="H66" s="21">
        <v>16100</v>
      </c>
      <c r="I66" s="21">
        <v>720</v>
      </c>
      <c r="J66" s="21">
        <v>72730</v>
      </c>
      <c r="K66" s="8"/>
      <c r="L66" s="21">
        <v>0</v>
      </c>
      <c r="M66" s="21">
        <v>810</v>
      </c>
      <c r="N66" s="21">
        <v>0</v>
      </c>
      <c r="O66" s="21">
        <v>82380</v>
      </c>
      <c r="P66" s="12">
        <v>825</v>
      </c>
      <c r="Q66" s="12">
        <v>6572</v>
      </c>
    </row>
    <row r="67" spans="1:17">
      <c r="B67" s="17" t="s">
        <v>23</v>
      </c>
      <c r="C67" s="13">
        <f t="shared" ref="C67:Q67" si="9">SUM(C59:C66)</f>
        <v>119354976</v>
      </c>
      <c r="D67" s="13">
        <f t="shared" si="9"/>
        <v>2091840</v>
      </c>
      <c r="E67" s="13">
        <f t="shared" si="9"/>
        <v>0</v>
      </c>
      <c r="F67" s="13">
        <f t="shared" si="9"/>
        <v>228454</v>
      </c>
      <c r="G67" s="13">
        <f t="shared" si="9"/>
        <v>443410</v>
      </c>
      <c r="H67" s="13">
        <f t="shared" si="9"/>
        <v>194270</v>
      </c>
      <c r="I67" s="13">
        <f t="shared" si="9"/>
        <v>8730</v>
      </c>
      <c r="J67" s="13">
        <f t="shared" si="9"/>
        <v>495670</v>
      </c>
      <c r="K67" s="13">
        <f t="shared" si="9"/>
        <v>0</v>
      </c>
      <c r="L67" s="13">
        <f t="shared" si="9"/>
        <v>0</v>
      </c>
      <c r="M67" s="13">
        <f t="shared" si="9"/>
        <v>6370</v>
      </c>
      <c r="N67" s="13">
        <f t="shared" si="9"/>
        <v>9.5</v>
      </c>
      <c r="O67" s="13">
        <f t="shared" si="9"/>
        <v>853760</v>
      </c>
      <c r="P67" s="13">
        <f t="shared" si="9"/>
        <v>16120</v>
      </c>
      <c r="Q67" s="13">
        <f t="shared" si="9"/>
        <v>78715</v>
      </c>
    </row>
    <row r="68" spans="1:17"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</row>
    <row r="69" spans="1:17">
      <c r="A69" s="4" t="s">
        <v>83</v>
      </c>
      <c r="B69" s="4" t="s">
        <v>84</v>
      </c>
      <c r="C69" s="5">
        <v>32847099</v>
      </c>
      <c r="D69" s="5">
        <v>1559875</v>
      </c>
      <c r="E69" s="5">
        <v>0</v>
      </c>
      <c r="F69" s="5">
        <v>43081</v>
      </c>
      <c r="G69" s="5">
        <v>28069</v>
      </c>
      <c r="H69" s="5">
        <v>784193</v>
      </c>
      <c r="I69" s="5">
        <v>7705</v>
      </c>
      <c r="J69" s="5">
        <v>318445</v>
      </c>
      <c r="K69" s="8"/>
      <c r="L69" s="5"/>
      <c r="M69" s="5">
        <v>295200</v>
      </c>
      <c r="N69" s="5"/>
      <c r="O69" s="8"/>
      <c r="P69" s="8"/>
      <c r="Q69" s="5">
        <v>346820</v>
      </c>
    </row>
    <row r="70" spans="1:17">
      <c r="A70" s="4"/>
      <c r="B70" s="4" t="s">
        <v>85</v>
      </c>
      <c r="C70" s="5">
        <v>44395373</v>
      </c>
      <c r="D70" s="5">
        <v>1069775</v>
      </c>
      <c r="E70" s="5">
        <v>0</v>
      </c>
      <c r="F70" s="5">
        <v>48708</v>
      </c>
      <c r="G70" s="5">
        <v>30938</v>
      </c>
      <c r="H70" s="5">
        <v>328765</v>
      </c>
      <c r="I70" s="5">
        <v>10647</v>
      </c>
      <c r="J70" s="5">
        <v>303663</v>
      </c>
      <c r="K70" s="8"/>
      <c r="L70" s="5">
        <v>0</v>
      </c>
      <c r="M70" s="5">
        <v>279120</v>
      </c>
      <c r="N70" s="5"/>
      <c r="O70" s="8"/>
      <c r="P70" s="8"/>
      <c r="Q70" s="5">
        <v>272494</v>
      </c>
    </row>
    <row r="71" spans="1:17">
      <c r="A71" s="4"/>
      <c r="B71" s="4" t="s">
        <v>86</v>
      </c>
      <c r="C71" s="5">
        <v>82299736</v>
      </c>
      <c r="D71" s="5">
        <v>2152055</v>
      </c>
      <c r="E71" s="5">
        <v>0</v>
      </c>
      <c r="F71" s="5">
        <v>339689</v>
      </c>
      <c r="G71" s="5">
        <v>31952</v>
      </c>
      <c r="H71" s="5">
        <v>62335</v>
      </c>
      <c r="I71" s="5">
        <v>3963</v>
      </c>
      <c r="J71" s="5">
        <v>356281</v>
      </c>
      <c r="K71" s="8"/>
      <c r="L71" s="5"/>
      <c r="M71" s="5">
        <v>412800</v>
      </c>
      <c r="N71" s="5"/>
      <c r="O71" s="8"/>
      <c r="P71" s="8"/>
      <c r="Q71" s="5">
        <v>177040</v>
      </c>
    </row>
    <row r="72" spans="1:17">
      <c r="A72" s="4"/>
      <c r="B72" s="4" t="s">
        <v>87</v>
      </c>
      <c r="C72" s="5">
        <v>2583863</v>
      </c>
      <c r="D72" s="5">
        <v>468075</v>
      </c>
      <c r="E72" s="5">
        <v>0</v>
      </c>
      <c r="F72" s="5">
        <v>149418</v>
      </c>
      <c r="G72" s="5">
        <v>32678</v>
      </c>
      <c r="H72" s="5">
        <v>50960</v>
      </c>
      <c r="I72" s="5">
        <v>3242</v>
      </c>
      <c r="J72" s="5">
        <v>263383</v>
      </c>
      <c r="K72" s="8"/>
      <c r="L72" s="5"/>
      <c r="M72" s="5">
        <v>343920</v>
      </c>
      <c r="N72" s="5"/>
      <c r="O72" s="8"/>
      <c r="P72" s="8"/>
      <c r="Q72" s="5">
        <v>160497</v>
      </c>
    </row>
    <row r="73" spans="1:17">
      <c r="B73" s="6" t="s">
        <v>23</v>
      </c>
      <c r="C73" s="7">
        <f t="shared" ref="C73:J73" si="10">SUM(C69:C72)</f>
        <v>162126071</v>
      </c>
      <c r="D73" s="7">
        <f t="shared" si="10"/>
        <v>5249780</v>
      </c>
      <c r="E73" s="7">
        <f t="shared" si="10"/>
        <v>0</v>
      </c>
      <c r="F73" s="7">
        <f t="shared" si="10"/>
        <v>580896</v>
      </c>
      <c r="G73" s="7">
        <f t="shared" si="10"/>
        <v>123637</v>
      </c>
      <c r="H73" s="7">
        <f t="shared" si="10"/>
        <v>1226253</v>
      </c>
      <c r="I73" s="7">
        <f t="shared" si="10"/>
        <v>25557</v>
      </c>
      <c r="J73" s="7">
        <f t="shared" si="10"/>
        <v>1241772</v>
      </c>
      <c r="K73" s="8"/>
      <c r="L73" s="7">
        <f t="shared" ref="L73:Q73" si="11">SUM(L69:L72)</f>
        <v>0</v>
      </c>
      <c r="M73" s="7">
        <f t="shared" si="11"/>
        <v>1331040</v>
      </c>
      <c r="N73" s="7">
        <f t="shared" si="11"/>
        <v>0</v>
      </c>
      <c r="O73" s="7">
        <f t="shared" si="11"/>
        <v>0</v>
      </c>
      <c r="P73" s="7">
        <f t="shared" si="11"/>
        <v>0</v>
      </c>
      <c r="Q73" s="7">
        <f t="shared" si="11"/>
        <v>956851</v>
      </c>
    </row>
    <row r="74" spans="1:17">
      <c r="A74" s="4"/>
      <c r="B74" s="4"/>
      <c r="C74" s="5"/>
      <c r="D74" s="5"/>
      <c r="E74" s="5"/>
      <c r="F74" s="5"/>
      <c r="G74" s="5"/>
      <c r="H74" s="5"/>
      <c r="I74" s="5"/>
      <c r="J74" s="5"/>
      <c r="K74" s="8"/>
      <c r="L74" s="5"/>
      <c r="M74" s="5"/>
      <c r="N74" s="5"/>
      <c r="O74" s="8"/>
      <c r="P74" s="8"/>
      <c r="Q74" s="5"/>
    </row>
    <row r="75" spans="1:17">
      <c r="A75" s="4" t="s">
        <v>88</v>
      </c>
      <c r="B75" s="25" t="s">
        <v>89</v>
      </c>
      <c r="C75" s="26">
        <v>28031591</v>
      </c>
      <c r="D75" s="26">
        <v>2105759</v>
      </c>
      <c r="E75" s="26">
        <v>0</v>
      </c>
      <c r="F75" s="26">
        <v>4963556</v>
      </c>
      <c r="G75" s="26">
        <v>3011938</v>
      </c>
      <c r="H75" s="26">
        <v>0</v>
      </c>
      <c r="I75" s="26">
        <v>14</v>
      </c>
      <c r="J75" s="26">
        <v>17684</v>
      </c>
      <c r="K75" s="8"/>
      <c r="L75" s="26">
        <v>1119109</v>
      </c>
      <c r="M75" s="26">
        <v>3300</v>
      </c>
      <c r="N75" s="8"/>
      <c r="O75" s="26">
        <v>0</v>
      </c>
      <c r="P75" s="26">
        <v>2695</v>
      </c>
      <c r="Q75" s="8"/>
    </row>
    <row r="76" spans="1:17">
      <c r="A76" s="4"/>
      <c r="B76" s="25" t="s">
        <v>88</v>
      </c>
      <c r="C76" s="26">
        <v>11300914</v>
      </c>
      <c r="D76" s="26">
        <v>797486</v>
      </c>
      <c r="E76" s="26">
        <v>0</v>
      </c>
      <c r="F76" s="26">
        <v>1436051</v>
      </c>
      <c r="G76" s="26">
        <v>683473</v>
      </c>
      <c r="H76" s="26">
        <v>2625</v>
      </c>
      <c r="I76" s="26">
        <v>138</v>
      </c>
      <c r="J76" s="26">
        <v>44314</v>
      </c>
      <c r="K76" s="8"/>
      <c r="L76" s="26">
        <v>295416</v>
      </c>
      <c r="M76" s="26">
        <v>990</v>
      </c>
      <c r="N76" s="8"/>
      <c r="O76" s="26">
        <v>0</v>
      </c>
      <c r="P76" s="26">
        <v>2680</v>
      </c>
      <c r="Q76" s="8"/>
    </row>
    <row r="77" spans="1:17">
      <c r="A77" s="4"/>
      <c r="B77" s="25" t="s">
        <v>90</v>
      </c>
      <c r="C77" s="26">
        <v>15157214</v>
      </c>
      <c r="D77" s="26">
        <v>1374943</v>
      </c>
      <c r="E77" s="26">
        <v>0</v>
      </c>
      <c r="F77" s="26">
        <v>2010181</v>
      </c>
      <c r="G77" s="26">
        <v>1538582</v>
      </c>
      <c r="H77" s="26">
        <v>0</v>
      </c>
      <c r="I77" s="26">
        <v>4</v>
      </c>
      <c r="J77" s="26">
        <v>6274</v>
      </c>
      <c r="K77" s="8"/>
      <c r="L77" s="26">
        <v>609365</v>
      </c>
      <c r="M77" s="26">
        <v>605</v>
      </c>
      <c r="N77" s="8"/>
      <c r="O77" s="26">
        <v>0</v>
      </c>
      <c r="P77" s="26">
        <v>550</v>
      </c>
      <c r="Q77" s="8"/>
    </row>
    <row r="78" spans="1:17">
      <c r="A78" s="4"/>
      <c r="B78" s="6" t="s">
        <v>23</v>
      </c>
      <c r="C78" s="27">
        <v>54489719</v>
      </c>
      <c r="D78" s="27">
        <v>4278188</v>
      </c>
      <c r="E78" s="27">
        <v>0</v>
      </c>
      <c r="F78" s="27">
        <v>8409788</v>
      </c>
      <c r="G78" s="27">
        <v>5233993</v>
      </c>
      <c r="H78" s="27">
        <v>2625</v>
      </c>
      <c r="I78" s="27">
        <v>156</v>
      </c>
      <c r="J78" s="27">
        <v>68270</v>
      </c>
      <c r="K78" s="8"/>
      <c r="L78" s="27">
        <v>2023890</v>
      </c>
      <c r="M78" s="27">
        <v>4895</v>
      </c>
      <c r="N78" s="8"/>
      <c r="O78" s="27">
        <v>0</v>
      </c>
      <c r="P78" s="27">
        <v>5925</v>
      </c>
      <c r="Q78" s="8"/>
    </row>
    <row r="79" spans="1:17">
      <c r="A79" s="4"/>
      <c r="B79" s="4"/>
      <c r="C79" s="5"/>
      <c r="D79" s="5"/>
      <c r="E79" s="5"/>
      <c r="F79" s="5"/>
      <c r="G79" s="5"/>
      <c r="H79" s="5"/>
      <c r="I79" s="5"/>
      <c r="J79" s="5"/>
      <c r="K79" s="8"/>
      <c r="L79" s="5"/>
      <c r="M79" s="5"/>
      <c r="N79" s="8"/>
      <c r="O79" s="5"/>
      <c r="P79" s="8"/>
      <c r="Q79" s="8"/>
    </row>
    <row r="80" spans="1:17">
      <c r="A80" s="4"/>
      <c r="B80" s="4"/>
      <c r="C80" s="5"/>
      <c r="D80" s="5"/>
      <c r="E80" s="5"/>
      <c r="F80" s="5"/>
      <c r="G80" s="5"/>
      <c r="H80" s="5"/>
      <c r="I80" s="5"/>
      <c r="J80" s="5"/>
      <c r="K80" s="8"/>
      <c r="L80" s="5"/>
      <c r="M80" s="5"/>
      <c r="N80" s="8"/>
      <c r="O80" s="5"/>
      <c r="P80" s="8"/>
      <c r="Q80" s="8"/>
    </row>
    <row r="81" spans="1:18">
      <c r="A81" s="22" t="s">
        <v>91</v>
      </c>
      <c r="B81" s="22" t="s">
        <v>92</v>
      </c>
      <c r="C81" s="28">
        <v>13263600</v>
      </c>
      <c r="D81" s="28">
        <v>1066300</v>
      </c>
      <c r="E81" s="28"/>
      <c r="F81" s="28">
        <v>407160</v>
      </c>
      <c r="G81" s="28">
        <v>146016</v>
      </c>
      <c r="H81" s="28"/>
      <c r="I81" s="28"/>
      <c r="J81" s="28">
        <v>67392</v>
      </c>
      <c r="K81" s="28"/>
      <c r="L81" s="28">
        <v>816075</v>
      </c>
      <c r="M81" s="28">
        <v>5960</v>
      </c>
      <c r="N81" s="28"/>
      <c r="O81" s="28">
        <v>35798</v>
      </c>
      <c r="P81" s="42">
        <v>2052</v>
      </c>
      <c r="Q81" s="42">
        <v>8320</v>
      </c>
    </row>
    <row r="82" spans="1:18">
      <c r="A82" s="22"/>
      <c r="B82" s="22" t="s">
        <v>93</v>
      </c>
      <c r="C82" s="28">
        <v>27438540</v>
      </c>
      <c r="D82" s="28">
        <v>572163</v>
      </c>
      <c r="E82" s="28"/>
      <c r="F82" s="28">
        <v>965133</v>
      </c>
      <c r="G82" s="28">
        <v>376770</v>
      </c>
      <c r="H82" s="28"/>
      <c r="I82" s="28"/>
      <c r="J82" s="28">
        <v>26520</v>
      </c>
      <c r="K82" s="28"/>
      <c r="L82" s="28">
        <v>2005938</v>
      </c>
      <c r="M82" s="28"/>
      <c r="N82" s="28"/>
      <c r="O82" s="28">
        <v>11475</v>
      </c>
      <c r="P82" s="42">
        <v>247</v>
      </c>
      <c r="Q82" s="42">
        <v>4200</v>
      </c>
    </row>
    <row r="83" spans="1:18">
      <c r="A83" s="22"/>
      <c r="B83" s="22" t="s">
        <v>94</v>
      </c>
      <c r="C83" s="28">
        <v>2657130</v>
      </c>
      <c r="D83" s="28">
        <v>796413</v>
      </c>
      <c r="E83" s="28"/>
      <c r="F83" s="28">
        <v>254124</v>
      </c>
      <c r="G83" s="28">
        <v>142272</v>
      </c>
      <c r="H83" s="28"/>
      <c r="I83" s="28"/>
      <c r="J83" s="28">
        <v>31356</v>
      </c>
      <c r="K83" s="28"/>
      <c r="L83" s="28">
        <v>50125</v>
      </c>
      <c r="M83" s="28">
        <v>37500</v>
      </c>
      <c r="N83" s="28"/>
      <c r="O83" s="28">
        <v>28083</v>
      </c>
      <c r="P83" s="42">
        <v>3828</v>
      </c>
      <c r="Q83" s="42">
        <v>8779</v>
      </c>
    </row>
    <row r="84" spans="1:18">
      <c r="A84" s="22"/>
      <c r="B84" s="22" t="s">
        <v>95</v>
      </c>
      <c r="C84" s="28">
        <v>11016720</v>
      </c>
      <c r="D84" s="28">
        <v>929000</v>
      </c>
      <c r="E84" s="28"/>
      <c r="F84" s="28">
        <v>1093262</v>
      </c>
      <c r="G84" s="28">
        <v>1229328</v>
      </c>
      <c r="H84" s="28"/>
      <c r="I84" s="28"/>
      <c r="J84" s="28">
        <v>25358</v>
      </c>
      <c r="K84" s="28"/>
      <c r="L84" s="28">
        <v>669450</v>
      </c>
      <c r="M84" s="28">
        <v>7820</v>
      </c>
      <c r="N84" s="28"/>
      <c r="O84" s="28">
        <v>10972</v>
      </c>
      <c r="P84" s="42">
        <v>723</v>
      </c>
      <c r="Q84" s="42">
        <v>5900</v>
      </c>
    </row>
    <row r="85" spans="1:18">
      <c r="A85" s="22"/>
      <c r="B85" s="29" t="s">
        <v>23</v>
      </c>
      <c r="C85" s="30">
        <f t="shared" ref="C85:Q85" si="12">SUM(C81:C84)</f>
        <v>54375990</v>
      </c>
      <c r="D85" s="30">
        <f t="shared" si="12"/>
        <v>3363876</v>
      </c>
      <c r="E85" s="30">
        <f t="shared" si="12"/>
        <v>0</v>
      </c>
      <c r="F85" s="30">
        <f t="shared" si="12"/>
        <v>2719679</v>
      </c>
      <c r="G85" s="30">
        <f t="shared" si="12"/>
        <v>1894386</v>
      </c>
      <c r="H85" s="30">
        <f t="shared" si="12"/>
        <v>0</v>
      </c>
      <c r="I85" s="30">
        <f t="shared" si="12"/>
        <v>0</v>
      </c>
      <c r="J85" s="30">
        <f t="shared" si="12"/>
        <v>150626</v>
      </c>
      <c r="K85" s="30">
        <f t="shared" si="12"/>
        <v>0</v>
      </c>
      <c r="L85" s="30">
        <f t="shared" si="12"/>
        <v>3541588</v>
      </c>
      <c r="M85" s="30">
        <f t="shared" si="12"/>
        <v>51280</v>
      </c>
      <c r="N85" s="30">
        <f t="shared" si="12"/>
        <v>0</v>
      </c>
      <c r="O85" s="30">
        <f t="shared" si="12"/>
        <v>86328</v>
      </c>
      <c r="P85" s="30">
        <f t="shared" si="12"/>
        <v>6850</v>
      </c>
      <c r="Q85" s="30">
        <f t="shared" si="12"/>
        <v>27199</v>
      </c>
    </row>
    <row r="86" spans="1:18"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</row>
    <row r="87" spans="1:18">
      <c r="A87" s="4" t="s">
        <v>96</v>
      </c>
      <c r="B87" s="4" t="s">
        <v>97</v>
      </c>
      <c r="C87" s="28">
        <v>11572670</v>
      </c>
      <c r="D87" s="28">
        <v>519540</v>
      </c>
      <c r="E87" s="28"/>
      <c r="F87" s="28">
        <v>37818</v>
      </c>
      <c r="G87" s="28">
        <v>21262</v>
      </c>
      <c r="H87" s="28">
        <v>337837</v>
      </c>
      <c r="I87" s="28">
        <v>7056</v>
      </c>
      <c r="J87" s="28">
        <v>131875</v>
      </c>
      <c r="K87" s="43"/>
      <c r="L87" s="28"/>
      <c r="M87" s="28">
        <v>149730</v>
      </c>
      <c r="N87" s="28">
        <v>450</v>
      </c>
      <c r="O87" s="43">
        <v>5227089</v>
      </c>
      <c r="P87" s="43"/>
      <c r="Q87" s="43"/>
      <c r="R87" s="4"/>
    </row>
    <row r="88" spans="1:18">
      <c r="A88" s="4"/>
      <c r="B88" s="4" t="s">
        <v>98</v>
      </c>
      <c r="C88" s="28">
        <v>3855232</v>
      </c>
      <c r="D88" s="28">
        <v>351672</v>
      </c>
      <c r="E88" s="28"/>
      <c r="F88" s="28">
        <v>3683903</v>
      </c>
      <c r="G88" s="28">
        <v>19215</v>
      </c>
      <c r="H88" s="28">
        <v>38745</v>
      </c>
      <c r="I88" s="28">
        <v>2035</v>
      </c>
      <c r="J88" s="28">
        <v>22045</v>
      </c>
      <c r="K88" s="43"/>
      <c r="L88" s="28"/>
      <c r="M88" s="28">
        <v>51160</v>
      </c>
      <c r="N88" s="28">
        <v>324</v>
      </c>
      <c r="O88" s="43">
        <v>1340924</v>
      </c>
      <c r="P88" s="43"/>
      <c r="Q88" s="43"/>
      <c r="R88" s="4"/>
    </row>
    <row r="89" spans="1:18">
      <c r="A89" s="4"/>
      <c r="B89" s="4" t="s">
        <v>99</v>
      </c>
      <c r="C89" s="28">
        <v>4585425</v>
      </c>
      <c r="D89" s="28">
        <v>485300</v>
      </c>
      <c r="E89" s="28">
        <v>0</v>
      </c>
      <c r="F89" s="28">
        <v>198020</v>
      </c>
      <c r="G89" s="28" t="s">
        <v>100</v>
      </c>
      <c r="H89" s="28">
        <v>31850</v>
      </c>
      <c r="I89" s="28">
        <v>1.6</v>
      </c>
      <c r="J89" s="28">
        <v>268554</v>
      </c>
      <c r="K89" s="43"/>
      <c r="L89" s="28">
        <v>0</v>
      </c>
      <c r="M89" s="28">
        <v>140665.60000000001</v>
      </c>
      <c r="N89" s="28"/>
      <c r="O89" s="44">
        <v>120020</v>
      </c>
      <c r="P89" s="43"/>
      <c r="Q89" s="43"/>
      <c r="R89" s="4"/>
    </row>
    <row r="90" spans="1:18">
      <c r="A90" s="4"/>
      <c r="B90" s="4" t="s">
        <v>101</v>
      </c>
      <c r="C90" s="28">
        <v>2834313</v>
      </c>
      <c r="D90" s="28">
        <v>387570</v>
      </c>
      <c r="E90" s="28">
        <v>0</v>
      </c>
      <c r="F90" s="28">
        <v>101520</v>
      </c>
      <c r="G90" s="28">
        <v>36526.5</v>
      </c>
      <c r="H90" s="28">
        <v>9873.5</v>
      </c>
      <c r="I90" s="28">
        <v>14.28</v>
      </c>
      <c r="J90" s="28">
        <v>300718.08000000002</v>
      </c>
      <c r="K90" s="43"/>
      <c r="L90" s="28">
        <v>0</v>
      </c>
      <c r="M90" s="28">
        <v>158131.20000000001</v>
      </c>
      <c r="N90" s="28">
        <v>0</v>
      </c>
      <c r="O90" s="28">
        <v>130118.39999999999</v>
      </c>
      <c r="P90" s="43">
        <v>0</v>
      </c>
      <c r="Q90" s="43">
        <v>0</v>
      </c>
      <c r="R90" s="4"/>
    </row>
    <row r="91" spans="1:18">
      <c r="A91" s="4"/>
      <c r="B91" s="4" t="s">
        <v>102</v>
      </c>
      <c r="C91" s="28">
        <v>10447852</v>
      </c>
      <c r="D91" s="28">
        <v>461727</v>
      </c>
      <c r="E91" s="28">
        <v>0</v>
      </c>
      <c r="F91" s="28"/>
      <c r="G91" s="28">
        <v>13608</v>
      </c>
      <c r="H91" s="28">
        <v>191100</v>
      </c>
      <c r="I91" s="28">
        <v>5260.16</v>
      </c>
      <c r="J91" s="28">
        <v>91148</v>
      </c>
      <c r="K91" s="43"/>
      <c r="L91" s="28"/>
      <c r="M91" s="28" t="s">
        <v>103</v>
      </c>
      <c r="N91" s="28">
        <v>450</v>
      </c>
      <c r="O91" s="43">
        <v>3589441</v>
      </c>
      <c r="P91" s="43"/>
      <c r="Q91" s="43"/>
      <c r="R91" s="4"/>
    </row>
    <row r="92" spans="1:18">
      <c r="A92" s="4"/>
      <c r="B92" s="4" t="s">
        <v>104</v>
      </c>
      <c r="C92" s="28">
        <v>5876918</v>
      </c>
      <c r="D92" s="28">
        <v>271173</v>
      </c>
      <c r="E92" s="28">
        <v>0</v>
      </c>
      <c r="F92" s="28"/>
      <c r="G92" s="28">
        <v>7654.5</v>
      </c>
      <c r="H92" s="28">
        <v>107493</v>
      </c>
      <c r="I92" s="28">
        <v>2958.84</v>
      </c>
      <c r="J92" s="28">
        <v>51270</v>
      </c>
      <c r="K92" s="43"/>
      <c r="L92" s="28"/>
      <c r="M92" s="28">
        <v>99758</v>
      </c>
      <c r="N92" s="28">
        <v>450</v>
      </c>
      <c r="O92" s="43">
        <v>2019061</v>
      </c>
      <c r="P92" s="43"/>
      <c r="Q92" s="43"/>
      <c r="R92" s="4"/>
    </row>
    <row r="93" spans="1:18">
      <c r="A93" s="4"/>
      <c r="B93" s="6" t="s">
        <v>72</v>
      </c>
      <c r="C93" s="7">
        <f t="shared" ref="C93:Q93" si="13">SUM(C87:C92)</f>
        <v>39172410</v>
      </c>
      <c r="D93" s="7">
        <f t="shared" si="13"/>
        <v>2476982</v>
      </c>
      <c r="E93" s="7">
        <f t="shared" si="13"/>
        <v>0</v>
      </c>
      <c r="F93" s="7">
        <f t="shared" si="13"/>
        <v>4021261</v>
      </c>
      <c r="G93" s="7">
        <f t="shared" si="13"/>
        <v>98266</v>
      </c>
      <c r="H93" s="7">
        <f t="shared" si="13"/>
        <v>716898.5</v>
      </c>
      <c r="I93" s="7">
        <f t="shared" si="13"/>
        <v>17325.88</v>
      </c>
      <c r="J93" s="7">
        <f t="shared" si="13"/>
        <v>865610.08</v>
      </c>
      <c r="K93" s="7">
        <f t="shared" si="13"/>
        <v>0</v>
      </c>
      <c r="L93" s="7">
        <f t="shared" si="13"/>
        <v>0</v>
      </c>
      <c r="M93" s="7">
        <f t="shared" si="13"/>
        <v>599444.80000000005</v>
      </c>
      <c r="N93" s="7">
        <f t="shared" si="13"/>
        <v>1674</v>
      </c>
      <c r="O93" s="7">
        <f t="shared" si="13"/>
        <v>12426653.4</v>
      </c>
      <c r="P93" s="7">
        <f t="shared" si="13"/>
        <v>0</v>
      </c>
      <c r="Q93" s="7">
        <f t="shared" si="13"/>
        <v>0</v>
      </c>
    </row>
    <row r="94" spans="1:18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O94" s="4"/>
      <c r="Q94" s="4"/>
    </row>
    <row r="97" spans="1:19">
      <c r="A97" s="1" t="s">
        <v>105</v>
      </c>
      <c r="B97" s="31" t="s">
        <v>106</v>
      </c>
      <c r="C97" s="32">
        <v>2423398</v>
      </c>
      <c r="D97" s="32">
        <v>350344</v>
      </c>
      <c r="E97" s="32"/>
      <c r="F97" s="32">
        <v>95169</v>
      </c>
      <c r="G97" s="32">
        <v>2359</v>
      </c>
      <c r="H97" s="32">
        <v>26117</v>
      </c>
      <c r="I97" s="32">
        <v>275</v>
      </c>
      <c r="J97" s="32">
        <v>284359</v>
      </c>
      <c r="L97" s="32"/>
      <c r="M97" s="32">
        <v>28935</v>
      </c>
      <c r="N97" s="32">
        <v>2893</v>
      </c>
      <c r="O97" s="32">
        <v>123040</v>
      </c>
    </row>
    <row r="98" spans="1:19">
      <c r="B98" s="31" t="s">
        <v>107</v>
      </c>
      <c r="C98" s="32">
        <v>1344871</v>
      </c>
      <c r="D98" s="32">
        <v>391752</v>
      </c>
      <c r="E98" s="32"/>
      <c r="F98" s="32">
        <v>73881</v>
      </c>
      <c r="G98" s="32">
        <v>17093</v>
      </c>
      <c r="H98" s="32">
        <v>12786</v>
      </c>
      <c r="I98" s="32">
        <v>102</v>
      </c>
      <c r="J98" s="32">
        <v>211969</v>
      </c>
      <c r="L98" s="32"/>
      <c r="M98" s="32">
        <v>38235</v>
      </c>
      <c r="N98" s="32">
        <v>3824</v>
      </c>
      <c r="O98" s="32">
        <v>113509</v>
      </c>
    </row>
    <row r="99" spans="1:19">
      <c r="B99" s="31" t="s">
        <v>108</v>
      </c>
      <c r="C99" s="32">
        <v>2172715.5</v>
      </c>
      <c r="D99" s="32">
        <v>656540</v>
      </c>
      <c r="E99" s="32"/>
      <c r="F99" s="32">
        <v>212338.8</v>
      </c>
      <c r="G99" s="32">
        <v>59533</v>
      </c>
      <c r="H99" s="32">
        <v>10419</v>
      </c>
      <c r="I99" s="32">
        <v>128</v>
      </c>
      <c r="J99" s="32">
        <v>1571968</v>
      </c>
      <c r="L99" s="32"/>
      <c r="M99" s="32">
        <v>23700</v>
      </c>
      <c r="N99" s="32">
        <v>2370</v>
      </c>
      <c r="O99" s="32">
        <v>702066</v>
      </c>
    </row>
    <row r="100" spans="1:19">
      <c r="B100" s="31" t="s">
        <v>109</v>
      </c>
      <c r="C100" s="32">
        <v>4288482</v>
      </c>
      <c r="D100" s="32">
        <v>528080</v>
      </c>
      <c r="E100" s="32"/>
      <c r="F100" s="32">
        <v>105714</v>
      </c>
      <c r="G100" s="32">
        <v>78817</v>
      </c>
      <c r="H100" s="32">
        <v>23660</v>
      </c>
      <c r="I100" s="32">
        <v>409</v>
      </c>
      <c r="J100" s="32">
        <v>927337</v>
      </c>
      <c r="L100" s="32"/>
      <c r="M100" s="32">
        <v>115050</v>
      </c>
      <c r="N100" s="32">
        <v>11505</v>
      </c>
      <c r="O100" s="32">
        <v>413591</v>
      </c>
    </row>
    <row r="101" spans="1:19">
      <c r="B101" s="31" t="s">
        <v>110</v>
      </c>
      <c r="C101" s="32">
        <v>2132399</v>
      </c>
      <c r="D101" s="32">
        <v>312604</v>
      </c>
      <c r="E101" s="32"/>
      <c r="F101" s="32">
        <v>62185</v>
      </c>
      <c r="G101" s="32">
        <v>43198</v>
      </c>
      <c r="H101" s="32">
        <v>12877</v>
      </c>
      <c r="I101" s="32">
        <v>560</v>
      </c>
      <c r="J101" s="32">
        <v>939457</v>
      </c>
      <c r="L101" s="32"/>
      <c r="M101" s="32">
        <v>25260</v>
      </c>
      <c r="N101" s="32">
        <v>2526</v>
      </c>
      <c r="O101" s="32">
        <v>412860</v>
      </c>
    </row>
    <row r="102" spans="1:19">
      <c r="B102" s="31" t="s">
        <v>111</v>
      </c>
      <c r="C102" s="32">
        <v>1955985</v>
      </c>
      <c r="D102" s="32">
        <v>543800</v>
      </c>
      <c r="E102" s="32"/>
      <c r="F102" s="32">
        <v>93182</v>
      </c>
      <c r="G102" s="32">
        <v>67410</v>
      </c>
      <c r="H102" s="32">
        <v>20475</v>
      </c>
      <c r="I102" s="32">
        <v>260</v>
      </c>
      <c r="J102" s="32">
        <v>250591</v>
      </c>
      <c r="L102" s="32"/>
      <c r="M102" s="32">
        <v>50250</v>
      </c>
      <c r="N102" s="32">
        <v>5025</v>
      </c>
      <c r="O102" s="32">
        <v>119759</v>
      </c>
    </row>
    <row r="103" spans="1:19">
      <c r="B103" s="31" t="s">
        <v>112</v>
      </c>
      <c r="C103" s="32">
        <v>1666305</v>
      </c>
      <c r="D103" s="32">
        <v>446200</v>
      </c>
      <c r="E103" s="32"/>
      <c r="F103" s="32">
        <v>96876</v>
      </c>
      <c r="G103" s="32">
        <v>92475</v>
      </c>
      <c r="H103" s="32">
        <v>94367</v>
      </c>
      <c r="I103" s="32">
        <v>368</v>
      </c>
      <c r="J103" s="32">
        <v>529643</v>
      </c>
      <c r="L103" s="32"/>
      <c r="M103" s="32">
        <v>50325</v>
      </c>
      <c r="N103" s="32">
        <v>5033</v>
      </c>
      <c r="O103" s="32">
        <v>245435</v>
      </c>
    </row>
    <row r="104" spans="1:19">
      <c r="B104" s="31" t="s">
        <v>113</v>
      </c>
      <c r="C104" s="32">
        <v>4079917</v>
      </c>
      <c r="D104" s="32">
        <v>1236940</v>
      </c>
      <c r="E104" s="32"/>
      <c r="F104" s="32">
        <v>181600</v>
      </c>
      <c r="G104" s="32">
        <v>225104</v>
      </c>
      <c r="H104" s="32">
        <v>432569</v>
      </c>
      <c r="I104" s="32">
        <v>1415</v>
      </c>
      <c r="J104" s="32">
        <v>1441259</v>
      </c>
      <c r="L104" s="32"/>
      <c r="M104" s="32">
        <v>36960</v>
      </c>
      <c r="N104" s="32">
        <v>3696</v>
      </c>
      <c r="O104" s="32">
        <v>626167</v>
      </c>
    </row>
    <row r="105" spans="1:19">
      <c r="A105" s="17"/>
      <c r="B105" s="17" t="s">
        <v>36</v>
      </c>
      <c r="C105" s="33">
        <f t="shared" ref="C105:Q105" si="14">SUM(C97:C104)</f>
        <v>20064072.5</v>
      </c>
      <c r="D105" s="33">
        <f t="shared" si="14"/>
        <v>4466260</v>
      </c>
      <c r="E105" s="33">
        <f t="shared" si="14"/>
        <v>0</v>
      </c>
      <c r="F105" s="33">
        <f t="shared" si="14"/>
        <v>920945.8</v>
      </c>
      <c r="G105" s="33">
        <f t="shared" si="14"/>
        <v>585989</v>
      </c>
      <c r="H105" s="33">
        <f t="shared" si="14"/>
        <v>633270</v>
      </c>
      <c r="I105" s="33">
        <f t="shared" si="14"/>
        <v>3517</v>
      </c>
      <c r="J105" s="33">
        <f t="shared" si="14"/>
        <v>6156583</v>
      </c>
      <c r="K105" s="33">
        <f t="shared" si="14"/>
        <v>0</v>
      </c>
      <c r="L105" s="33">
        <f t="shared" si="14"/>
        <v>0</v>
      </c>
      <c r="M105" s="33">
        <f t="shared" si="14"/>
        <v>368715</v>
      </c>
      <c r="N105" s="33">
        <f t="shared" si="14"/>
        <v>36872</v>
      </c>
      <c r="O105" s="33">
        <f t="shared" si="14"/>
        <v>2756427</v>
      </c>
      <c r="P105" s="33">
        <f t="shared" si="14"/>
        <v>0</v>
      </c>
      <c r="Q105" s="33">
        <f t="shared" si="14"/>
        <v>0</v>
      </c>
      <c r="R105" s="17"/>
      <c r="S105" s="17"/>
    </row>
    <row r="107" spans="1:19">
      <c r="A107" s="1" t="s">
        <v>114</v>
      </c>
      <c r="B107" s="31" t="s">
        <v>115</v>
      </c>
      <c r="C107" s="32">
        <v>3462530</v>
      </c>
      <c r="D107" s="32">
        <v>627084</v>
      </c>
      <c r="E107" s="32">
        <v>0</v>
      </c>
      <c r="F107" s="34">
        <v>20132</v>
      </c>
      <c r="G107" s="32">
        <v>51498</v>
      </c>
      <c r="H107" s="34">
        <v>55965</v>
      </c>
      <c r="I107" s="34">
        <v>6792</v>
      </c>
      <c r="J107" s="34">
        <v>321719</v>
      </c>
      <c r="L107" s="45">
        <v>0</v>
      </c>
      <c r="M107" s="34">
        <v>17100</v>
      </c>
      <c r="N107" s="32">
        <v>1146</v>
      </c>
      <c r="O107" s="46">
        <v>168698</v>
      </c>
      <c r="P107" s="47">
        <v>2743</v>
      </c>
      <c r="Q107" s="47">
        <v>4285</v>
      </c>
    </row>
    <row r="108" spans="1:19">
      <c r="B108" s="31" t="s">
        <v>116</v>
      </c>
      <c r="C108" s="32">
        <v>1713192</v>
      </c>
      <c r="D108" s="32">
        <v>422720</v>
      </c>
      <c r="E108" s="32">
        <v>0</v>
      </c>
      <c r="F108" s="34">
        <v>23440</v>
      </c>
      <c r="G108" s="32">
        <v>36785</v>
      </c>
      <c r="H108" s="34">
        <v>61061</v>
      </c>
      <c r="I108" s="34">
        <v>383</v>
      </c>
      <c r="J108" s="34">
        <v>1292604</v>
      </c>
      <c r="L108" s="45">
        <v>0</v>
      </c>
      <c r="M108" s="34">
        <v>7452</v>
      </c>
      <c r="N108" s="32">
        <v>499</v>
      </c>
      <c r="O108" s="46">
        <v>626105</v>
      </c>
      <c r="P108" s="47">
        <v>1849</v>
      </c>
      <c r="Q108" s="47">
        <v>3637</v>
      </c>
    </row>
    <row r="109" spans="1:19">
      <c r="B109" s="31" t="s">
        <v>117</v>
      </c>
      <c r="C109" s="32">
        <v>1766039</v>
      </c>
      <c r="D109" s="32">
        <v>436812</v>
      </c>
      <c r="E109" s="32">
        <v>0</v>
      </c>
      <c r="F109" s="34">
        <v>66990</v>
      </c>
      <c r="G109" s="32">
        <v>22781</v>
      </c>
      <c r="H109" s="34">
        <v>13650</v>
      </c>
      <c r="I109" s="34">
        <v>185</v>
      </c>
      <c r="J109" s="34">
        <v>308025</v>
      </c>
      <c r="L109" s="45">
        <v>0</v>
      </c>
      <c r="M109" s="34">
        <v>10980</v>
      </c>
      <c r="N109" s="32">
        <v>736</v>
      </c>
      <c r="O109" s="46">
        <v>153913</v>
      </c>
      <c r="P109" s="47">
        <v>1911</v>
      </c>
      <c r="Q109" s="47">
        <v>4592</v>
      </c>
    </row>
    <row r="110" spans="1:19">
      <c r="B110" s="31" t="s">
        <v>118</v>
      </c>
      <c r="C110" s="32">
        <v>1139651</v>
      </c>
      <c r="D110" s="32">
        <v>265292</v>
      </c>
      <c r="E110" s="32">
        <v>0</v>
      </c>
      <c r="F110" s="34">
        <v>133650</v>
      </c>
      <c r="G110" s="32">
        <v>48010</v>
      </c>
      <c r="H110" s="34">
        <v>6370</v>
      </c>
      <c r="I110" s="34">
        <v>1194</v>
      </c>
      <c r="J110" s="34">
        <v>411330</v>
      </c>
      <c r="L110" s="45">
        <v>0</v>
      </c>
      <c r="M110" s="34">
        <v>5240</v>
      </c>
      <c r="N110" s="32">
        <v>351</v>
      </c>
      <c r="O110" s="46">
        <v>215278</v>
      </c>
      <c r="P110" s="47">
        <v>1161</v>
      </c>
      <c r="Q110" s="47">
        <v>11306</v>
      </c>
    </row>
    <row r="111" spans="1:19">
      <c r="B111" s="31" t="s">
        <v>119</v>
      </c>
      <c r="C111" s="32">
        <v>4292819</v>
      </c>
      <c r="D111" s="32">
        <v>1170620</v>
      </c>
      <c r="E111" s="32">
        <v>0</v>
      </c>
      <c r="F111" s="34">
        <v>92070</v>
      </c>
      <c r="G111" s="32">
        <v>47700</v>
      </c>
      <c r="H111" s="34">
        <v>59150</v>
      </c>
      <c r="I111" s="34">
        <v>336</v>
      </c>
      <c r="J111" s="34">
        <v>792059</v>
      </c>
      <c r="L111" s="45">
        <v>0</v>
      </c>
      <c r="M111" s="34">
        <v>26232</v>
      </c>
      <c r="N111" s="48">
        <v>1758</v>
      </c>
      <c r="O111" s="46">
        <v>372230</v>
      </c>
      <c r="P111" s="47">
        <v>5121</v>
      </c>
      <c r="Q111" s="47">
        <v>8642</v>
      </c>
    </row>
    <row r="112" spans="1:19">
      <c r="B112" s="31" t="s">
        <v>120</v>
      </c>
      <c r="C112" s="32">
        <v>2421291</v>
      </c>
      <c r="D112" s="32">
        <v>65136</v>
      </c>
      <c r="E112" s="32">
        <v>0</v>
      </c>
      <c r="F112" s="34">
        <v>65710</v>
      </c>
      <c r="G112" s="32">
        <v>34198</v>
      </c>
      <c r="H112" s="34">
        <v>2048</v>
      </c>
      <c r="I112" s="34">
        <v>456</v>
      </c>
      <c r="J112" s="34">
        <v>51149</v>
      </c>
      <c r="L112" s="45">
        <v>0</v>
      </c>
      <c r="M112" s="34">
        <v>20160</v>
      </c>
      <c r="N112" s="32">
        <v>1351</v>
      </c>
      <c r="O112" s="46">
        <v>32939</v>
      </c>
      <c r="P112" s="47">
        <v>2879</v>
      </c>
      <c r="Q112" s="47">
        <v>6176</v>
      </c>
    </row>
    <row r="113" spans="1:19">
      <c r="B113" s="31" t="s">
        <v>121</v>
      </c>
      <c r="C113" s="32">
        <v>2978748</v>
      </c>
      <c r="D113" s="32">
        <v>946336</v>
      </c>
      <c r="E113" s="32">
        <v>0</v>
      </c>
      <c r="F113" s="34">
        <v>391205</v>
      </c>
      <c r="G113" s="32">
        <v>210145</v>
      </c>
      <c r="H113" s="34">
        <v>52325</v>
      </c>
      <c r="I113" s="34">
        <v>222</v>
      </c>
      <c r="J113" s="34">
        <v>1964526</v>
      </c>
      <c r="L113" s="45">
        <v>0</v>
      </c>
      <c r="M113" s="34">
        <v>26720</v>
      </c>
      <c r="N113" s="32">
        <v>1790</v>
      </c>
      <c r="O113" s="46">
        <v>931795</v>
      </c>
      <c r="P113" s="47">
        <v>4140</v>
      </c>
      <c r="Q113" s="47">
        <v>37153</v>
      </c>
    </row>
    <row r="114" spans="1:19">
      <c r="B114" s="31" t="s">
        <v>122</v>
      </c>
      <c r="C114" s="32">
        <v>2786309</v>
      </c>
      <c r="D114" s="32">
        <v>611324</v>
      </c>
      <c r="E114" s="32">
        <v>0</v>
      </c>
      <c r="F114" s="34">
        <v>21623</v>
      </c>
      <c r="G114" s="32">
        <v>22896</v>
      </c>
      <c r="H114" s="34">
        <v>28665</v>
      </c>
      <c r="I114" s="34">
        <v>294</v>
      </c>
      <c r="J114" s="34">
        <v>794963</v>
      </c>
      <c r="L114" s="45">
        <v>0</v>
      </c>
      <c r="M114" s="34">
        <v>7138</v>
      </c>
      <c r="N114" s="32">
        <v>478</v>
      </c>
      <c r="O114" s="46">
        <v>361761</v>
      </c>
      <c r="P114" s="47">
        <v>2675</v>
      </c>
      <c r="Q114" s="47">
        <v>2712</v>
      </c>
    </row>
    <row r="115" spans="1:19">
      <c r="A115" s="17"/>
      <c r="B115" s="17" t="s">
        <v>123</v>
      </c>
      <c r="C115" s="33">
        <f t="shared" ref="C115:Q115" si="15">SUM(C107:C114)</f>
        <v>20560579</v>
      </c>
      <c r="D115" s="33">
        <f t="shared" si="15"/>
        <v>4545324</v>
      </c>
      <c r="E115" s="33">
        <f t="shared" si="15"/>
        <v>0</v>
      </c>
      <c r="F115" s="33">
        <f t="shared" si="15"/>
        <v>814820</v>
      </c>
      <c r="G115" s="33">
        <f t="shared" si="15"/>
        <v>474013</v>
      </c>
      <c r="H115" s="33">
        <f t="shared" si="15"/>
        <v>279234</v>
      </c>
      <c r="I115" s="33">
        <f t="shared" si="15"/>
        <v>9862</v>
      </c>
      <c r="J115" s="33">
        <f t="shared" si="15"/>
        <v>5936375</v>
      </c>
      <c r="K115" s="33">
        <f t="shared" si="15"/>
        <v>0</v>
      </c>
      <c r="L115" s="33">
        <f t="shared" si="15"/>
        <v>0</v>
      </c>
      <c r="M115" s="33">
        <f t="shared" si="15"/>
        <v>121022</v>
      </c>
      <c r="N115" s="33">
        <f t="shared" si="15"/>
        <v>8109</v>
      </c>
      <c r="O115" s="33">
        <f t="shared" si="15"/>
        <v>2862719</v>
      </c>
      <c r="P115" s="33">
        <f t="shared" si="15"/>
        <v>22479</v>
      </c>
      <c r="Q115" s="33">
        <f t="shared" si="15"/>
        <v>78503</v>
      </c>
      <c r="R115" s="17"/>
      <c r="S115" s="17"/>
    </row>
    <row r="117" spans="1:19">
      <c r="A117" s="1" t="s">
        <v>124</v>
      </c>
      <c r="B117" s="35" t="s">
        <v>125</v>
      </c>
      <c r="C117" s="36">
        <f>1025541+4604963+11853</f>
        <v>5642357</v>
      </c>
      <c r="D117" s="36">
        <f>1119003</f>
        <v>1119003</v>
      </c>
      <c r="E117" s="37">
        <v>0</v>
      </c>
      <c r="F117" s="38">
        <f>55668</f>
        <v>55668</v>
      </c>
      <c r="G117" s="37">
        <f>49588</f>
        <v>49588</v>
      </c>
      <c r="H117" s="36">
        <f>54460</f>
        <v>54460</v>
      </c>
      <c r="I117" s="36">
        <f>2229</f>
        <v>2229</v>
      </c>
      <c r="J117" s="36">
        <f>217207</f>
        <v>217207</v>
      </c>
      <c r="L117" s="37">
        <v>0</v>
      </c>
      <c r="M117" s="36">
        <f>42552</f>
        <v>42552</v>
      </c>
      <c r="N117" s="36">
        <f>3103</f>
        <v>3103</v>
      </c>
      <c r="O117" s="38">
        <f>6775064/30</f>
        <v>225835.46666666699</v>
      </c>
      <c r="P117" s="49">
        <f>1749*1.08</f>
        <v>1888.92</v>
      </c>
      <c r="Q117" s="49">
        <f>2754*1.05</f>
        <v>2891.7</v>
      </c>
    </row>
    <row r="118" spans="1:19">
      <c r="B118" s="39" t="s">
        <v>126</v>
      </c>
      <c r="C118" s="36">
        <f>3764462</f>
        <v>3764462</v>
      </c>
      <c r="D118" s="36">
        <f>598644</f>
        <v>598644</v>
      </c>
      <c r="E118" s="37">
        <v>0</v>
      </c>
      <c r="F118" s="37">
        <f>251834</f>
        <v>251834</v>
      </c>
      <c r="G118" s="36">
        <f>18658</f>
        <v>18658</v>
      </c>
      <c r="H118" s="36">
        <f>37485</f>
        <v>37485</v>
      </c>
      <c r="I118" s="36">
        <f>778</f>
        <v>778</v>
      </c>
      <c r="J118" s="36">
        <f>441591</f>
        <v>441591</v>
      </c>
      <c r="L118" s="36">
        <v>0</v>
      </c>
      <c r="M118" s="36">
        <f>75216</f>
        <v>75216</v>
      </c>
      <c r="N118" s="36">
        <f>5485</f>
        <v>5485</v>
      </c>
      <c r="O118" s="36">
        <f>7085455/30</f>
        <v>236181.83333333299</v>
      </c>
      <c r="P118" s="49">
        <f>3238*1.08</f>
        <v>3497.04</v>
      </c>
      <c r="Q118" s="49">
        <f>4633*1.05</f>
        <v>4864.6499999999996</v>
      </c>
    </row>
    <row r="119" spans="1:19">
      <c r="B119" s="39" t="s">
        <v>127</v>
      </c>
      <c r="C119" s="36">
        <f>4719108</f>
        <v>4719108</v>
      </c>
      <c r="D119" s="38">
        <f>958833</f>
        <v>958833</v>
      </c>
      <c r="E119" s="37">
        <v>0</v>
      </c>
      <c r="F119" s="36">
        <f>147408</f>
        <v>147408</v>
      </c>
      <c r="G119" s="36">
        <f>58091</f>
        <v>58091</v>
      </c>
      <c r="H119" s="36">
        <f>192815</f>
        <v>192815</v>
      </c>
      <c r="I119" s="36">
        <f>679</f>
        <v>679</v>
      </c>
      <c r="J119" s="38">
        <f>53662</f>
        <v>53662</v>
      </c>
      <c r="L119" s="37">
        <v>0</v>
      </c>
      <c r="M119" s="36">
        <f>182328</f>
        <v>182328</v>
      </c>
      <c r="N119" s="36">
        <f>13294</f>
        <v>13294</v>
      </c>
      <c r="O119" s="36">
        <f>11448742/30</f>
        <v>381624.73333333299</v>
      </c>
      <c r="P119" s="49">
        <f>8049*1.07</f>
        <v>8612.43</v>
      </c>
      <c r="Q119" s="49">
        <f>9415*1.05</f>
        <v>9885.75</v>
      </c>
    </row>
    <row r="120" spans="1:19">
      <c r="B120" s="39" t="s">
        <v>128</v>
      </c>
      <c r="C120" s="38">
        <v>1786857</v>
      </c>
      <c r="D120" s="38">
        <f>238515</f>
        <v>238515</v>
      </c>
      <c r="E120" s="37">
        <v>0</v>
      </c>
      <c r="F120" s="38">
        <v>14760</v>
      </c>
      <c r="G120" s="38">
        <f>14931</f>
        <v>14931</v>
      </c>
      <c r="H120" s="36">
        <f>227290</f>
        <v>227290</v>
      </c>
      <c r="I120" s="36">
        <v>2637</v>
      </c>
      <c r="J120" s="38">
        <f>660631</f>
        <v>660631</v>
      </c>
      <c r="L120" s="37">
        <v>0</v>
      </c>
      <c r="M120" s="36">
        <f>27168</f>
        <v>27168</v>
      </c>
      <c r="N120" s="50">
        <f>1981</f>
        <v>1981</v>
      </c>
      <c r="O120" s="50">
        <f>9758189/30</f>
        <v>325272.96666666702</v>
      </c>
      <c r="P120" s="49">
        <f>1.08*6858</f>
        <v>7406.64</v>
      </c>
      <c r="Q120" s="49">
        <f>17750*1.05</f>
        <v>18637.5</v>
      </c>
    </row>
    <row r="121" spans="1:19">
      <c r="B121" s="39" t="s">
        <v>129</v>
      </c>
      <c r="C121" s="36">
        <f>2858781</f>
        <v>2858781</v>
      </c>
      <c r="D121" s="38">
        <f>619428</f>
        <v>619428</v>
      </c>
      <c r="E121" s="37">
        <v>0</v>
      </c>
      <c r="F121" s="37">
        <f>106729</f>
        <v>106729</v>
      </c>
      <c r="G121" s="37">
        <f>36644</f>
        <v>36644</v>
      </c>
      <c r="H121" s="36">
        <f>84980</f>
        <v>84980</v>
      </c>
      <c r="I121" s="36">
        <f>483</f>
        <v>483</v>
      </c>
      <c r="J121" s="36">
        <f>208395</f>
        <v>208395</v>
      </c>
      <c r="L121" s="37">
        <v>0</v>
      </c>
      <c r="M121" s="36">
        <f>40488</f>
        <v>40488</v>
      </c>
      <c r="N121" s="36">
        <f>2952</f>
        <v>2952</v>
      </c>
      <c r="O121" s="36">
        <f>6081613/30</f>
        <v>202720.433333333</v>
      </c>
      <c r="P121" s="49">
        <f>1.074418</f>
        <v>1.0744180000000001</v>
      </c>
      <c r="Q121" s="49">
        <f>12123*1.05</f>
        <v>12729.15</v>
      </c>
    </row>
    <row r="122" spans="1:19">
      <c r="B122" s="39" t="s">
        <v>130</v>
      </c>
      <c r="C122" s="36">
        <f>949360+1780050+46008</f>
        <v>2775418</v>
      </c>
      <c r="D122" s="36">
        <f>753020</f>
        <v>753020</v>
      </c>
      <c r="E122" s="37">
        <v>0</v>
      </c>
      <c r="F122" s="37">
        <f>20583</f>
        <v>20583</v>
      </c>
      <c r="G122" s="37">
        <f>28833</f>
        <v>28833</v>
      </c>
      <c r="H122" s="36">
        <f>70175</f>
        <v>70175</v>
      </c>
      <c r="I122" s="36">
        <f>2745</f>
        <v>2745</v>
      </c>
      <c r="J122" s="38">
        <f>85585</f>
        <v>85585</v>
      </c>
      <c r="L122" s="37">
        <v>0</v>
      </c>
      <c r="M122" s="36">
        <f>12360</f>
        <v>12360</v>
      </c>
      <c r="N122" s="36">
        <f>901.25</f>
        <v>901.25</v>
      </c>
      <c r="O122" s="38">
        <f>5324903/30</f>
        <v>177496.76666666701</v>
      </c>
      <c r="P122" s="49">
        <f>1.07*4410</f>
        <v>4718.7</v>
      </c>
      <c r="Q122" s="49">
        <v>21891</v>
      </c>
    </row>
    <row r="123" spans="1:19">
      <c r="A123" s="17"/>
      <c r="B123" s="17" t="s">
        <v>123</v>
      </c>
      <c r="C123" s="40">
        <f t="shared" ref="C123:Q123" si="16">SUM(C117:C122)</f>
        <v>21546983</v>
      </c>
      <c r="D123" s="40">
        <f t="shared" si="16"/>
        <v>4287443</v>
      </c>
      <c r="E123" s="40">
        <f t="shared" si="16"/>
        <v>0</v>
      </c>
      <c r="F123" s="40">
        <f t="shared" si="16"/>
        <v>596982</v>
      </c>
      <c r="G123" s="40">
        <f t="shared" si="16"/>
        <v>206745</v>
      </c>
      <c r="H123" s="40">
        <f t="shared" si="16"/>
        <v>667205</v>
      </c>
      <c r="I123" s="40">
        <f t="shared" si="16"/>
        <v>9551</v>
      </c>
      <c r="J123" s="40">
        <f t="shared" si="16"/>
        <v>1667071</v>
      </c>
      <c r="K123" s="40">
        <f t="shared" si="16"/>
        <v>0</v>
      </c>
      <c r="L123" s="40">
        <f t="shared" si="16"/>
        <v>0</v>
      </c>
      <c r="M123" s="40">
        <f t="shared" si="16"/>
        <v>380112</v>
      </c>
      <c r="N123" s="40">
        <f t="shared" si="16"/>
        <v>27716.25</v>
      </c>
      <c r="O123" s="40">
        <f t="shared" si="16"/>
        <v>1549132.2</v>
      </c>
      <c r="P123" s="40">
        <f t="shared" si="16"/>
        <v>26124.804418</v>
      </c>
      <c r="Q123" s="40">
        <f t="shared" si="16"/>
        <v>70899.75</v>
      </c>
      <c r="R123" s="17"/>
      <c r="S123" s="17"/>
    </row>
    <row r="125" spans="1:19">
      <c r="A125" s="1" t="s">
        <v>131</v>
      </c>
      <c r="B125" s="31" t="s">
        <v>132</v>
      </c>
      <c r="C125" s="41">
        <v>4531684.92</v>
      </c>
      <c r="D125" s="41">
        <v>276445.2</v>
      </c>
      <c r="E125" s="1">
        <v>0</v>
      </c>
      <c r="F125" s="41">
        <v>50271.3</v>
      </c>
      <c r="G125" s="41">
        <v>65153.7</v>
      </c>
      <c r="H125" s="41">
        <v>25950.400000000001</v>
      </c>
      <c r="I125" s="41">
        <v>913.92</v>
      </c>
      <c r="J125" s="49">
        <v>1546060.59</v>
      </c>
      <c r="L125" s="41">
        <v>0</v>
      </c>
      <c r="M125" s="41">
        <v>15012</v>
      </c>
      <c r="N125" s="41">
        <v>1668</v>
      </c>
      <c r="O125" s="41">
        <v>555131.683333333</v>
      </c>
      <c r="P125" s="49">
        <v>5411</v>
      </c>
      <c r="Q125" s="49">
        <v>17188</v>
      </c>
    </row>
    <row r="126" spans="1:19">
      <c r="B126" s="31" t="s">
        <v>133</v>
      </c>
      <c r="C126" s="41">
        <v>5842190.7599999998</v>
      </c>
      <c r="D126" s="41">
        <v>466878</v>
      </c>
      <c r="E126" s="1">
        <v>0</v>
      </c>
      <c r="F126" s="41">
        <v>67599.899999999994</v>
      </c>
      <c r="G126" s="41">
        <v>91951.2</v>
      </c>
      <c r="H126" s="41">
        <v>37436</v>
      </c>
      <c r="I126" s="41">
        <v>1617</v>
      </c>
      <c r="J126" s="49">
        <v>957798.21</v>
      </c>
      <c r="L126" s="41">
        <v>0</v>
      </c>
      <c r="M126" s="41">
        <v>8928</v>
      </c>
      <c r="N126" s="41">
        <v>992</v>
      </c>
      <c r="O126" s="41">
        <v>434382.34166666702</v>
      </c>
      <c r="P126" s="49">
        <v>3190</v>
      </c>
      <c r="Q126" s="49">
        <v>2695</v>
      </c>
    </row>
    <row r="127" spans="1:19">
      <c r="B127" s="1" t="s">
        <v>134</v>
      </c>
      <c r="C127" s="41">
        <v>13571806.5</v>
      </c>
      <c r="D127" s="41">
        <v>1767771</v>
      </c>
      <c r="E127" s="1">
        <v>0</v>
      </c>
      <c r="F127" s="41">
        <v>120641.4</v>
      </c>
      <c r="G127" s="41">
        <v>121983.3</v>
      </c>
      <c r="H127" s="41">
        <v>51391.199999999997</v>
      </c>
      <c r="I127" s="41">
        <v>1519.56</v>
      </c>
      <c r="J127" s="49">
        <v>996132.81</v>
      </c>
      <c r="L127" s="41">
        <v>0</v>
      </c>
      <c r="M127" s="41">
        <v>12060</v>
      </c>
      <c r="N127" s="41">
        <v>1340</v>
      </c>
      <c r="O127" s="41">
        <v>439760.15</v>
      </c>
      <c r="P127" s="49">
        <v>2392</v>
      </c>
      <c r="Q127" s="49">
        <v>1671</v>
      </c>
    </row>
    <row r="128" spans="1:19">
      <c r="B128" s="31" t="s">
        <v>135</v>
      </c>
      <c r="C128" s="41">
        <v>2426215.6800000002</v>
      </c>
      <c r="D128" s="41">
        <v>481075.20000000001</v>
      </c>
      <c r="E128" s="1">
        <v>0</v>
      </c>
      <c r="F128" s="41">
        <v>78313.5</v>
      </c>
      <c r="G128" s="41">
        <v>108383.4</v>
      </c>
      <c r="H128" s="41">
        <v>12465.6</v>
      </c>
      <c r="I128" s="41">
        <v>712.32</v>
      </c>
      <c r="J128" s="49">
        <v>951425.43</v>
      </c>
      <c r="L128" s="41">
        <v>0</v>
      </c>
      <c r="M128" s="41">
        <v>14508</v>
      </c>
      <c r="N128" s="41">
        <v>1612</v>
      </c>
      <c r="O128" s="41">
        <v>426313.875</v>
      </c>
      <c r="P128" s="49">
        <v>1448</v>
      </c>
      <c r="Q128" s="49">
        <v>721</v>
      </c>
    </row>
    <row r="129" spans="1:19">
      <c r="B129" s="31" t="s">
        <v>136</v>
      </c>
      <c r="C129" s="41">
        <v>5430308.5199999996</v>
      </c>
      <c r="D129" s="41">
        <v>758756.4</v>
      </c>
      <c r="E129" s="1">
        <v>0</v>
      </c>
      <c r="F129" s="41">
        <v>105853.5</v>
      </c>
      <c r="G129" s="41">
        <v>150857.1</v>
      </c>
      <c r="H129" s="41">
        <v>42571.199999999997</v>
      </c>
      <c r="I129" s="41">
        <v>1212.1199999999999</v>
      </c>
      <c r="J129" s="49">
        <v>924500.94</v>
      </c>
      <c r="L129" s="41">
        <v>0</v>
      </c>
      <c r="M129" s="41">
        <v>17622</v>
      </c>
      <c r="N129" s="41">
        <v>1958</v>
      </c>
      <c r="O129" s="41">
        <v>415318.441666667</v>
      </c>
      <c r="P129" s="49">
        <v>8749</v>
      </c>
      <c r="Q129" s="49">
        <v>13781</v>
      </c>
    </row>
    <row r="130" spans="1:19">
      <c r="B130" s="31" t="s">
        <v>137</v>
      </c>
      <c r="C130" s="41">
        <v>3671080.98</v>
      </c>
      <c r="D130" s="41">
        <v>359016.6</v>
      </c>
      <c r="E130" s="1">
        <v>0</v>
      </c>
      <c r="F130" s="41">
        <v>55946.7</v>
      </c>
      <c r="G130" s="41">
        <v>80800.2</v>
      </c>
      <c r="H130" s="41">
        <v>32261.599999999999</v>
      </c>
      <c r="I130" s="41">
        <v>2127.7199999999998</v>
      </c>
      <c r="J130" s="49">
        <v>686037.39</v>
      </c>
      <c r="L130" s="41">
        <v>0</v>
      </c>
      <c r="M130" s="41">
        <v>17316</v>
      </c>
      <c r="N130" s="41">
        <v>1924</v>
      </c>
      <c r="O130" s="41">
        <v>319414.691666667</v>
      </c>
      <c r="P130" s="49">
        <v>1595</v>
      </c>
      <c r="Q130" s="49">
        <v>2396</v>
      </c>
    </row>
    <row r="131" spans="1:19">
      <c r="A131" s="17"/>
      <c r="B131" s="17" t="s">
        <v>123</v>
      </c>
      <c r="C131" s="40">
        <f t="shared" ref="C131:Q131" si="17">SUM(C125:C130)</f>
        <v>35473287.359999999</v>
      </c>
      <c r="D131" s="40">
        <f t="shared" si="17"/>
        <v>4109942.4</v>
      </c>
      <c r="E131" s="40">
        <f t="shared" si="17"/>
        <v>0</v>
      </c>
      <c r="F131" s="40">
        <f t="shared" si="17"/>
        <v>478626.3</v>
      </c>
      <c r="G131" s="40">
        <f t="shared" si="17"/>
        <v>619128.9</v>
      </c>
      <c r="H131" s="40">
        <f t="shared" si="17"/>
        <v>202076</v>
      </c>
      <c r="I131" s="40">
        <f t="shared" si="17"/>
        <v>8102.64</v>
      </c>
      <c r="J131" s="40">
        <f t="shared" si="17"/>
        <v>6061955.3700000001</v>
      </c>
      <c r="K131" s="40">
        <f t="shared" si="17"/>
        <v>0</v>
      </c>
      <c r="L131" s="40">
        <f t="shared" si="17"/>
        <v>0</v>
      </c>
      <c r="M131" s="40">
        <f t="shared" si="17"/>
        <v>85446</v>
      </c>
      <c r="N131" s="40">
        <f t="shared" si="17"/>
        <v>9494</v>
      </c>
      <c r="O131" s="40">
        <f t="shared" si="17"/>
        <v>2590321.1833333299</v>
      </c>
      <c r="P131" s="40">
        <f t="shared" si="17"/>
        <v>22785</v>
      </c>
      <c r="Q131" s="40">
        <f t="shared" si="17"/>
        <v>38452</v>
      </c>
      <c r="R131" s="17"/>
      <c r="S131" s="17"/>
    </row>
    <row r="133" spans="1:19">
      <c r="A133" s="1" t="s">
        <v>138</v>
      </c>
      <c r="B133" s="31" t="s">
        <v>139</v>
      </c>
      <c r="C133" s="51">
        <v>1649376</v>
      </c>
      <c r="D133" s="51">
        <v>352319</v>
      </c>
      <c r="E133" s="51">
        <v>0</v>
      </c>
      <c r="F133" s="51">
        <v>15778</v>
      </c>
      <c r="G133" s="51">
        <v>1743</v>
      </c>
      <c r="H133" s="51">
        <v>0</v>
      </c>
      <c r="I133" s="51">
        <v>25</v>
      </c>
      <c r="J133" s="51">
        <v>40866</v>
      </c>
      <c r="L133" s="51">
        <v>0</v>
      </c>
      <c r="M133" s="51">
        <v>1380</v>
      </c>
      <c r="N133" s="51">
        <v>5</v>
      </c>
      <c r="O133" s="67">
        <v>672832</v>
      </c>
      <c r="R133" s="51">
        <v>0</v>
      </c>
    </row>
    <row r="134" spans="1:19">
      <c r="B134" s="31" t="s">
        <v>140</v>
      </c>
      <c r="C134" s="51">
        <v>1246840</v>
      </c>
      <c r="D134" s="51">
        <v>30100</v>
      </c>
      <c r="E134" s="51">
        <v>0</v>
      </c>
      <c r="F134" s="51">
        <v>1300</v>
      </c>
      <c r="G134" s="51">
        <v>168</v>
      </c>
      <c r="H134" s="51">
        <v>1450</v>
      </c>
      <c r="I134" s="51">
        <v>0</v>
      </c>
      <c r="J134" s="51">
        <v>69416</v>
      </c>
      <c r="L134" s="51">
        <v>0</v>
      </c>
      <c r="M134" s="51">
        <v>1350</v>
      </c>
      <c r="N134" s="51">
        <v>350</v>
      </c>
      <c r="O134" s="68">
        <v>4000</v>
      </c>
      <c r="R134" s="51">
        <v>0</v>
      </c>
    </row>
    <row r="135" spans="1:19">
      <c r="B135" s="31" t="s">
        <v>141</v>
      </c>
      <c r="C135" s="51">
        <v>100000</v>
      </c>
      <c r="D135" s="51">
        <v>15600</v>
      </c>
      <c r="E135" s="51">
        <v>0</v>
      </c>
      <c r="F135" s="51">
        <v>4400</v>
      </c>
      <c r="G135" s="51">
        <v>1120</v>
      </c>
      <c r="H135" s="51">
        <v>770</v>
      </c>
      <c r="I135" s="51">
        <v>720</v>
      </c>
      <c r="J135" s="51">
        <v>37500</v>
      </c>
      <c r="L135" s="51">
        <v>0</v>
      </c>
      <c r="M135" s="51">
        <v>1780</v>
      </c>
      <c r="N135" s="51">
        <v>68</v>
      </c>
      <c r="O135" s="67">
        <v>2200</v>
      </c>
      <c r="R135" s="51">
        <v>0</v>
      </c>
    </row>
    <row r="136" spans="1:19">
      <c r="B136" s="31" t="s">
        <v>142</v>
      </c>
      <c r="C136" s="51">
        <v>157850</v>
      </c>
      <c r="D136" s="51">
        <v>129200</v>
      </c>
      <c r="E136" s="51">
        <v>0</v>
      </c>
      <c r="F136" s="51">
        <v>4890</v>
      </c>
      <c r="G136" s="51">
        <v>2490</v>
      </c>
      <c r="H136" s="51">
        <v>1400</v>
      </c>
      <c r="I136" s="51">
        <v>36</v>
      </c>
      <c r="J136" s="51">
        <v>66170</v>
      </c>
      <c r="L136" s="51">
        <v>0</v>
      </c>
      <c r="M136" s="51">
        <v>1380</v>
      </c>
      <c r="N136" s="51">
        <v>148</v>
      </c>
      <c r="O136" s="67">
        <v>42840</v>
      </c>
      <c r="R136" s="51">
        <v>3600</v>
      </c>
    </row>
    <row r="137" spans="1:19">
      <c r="B137" s="31" t="s">
        <v>143</v>
      </c>
      <c r="C137" s="51">
        <v>58300</v>
      </c>
      <c r="D137" s="51">
        <v>153100</v>
      </c>
      <c r="E137" s="51">
        <v>0</v>
      </c>
      <c r="F137" s="51">
        <v>20400</v>
      </c>
      <c r="G137" s="51">
        <v>0</v>
      </c>
      <c r="H137" s="51">
        <v>220</v>
      </c>
      <c r="I137" s="51">
        <v>0</v>
      </c>
      <c r="J137" s="51">
        <v>13700</v>
      </c>
      <c r="L137" s="51">
        <v>0</v>
      </c>
      <c r="M137" s="51">
        <v>1927</v>
      </c>
      <c r="N137" s="69">
        <v>325</v>
      </c>
      <c r="O137" s="67">
        <v>1250</v>
      </c>
      <c r="R137" s="69">
        <v>0</v>
      </c>
    </row>
    <row r="138" spans="1:19">
      <c r="B138" s="31" t="s">
        <v>144</v>
      </c>
      <c r="C138" s="51">
        <v>69000</v>
      </c>
      <c r="D138" s="51">
        <v>280000</v>
      </c>
      <c r="E138" s="51">
        <v>0</v>
      </c>
      <c r="F138" s="51">
        <v>105000</v>
      </c>
      <c r="G138" s="51">
        <v>1750</v>
      </c>
      <c r="H138" s="51">
        <v>2400</v>
      </c>
      <c r="I138" s="51">
        <v>0</v>
      </c>
      <c r="J138" s="51">
        <v>14800</v>
      </c>
      <c r="L138" s="51">
        <v>0</v>
      </c>
      <c r="M138" s="51">
        <v>1500</v>
      </c>
      <c r="N138" s="51">
        <v>50</v>
      </c>
      <c r="O138" s="67">
        <v>9600</v>
      </c>
      <c r="R138" s="51">
        <v>0</v>
      </c>
    </row>
    <row r="139" spans="1:19">
      <c r="B139" s="31" t="s">
        <v>145</v>
      </c>
      <c r="C139" s="51">
        <v>2812650</v>
      </c>
      <c r="D139" s="51">
        <v>205770</v>
      </c>
      <c r="E139" s="51">
        <v>0</v>
      </c>
      <c r="F139" s="51">
        <v>15221</v>
      </c>
      <c r="G139" s="51">
        <v>4430</v>
      </c>
      <c r="H139" s="51">
        <v>200</v>
      </c>
      <c r="I139" s="51">
        <v>890</v>
      </c>
      <c r="J139" s="51">
        <v>35258</v>
      </c>
      <c r="L139" s="51">
        <v>0</v>
      </c>
      <c r="M139" s="51">
        <v>4343</v>
      </c>
      <c r="N139" s="51">
        <v>415</v>
      </c>
      <c r="O139" s="67">
        <v>123600</v>
      </c>
      <c r="R139" s="51">
        <v>0</v>
      </c>
    </row>
    <row r="140" spans="1:19">
      <c r="A140" s="17"/>
      <c r="B140" s="17" t="s">
        <v>123</v>
      </c>
      <c r="C140" s="52">
        <f t="shared" ref="C140:R140" si="18">SUM(C133:C139)</f>
        <v>6094016</v>
      </c>
      <c r="D140" s="52">
        <f t="shared" si="18"/>
        <v>1166089</v>
      </c>
      <c r="E140" s="52">
        <f t="shared" si="18"/>
        <v>0</v>
      </c>
      <c r="F140" s="52">
        <f t="shared" si="18"/>
        <v>166989</v>
      </c>
      <c r="G140" s="52">
        <f t="shared" si="18"/>
        <v>11701</v>
      </c>
      <c r="H140" s="52">
        <f t="shared" si="18"/>
        <v>6440</v>
      </c>
      <c r="I140" s="52">
        <f t="shared" si="18"/>
        <v>1671</v>
      </c>
      <c r="J140" s="52">
        <f t="shared" si="18"/>
        <v>277710</v>
      </c>
      <c r="K140" s="52">
        <f t="shared" si="18"/>
        <v>0</v>
      </c>
      <c r="L140" s="52">
        <f t="shared" si="18"/>
        <v>0</v>
      </c>
      <c r="M140" s="52">
        <f t="shared" si="18"/>
        <v>13660</v>
      </c>
      <c r="N140" s="52">
        <f t="shared" si="18"/>
        <v>1361</v>
      </c>
      <c r="O140" s="52">
        <f t="shared" si="18"/>
        <v>856322</v>
      </c>
      <c r="P140" s="52">
        <f t="shared" si="18"/>
        <v>0</v>
      </c>
      <c r="Q140" s="52">
        <f t="shared" si="18"/>
        <v>0</v>
      </c>
      <c r="R140" s="52">
        <f t="shared" si="18"/>
        <v>3600</v>
      </c>
      <c r="S140" s="17"/>
    </row>
    <row r="142" spans="1:19">
      <c r="A142" s="1" t="s">
        <v>146</v>
      </c>
      <c r="B142" s="31" t="s">
        <v>147</v>
      </c>
      <c r="C142" s="53">
        <v>12578190</v>
      </c>
      <c r="D142" s="53">
        <v>586344</v>
      </c>
      <c r="E142" s="53">
        <v>0</v>
      </c>
      <c r="F142" s="53">
        <v>58550</v>
      </c>
      <c r="G142" s="53">
        <v>23497</v>
      </c>
      <c r="H142" s="53">
        <v>0</v>
      </c>
      <c r="I142" s="53" t="s">
        <v>148</v>
      </c>
      <c r="J142" s="53">
        <v>5885</v>
      </c>
      <c r="L142" s="53">
        <v>97412</v>
      </c>
      <c r="M142" s="53">
        <v>810</v>
      </c>
      <c r="N142" s="41">
        <v>0</v>
      </c>
      <c r="O142" s="5">
        <v>99180</v>
      </c>
      <c r="P142" s="1">
        <v>5857</v>
      </c>
      <c r="Q142" s="1">
        <v>8785</v>
      </c>
    </row>
    <row r="143" spans="1:19">
      <c r="B143" s="31" t="s">
        <v>149</v>
      </c>
      <c r="C143" s="54">
        <v>2924010</v>
      </c>
      <c r="D143" s="54">
        <v>17565</v>
      </c>
      <c r="E143" s="53">
        <v>0</v>
      </c>
      <c r="F143" s="54">
        <v>26348</v>
      </c>
      <c r="G143" s="54">
        <v>10574</v>
      </c>
      <c r="H143" s="54">
        <v>890</v>
      </c>
      <c r="I143" s="54"/>
      <c r="J143" s="54">
        <v>6080</v>
      </c>
      <c r="L143" s="54"/>
      <c r="M143" s="54">
        <v>1050</v>
      </c>
      <c r="N143" s="53"/>
      <c r="O143" s="41">
        <v>152540</v>
      </c>
      <c r="P143" s="1">
        <v>2636</v>
      </c>
      <c r="Q143" s="1">
        <v>3953</v>
      </c>
    </row>
    <row r="144" spans="1:19">
      <c r="B144" s="31" t="s">
        <v>150</v>
      </c>
      <c r="C144" s="54">
        <v>6860700</v>
      </c>
      <c r="D144" s="54">
        <v>439758</v>
      </c>
      <c r="E144" s="53">
        <v>0</v>
      </c>
      <c r="F144" s="54">
        <v>43913</v>
      </c>
      <c r="G144" s="54">
        <v>17623</v>
      </c>
      <c r="H144" s="54"/>
      <c r="I144" s="54">
        <v>0</v>
      </c>
      <c r="J144" s="54">
        <v>2030</v>
      </c>
      <c r="L144" s="70">
        <v>0</v>
      </c>
      <c r="M144" s="70">
        <v>7121</v>
      </c>
      <c r="N144" s="54">
        <v>1200</v>
      </c>
      <c r="O144" s="70">
        <v>237590</v>
      </c>
      <c r="P144" s="1">
        <v>4392</v>
      </c>
      <c r="Q144" s="1">
        <v>6589</v>
      </c>
    </row>
    <row r="145" spans="1:19">
      <c r="B145" s="31" t="s">
        <v>151</v>
      </c>
      <c r="C145" s="53">
        <v>7165350</v>
      </c>
      <c r="D145" s="53">
        <v>263855</v>
      </c>
      <c r="E145" s="53">
        <v>0</v>
      </c>
      <c r="F145" s="53">
        <v>17565</v>
      </c>
      <c r="G145" s="53">
        <v>7049</v>
      </c>
      <c r="H145" s="53"/>
      <c r="I145" s="53"/>
      <c r="J145" s="53">
        <v>3050</v>
      </c>
      <c r="L145" s="53"/>
      <c r="M145" s="53">
        <v>7500</v>
      </c>
      <c r="N145" s="53">
        <v>750</v>
      </c>
      <c r="O145" s="41">
        <v>170493</v>
      </c>
      <c r="P145" s="1">
        <v>1757</v>
      </c>
      <c r="Q145" s="1">
        <v>2635</v>
      </c>
    </row>
    <row r="146" spans="1:19">
      <c r="A146" s="17"/>
      <c r="B146" s="17" t="s">
        <v>123</v>
      </c>
      <c r="C146" s="40">
        <f t="shared" ref="C146:R146" si="19">SUM(C142:C145)</f>
        <v>29528250</v>
      </c>
      <c r="D146" s="40">
        <f t="shared" si="19"/>
        <v>1307522</v>
      </c>
      <c r="E146" s="40">
        <f t="shared" si="19"/>
        <v>0</v>
      </c>
      <c r="F146" s="40">
        <f t="shared" si="19"/>
        <v>146376</v>
      </c>
      <c r="G146" s="40">
        <f t="shared" si="19"/>
        <v>58743</v>
      </c>
      <c r="H146" s="40">
        <f t="shared" si="19"/>
        <v>890</v>
      </c>
      <c r="I146" s="40">
        <f t="shared" si="19"/>
        <v>0</v>
      </c>
      <c r="J146" s="40">
        <f t="shared" si="19"/>
        <v>17045</v>
      </c>
      <c r="K146" s="40">
        <f t="shared" si="19"/>
        <v>0</v>
      </c>
      <c r="L146" s="40">
        <f t="shared" si="19"/>
        <v>97412</v>
      </c>
      <c r="M146" s="40">
        <f t="shared" si="19"/>
        <v>16481</v>
      </c>
      <c r="N146" s="40">
        <f t="shared" si="19"/>
        <v>1950</v>
      </c>
      <c r="O146" s="40">
        <f t="shared" si="19"/>
        <v>659803</v>
      </c>
      <c r="P146" s="40">
        <f t="shared" si="19"/>
        <v>14642</v>
      </c>
      <c r="Q146" s="40">
        <f t="shared" si="19"/>
        <v>21962</v>
      </c>
      <c r="R146" s="40">
        <f t="shared" si="19"/>
        <v>0</v>
      </c>
      <c r="S146" s="17"/>
    </row>
    <row r="148" spans="1:19">
      <c r="A148" s="1" t="s">
        <v>152</v>
      </c>
      <c r="B148" s="37" t="s">
        <v>153</v>
      </c>
      <c r="C148" s="55">
        <v>238002</v>
      </c>
      <c r="D148" s="55">
        <v>6300</v>
      </c>
      <c r="E148" s="55">
        <v>0</v>
      </c>
      <c r="F148" s="55">
        <v>3650</v>
      </c>
      <c r="G148" s="55">
        <v>765</v>
      </c>
      <c r="H148" s="55">
        <v>5106</v>
      </c>
    </row>
    <row r="149" spans="1:19">
      <c r="B149" s="37" t="s">
        <v>154</v>
      </c>
      <c r="C149" s="55">
        <v>736615</v>
      </c>
      <c r="D149" s="55">
        <v>38000</v>
      </c>
      <c r="E149" s="55">
        <v>0</v>
      </c>
      <c r="F149" s="55">
        <v>21604</v>
      </c>
      <c r="G149" s="55">
        <v>1425</v>
      </c>
      <c r="H149" s="55">
        <v>57829</v>
      </c>
      <c r="I149" s="55">
        <v>148</v>
      </c>
      <c r="J149" s="55">
        <v>42826</v>
      </c>
      <c r="L149" s="55">
        <v>0</v>
      </c>
      <c r="M149" s="55">
        <v>0</v>
      </c>
      <c r="N149" s="55">
        <v>0</v>
      </c>
      <c r="O149" s="56">
        <v>61304</v>
      </c>
      <c r="P149" s="56">
        <v>58</v>
      </c>
      <c r="Q149" s="56">
        <v>238</v>
      </c>
    </row>
    <row r="150" spans="1:19">
      <c r="B150" s="37" t="s">
        <v>155</v>
      </c>
      <c r="C150" s="55">
        <v>35723</v>
      </c>
      <c r="D150" s="55">
        <v>18903</v>
      </c>
      <c r="E150" s="55">
        <v>0</v>
      </c>
      <c r="F150" s="56">
        <v>1526</v>
      </c>
      <c r="G150" s="55">
        <v>126</v>
      </c>
      <c r="H150" s="55">
        <v>5526</v>
      </c>
      <c r="I150" s="55">
        <v>462</v>
      </c>
      <c r="J150" s="55">
        <v>92893</v>
      </c>
      <c r="L150" s="55">
        <v>0</v>
      </c>
      <c r="M150" s="55">
        <v>3894</v>
      </c>
      <c r="N150" s="55">
        <v>0</v>
      </c>
      <c r="O150" s="56">
        <v>115255</v>
      </c>
      <c r="P150" s="56">
        <v>358</v>
      </c>
      <c r="Q150" s="56">
        <v>2272</v>
      </c>
    </row>
    <row r="151" spans="1:19">
      <c r="B151" s="37" t="s">
        <v>156</v>
      </c>
      <c r="C151" s="55">
        <v>539425</v>
      </c>
      <c r="D151" s="55">
        <v>14342</v>
      </c>
      <c r="E151" s="55">
        <v>0</v>
      </c>
      <c r="F151" s="55">
        <v>6842</v>
      </c>
      <c r="G151" s="55">
        <v>518</v>
      </c>
      <c r="H151" s="55">
        <v>16508</v>
      </c>
      <c r="I151" s="55">
        <v>125</v>
      </c>
      <c r="J151" s="55">
        <v>15217</v>
      </c>
      <c r="L151" s="55">
        <v>0</v>
      </c>
      <c r="M151" s="55">
        <v>0</v>
      </c>
      <c r="N151" s="55">
        <v>0</v>
      </c>
      <c r="O151" s="56">
        <v>9982</v>
      </c>
      <c r="P151" s="56">
        <v>12</v>
      </c>
      <c r="Q151" s="56">
        <v>238</v>
      </c>
    </row>
    <row r="152" spans="1:19">
      <c r="B152" s="37" t="s">
        <v>157</v>
      </c>
      <c r="C152" s="55">
        <v>316800</v>
      </c>
      <c r="D152" s="55">
        <v>18021</v>
      </c>
      <c r="E152" s="55">
        <v>0</v>
      </c>
      <c r="F152" s="55">
        <v>9186</v>
      </c>
      <c r="G152" s="55">
        <v>824</v>
      </c>
      <c r="H152" s="55">
        <v>3367</v>
      </c>
      <c r="I152" s="55">
        <v>186</v>
      </c>
      <c r="J152" s="55">
        <v>32426</v>
      </c>
      <c r="L152" s="55">
        <v>0</v>
      </c>
      <c r="M152" s="55">
        <v>160</v>
      </c>
      <c r="N152" s="57">
        <v>0</v>
      </c>
      <c r="O152" s="56">
        <v>34250</v>
      </c>
      <c r="P152" s="56">
        <v>108</v>
      </c>
      <c r="Q152" s="56">
        <v>187</v>
      </c>
    </row>
    <row r="153" spans="1:19">
      <c r="B153" s="37" t="s">
        <v>158</v>
      </c>
      <c r="C153" s="55">
        <v>0</v>
      </c>
      <c r="D153" s="55">
        <v>0</v>
      </c>
      <c r="E153" s="55">
        <v>0</v>
      </c>
      <c r="F153" s="55">
        <v>15622</v>
      </c>
      <c r="G153" s="55">
        <v>244</v>
      </c>
      <c r="H153" s="55">
        <v>0</v>
      </c>
      <c r="I153" s="55">
        <v>125</v>
      </c>
      <c r="J153" s="55">
        <v>29363</v>
      </c>
      <c r="L153" s="55">
        <v>0</v>
      </c>
      <c r="M153" s="55">
        <v>42</v>
      </c>
      <c r="N153" s="55">
        <v>0</v>
      </c>
      <c r="O153" s="56">
        <v>38566</v>
      </c>
      <c r="P153" s="56">
        <v>145</v>
      </c>
      <c r="Q153" s="56">
        <v>876</v>
      </c>
    </row>
    <row r="154" spans="1:19">
      <c r="A154" s="17"/>
      <c r="B154" s="17" t="s">
        <v>123</v>
      </c>
      <c r="C154" s="52">
        <f t="shared" ref="C154:M154" si="20">SUM(C148:C153)</f>
        <v>1866565</v>
      </c>
      <c r="D154" s="52">
        <f t="shared" si="20"/>
        <v>95566</v>
      </c>
      <c r="E154" s="52">
        <f t="shared" si="20"/>
        <v>0</v>
      </c>
      <c r="F154" s="52">
        <f t="shared" si="20"/>
        <v>58430</v>
      </c>
      <c r="G154" s="52">
        <f t="shared" si="20"/>
        <v>3902</v>
      </c>
      <c r="H154" s="52">
        <f t="shared" si="20"/>
        <v>88336</v>
      </c>
      <c r="I154" s="52">
        <f t="shared" si="20"/>
        <v>1046</v>
      </c>
      <c r="J154" s="52">
        <f t="shared" si="20"/>
        <v>212725</v>
      </c>
      <c r="K154" s="52">
        <f t="shared" si="20"/>
        <v>0</v>
      </c>
      <c r="L154" s="52">
        <f t="shared" si="20"/>
        <v>0</v>
      </c>
      <c r="M154" s="52">
        <f t="shared" si="20"/>
        <v>4096</v>
      </c>
      <c r="N154" s="71">
        <v>0</v>
      </c>
      <c r="O154" s="72">
        <v>6752</v>
      </c>
      <c r="P154" s="72">
        <v>0</v>
      </c>
      <c r="Q154" s="72">
        <v>1282</v>
      </c>
      <c r="R154" s="17"/>
      <c r="S154" s="17"/>
    </row>
    <row r="156" spans="1:19">
      <c r="A156" s="1" t="s">
        <v>159</v>
      </c>
      <c r="B156" s="31" t="s">
        <v>160</v>
      </c>
      <c r="C156" s="51">
        <v>6768000</v>
      </c>
      <c r="D156" s="51">
        <v>62500</v>
      </c>
      <c r="E156" s="51">
        <v>0</v>
      </c>
      <c r="F156" s="51">
        <v>16880</v>
      </c>
      <c r="G156" s="51">
        <v>1750</v>
      </c>
      <c r="H156" s="51">
        <v>0</v>
      </c>
      <c r="I156" s="51">
        <v>975</v>
      </c>
      <c r="J156" s="51">
        <v>167450</v>
      </c>
      <c r="K156" s="51"/>
      <c r="L156" s="51">
        <v>0</v>
      </c>
      <c r="M156" s="51">
        <v>15000</v>
      </c>
      <c r="N156" s="51">
        <v>900</v>
      </c>
      <c r="O156" s="51">
        <v>1161819</v>
      </c>
      <c r="P156" s="67">
        <v>625</v>
      </c>
      <c r="Q156" s="67">
        <v>1863</v>
      </c>
    </row>
    <row r="157" spans="1:19">
      <c r="B157" s="31" t="s">
        <v>161</v>
      </c>
      <c r="C157" s="51">
        <v>1459500</v>
      </c>
      <c r="D157" s="51">
        <v>165600</v>
      </c>
      <c r="E157" s="51">
        <v>0</v>
      </c>
      <c r="F157" s="51">
        <v>49140</v>
      </c>
      <c r="G157" s="51">
        <v>4700</v>
      </c>
      <c r="H157" s="51">
        <v>0</v>
      </c>
      <c r="I157" s="51">
        <v>1638</v>
      </c>
      <c r="J157" s="51">
        <v>114000</v>
      </c>
      <c r="K157" s="51"/>
      <c r="L157" s="51">
        <v>0</v>
      </c>
      <c r="M157" s="51">
        <v>11994</v>
      </c>
      <c r="N157" s="51">
        <v>326</v>
      </c>
      <c r="O157" s="51">
        <v>136957</v>
      </c>
      <c r="P157" s="67">
        <v>1656</v>
      </c>
      <c r="Q157" s="67">
        <v>5384</v>
      </c>
    </row>
    <row r="158" spans="1:19">
      <c r="B158" s="31" t="s">
        <v>162</v>
      </c>
      <c r="C158" s="51">
        <v>12592740</v>
      </c>
      <c r="D158" s="55">
        <v>197306</v>
      </c>
      <c r="E158" s="51">
        <v>0</v>
      </c>
      <c r="F158" s="55">
        <v>12440</v>
      </c>
      <c r="G158" s="55">
        <v>4920</v>
      </c>
      <c r="H158" s="51">
        <v>0</v>
      </c>
      <c r="I158" s="51">
        <v>1632</v>
      </c>
      <c r="J158" s="51">
        <v>112676</v>
      </c>
      <c r="K158" s="51"/>
      <c r="L158" s="51">
        <v>0</v>
      </c>
      <c r="M158" s="51">
        <v>17383</v>
      </c>
      <c r="N158" s="51">
        <v>134</v>
      </c>
      <c r="O158" s="51">
        <v>652943</v>
      </c>
      <c r="P158" s="67">
        <v>1211</v>
      </c>
      <c r="Q158" s="67">
        <v>1280</v>
      </c>
    </row>
    <row r="159" spans="1:19">
      <c r="B159" s="31" t="s">
        <v>163</v>
      </c>
      <c r="C159" s="51">
        <v>1088510</v>
      </c>
      <c r="D159" s="51">
        <v>175800</v>
      </c>
      <c r="E159" s="51"/>
      <c r="F159" s="57">
        <v>23544</v>
      </c>
      <c r="G159" s="55">
        <v>4332</v>
      </c>
      <c r="H159" s="51">
        <v>105</v>
      </c>
      <c r="I159" s="51">
        <v>153</v>
      </c>
      <c r="J159" s="51">
        <v>9081</v>
      </c>
      <c r="K159" s="51"/>
      <c r="L159" s="51">
        <v>6880</v>
      </c>
      <c r="M159" s="51">
        <v>4028</v>
      </c>
      <c r="N159" s="69">
        <v>1465</v>
      </c>
      <c r="O159" s="51">
        <v>0</v>
      </c>
      <c r="P159" s="67">
        <v>1665</v>
      </c>
      <c r="Q159" s="67">
        <v>2323</v>
      </c>
    </row>
    <row r="160" spans="1:19">
      <c r="B160" s="17" t="s">
        <v>123</v>
      </c>
      <c r="C160" s="58">
        <f t="shared" ref="C160:J160" si="21">SUM(C156:C159)</f>
        <v>21908750</v>
      </c>
      <c r="D160" s="58">
        <f t="shared" si="21"/>
        <v>601206</v>
      </c>
      <c r="E160" s="58">
        <f t="shared" si="21"/>
        <v>0</v>
      </c>
      <c r="F160" s="58">
        <f t="shared" si="21"/>
        <v>102004</v>
      </c>
      <c r="G160" s="58">
        <f t="shared" si="21"/>
        <v>15702</v>
      </c>
      <c r="H160" s="58">
        <f t="shared" si="21"/>
        <v>105</v>
      </c>
      <c r="I160" s="58">
        <f t="shared" si="21"/>
        <v>4398</v>
      </c>
      <c r="J160" s="58">
        <f t="shared" si="21"/>
        <v>403207</v>
      </c>
      <c r="K160" s="58"/>
      <c r="L160" s="58">
        <f t="shared" ref="L160:Q160" si="22">SUM(L156:L159)</f>
        <v>6880</v>
      </c>
      <c r="M160" s="58">
        <f t="shared" si="22"/>
        <v>48405</v>
      </c>
      <c r="N160" s="58">
        <f t="shared" si="22"/>
        <v>2825</v>
      </c>
      <c r="O160" s="58">
        <f t="shared" si="22"/>
        <v>1951719</v>
      </c>
      <c r="P160" s="58">
        <f t="shared" si="22"/>
        <v>5157</v>
      </c>
      <c r="Q160" s="58">
        <f t="shared" si="22"/>
        <v>10850</v>
      </c>
    </row>
    <row r="161" spans="1:19">
      <c r="C161" s="51"/>
      <c r="D161" s="51"/>
      <c r="E161" s="51"/>
      <c r="F161" s="51"/>
      <c r="G161" s="51"/>
      <c r="H161" s="51"/>
      <c r="I161" s="51"/>
      <c r="J161" s="51"/>
      <c r="K161" s="51"/>
      <c r="L161" s="51"/>
      <c r="M161" s="51"/>
      <c r="N161" s="51"/>
      <c r="O161" s="51"/>
      <c r="P161" s="51"/>
      <c r="Q161" s="51"/>
    </row>
    <row r="162" spans="1:19">
      <c r="A162" s="1" t="s">
        <v>164</v>
      </c>
      <c r="B162" s="59" t="s">
        <v>165</v>
      </c>
      <c r="C162" s="60">
        <v>5999700</v>
      </c>
      <c r="D162" s="60">
        <v>130440</v>
      </c>
      <c r="E162" s="1">
        <v>0</v>
      </c>
      <c r="F162" s="60">
        <v>0</v>
      </c>
      <c r="G162" s="60">
        <v>0</v>
      </c>
      <c r="H162" s="31">
        <v>0</v>
      </c>
      <c r="I162" s="31">
        <v>590</v>
      </c>
      <c r="J162" s="31">
        <v>1830</v>
      </c>
      <c r="K162" s="51"/>
      <c r="L162" s="31">
        <v>0</v>
      </c>
      <c r="M162" s="31">
        <v>11790</v>
      </c>
      <c r="N162" s="31">
        <v>90</v>
      </c>
      <c r="O162" s="31">
        <v>104179</v>
      </c>
      <c r="P162" s="1">
        <v>1300</v>
      </c>
      <c r="Q162" s="1">
        <v>0</v>
      </c>
    </row>
    <row r="163" spans="1:19">
      <c r="B163" s="59" t="s">
        <v>166</v>
      </c>
      <c r="C163" s="60">
        <v>6638300</v>
      </c>
      <c r="D163" s="60">
        <v>317760</v>
      </c>
      <c r="E163" s="1">
        <v>0</v>
      </c>
      <c r="F163" s="61">
        <v>5655</v>
      </c>
      <c r="G163" s="60">
        <v>2145</v>
      </c>
      <c r="H163" s="61">
        <v>15615</v>
      </c>
      <c r="I163" s="31">
        <v>560</v>
      </c>
      <c r="J163" s="31">
        <v>5864</v>
      </c>
      <c r="K163" s="51"/>
      <c r="L163" s="31">
        <v>0</v>
      </c>
      <c r="M163" s="31">
        <v>11490</v>
      </c>
      <c r="N163" s="31">
        <v>100</v>
      </c>
      <c r="O163" s="31">
        <v>134160</v>
      </c>
      <c r="P163" s="1">
        <v>3420</v>
      </c>
      <c r="Q163" s="1">
        <v>932</v>
      </c>
    </row>
    <row r="164" spans="1:19">
      <c r="B164" s="59" t="s">
        <v>164</v>
      </c>
      <c r="C164" s="60">
        <v>5865700</v>
      </c>
      <c r="D164" s="60">
        <v>429600</v>
      </c>
      <c r="E164" s="1">
        <v>0</v>
      </c>
      <c r="F164" s="31">
        <v>960</v>
      </c>
      <c r="G164" s="31">
        <v>15</v>
      </c>
      <c r="H164" s="61">
        <v>39555</v>
      </c>
      <c r="I164" s="31">
        <v>550</v>
      </c>
      <c r="J164" s="31">
        <v>3698</v>
      </c>
      <c r="K164" s="51"/>
      <c r="L164" s="31">
        <v>0</v>
      </c>
      <c r="M164" s="31">
        <v>16560</v>
      </c>
      <c r="N164" s="31">
        <v>80</v>
      </c>
      <c r="O164" s="31">
        <v>173264</v>
      </c>
      <c r="P164" s="61">
        <v>5688</v>
      </c>
      <c r="Q164" s="1">
        <v>124</v>
      </c>
    </row>
    <row r="165" spans="1:19">
      <c r="B165" s="59" t="s">
        <v>167</v>
      </c>
      <c r="C165" s="60">
        <v>6464900</v>
      </c>
      <c r="D165" s="60">
        <v>82680</v>
      </c>
      <c r="F165" s="31">
        <v>255</v>
      </c>
      <c r="G165" s="60">
        <v>0</v>
      </c>
      <c r="H165" s="60">
        <v>3690</v>
      </c>
      <c r="I165" s="31">
        <v>820</v>
      </c>
      <c r="J165" s="31">
        <v>3020</v>
      </c>
      <c r="L165" s="31">
        <v>0</v>
      </c>
      <c r="M165" s="31">
        <v>19860</v>
      </c>
      <c r="N165" s="4">
        <v>90</v>
      </c>
      <c r="O165" s="31">
        <v>122001</v>
      </c>
      <c r="P165" s="1">
        <v>3988</v>
      </c>
      <c r="Q165" s="1">
        <v>48</v>
      </c>
    </row>
    <row r="166" spans="1:19">
      <c r="B166" s="59" t="s">
        <v>168</v>
      </c>
      <c r="C166" s="60">
        <v>10328000</v>
      </c>
      <c r="D166" s="60">
        <v>415200</v>
      </c>
      <c r="E166" s="1">
        <v>0</v>
      </c>
      <c r="F166" s="60">
        <v>17820</v>
      </c>
      <c r="G166" s="60">
        <v>21450</v>
      </c>
      <c r="H166" s="31">
        <v>3285</v>
      </c>
      <c r="I166" s="31">
        <v>1080</v>
      </c>
      <c r="J166" s="31">
        <v>5540</v>
      </c>
      <c r="L166" s="31">
        <v>0</v>
      </c>
      <c r="M166" s="31">
        <v>24210</v>
      </c>
      <c r="N166" s="4">
        <v>80</v>
      </c>
      <c r="O166" s="31">
        <v>158511</v>
      </c>
      <c r="P166" s="61">
        <v>5844</v>
      </c>
      <c r="Q166" s="1">
        <v>2224</v>
      </c>
    </row>
    <row r="167" spans="1:19">
      <c r="A167" s="17"/>
      <c r="B167" s="17" t="s">
        <v>36</v>
      </c>
      <c r="C167" s="40">
        <f t="shared" ref="C167:Q167" si="23">SUM(C162:C166)</f>
        <v>35296600</v>
      </c>
      <c r="D167" s="40">
        <f t="shared" si="23"/>
        <v>1375680</v>
      </c>
      <c r="E167" s="40">
        <f t="shared" si="23"/>
        <v>0</v>
      </c>
      <c r="F167" s="40">
        <f t="shared" si="23"/>
        <v>24690</v>
      </c>
      <c r="G167" s="40">
        <f t="shared" si="23"/>
        <v>23610</v>
      </c>
      <c r="H167" s="40">
        <f t="shared" si="23"/>
        <v>62145</v>
      </c>
      <c r="I167" s="40">
        <f t="shared" si="23"/>
        <v>3600</v>
      </c>
      <c r="J167" s="40">
        <f t="shared" si="23"/>
        <v>19952</v>
      </c>
      <c r="K167" s="40">
        <f t="shared" si="23"/>
        <v>0</v>
      </c>
      <c r="L167" s="40">
        <f t="shared" si="23"/>
        <v>0</v>
      </c>
      <c r="M167" s="40">
        <f t="shared" si="23"/>
        <v>83910</v>
      </c>
      <c r="N167" s="40">
        <f t="shared" si="23"/>
        <v>440</v>
      </c>
      <c r="O167" s="40">
        <f t="shared" si="23"/>
        <v>692115</v>
      </c>
      <c r="P167" s="40">
        <f t="shared" si="23"/>
        <v>20240</v>
      </c>
      <c r="Q167" s="40">
        <f t="shared" si="23"/>
        <v>3328</v>
      </c>
      <c r="R167" s="17"/>
      <c r="S167" s="17"/>
    </row>
    <row r="169" spans="1:19">
      <c r="A169" s="1" t="s">
        <v>169</v>
      </c>
      <c r="B169" s="62" t="s">
        <v>170</v>
      </c>
      <c r="C169" s="62">
        <v>23331038</v>
      </c>
      <c r="D169" s="62">
        <v>1220423</v>
      </c>
      <c r="E169" s="62">
        <v>0</v>
      </c>
      <c r="F169" s="62">
        <v>83874</v>
      </c>
      <c r="G169" s="62">
        <v>99951</v>
      </c>
      <c r="H169" s="62">
        <v>166530</v>
      </c>
      <c r="I169" s="62">
        <v>5701</v>
      </c>
      <c r="J169" s="62">
        <v>189860</v>
      </c>
      <c r="L169" s="62">
        <v>0</v>
      </c>
      <c r="M169" s="62">
        <v>39528</v>
      </c>
      <c r="N169" s="62">
        <v>2767</v>
      </c>
      <c r="O169" s="63">
        <v>449366</v>
      </c>
      <c r="P169" s="62">
        <v>5165</v>
      </c>
      <c r="Q169" s="62">
        <v>3135</v>
      </c>
    </row>
    <row r="170" spans="1:19">
      <c r="B170" s="62" t="s">
        <v>171</v>
      </c>
      <c r="C170" s="62">
        <v>7046685</v>
      </c>
      <c r="D170" s="62">
        <v>424988</v>
      </c>
      <c r="E170" s="62">
        <v>0</v>
      </c>
      <c r="F170" s="62">
        <v>6172</v>
      </c>
      <c r="G170" s="62">
        <v>14425</v>
      </c>
      <c r="H170" s="62">
        <v>36820</v>
      </c>
      <c r="I170" s="62">
        <v>1196</v>
      </c>
      <c r="J170" s="62">
        <v>43377</v>
      </c>
      <c r="L170" s="62"/>
      <c r="M170" s="62">
        <v>35172</v>
      </c>
      <c r="N170" s="62">
        <v>3722</v>
      </c>
      <c r="O170" s="63">
        <v>121062</v>
      </c>
      <c r="P170" s="62">
        <v>2690</v>
      </c>
      <c r="Q170" s="62">
        <v>2198</v>
      </c>
    </row>
    <row r="171" spans="1:19">
      <c r="B171" s="62" t="s">
        <v>172</v>
      </c>
      <c r="C171" s="62">
        <v>1223100</v>
      </c>
      <c r="D171" s="62">
        <v>487870</v>
      </c>
      <c r="E171" s="62">
        <v>0</v>
      </c>
      <c r="F171" s="62">
        <v>12643</v>
      </c>
      <c r="G171" s="62">
        <v>24624</v>
      </c>
      <c r="H171" s="62">
        <v>38220</v>
      </c>
      <c r="I171" s="62">
        <v>712</v>
      </c>
      <c r="J171" s="62">
        <v>67794</v>
      </c>
      <c r="L171" s="62"/>
      <c r="M171" s="62">
        <v>13644</v>
      </c>
      <c r="N171" s="62">
        <v>955</v>
      </c>
      <c r="O171" s="63">
        <v>173361</v>
      </c>
      <c r="P171" s="62">
        <v>325</v>
      </c>
      <c r="Q171" s="62">
        <v>1075</v>
      </c>
    </row>
    <row r="172" spans="1:19">
      <c r="B172" s="62" t="s">
        <v>173</v>
      </c>
      <c r="C172" s="63">
        <v>12763718</v>
      </c>
      <c r="D172" s="62">
        <v>545020</v>
      </c>
      <c r="E172" s="62">
        <v>0</v>
      </c>
      <c r="F172" s="62">
        <v>18216</v>
      </c>
      <c r="G172" s="62">
        <v>14828</v>
      </c>
      <c r="H172" s="62">
        <v>12250</v>
      </c>
      <c r="I172" s="62">
        <v>7909</v>
      </c>
      <c r="J172" s="62">
        <v>62226</v>
      </c>
      <c r="L172" s="62"/>
      <c r="M172" s="62">
        <v>50112</v>
      </c>
      <c r="N172" s="62">
        <v>3508</v>
      </c>
      <c r="O172" s="63">
        <v>176220</v>
      </c>
      <c r="P172" s="62">
        <v>3326</v>
      </c>
      <c r="Q172" s="62">
        <v>1624</v>
      </c>
    </row>
    <row r="173" spans="1:19">
      <c r="B173" s="62" t="s">
        <v>174</v>
      </c>
      <c r="C173" s="62">
        <v>6278985</v>
      </c>
      <c r="D173" s="62">
        <v>346467</v>
      </c>
      <c r="E173" s="62">
        <v>0</v>
      </c>
      <c r="F173" s="62">
        <v>27936</v>
      </c>
      <c r="G173" s="62">
        <v>19046</v>
      </c>
      <c r="H173" s="62">
        <v>84525</v>
      </c>
      <c r="I173" s="62">
        <v>6031</v>
      </c>
      <c r="J173" s="62">
        <v>180913</v>
      </c>
      <c r="L173" s="62">
        <v>0</v>
      </c>
      <c r="M173" s="62">
        <v>29340</v>
      </c>
      <c r="N173" s="62">
        <v>2054</v>
      </c>
      <c r="O173" s="63">
        <v>402283</v>
      </c>
      <c r="P173" s="62">
        <v>2328</v>
      </c>
      <c r="Q173" s="62">
        <v>1329</v>
      </c>
    </row>
    <row r="174" spans="1:19">
      <c r="B174" s="62" t="s">
        <v>175</v>
      </c>
      <c r="C174" s="63">
        <v>4223406</v>
      </c>
      <c r="D174" s="62">
        <v>479159</v>
      </c>
      <c r="E174" s="62">
        <v>0</v>
      </c>
      <c r="F174" s="62">
        <v>11057</v>
      </c>
      <c r="G174" s="62">
        <v>22957</v>
      </c>
      <c r="H174" s="62">
        <v>70770</v>
      </c>
      <c r="I174" s="62">
        <v>6096</v>
      </c>
      <c r="J174" s="62">
        <v>63915</v>
      </c>
      <c r="L174" s="62">
        <v>0</v>
      </c>
      <c r="M174" s="62">
        <v>14040</v>
      </c>
      <c r="N174" s="62">
        <v>983</v>
      </c>
      <c r="O174" s="63">
        <v>127496</v>
      </c>
      <c r="P174" s="62">
        <v>789</v>
      </c>
      <c r="Q174" s="62">
        <v>190</v>
      </c>
    </row>
    <row r="175" spans="1:19">
      <c r="B175" s="62" t="s">
        <v>176</v>
      </c>
      <c r="C175" s="63">
        <v>13189378</v>
      </c>
      <c r="D175" s="62">
        <v>595430</v>
      </c>
      <c r="E175" s="62">
        <v>0</v>
      </c>
      <c r="F175" s="62">
        <v>29982</v>
      </c>
      <c r="G175" s="62">
        <v>51412</v>
      </c>
      <c r="H175" s="62">
        <v>21700</v>
      </c>
      <c r="I175" s="62">
        <v>4048</v>
      </c>
      <c r="J175" s="62">
        <v>423478</v>
      </c>
      <c r="L175" s="62">
        <v>0</v>
      </c>
      <c r="M175" s="62">
        <v>85860</v>
      </c>
      <c r="N175" s="62">
        <v>6010</v>
      </c>
      <c r="O175" s="63">
        <v>361730</v>
      </c>
      <c r="P175" s="62">
        <v>716</v>
      </c>
      <c r="Q175" s="62">
        <v>604</v>
      </c>
    </row>
    <row r="176" spans="1:19">
      <c r="B176" s="62" t="s">
        <v>177</v>
      </c>
      <c r="C176" s="63">
        <v>7710457</v>
      </c>
      <c r="D176" s="62">
        <v>862511</v>
      </c>
      <c r="E176" s="62">
        <v>0</v>
      </c>
      <c r="F176" s="62">
        <v>23658</v>
      </c>
      <c r="G176" s="62">
        <v>26627</v>
      </c>
      <c r="H176" s="62">
        <v>237020</v>
      </c>
      <c r="I176" s="62">
        <v>4359</v>
      </c>
      <c r="J176" s="62">
        <v>238984</v>
      </c>
      <c r="L176" s="62">
        <v>0</v>
      </c>
      <c r="M176" s="62">
        <v>46134</v>
      </c>
      <c r="N176" s="62">
        <v>3230</v>
      </c>
      <c r="O176" s="63">
        <v>540781</v>
      </c>
      <c r="P176" s="62">
        <v>1990</v>
      </c>
      <c r="Q176" s="62">
        <v>265</v>
      </c>
    </row>
    <row r="177" spans="1:19">
      <c r="B177" s="62" t="s">
        <v>178</v>
      </c>
      <c r="C177" s="63">
        <v>18976125</v>
      </c>
      <c r="D177" s="62">
        <v>706514</v>
      </c>
      <c r="E177" s="62">
        <v>0</v>
      </c>
      <c r="F177" s="62">
        <v>10021</v>
      </c>
      <c r="G177" s="62">
        <v>29988</v>
      </c>
      <c r="H177" s="62">
        <v>21525</v>
      </c>
      <c r="I177" s="62">
        <v>3418</v>
      </c>
      <c r="J177" s="62">
        <v>389430</v>
      </c>
      <c r="L177" s="62">
        <v>0</v>
      </c>
      <c r="M177" s="62">
        <v>75132</v>
      </c>
      <c r="N177" s="62">
        <v>5146</v>
      </c>
      <c r="O177" s="63">
        <v>843323</v>
      </c>
      <c r="P177" s="62">
        <v>2230</v>
      </c>
      <c r="Q177" s="62">
        <v>378</v>
      </c>
    </row>
    <row r="178" spans="1:19">
      <c r="A178" s="17"/>
      <c r="B178" s="17" t="s">
        <v>123</v>
      </c>
      <c r="C178" s="17">
        <f t="shared" ref="C178:Q178" si="24">SUM(C169:C177)</f>
        <v>94742892</v>
      </c>
      <c r="D178" s="17">
        <f t="shared" si="24"/>
        <v>5668382</v>
      </c>
      <c r="E178" s="17">
        <f t="shared" si="24"/>
        <v>0</v>
      </c>
      <c r="F178" s="17">
        <f t="shared" si="24"/>
        <v>223559</v>
      </c>
      <c r="G178" s="17">
        <f t="shared" si="24"/>
        <v>303858</v>
      </c>
      <c r="H178" s="17">
        <f t="shared" si="24"/>
        <v>689360</v>
      </c>
      <c r="I178" s="17">
        <f t="shared" si="24"/>
        <v>39470</v>
      </c>
      <c r="J178" s="17">
        <f t="shared" si="24"/>
        <v>1659977</v>
      </c>
      <c r="K178" s="17">
        <f t="shared" si="24"/>
        <v>0</v>
      </c>
      <c r="L178" s="17">
        <f t="shared" si="24"/>
        <v>0</v>
      </c>
      <c r="M178" s="17">
        <f t="shared" si="24"/>
        <v>388962</v>
      </c>
      <c r="N178" s="17">
        <f t="shared" si="24"/>
        <v>28375</v>
      </c>
      <c r="O178" s="17">
        <f t="shared" si="24"/>
        <v>3195622</v>
      </c>
      <c r="P178" s="17">
        <f t="shared" si="24"/>
        <v>19559</v>
      </c>
      <c r="Q178" s="17">
        <f t="shared" si="24"/>
        <v>10798</v>
      </c>
      <c r="R178" s="17"/>
      <c r="S178" s="17"/>
    </row>
    <row r="180" spans="1:19">
      <c r="A180" s="1" t="s">
        <v>179</v>
      </c>
      <c r="B180" s="1" t="s">
        <v>180</v>
      </c>
      <c r="C180" s="64">
        <v>4729368</v>
      </c>
      <c r="D180" s="64">
        <v>559227.5</v>
      </c>
      <c r="E180" s="64"/>
      <c r="F180" s="64">
        <v>16848</v>
      </c>
      <c r="G180" s="64">
        <v>6014.25</v>
      </c>
      <c r="H180" s="64">
        <v>48412</v>
      </c>
      <c r="I180" s="64">
        <v>488.04</v>
      </c>
      <c r="J180" s="64">
        <v>194976.27</v>
      </c>
      <c r="L180" s="64"/>
      <c r="M180" s="64">
        <v>17655</v>
      </c>
      <c r="N180" s="64">
        <v>4436</v>
      </c>
      <c r="O180" s="64">
        <v>165304.10833333299</v>
      </c>
      <c r="P180" s="64">
        <v>324</v>
      </c>
      <c r="Q180" s="64">
        <v>151</v>
      </c>
    </row>
    <row r="181" spans="1:19">
      <c r="B181" s="1" t="s">
        <v>181</v>
      </c>
      <c r="C181" s="64">
        <v>4250895</v>
      </c>
      <c r="D181" s="64">
        <v>582685</v>
      </c>
      <c r="E181" s="64"/>
      <c r="F181" s="64">
        <v>23790.6</v>
      </c>
      <c r="G181" s="64">
        <v>5643</v>
      </c>
      <c r="H181" s="64">
        <v>5687.5</v>
      </c>
      <c r="I181" s="64">
        <v>695.52</v>
      </c>
      <c r="J181" s="64">
        <v>203159.85</v>
      </c>
      <c r="L181" s="64"/>
      <c r="M181" s="64">
        <v>15064</v>
      </c>
      <c r="N181" s="64">
        <v>1212</v>
      </c>
      <c r="O181" s="64">
        <v>200458.3</v>
      </c>
      <c r="P181" s="64">
        <v>207</v>
      </c>
      <c r="Q181" s="64">
        <v>188</v>
      </c>
    </row>
    <row r="182" spans="1:19">
      <c r="B182" s="1" t="s">
        <v>182</v>
      </c>
      <c r="C182" s="64">
        <v>2732182.5</v>
      </c>
      <c r="D182" s="64">
        <v>363442.5</v>
      </c>
      <c r="E182" s="64"/>
      <c r="F182" s="64">
        <v>9370.7999999999993</v>
      </c>
      <c r="G182" s="64">
        <v>3060</v>
      </c>
      <c r="H182" s="64">
        <v>136.5</v>
      </c>
      <c r="I182" s="64">
        <v>409.92</v>
      </c>
      <c r="J182" s="64">
        <v>132589.85999999999</v>
      </c>
      <c r="L182" s="64"/>
      <c r="M182" s="64">
        <v>20538</v>
      </c>
      <c r="N182" s="64">
        <v>868</v>
      </c>
      <c r="O182" s="64">
        <v>117110.59166666699</v>
      </c>
      <c r="P182" s="64">
        <v>231</v>
      </c>
      <c r="Q182" s="64">
        <v>81</v>
      </c>
    </row>
    <row r="183" spans="1:19">
      <c r="B183" s="1" t="s">
        <v>183</v>
      </c>
      <c r="C183" s="64">
        <v>3090234</v>
      </c>
      <c r="D183" s="64">
        <v>448880</v>
      </c>
      <c r="E183" s="64"/>
      <c r="F183" s="64">
        <v>11439</v>
      </c>
      <c r="G183" s="64">
        <v>4133.25</v>
      </c>
      <c r="H183" s="64">
        <v>1001</v>
      </c>
      <c r="I183" s="64">
        <v>456.12</v>
      </c>
      <c r="J183" s="64">
        <v>162232.26</v>
      </c>
      <c r="L183" s="64"/>
      <c r="M183" s="64">
        <v>17700</v>
      </c>
      <c r="N183" s="64">
        <v>344</v>
      </c>
      <c r="O183" s="64">
        <v>143049.51666666701</v>
      </c>
      <c r="P183" s="64">
        <v>460</v>
      </c>
      <c r="Q183" s="64">
        <v>914</v>
      </c>
    </row>
    <row r="184" spans="1:19">
      <c r="B184" s="1" t="s">
        <v>184</v>
      </c>
      <c r="C184" s="64">
        <v>4372732.5</v>
      </c>
      <c r="D184" s="64">
        <v>391417.5</v>
      </c>
      <c r="E184" s="64"/>
      <c r="F184" s="64">
        <v>13275</v>
      </c>
      <c r="G184" s="64">
        <v>9834.75</v>
      </c>
      <c r="H184" s="64">
        <v>9555</v>
      </c>
      <c r="I184" s="64">
        <v>419.16</v>
      </c>
      <c r="J184" s="64">
        <v>115153.71</v>
      </c>
      <c r="L184" s="64"/>
      <c r="M184" s="64">
        <v>22675</v>
      </c>
      <c r="N184" s="64">
        <v>1306</v>
      </c>
      <c r="O184" s="64">
        <v>138366.78333333301</v>
      </c>
      <c r="P184" s="64">
        <v>2085</v>
      </c>
      <c r="Q184" s="64">
        <v>4630</v>
      </c>
    </row>
    <row r="185" spans="1:19">
      <c r="B185" s="1" t="s">
        <v>23</v>
      </c>
      <c r="C185" s="64">
        <v>19175412</v>
      </c>
      <c r="D185" s="64">
        <v>2345652.5</v>
      </c>
      <c r="E185" s="64">
        <v>0</v>
      </c>
      <c r="F185" s="64">
        <v>74723.399999999994</v>
      </c>
      <c r="G185" s="64">
        <v>28685.25</v>
      </c>
      <c r="H185" s="64">
        <v>64792</v>
      </c>
      <c r="I185" s="64">
        <v>2468.7600000000002</v>
      </c>
      <c r="J185" s="64">
        <v>808111.95</v>
      </c>
      <c r="L185" s="64">
        <v>0</v>
      </c>
      <c r="M185" s="64">
        <v>93632</v>
      </c>
      <c r="N185" s="64">
        <v>8166</v>
      </c>
      <c r="O185" s="64">
        <v>764289.3</v>
      </c>
      <c r="P185" s="64">
        <v>3307</v>
      </c>
      <c r="Q185" s="64">
        <v>5964</v>
      </c>
    </row>
    <row r="186" spans="1:19">
      <c r="Q186" s="73"/>
    </row>
    <row r="188" spans="1:19">
      <c r="A188" s="65" t="s">
        <v>185</v>
      </c>
      <c r="B188" s="66" t="s">
        <v>186</v>
      </c>
      <c r="C188" s="8">
        <v>1482797.2590000001</v>
      </c>
      <c r="D188" s="8">
        <v>187637.64749999999</v>
      </c>
      <c r="E188" s="8">
        <v>0</v>
      </c>
      <c r="F188" s="8">
        <v>6191.6724000000004</v>
      </c>
      <c r="G188" s="8">
        <v>991.92600000000004</v>
      </c>
      <c r="H188" s="5">
        <v>187.9605</v>
      </c>
      <c r="I188" s="8">
        <v>256.01184000000001</v>
      </c>
      <c r="J188" s="8">
        <v>94332.941009999995</v>
      </c>
      <c r="K188" s="8"/>
      <c r="L188" s="8">
        <v>0</v>
      </c>
      <c r="M188" s="8">
        <v>1411.65</v>
      </c>
      <c r="N188" s="8">
        <v>2386.35</v>
      </c>
      <c r="O188" s="8">
        <v>38742.068964375001</v>
      </c>
      <c r="P188" s="8">
        <v>1357.9757999999999</v>
      </c>
      <c r="Q188" s="8">
        <v>580.41359999999997</v>
      </c>
    </row>
    <row r="189" spans="1:19">
      <c r="A189" s="65"/>
      <c r="B189" s="66" t="s">
        <v>187</v>
      </c>
      <c r="C189" s="8">
        <v>2184918.6150000002</v>
      </c>
      <c r="D189" s="8">
        <v>212227.57500000001</v>
      </c>
      <c r="E189" s="8">
        <v>0</v>
      </c>
      <c r="F189" s="8">
        <v>4417.92</v>
      </c>
      <c r="G189" s="8">
        <v>1572.48</v>
      </c>
      <c r="H189" s="5">
        <v>742.56</v>
      </c>
      <c r="I189" s="8">
        <v>524.16</v>
      </c>
      <c r="J189" s="8">
        <v>104794.7466</v>
      </c>
      <c r="K189" s="8"/>
      <c r="L189" s="8">
        <v>0</v>
      </c>
      <c r="M189" s="8">
        <v>2242</v>
      </c>
      <c r="N189" s="8">
        <v>961</v>
      </c>
      <c r="O189" s="8">
        <v>11875.9214875</v>
      </c>
      <c r="P189" s="8">
        <v>1457.1210000000001</v>
      </c>
      <c r="Q189" s="8">
        <v>463.32</v>
      </c>
    </row>
    <row r="190" spans="1:19">
      <c r="A190" s="65"/>
      <c r="B190" s="66" t="s">
        <v>188</v>
      </c>
      <c r="C190" s="8">
        <v>1664028.0351</v>
      </c>
      <c r="D190" s="8">
        <v>210571.13774999999</v>
      </c>
      <c r="E190" s="8">
        <v>0</v>
      </c>
      <c r="F190" s="8">
        <v>6948.4323599999998</v>
      </c>
      <c r="G190" s="8">
        <v>1113.1614</v>
      </c>
      <c r="H190" s="5">
        <v>210.93344999999999</v>
      </c>
      <c r="I190" s="8">
        <v>287.30217599999997</v>
      </c>
      <c r="J190" s="8">
        <v>105862.522689</v>
      </c>
      <c r="K190" s="8"/>
      <c r="L190" s="8">
        <v>0</v>
      </c>
      <c r="M190" s="8">
        <v>1584.1849999999999</v>
      </c>
      <c r="N190" s="8">
        <v>2678.0149999999999</v>
      </c>
      <c r="O190" s="8">
        <v>43477.210726687503</v>
      </c>
      <c r="P190" s="8">
        <v>1523.9506200000001</v>
      </c>
      <c r="Q190" s="8">
        <v>651.35303999999996</v>
      </c>
    </row>
    <row r="191" spans="1:19">
      <c r="A191" s="65"/>
      <c r="B191" s="66" t="s">
        <v>189</v>
      </c>
      <c r="C191" s="8">
        <v>4129088.16</v>
      </c>
      <c r="D191" s="8">
        <v>358707.4</v>
      </c>
      <c r="E191" s="8">
        <v>0</v>
      </c>
      <c r="F191" s="8">
        <v>8478.2880000000005</v>
      </c>
      <c r="G191" s="8">
        <v>3570.84</v>
      </c>
      <c r="H191" s="8">
        <v>13058.5</v>
      </c>
      <c r="I191" s="8">
        <v>314.44560000000001</v>
      </c>
      <c r="J191" s="8">
        <v>146659.82939999999</v>
      </c>
      <c r="K191" s="8"/>
      <c r="L191" s="8">
        <v>0</v>
      </c>
      <c r="M191" s="8">
        <v>3579</v>
      </c>
      <c r="N191" s="8">
        <v>1533</v>
      </c>
      <c r="O191" s="8">
        <v>120159.90988750001</v>
      </c>
      <c r="P191" s="8">
        <v>2394.9920000000002</v>
      </c>
      <c r="Q191" s="8">
        <v>926.64</v>
      </c>
    </row>
    <row r="192" spans="1:19">
      <c r="A192" s="65"/>
      <c r="B192" s="66" t="s">
        <v>190</v>
      </c>
      <c r="C192" s="8">
        <v>4299020.0999999996</v>
      </c>
      <c r="D192" s="8">
        <v>379635.3</v>
      </c>
      <c r="E192" s="8">
        <v>0</v>
      </c>
      <c r="F192" s="8">
        <v>11907.791999999999</v>
      </c>
      <c r="G192" s="8">
        <v>3376.62</v>
      </c>
      <c r="H192" s="8">
        <v>23158.59</v>
      </c>
      <c r="I192" s="8">
        <v>598.04639999999995</v>
      </c>
      <c r="J192" s="8">
        <v>222096.04620000001</v>
      </c>
      <c r="K192" s="8"/>
      <c r="L192" s="8">
        <v>0</v>
      </c>
      <c r="M192" s="8">
        <v>5485</v>
      </c>
      <c r="N192" s="8">
        <v>2742</v>
      </c>
      <c r="O192" s="8">
        <v>27219.2111625</v>
      </c>
      <c r="P192" s="8">
        <v>2546.748</v>
      </c>
      <c r="Q192" s="8">
        <v>1163.4480000000001</v>
      </c>
    </row>
    <row r="193" spans="1:17">
      <c r="A193" s="65"/>
      <c r="B193" s="66" t="s">
        <v>191</v>
      </c>
      <c r="C193" s="8">
        <v>3106276.8149999999</v>
      </c>
      <c r="D193" s="8">
        <v>306088.97499999998</v>
      </c>
      <c r="E193" s="8">
        <v>0</v>
      </c>
      <c r="F193" s="8">
        <v>11282.4</v>
      </c>
      <c r="G193" s="8">
        <v>1312.74</v>
      </c>
      <c r="H193" s="8">
        <v>9421.23</v>
      </c>
      <c r="I193" s="8">
        <v>709.43039999999996</v>
      </c>
      <c r="J193" s="8">
        <v>211086.5295</v>
      </c>
      <c r="K193" s="8"/>
      <c r="L193" s="8">
        <v>0</v>
      </c>
      <c r="M193" s="8">
        <v>2640</v>
      </c>
      <c r="N193" s="8">
        <v>2500</v>
      </c>
      <c r="O193" s="8">
        <v>109336.724875</v>
      </c>
      <c r="P193" s="8">
        <v>2111.5610000000001</v>
      </c>
      <c r="Q193" s="8">
        <v>906.51599999999996</v>
      </c>
    </row>
    <row r="194" spans="1:17">
      <c r="A194" s="65"/>
      <c r="B194" s="66" t="s">
        <v>192</v>
      </c>
      <c r="C194" s="8">
        <v>2485006.4249999998</v>
      </c>
      <c r="D194" s="8">
        <v>253735.125</v>
      </c>
      <c r="E194" s="8">
        <v>0</v>
      </c>
      <c r="F194" s="8">
        <v>13105.871999999999</v>
      </c>
      <c r="G194" s="8">
        <v>2903.94</v>
      </c>
      <c r="H194" s="8">
        <v>12020.19</v>
      </c>
      <c r="I194" s="8">
        <v>713.71439999999996</v>
      </c>
      <c r="J194" s="8">
        <v>157201.56270000001</v>
      </c>
      <c r="K194" s="8"/>
      <c r="L194" s="8">
        <v>0</v>
      </c>
      <c r="M194" s="8">
        <v>3577</v>
      </c>
      <c r="N194" s="8">
        <v>1072</v>
      </c>
      <c r="O194" s="8">
        <v>28840.978599999999</v>
      </c>
      <c r="P194" s="8">
        <v>1763.9670000000001</v>
      </c>
      <c r="Q194" s="8">
        <v>1200.732</v>
      </c>
    </row>
    <row r="195" spans="1:17">
      <c r="A195" s="65"/>
      <c r="B195" s="66" t="s">
        <v>193</v>
      </c>
      <c r="C195" s="8">
        <v>2447286.2999999998</v>
      </c>
      <c r="D195" s="8">
        <v>299683.8</v>
      </c>
      <c r="E195" s="8">
        <v>0</v>
      </c>
      <c r="F195" s="8">
        <v>15513.263999999999</v>
      </c>
      <c r="G195" s="8">
        <v>2983.5</v>
      </c>
      <c r="H195" s="8">
        <v>1624.35</v>
      </c>
      <c r="I195" s="8">
        <v>281.03039999999999</v>
      </c>
      <c r="J195" s="8">
        <v>140662.34160000001</v>
      </c>
      <c r="K195" s="8"/>
      <c r="L195" s="8">
        <v>0</v>
      </c>
      <c r="M195" s="8">
        <v>8855</v>
      </c>
      <c r="N195" s="8">
        <v>2657</v>
      </c>
      <c r="O195" s="8">
        <v>46992.05805</v>
      </c>
      <c r="P195" s="8">
        <v>2157.444</v>
      </c>
      <c r="Q195" s="8">
        <v>1457.9760000000001</v>
      </c>
    </row>
    <row r="196" spans="1:17">
      <c r="A196" s="65"/>
      <c r="B196" s="66" t="s">
        <v>194</v>
      </c>
      <c r="C196" s="8">
        <v>3712847.8050000002</v>
      </c>
      <c r="D196" s="8">
        <v>408841.72499999998</v>
      </c>
      <c r="E196" s="8">
        <v>0</v>
      </c>
      <c r="F196" s="8">
        <v>16516.655999999999</v>
      </c>
      <c r="G196" s="8">
        <v>4691.7</v>
      </c>
      <c r="H196" s="8">
        <v>2957.5</v>
      </c>
      <c r="I196" s="8">
        <v>547.49519999999995</v>
      </c>
      <c r="J196" s="8">
        <v>191645.73420000001</v>
      </c>
      <c r="K196" s="8"/>
      <c r="L196" s="8">
        <v>0</v>
      </c>
      <c r="M196" s="8">
        <v>2884</v>
      </c>
      <c r="N196" s="8">
        <v>2350</v>
      </c>
      <c r="O196" s="8">
        <v>102596.033370833</v>
      </c>
      <c r="P196" s="8">
        <v>2884.011</v>
      </c>
      <c r="Q196" s="8">
        <v>1680.12</v>
      </c>
    </row>
    <row r="197" spans="1:17">
      <c r="A197" s="65"/>
      <c r="B197" s="66" t="s">
        <v>195</v>
      </c>
      <c r="C197" s="8">
        <v>3334359.0703500002</v>
      </c>
      <c r="D197" s="8">
        <v>331718.32575000002</v>
      </c>
      <c r="E197" s="8">
        <v>0</v>
      </c>
      <c r="F197" s="8">
        <v>11198.940479999999</v>
      </c>
      <c r="G197" s="8">
        <v>6642.9908999999998</v>
      </c>
      <c r="H197" s="8">
        <v>11450.04315</v>
      </c>
      <c r="I197" s="8">
        <v>188.02475999999999</v>
      </c>
      <c r="J197" s="8">
        <v>180146.24744549999</v>
      </c>
      <c r="K197" s="8"/>
      <c r="L197" s="8">
        <v>0</v>
      </c>
      <c r="M197" s="8">
        <v>17192.91</v>
      </c>
      <c r="N197" s="8">
        <v>1294.0899999999999</v>
      </c>
      <c r="O197" s="8">
        <v>85981.853532749999</v>
      </c>
      <c r="P197" s="8">
        <v>2289.8250899999998</v>
      </c>
      <c r="Q197" s="8">
        <v>1370.5091399999999</v>
      </c>
    </row>
    <row r="198" spans="1:17">
      <c r="A198" s="65"/>
      <c r="B198" s="66" t="s">
        <v>196</v>
      </c>
      <c r="C198" s="8">
        <v>1679714.7196500001</v>
      </c>
      <c r="D198" s="8">
        <v>167106.22425</v>
      </c>
      <c r="E198" s="8">
        <v>0</v>
      </c>
      <c r="F198" s="8">
        <v>5641.5715200000004</v>
      </c>
      <c r="G198" s="8">
        <v>3346.4690999999998</v>
      </c>
      <c r="H198" s="8">
        <v>5768.0668500000002</v>
      </c>
      <c r="I198" s="8">
        <v>94.719239999999999</v>
      </c>
      <c r="J198" s="8">
        <v>90750.365254499993</v>
      </c>
      <c r="K198" s="8"/>
      <c r="L198" s="8">
        <v>0</v>
      </c>
      <c r="M198" s="8">
        <v>8661.09</v>
      </c>
      <c r="N198" s="8">
        <v>651.91</v>
      </c>
      <c r="O198" s="8">
        <v>43314.166817249999</v>
      </c>
      <c r="P198" s="8">
        <v>1153.52091</v>
      </c>
      <c r="Q198" s="8">
        <v>690.40686000000005</v>
      </c>
    </row>
    <row r="199" spans="1:17">
      <c r="A199" s="65"/>
      <c r="B199" s="74" t="s">
        <v>72</v>
      </c>
      <c r="C199" s="8">
        <f t="shared" ref="C199:Q199" si="25">SUM(C188:C198)</f>
        <v>30525343.304099999</v>
      </c>
      <c r="D199" s="8">
        <f t="shared" si="25"/>
        <v>3115953.2352499999</v>
      </c>
      <c r="E199" s="8">
        <f t="shared" si="25"/>
        <v>0</v>
      </c>
      <c r="F199" s="8">
        <f t="shared" si="25"/>
        <v>111202.80876</v>
      </c>
      <c r="G199" s="8">
        <f t="shared" si="25"/>
        <v>32506.367399999999</v>
      </c>
      <c r="H199" s="8">
        <f t="shared" si="25"/>
        <v>80599.923949999997</v>
      </c>
      <c r="I199" s="8">
        <f t="shared" si="25"/>
        <v>4514.380416</v>
      </c>
      <c r="J199" s="8">
        <f t="shared" si="25"/>
        <v>1645238.8665990001</v>
      </c>
      <c r="K199" s="8">
        <f t="shared" si="25"/>
        <v>0</v>
      </c>
      <c r="L199" s="8">
        <f t="shared" si="25"/>
        <v>0</v>
      </c>
      <c r="M199" s="8">
        <f t="shared" si="25"/>
        <v>58111.834999999999</v>
      </c>
      <c r="N199" s="8">
        <f t="shared" si="25"/>
        <v>20825.365000000002</v>
      </c>
      <c r="O199" s="8">
        <f t="shared" si="25"/>
        <v>658536.13747439603</v>
      </c>
      <c r="P199" s="8">
        <f t="shared" si="25"/>
        <v>21641.116419999998</v>
      </c>
      <c r="Q199" s="8">
        <f t="shared" si="25"/>
        <v>11091.434639999999</v>
      </c>
    </row>
    <row r="200" spans="1:17"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</row>
    <row r="201" spans="1:17">
      <c r="A201" s="4" t="s">
        <v>197</v>
      </c>
      <c r="B201" s="4" t="s">
        <v>198</v>
      </c>
      <c r="C201" s="75">
        <v>38743567.717862502</v>
      </c>
      <c r="D201" s="76">
        <v>33911.838000000003</v>
      </c>
      <c r="E201" s="77">
        <v>0</v>
      </c>
      <c r="F201" s="76">
        <v>58554.692280000003</v>
      </c>
      <c r="G201" s="76">
        <v>100865.04300000001</v>
      </c>
      <c r="H201" s="76">
        <v>4281.6273499999998</v>
      </c>
      <c r="I201" s="76">
        <v>2286.9290850000002</v>
      </c>
      <c r="J201" s="76">
        <v>370146.22494719998</v>
      </c>
      <c r="L201" s="77">
        <v>0</v>
      </c>
      <c r="M201" s="76">
        <v>102124.90111999999</v>
      </c>
      <c r="N201" s="76">
        <v>25531.225279999999</v>
      </c>
      <c r="O201" s="77">
        <v>12441028.143999999</v>
      </c>
      <c r="P201" s="86">
        <v>3360</v>
      </c>
      <c r="Q201" s="86">
        <v>4920</v>
      </c>
    </row>
    <row r="202" spans="1:17">
      <c r="A202" s="4"/>
      <c r="B202" s="4" t="s">
        <v>199</v>
      </c>
      <c r="C202" s="75">
        <v>14690430.9469813</v>
      </c>
      <c r="D202" s="76">
        <v>13155.858</v>
      </c>
      <c r="E202" s="76">
        <v>0</v>
      </c>
      <c r="F202" s="76">
        <v>33453.466200000003</v>
      </c>
      <c r="G202" s="76">
        <v>45920.297250000003</v>
      </c>
      <c r="H202" s="76">
        <v>813.86305000000004</v>
      </c>
      <c r="I202" s="76">
        <v>452.26166999999998</v>
      </c>
      <c r="J202" s="76">
        <v>119315.35589376</v>
      </c>
      <c r="L202" s="77">
        <v>0</v>
      </c>
      <c r="M202" s="76">
        <v>47926.104319999999</v>
      </c>
      <c r="N202" s="76">
        <v>11981.52608</v>
      </c>
      <c r="O202" s="77">
        <v>6149944.9532000003</v>
      </c>
      <c r="P202" s="86">
        <v>1812</v>
      </c>
      <c r="Q202" s="86">
        <v>2292</v>
      </c>
    </row>
    <row r="203" spans="1:17">
      <c r="A203" s="4"/>
      <c r="B203" s="4" t="s">
        <v>200</v>
      </c>
      <c r="C203" s="75">
        <v>36557217.943812497</v>
      </c>
      <c r="D203" s="76">
        <v>26358.534</v>
      </c>
      <c r="E203" s="78">
        <v>410.04</v>
      </c>
      <c r="F203" s="76">
        <v>130961.78991000001</v>
      </c>
      <c r="G203" s="76">
        <v>86692.952250000002</v>
      </c>
      <c r="H203" s="76">
        <v>460.00954999999999</v>
      </c>
      <c r="I203" s="76">
        <v>1552.83933</v>
      </c>
      <c r="J203" s="76">
        <v>387884.78337024001</v>
      </c>
      <c r="L203" s="77">
        <v>0</v>
      </c>
      <c r="M203" s="76">
        <v>92981.058560000005</v>
      </c>
      <c r="N203" s="76">
        <v>23245.264640000001</v>
      </c>
      <c r="O203" s="77">
        <v>9642865.0342999995</v>
      </c>
      <c r="P203" s="86">
        <v>2868</v>
      </c>
      <c r="Q203" s="86">
        <v>3984</v>
      </c>
    </row>
    <row r="204" spans="1:17">
      <c r="A204" s="4"/>
      <c r="B204" s="4" t="s">
        <v>201</v>
      </c>
      <c r="C204" s="75">
        <v>24290378.2776062</v>
      </c>
      <c r="D204" s="76">
        <v>24470.207999999999</v>
      </c>
      <c r="E204" s="78">
        <v>820.08</v>
      </c>
      <c r="F204" s="76">
        <v>29878.173360000001</v>
      </c>
      <c r="G204" s="76">
        <v>31112.788499999999</v>
      </c>
      <c r="H204" s="76">
        <v>1592.3407500000001</v>
      </c>
      <c r="I204" s="76">
        <v>1460.381895</v>
      </c>
      <c r="J204" s="76">
        <v>190037.54225664001</v>
      </c>
      <c r="L204" s="77">
        <v>0</v>
      </c>
      <c r="M204" s="76">
        <v>48861.665280000001</v>
      </c>
      <c r="N204" s="76">
        <v>12215.41632</v>
      </c>
      <c r="O204" s="77">
        <v>5314446.8147999998</v>
      </c>
      <c r="P204" s="86">
        <v>936</v>
      </c>
      <c r="Q204" s="86">
        <v>1512</v>
      </c>
    </row>
    <row r="205" spans="1:17">
      <c r="A205" s="4"/>
      <c r="B205" s="4" t="s">
        <v>202</v>
      </c>
      <c r="C205" s="75">
        <v>22041066.729431301</v>
      </c>
      <c r="D205" s="76">
        <v>16682.813999999998</v>
      </c>
      <c r="E205" s="78">
        <v>1537.65</v>
      </c>
      <c r="F205" s="76">
        <v>4320.7636499999999</v>
      </c>
      <c r="G205" s="76">
        <v>28105.89975</v>
      </c>
      <c r="H205" s="76">
        <v>3680.0763999999999</v>
      </c>
      <c r="I205" s="76">
        <v>864.42132000000004</v>
      </c>
      <c r="J205" s="76">
        <v>187884.57332736001</v>
      </c>
      <c r="L205" s="77">
        <v>0</v>
      </c>
      <c r="M205" s="76">
        <v>50314.338559999997</v>
      </c>
      <c r="N205" s="76">
        <v>12578.584639999999</v>
      </c>
      <c r="O205" s="77">
        <v>6291522.7626999998</v>
      </c>
      <c r="P205" s="86">
        <v>7944</v>
      </c>
      <c r="Q205" s="86">
        <v>7692</v>
      </c>
    </row>
    <row r="206" spans="1:17">
      <c r="B206" s="1" t="s">
        <v>23</v>
      </c>
      <c r="C206" s="75">
        <f t="shared" ref="C206:J206" si="26">SUM(C201:C205)</f>
        <v>136322661.61569399</v>
      </c>
      <c r="D206" s="75">
        <f t="shared" si="26"/>
        <v>114579.25199999999</v>
      </c>
      <c r="E206" s="75">
        <f t="shared" si="26"/>
        <v>2767.77</v>
      </c>
      <c r="F206" s="75">
        <f t="shared" si="26"/>
        <v>257168.8854</v>
      </c>
      <c r="G206" s="75">
        <f t="shared" si="26"/>
        <v>292696.98074999999</v>
      </c>
      <c r="H206" s="75">
        <f t="shared" si="26"/>
        <v>10827.917100000001</v>
      </c>
      <c r="I206" s="75">
        <f t="shared" si="26"/>
        <v>6616.8333000000002</v>
      </c>
      <c r="J206" s="75">
        <f t="shared" si="26"/>
        <v>1255268.4797952001</v>
      </c>
      <c r="L206" s="75">
        <f t="shared" ref="L206:Q206" si="27">SUM(L201:L205)</f>
        <v>0</v>
      </c>
      <c r="M206" s="75">
        <f t="shared" si="27"/>
        <v>342208.06783999997</v>
      </c>
      <c r="N206" s="75">
        <f t="shared" si="27"/>
        <v>85552.016959999994</v>
      </c>
      <c r="O206" s="75">
        <f t="shared" si="27"/>
        <v>39839807.708999999</v>
      </c>
      <c r="P206" s="75">
        <f t="shared" si="27"/>
        <v>16920</v>
      </c>
      <c r="Q206" s="75">
        <f t="shared" si="27"/>
        <v>20400</v>
      </c>
    </row>
    <row r="207" spans="1:17">
      <c r="C207" s="75"/>
      <c r="D207" s="75"/>
      <c r="E207" s="75"/>
      <c r="F207" s="75"/>
      <c r="G207" s="75"/>
      <c r="H207" s="75"/>
      <c r="I207" s="75"/>
      <c r="J207" s="75"/>
      <c r="L207" s="75"/>
      <c r="M207" s="75"/>
      <c r="N207" s="75"/>
      <c r="O207" s="75"/>
      <c r="P207" s="75"/>
      <c r="Q207" s="75"/>
    </row>
    <row r="208" spans="1:17">
      <c r="A208" s="79" t="s">
        <v>203</v>
      </c>
      <c r="B208" s="62" t="s">
        <v>204</v>
      </c>
      <c r="C208" s="63">
        <v>4852149</v>
      </c>
      <c r="D208" s="63">
        <f>1820394.18*1.02</f>
        <v>1856802.0636</v>
      </c>
      <c r="E208" s="63">
        <f>8379.53925*1.01</f>
        <v>8463.3346425</v>
      </c>
      <c r="F208" s="63">
        <f t="shared" ref="F208:F213" si="28">379806.33375*1.02</f>
        <v>387402.460425</v>
      </c>
      <c r="G208" s="63">
        <f>320723.037*1.02</f>
        <v>327137.49774000002</v>
      </c>
      <c r="H208" s="63">
        <f>6753.6*1.02</f>
        <v>6888.6719999999996</v>
      </c>
      <c r="L208" s="75"/>
      <c r="M208" s="75"/>
      <c r="N208" s="75"/>
      <c r="O208" s="75"/>
      <c r="P208" s="87">
        <v>545</v>
      </c>
      <c r="Q208" s="88">
        <v>3620</v>
      </c>
    </row>
    <row r="209" spans="1:17">
      <c r="A209" s="79"/>
      <c r="B209" s="62" t="s">
        <v>205</v>
      </c>
      <c r="C209" s="63">
        <v>9649743</v>
      </c>
      <c r="D209" s="63">
        <f>1878216.12*1.02</f>
        <v>1915780.4424000001</v>
      </c>
      <c r="E209" s="63">
        <f>9109.32*1.01</f>
        <v>9200.4132000000009</v>
      </c>
      <c r="F209" s="63">
        <f t="shared" si="28"/>
        <v>387402.460425</v>
      </c>
      <c r="G209" s="63">
        <f>709918.8345*1.02</f>
        <v>724117.21118999994</v>
      </c>
      <c r="H209" s="63">
        <f>3618*1.02</f>
        <v>3690.36</v>
      </c>
      <c r="L209" s="75"/>
      <c r="M209" s="75"/>
      <c r="N209" s="75"/>
      <c r="O209" s="75"/>
      <c r="P209" s="87">
        <v>4270</v>
      </c>
      <c r="Q209" s="88">
        <v>8352</v>
      </c>
    </row>
    <row r="210" spans="1:17">
      <c r="A210" s="79"/>
      <c r="B210" s="62" t="s">
        <v>206</v>
      </c>
      <c r="C210" s="63">
        <v>8626577</v>
      </c>
      <c r="D210" s="63">
        <f>1954481.265*1.02</f>
        <v>1993570.8903000001</v>
      </c>
      <c r="E210" s="63">
        <f>4191.32235*1.01</f>
        <v>4233.2355735000001</v>
      </c>
      <c r="F210" s="63">
        <f t="shared" si="28"/>
        <v>387402.460425</v>
      </c>
      <c r="G210" s="63">
        <f>353391.768*1.02</f>
        <v>360459.60336000001</v>
      </c>
      <c r="H210" s="63">
        <f>16980.48*1.02</f>
        <v>17320.089599999999</v>
      </c>
      <c r="L210" s="75"/>
      <c r="M210" s="75"/>
      <c r="N210" s="75"/>
      <c r="O210" s="75"/>
      <c r="P210" s="88">
        <v>2574</v>
      </c>
      <c r="Q210" s="88">
        <v>5180</v>
      </c>
    </row>
    <row r="211" spans="1:17">
      <c r="A211" s="79"/>
      <c r="B211" s="62" t="s">
        <v>207</v>
      </c>
      <c r="C211" s="63">
        <v>5352767</v>
      </c>
      <c r="D211" s="63">
        <f>838418.13*1.02</f>
        <v>855186.4926</v>
      </c>
      <c r="E211" s="63">
        <f>2329.0875*1.01</f>
        <v>2352.3783749999998</v>
      </c>
      <c r="F211" s="63">
        <f t="shared" si="28"/>
        <v>387402.460425</v>
      </c>
      <c r="G211" s="63">
        <f>155876.027625*1.02</f>
        <v>158993.54817749999</v>
      </c>
      <c r="H211" s="63">
        <f>6271.2*1.02</f>
        <v>6396.6239999999998</v>
      </c>
      <c r="L211" s="75"/>
      <c r="M211" s="75"/>
      <c r="N211" s="75"/>
      <c r="O211" s="75"/>
      <c r="P211" s="88">
        <v>2690</v>
      </c>
      <c r="Q211" s="88">
        <v>2850</v>
      </c>
    </row>
    <row r="212" spans="1:17">
      <c r="A212" s="79"/>
      <c r="B212" s="62" t="s">
        <v>208</v>
      </c>
      <c r="C212" s="63">
        <v>18888187</v>
      </c>
      <c r="D212" s="63">
        <f>426885.426*1.02</f>
        <v>435423.13452000002</v>
      </c>
      <c r="E212" s="63">
        <f>246.3657*1.01</f>
        <v>248.82935699999999</v>
      </c>
      <c r="F212" s="63">
        <f t="shared" si="28"/>
        <v>387402.460425</v>
      </c>
      <c r="G212" s="63">
        <f>1976748.796125*1.02</f>
        <v>2016283.7720474999</v>
      </c>
      <c r="H212" s="63">
        <f>53642.88*1.02</f>
        <v>54715.7376</v>
      </c>
      <c r="L212" s="75"/>
      <c r="M212" s="75"/>
      <c r="N212" s="75"/>
      <c r="O212" s="75"/>
      <c r="P212" s="87">
        <v>380</v>
      </c>
      <c r="Q212" s="88">
        <v>1680</v>
      </c>
    </row>
    <row r="213" spans="1:17">
      <c r="A213" s="79"/>
      <c r="B213" s="62" t="s">
        <v>209</v>
      </c>
      <c r="C213" s="63">
        <v>41782391</v>
      </c>
      <c r="D213" s="63">
        <f>4975179.165*1.02</f>
        <v>5074682.7483000001</v>
      </c>
      <c r="E213" s="63">
        <f>98.33925*1.01</f>
        <v>99.322642500000001</v>
      </c>
      <c r="F213" s="63">
        <f t="shared" si="28"/>
        <v>387402.460425</v>
      </c>
      <c r="G213" s="63">
        <f>50872.3965*1.02</f>
        <v>51889.844429999997</v>
      </c>
      <c r="H213" s="63">
        <v>0</v>
      </c>
      <c r="L213" s="75"/>
      <c r="M213" s="75"/>
      <c r="N213" s="75"/>
      <c r="O213" s="75"/>
      <c r="P213" s="87">
        <v>150</v>
      </c>
      <c r="Q213" s="88">
        <v>3870</v>
      </c>
    </row>
    <row r="214" spans="1:17">
      <c r="A214" s="79"/>
      <c r="B214" s="62" t="s">
        <v>210</v>
      </c>
      <c r="C214" s="79">
        <v>0</v>
      </c>
      <c r="D214" s="80">
        <v>0</v>
      </c>
      <c r="E214" s="80">
        <v>0</v>
      </c>
      <c r="F214" s="80">
        <v>0</v>
      </c>
      <c r="G214" s="80">
        <v>0</v>
      </c>
      <c r="H214" s="80">
        <v>0</v>
      </c>
      <c r="L214" s="75"/>
      <c r="M214" s="75"/>
      <c r="N214" s="75"/>
      <c r="O214" s="75"/>
      <c r="P214" s="88">
        <v>10609</v>
      </c>
      <c r="Q214" s="88">
        <v>25552</v>
      </c>
    </row>
    <row r="215" spans="1:17">
      <c r="A215" s="79"/>
      <c r="B215" s="4" t="s">
        <v>23</v>
      </c>
      <c r="C215" s="76">
        <f t="shared" ref="C215:Q215" si="29">SUM(C208:C214)</f>
        <v>89151814</v>
      </c>
      <c r="D215" s="76">
        <f t="shared" si="29"/>
        <v>12131445.77172</v>
      </c>
      <c r="E215" s="76">
        <f t="shared" si="29"/>
        <v>24597.513790500001</v>
      </c>
      <c r="F215" s="76">
        <f t="shared" si="29"/>
        <v>2324414.7625500001</v>
      </c>
      <c r="G215" s="76">
        <f t="shared" si="29"/>
        <v>3638881.4769449998</v>
      </c>
      <c r="H215" s="76">
        <f t="shared" si="29"/>
        <v>89011.483200000002</v>
      </c>
      <c r="I215" s="76">
        <f t="shared" si="29"/>
        <v>0</v>
      </c>
      <c r="J215" s="76">
        <f t="shared" si="29"/>
        <v>0</v>
      </c>
      <c r="K215" s="76">
        <f t="shared" si="29"/>
        <v>0</v>
      </c>
      <c r="L215" s="76">
        <f t="shared" si="29"/>
        <v>0</v>
      </c>
      <c r="M215" s="76">
        <f t="shared" si="29"/>
        <v>0</v>
      </c>
      <c r="N215" s="76">
        <f t="shared" si="29"/>
        <v>0</v>
      </c>
      <c r="O215" s="76">
        <f t="shared" si="29"/>
        <v>0</v>
      </c>
      <c r="P215" s="76">
        <f t="shared" si="29"/>
        <v>21218</v>
      </c>
      <c r="Q215" s="76">
        <f t="shared" si="29"/>
        <v>51104</v>
      </c>
    </row>
    <row r="216" spans="1:17"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</row>
    <row r="217" spans="1:17">
      <c r="A217" s="4" t="s">
        <v>211</v>
      </c>
      <c r="B217" s="81" t="s">
        <v>212</v>
      </c>
      <c r="C217" s="21">
        <v>2658000</v>
      </c>
      <c r="D217" s="21">
        <v>74820</v>
      </c>
      <c r="E217" s="21">
        <v>0</v>
      </c>
      <c r="F217" s="21">
        <v>12150</v>
      </c>
      <c r="G217" s="21">
        <v>10597.5</v>
      </c>
      <c r="H217" s="21">
        <v>237120</v>
      </c>
      <c r="I217" s="21">
        <v>1543.2</v>
      </c>
      <c r="J217" s="21">
        <v>89791</v>
      </c>
      <c r="K217" s="8"/>
      <c r="L217" s="21">
        <v>0</v>
      </c>
      <c r="M217" s="21">
        <v>3495</v>
      </c>
      <c r="N217" s="21">
        <v>174.75</v>
      </c>
      <c r="O217" s="21">
        <v>9541013</v>
      </c>
      <c r="P217" s="12">
        <v>432.6</v>
      </c>
      <c r="Q217" s="12">
        <v>1719</v>
      </c>
    </row>
    <row r="218" spans="1:17">
      <c r="A218" s="4"/>
      <c r="B218" s="81" t="s">
        <v>213</v>
      </c>
      <c r="C218" s="21">
        <v>1039200</v>
      </c>
      <c r="D218" s="21">
        <v>41805</v>
      </c>
      <c r="E218" s="21">
        <v>0</v>
      </c>
      <c r="F218" s="21">
        <v>7357.5</v>
      </c>
      <c r="G218" s="21">
        <v>102600</v>
      </c>
      <c r="H218" s="21">
        <v>102600</v>
      </c>
      <c r="I218" s="21">
        <v>1532.4</v>
      </c>
      <c r="J218" s="21">
        <v>38568.5</v>
      </c>
      <c r="K218" s="8"/>
      <c r="L218" s="21">
        <v>0</v>
      </c>
      <c r="M218" s="21">
        <v>1485</v>
      </c>
      <c r="N218" s="21">
        <v>74.25</v>
      </c>
      <c r="O218" s="21">
        <v>5635508</v>
      </c>
      <c r="P218" s="12">
        <v>275.7</v>
      </c>
      <c r="Q218" s="12">
        <v>1451.4</v>
      </c>
    </row>
    <row r="219" spans="1:17">
      <c r="A219" s="4"/>
      <c r="B219" s="81" t="s">
        <v>214</v>
      </c>
      <c r="C219" s="21">
        <v>266660</v>
      </c>
      <c r="D219" s="21">
        <v>5720</v>
      </c>
      <c r="E219" s="21">
        <v>0</v>
      </c>
      <c r="F219" s="21">
        <v>2631.6</v>
      </c>
      <c r="G219" s="21">
        <v>1098</v>
      </c>
      <c r="H219" s="21">
        <v>6240</v>
      </c>
      <c r="I219" s="21">
        <v>825.6</v>
      </c>
      <c r="J219" s="21">
        <v>8109</v>
      </c>
      <c r="K219" s="8"/>
      <c r="L219" s="21">
        <v>0</v>
      </c>
      <c r="M219" s="21">
        <v>225</v>
      </c>
      <c r="N219" s="21">
        <v>11.25</v>
      </c>
      <c r="O219" s="21">
        <v>1056780</v>
      </c>
      <c r="P219" s="12">
        <v>28.6</v>
      </c>
      <c r="Q219" s="12">
        <v>292.5</v>
      </c>
    </row>
    <row r="220" spans="1:17">
      <c r="A220" s="4"/>
      <c r="B220" s="81" t="s">
        <v>215</v>
      </c>
      <c r="C220" s="21">
        <v>5461100</v>
      </c>
      <c r="D220" s="21">
        <v>166372.5</v>
      </c>
      <c r="E220" s="21">
        <v>0</v>
      </c>
      <c r="F220" s="21">
        <v>27547.200000000001</v>
      </c>
      <c r="G220" s="21">
        <v>18702</v>
      </c>
      <c r="H220" s="21">
        <v>652020</v>
      </c>
      <c r="I220" s="21">
        <v>6069.6</v>
      </c>
      <c r="J220" s="21">
        <v>61214.25</v>
      </c>
      <c r="K220" s="8"/>
      <c r="L220" s="21">
        <v>0</v>
      </c>
      <c r="M220" s="21">
        <v>1920</v>
      </c>
      <c r="N220" s="21">
        <v>96</v>
      </c>
      <c r="O220" s="21">
        <v>8712203</v>
      </c>
      <c r="P220" s="12">
        <v>994.2</v>
      </c>
      <c r="Q220" s="12">
        <v>3542.4</v>
      </c>
    </row>
    <row r="221" spans="1:17">
      <c r="A221" s="4"/>
      <c r="B221" s="81" t="s">
        <v>216</v>
      </c>
      <c r="C221" s="21">
        <v>212720</v>
      </c>
      <c r="D221" s="21">
        <v>8002.5</v>
      </c>
      <c r="E221" s="21">
        <v>0</v>
      </c>
      <c r="F221" s="21">
        <v>4438.8</v>
      </c>
      <c r="G221" s="21">
        <v>994.5</v>
      </c>
      <c r="H221" s="21">
        <v>22680</v>
      </c>
      <c r="I221" s="21">
        <v>903.6</v>
      </c>
      <c r="J221" s="21">
        <v>12371.5</v>
      </c>
      <c r="K221" s="8"/>
      <c r="L221" s="21">
        <v>0</v>
      </c>
      <c r="M221" s="21">
        <v>330</v>
      </c>
      <c r="N221" s="21">
        <v>16.5</v>
      </c>
      <c r="O221" s="21">
        <v>701258</v>
      </c>
      <c r="P221" s="12">
        <v>51.6</v>
      </c>
      <c r="Q221" s="12">
        <v>436.2</v>
      </c>
    </row>
    <row r="222" spans="1:17">
      <c r="A222" s="4"/>
      <c r="B222" s="81" t="s">
        <v>217</v>
      </c>
      <c r="C222" s="21">
        <v>1068120</v>
      </c>
      <c r="D222" s="21">
        <v>58182.5</v>
      </c>
      <c r="E222" s="21">
        <v>0</v>
      </c>
      <c r="F222" s="21">
        <v>8470.7999999999993</v>
      </c>
      <c r="G222" s="21">
        <v>15210</v>
      </c>
      <c r="H222" s="21">
        <v>35940</v>
      </c>
      <c r="I222" s="21">
        <v>619.20000000000005</v>
      </c>
      <c r="J222" s="21">
        <v>30143.5</v>
      </c>
      <c r="K222" s="8"/>
      <c r="L222" s="21">
        <v>0</v>
      </c>
      <c r="M222" s="21">
        <v>13515</v>
      </c>
      <c r="N222" s="21">
        <v>675.75</v>
      </c>
      <c r="O222" s="21">
        <v>3138818</v>
      </c>
      <c r="P222" s="12">
        <v>409.6</v>
      </c>
      <c r="Q222" s="12">
        <v>1719.9</v>
      </c>
    </row>
    <row r="223" spans="1:17">
      <c r="A223" s="4"/>
      <c r="B223" s="81" t="s">
        <v>218</v>
      </c>
      <c r="C223" s="21">
        <v>257620</v>
      </c>
      <c r="D223" s="21">
        <v>8437.5</v>
      </c>
      <c r="E223" s="21">
        <v>0</v>
      </c>
      <c r="F223" s="21">
        <v>1429.2</v>
      </c>
      <c r="G223" s="21">
        <v>967.5</v>
      </c>
      <c r="H223" s="21">
        <v>66240</v>
      </c>
      <c r="I223" s="21">
        <v>6772.8</v>
      </c>
      <c r="J223" s="21">
        <v>49042.5</v>
      </c>
      <c r="K223" s="8"/>
      <c r="L223" s="21">
        <v>0</v>
      </c>
      <c r="M223" s="21">
        <v>330</v>
      </c>
      <c r="N223" s="21">
        <v>16.5</v>
      </c>
      <c r="O223" s="21">
        <v>4796685</v>
      </c>
      <c r="P223" s="12">
        <v>52.2</v>
      </c>
      <c r="Q223" s="12">
        <v>183.6</v>
      </c>
    </row>
    <row r="224" spans="1:17">
      <c r="A224" s="4"/>
      <c r="B224" s="81" t="s">
        <v>219</v>
      </c>
      <c r="C224" s="21">
        <v>59040</v>
      </c>
      <c r="D224" s="21">
        <v>1790</v>
      </c>
      <c r="E224" s="21">
        <v>0</v>
      </c>
      <c r="F224" s="21">
        <v>10126.799999999999</v>
      </c>
      <c r="G224" s="21">
        <v>3901.5</v>
      </c>
      <c r="H224" s="21">
        <v>19320</v>
      </c>
      <c r="I224" s="21">
        <v>214.8</v>
      </c>
      <c r="J224" s="21">
        <v>3955.5</v>
      </c>
      <c r="K224" s="8"/>
      <c r="L224" s="21">
        <v>0</v>
      </c>
      <c r="M224" s="21">
        <v>1725</v>
      </c>
      <c r="N224" s="21">
        <v>86.25</v>
      </c>
      <c r="O224" s="21">
        <v>320355</v>
      </c>
      <c r="P224" s="12">
        <v>10.9</v>
      </c>
      <c r="Q224" s="12">
        <v>1104</v>
      </c>
    </row>
    <row r="225" spans="1:17">
      <c r="A225" s="4"/>
      <c r="B225" s="81" t="s">
        <v>220</v>
      </c>
      <c r="C225" s="21">
        <v>1991060</v>
      </c>
      <c r="D225" s="21">
        <v>50005</v>
      </c>
      <c r="E225" s="21">
        <v>0</v>
      </c>
      <c r="F225" s="21">
        <v>5526</v>
      </c>
      <c r="G225" s="21">
        <v>1917</v>
      </c>
      <c r="H225" s="21">
        <v>74340</v>
      </c>
      <c r="I225" s="21">
        <v>3555.6</v>
      </c>
      <c r="J225" s="21">
        <v>248401.75</v>
      </c>
      <c r="K225" s="8"/>
      <c r="L225" s="21">
        <v>0</v>
      </c>
      <c r="M225" s="21">
        <v>4215</v>
      </c>
      <c r="N225" s="21">
        <v>210.75</v>
      </c>
      <c r="O225" s="21">
        <v>6847628</v>
      </c>
      <c r="P225" s="12">
        <v>273.8</v>
      </c>
      <c r="Q225" s="12">
        <v>588.29999999999995</v>
      </c>
    </row>
    <row r="226" spans="1:17">
      <c r="A226" s="4"/>
      <c r="B226" s="81" t="s">
        <v>221</v>
      </c>
      <c r="C226" s="21">
        <v>980</v>
      </c>
      <c r="D226" s="21">
        <v>187.5</v>
      </c>
      <c r="E226" s="21">
        <v>0</v>
      </c>
      <c r="F226" s="21">
        <v>306</v>
      </c>
      <c r="G226" s="21">
        <v>306</v>
      </c>
      <c r="H226" s="21">
        <v>4740</v>
      </c>
      <c r="I226" s="21">
        <v>212.4</v>
      </c>
      <c r="J226" s="21">
        <v>2330</v>
      </c>
      <c r="K226" s="8"/>
      <c r="L226" s="21">
        <v>0</v>
      </c>
      <c r="M226" s="21">
        <v>630</v>
      </c>
      <c r="N226" s="21">
        <v>31.5</v>
      </c>
      <c r="O226" s="21">
        <v>219105</v>
      </c>
      <c r="P226" s="12">
        <v>1.5</v>
      </c>
      <c r="Q226" s="12">
        <v>45.9</v>
      </c>
    </row>
    <row r="227" spans="1:17">
      <c r="A227" s="4"/>
      <c r="B227" s="81" t="s">
        <v>222</v>
      </c>
      <c r="C227" s="21">
        <v>1599520</v>
      </c>
      <c r="D227" s="21">
        <v>57437.5</v>
      </c>
      <c r="E227" s="21">
        <v>0</v>
      </c>
      <c r="F227" s="21">
        <v>8427.6</v>
      </c>
      <c r="G227" s="21">
        <v>7065</v>
      </c>
      <c r="H227" s="21">
        <v>61500</v>
      </c>
      <c r="I227" s="21">
        <v>408</v>
      </c>
      <c r="J227" s="21">
        <v>43732</v>
      </c>
      <c r="K227" s="8"/>
      <c r="L227" s="21">
        <v>0</v>
      </c>
      <c r="M227" s="21">
        <v>1080</v>
      </c>
      <c r="N227" s="21">
        <v>54</v>
      </c>
      <c r="O227" s="21">
        <v>5619690</v>
      </c>
      <c r="P227" s="12">
        <v>364.4</v>
      </c>
      <c r="Q227" s="12">
        <v>1173.3</v>
      </c>
    </row>
    <row r="228" spans="1:17">
      <c r="A228" s="4"/>
      <c r="B228" s="1" t="s">
        <v>23</v>
      </c>
      <c r="C228" s="21">
        <f t="shared" ref="C228:Q228" si="30">SUM(C217:C227)</f>
        <v>14614020</v>
      </c>
      <c r="D228" s="21">
        <f t="shared" si="30"/>
        <v>472760</v>
      </c>
      <c r="E228" s="21">
        <f t="shared" si="30"/>
        <v>0</v>
      </c>
      <c r="F228" s="21">
        <f t="shared" si="30"/>
        <v>88411.5</v>
      </c>
      <c r="G228" s="21">
        <f t="shared" si="30"/>
        <v>163359</v>
      </c>
      <c r="H228" s="21">
        <f t="shared" si="30"/>
        <v>1282740</v>
      </c>
      <c r="I228" s="21">
        <f t="shared" si="30"/>
        <v>22657.200000000001</v>
      </c>
      <c r="J228" s="21">
        <f t="shared" si="30"/>
        <v>587659.5</v>
      </c>
      <c r="K228" s="21">
        <f t="shared" si="30"/>
        <v>0</v>
      </c>
      <c r="L228" s="21">
        <f t="shared" si="30"/>
        <v>0</v>
      </c>
      <c r="M228" s="21">
        <f t="shared" si="30"/>
        <v>28950</v>
      </c>
      <c r="N228" s="21">
        <f t="shared" si="30"/>
        <v>1447.5</v>
      </c>
      <c r="O228" s="21">
        <f t="shared" si="30"/>
        <v>46589043</v>
      </c>
      <c r="P228" s="21">
        <f t="shared" si="30"/>
        <v>2895.1</v>
      </c>
      <c r="Q228" s="21">
        <f t="shared" si="30"/>
        <v>12256.5</v>
      </c>
    </row>
    <row r="229" spans="1:17"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</row>
    <row r="230" spans="1:17">
      <c r="A230" s="65" t="s">
        <v>223</v>
      </c>
      <c r="B230" s="82" t="s">
        <v>224</v>
      </c>
      <c r="C230" s="83">
        <v>24273006.912</v>
      </c>
      <c r="D230" s="50">
        <v>16800</v>
      </c>
      <c r="E230" s="84">
        <v>0</v>
      </c>
      <c r="F230" s="50">
        <v>6949.8</v>
      </c>
      <c r="G230" s="50">
        <v>28839.1158</v>
      </c>
      <c r="H230" s="50">
        <v>480935.15925000003</v>
      </c>
      <c r="I230" s="50">
        <v>966.16800000000001</v>
      </c>
      <c r="J230" s="50">
        <v>224642.68461</v>
      </c>
      <c r="K230" s="8"/>
      <c r="L230" s="8"/>
      <c r="M230" s="84">
        <v>5498.8584000000001</v>
      </c>
      <c r="N230" s="84">
        <v>0</v>
      </c>
      <c r="O230" s="21">
        <v>1648373.67765</v>
      </c>
      <c r="P230" s="5">
        <v>67876</v>
      </c>
      <c r="Q230" s="8">
        <v>43169</v>
      </c>
    </row>
    <row r="231" spans="1:17">
      <c r="A231" s="65"/>
      <c r="B231" s="82" t="s">
        <v>225</v>
      </c>
      <c r="C231" s="83">
        <v>17749636.304400001</v>
      </c>
      <c r="D231" s="50">
        <v>0</v>
      </c>
      <c r="E231" s="84">
        <v>0</v>
      </c>
      <c r="F231" s="50">
        <v>13365</v>
      </c>
      <c r="G231" s="50">
        <v>21937.613062500001</v>
      </c>
      <c r="H231" s="50">
        <v>476881.92825</v>
      </c>
      <c r="I231" s="50">
        <v>740.12400000000002</v>
      </c>
      <c r="J231" s="50">
        <v>156890.45178</v>
      </c>
      <c r="K231" s="8"/>
      <c r="L231" s="8"/>
      <c r="M231" s="84">
        <v>11750.688</v>
      </c>
      <c r="N231" s="84">
        <v>0</v>
      </c>
      <c r="O231" s="21">
        <v>433674.88394999999</v>
      </c>
      <c r="P231" s="5"/>
      <c r="Q231" s="8">
        <v>0</v>
      </c>
    </row>
    <row r="232" spans="1:17">
      <c r="A232" s="65"/>
      <c r="B232" s="82" t="s">
        <v>226</v>
      </c>
      <c r="C232" s="83">
        <v>2589626.4249240002</v>
      </c>
      <c r="D232" s="50">
        <v>260392.19817600001</v>
      </c>
      <c r="E232" s="84">
        <v>0</v>
      </c>
      <c r="F232" s="50">
        <v>35353.097999999998</v>
      </c>
      <c r="G232" s="50">
        <v>68949.171059999993</v>
      </c>
      <c r="H232" s="50">
        <v>302303.47875000001</v>
      </c>
      <c r="I232" s="50">
        <v>2415.42</v>
      </c>
      <c r="J232" s="50">
        <v>243341.61804</v>
      </c>
      <c r="K232" s="8"/>
      <c r="L232" s="8"/>
      <c r="M232" s="84">
        <v>4812.7992000000004</v>
      </c>
      <c r="N232" s="84">
        <v>0</v>
      </c>
      <c r="O232" s="21">
        <v>1027709.77785</v>
      </c>
      <c r="P232" s="5">
        <v>3741</v>
      </c>
      <c r="Q232" s="8">
        <v>2309</v>
      </c>
    </row>
    <row r="233" spans="1:17">
      <c r="A233" s="65"/>
      <c r="B233" s="82" t="s">
        <v>227</v>
      </c>
      <c r="C233" s="83">
        <v>29013828.574499998</v>
      </c>
      <c r="D233" s="50">
        <v>0</v>
      </c>
      <c r="E233" s="84">
        <v>0</v>
      </c>
      <c r="F233" s="50">
        <v>11226.6</v>
      </c>
      <c r="G233" s="50">
        <v>22779.880874999999</v>
      </c>
      <c r="H233" s="50">
        <v>102587.73525</v>
      </c>
      <c r="I233" s="50">
        <v>1445.472</v>
      </c>
      <c r="J233" s="50">
        <v>212040.49410000001</v>
      </c>
      <c r="K233" s="8"/>
      <c r="L233" s="8"/>
      <c r="M233" s="84">
        <v>16048.92</v>
      </c>
      <c r="N233" s="84">
        <v>0</v>
      </c>
      <c r="O233" s="21">
        <v>2033408.895</v>
      </c>
      <c r="P233" s="5">
        <v>4082</v>
      </c>
      <c r="Q233" s="8">
        <v>2186</v>
      </c>
    </row>
    <row r="234" spans="1:17">
      <c r="A234" s="65"/>
      <c r="B234" s="82" t="s">
        <v>228</v>
      </c>
      <c r="C234" s="83">
        <v>30701905.873380002</v>
      </c>
      <c r="D234" s="50">
        <v>0</v>
      </c>
      <c r="E234" s="84">
        <v>0</v>
      </c>
      <c r="F234" s="50">
        <v>18711</v>
      </c>
      <c r="G234" s="50">
        <v>57517.53937875</v>
      </c>
      <c r="H234" s="50">
        <v>661077.96299999999</v>
      </c>
      <c r="I234" s="50">
        <v>1338.498</v>
      </c>
      <c r="J234" s="50">
        <v>116531.78382</v>
      </c>
      <c r="K234" s="8"/>
      <c r="L234" s="8"/>
      <c r="M234" s="84">
        <v>31972.68</v>
      </c>
      <c r="N234" s="84">
        <v>0</v>
      </c>
      <c r="O234" s="21">
        <v>229100.89230000001</v>
      </c>
      <c r="P234" s="5">
        <v>3701</v>
      </c>
      <c r="Q234" s="8">
        <v>899</v>
      </c>
    </row>
    <row r="235" spans="1:17">
      <c r="A235" s="65"/>
      <c r="B235" s="82" t="s">
        <v>229</v>
      </c>
      <c r="C235" s="83">
        <v>75340379.328984007</v>
      </c>
      <c r="D235" s="50">
        <v>0</v>
      </c>
      <c r="E235" s="84">
        <v>0</v>
      </c>
      <c r="F235" s="50">
        <v>8564.2919999999995</v>
      </c>
      <c r="G235" s="50">
        <v>4206.1364999999996</v>
      </c>
      <c r="H235" s="50">
        <v>320990.67</v>
      </c>
      <c r="I235" s="50">
        <v>1349.838</v>
      </c>
      <c r="J235" s="50">
        <v>160095.67460999999</v>
      </c>
      <c r="K235" s="8"/>
      <c r="L235" s="8"/>
      <c r="M235" s="84">
        <v>3787.2959999999998</v>
      </c>
      <c r="N235" s="84">
        <v>0</v>
      </c>
      <c r="O235" s="21">
        <v>386808.2169</v>
      </c>
      <c r="P235" s="5">
        <v>5270</v>
      </c>
      <c r="Q235" s="8">
        <v>10850</v>
      </c>
    </row>
    <row r="236" spans="1:17">
      <c r="A236" s="65"/>
      <c r="B236" s="82" t="s">
        <v>230</v>
      </c>
      <c r="C236" s="83">
        <v>26154164.94768</v>
      </c>
      <c r="D236" s="50">
        <v>0</v>
      </c>
      <c r="E236" s="84">
        <v>0</v>
      </c>
      <c r="F236" s="50">
        <v>9176.4089999999997</v>
      </c>
      <c r="G236" s="50">
        <v>38657.80578825</v>
      </c>
      <c r="H236" s="50">
        <v>747769.52249999996</v>
      </c>
      <c r="I236" s="50">
        <v>7592.13</v>
      </c>
      <c r="J236" s="50">
        <v>174031.20387</v>
      </c>
      <c r="K236" s="8"/>
      <c r="L236" s="8"/>
      <c r="M236" s="84">
        <v>3587.9016000000001</v>
      </c>
      <c r="N236" s="84">
        <v>0</v>
      </c>
      <c r="O236" s="21">
        <v>1424773.2933</v>
      </c>
      <c r="P236" s="5"/>
      <c r="Q236" s="8">
        <v>0</v>
      </c>
    </row>
    <row r="237" spans="1:17">
      <c r="A237" s="65"/>
      <c r="B237" s="82" t="s">
        <v>231</v>
      </c>
      <c r="C237" s="83">
        <v>8984046.6833040006</v>
      </c>
      <c r="D237" s="50">
        <v>153900.66938400001</v>
      </c>
      <c r="E237" s="84">
        <v>0</v>
      </c>
      <c r="F237" s="50">
        <v>28013.040000000001</v>
      </c>
      <c r="G237" s="50">
        <v>5378.32575</v>
      </c>
      <c r="H237" s="50">
        <v>229007.5515</v>
      </c>
      <c r="I237" s="50">
        <v>1046.682</v>
      </c>
      <c r="J237" s="50">
        <v>160870.01130000001</v>
      </c>
      <c r="K237" s="8"/>
      <c r="L237" s="8"/>
      <c r="M237" s="84">
        <v>3046.8960000000002</v>
      </c>
      <c r="N237" s="84">
        <v>0</v>
      </c>
      <c r="O237" s="21">
        <v>522690.69825000002</v>
      </c>
      <c r="P237" s="5"/>
      <c r="Q237" s="8">
        <v>0</v>
      </c>
    </row>
    <row r="238" spans="1:17">
      <c r="A238" s="65"/>
      <c r="B238" s="82" t="s">
        <v>232</v>
      </c>
      <c r="C238" s="83">
        <v>50449927.803659998</v>
      </c>
      <c r="D238" s="50">
        <v>52044.956568000001</v>
      </c>
      <c r="E238" s="84">
        <v>0</v>
      </c>
      <c r="F238" s="50">
        <v>12600.522000000001</v>
      </c>
      <c r="G238" s="50">
        <v>31454.307794249999</v>
      </c>
      <c r="H238" s="50">
        <v>291164.73749999999</v>
      </c>
      <c r="I238" s="50">
        <v>947.64599999999996</v>
      </c>
      <c r="J238" s="50">
        <v>166264.31682000001</v>
      </c>
      <c r="K238" s="8"/>
      <c r="L238" s="8"/>
      <c r="M238" s="84">
        <v>7271.76</v>
      </c>
      <c r="N238" s="84">
        <v>0</v>
      </c>
      <c r="O238" s="21">
        <v>1241438.0118</v>
      </c>
      <c r="P238" s="5"/>
      <c r="Q238" s="8">
        <v>10290</v>
      </c>
    </row>
    <row r="239" spans="1:17">
      <c r="A239" s="65"/>
      <c r="B239" s="82" t="s">
        <v>233</v>
      </c>
      <c r="C239" s="83">
        <v>5892272.4278880004</v>
      </c>
      <c r="D239" s="50">
        <v>286985.24078400002</v>
      </c>
      <c r="E239" s="84">
        <v>0</v>
      </c>
      <c r="F239" s="50">
        <v>51800.31</v>
      </c>
      <c r="G239" s="50">
        <v>81768.627622500004</v>
      </c>
      <c r="H239" s="50">
        <v>247106.63250000001</v>
      </c>
      <c r="I239" s="50">
        <v>1174.8240000000001</v>
      </c>
      <c r="J239" s="50">
        <v>209381.27382</v>
      </c>
      <c r="K239" s="8"/>
      <c r="L239" s="8"/>
      <c r="M239" s="84">
        <v>7436.6616000000004</v>
      </c>
      <c r="N239" s="84">
        <v>0</v>
      </c>
      <c r="O239" s="21">
        <v>1136086.8393000001</v>
      </c>
      <c r="P239" s="5">
        <v>9768</v>
      </c>
      <c r="Q239" s="8">
        <v>2560</v>
      </c>
    </row>
    <row r="240" spans="1:17">
      <c r="A240" s="65"/>
      <c r="B240" s="82" t="s">
        <v>234</v>
      </c>
      <c r="C240" s="83">
        <v>54637021.495980002</v>
      </c>
      <c r="D240" s="50">
        <v>0</v>
      </c>
      <c r="E240" s="84">
        <v>22660.892100000001</v>
      </c>
      <c r="F240" s="50">
        <v>4209.9750000000004</v>
      </c>
      <c r="G240" s="50">
        <v>109511.9227125</v>
      </c>
      <c r="H240" s="50">
        <v>365332.55849999998</v>
      </c>
      <c r="I240" s="50">
        <v>1837.836</v>
      </c>
      <c r="J240" s="50">
        <v>66683.608290000004</v>
      </c>
      <c r="K240" s="8"/>
      <c r="L240" s="8"/>
      <c r="M240" s="84">
        <v>6407.7</v>
      </c>
      <c r="N240" s="84">
        <v>0</v>
      </c>
      <c r="O240" s="21">
        <v>259614.82260000001</v>
      </c>
      <c r="P240" s="5">
        <v>4991</v>
      </c>
      <c r="Q240" s="8">
        <v>3361</v>
      </c>
    </row>
    <row r="241" spans="1:17">
      <c r="A241" s="65"/>
      <c r="B241" s="74" t="s">
        <v>223</v>
      </c>
      <c r="C241" s="83">
        <v>18568850.28768</v>
      </c>
      <c r="D241" s="50">
        <v>0</v>
      </c>
      <c r="E241" s="84">
        <v>0</v>
      </c>
      <c r="F241" s="50">
        <v>14434.2</v>
      </c>
      <c r="G241" s="50">
        <v>24699.490141499999</v>
      </c>
      <c r="H241" s="50">
        <v>662703.26850000001</v>
      </c>
      <c r="I241" s="50">
        <v>905.68799999999999</v>
      </c>
      <c r="J241" s="50">
        <v>152398.68687000001</v>
      </c>
      <c r="K241" s="8"/>
      <c r="L241" s="8"/>
      <c r="M241" s="84">
        <v>8845.4303999999993</v>
      </c>
      <c r="N241" s="84">
        <v>0</v>
      </c>
      <c r="O241" s="21">
        <v>417007.03379999998</v>
      </c>
      <c r="P241" s="5">
        <v>2075</v>
      </c>
      <c r="Q241" s="8">
        <v>2688</v>
      </c>
    </row>
    <row r="242" spans="1:17">
      <c r="B242" s="74" t="s">
        <v>72</v>
      </c>
      <c r="C242" s="8">
        <f t="shared" ref="C242:Q242" si="31">SUM(C230:C241)</f>
        <v>344354667.06437999</v>
      </c>
      <c r="D242" s="8">
        <f t="shared" si="31"/>
        <v>770123.06491199997</v>
      </c>
      <c r="E242" s="8">
        <f t="shared" si="31"/>
        <v>22660.892100000001</v>
      </c>
      <c r="F242" s="8">
        <f t="shared" si="31"/>
        <v>214404.24600000001</v>
      </c>
      <c r="G242" s="8">
        <f t="shared" si="31"/>
        <v>495699.93648525001</v>
      </c>
      <c r="H242" s="8">
        <f t="shared" si="31"/>
        <v>4887861.2055000002</v>
      </c>
      <c r="I242" s="8">
        <f t="shared" si="31"/>
        <v>21760.326000000001</v>
      </c>
      <c r="J242" s="8">
        <f t="shared" si="31"/>
        <v>2043171.8079299999</v>
      </c>
      <c r="K242" s="8">
        <f t="shared" si="31"/>
        <v>0</v>
      </c>
      <c r="L242" s="8">
        <f t="shared" si="31"/>
        <v>0</v>
      </c>
      <c r="M242" s="8">
        <f t="shared" si="31"/>
        <v>110467.5912</v>
      </c>
      <c r="N242" s="8">
        <f t="shared" si="31"/>
        <v>0</v>
      </c>
      <c r="O242" s="8">
        <f t="shared" si="31"/>
        <v>10760687.0427</v>
      </c>
      <c r="P242" s="8">
        <f t="shared" si="31"/>
        <v>101504</v>
      </c>
      <c r="Q242" s="8">
        <f t="shared" si="31"/>
        <v>78312</v>
      </c>
    </row>
    <row r="243" spans="1:17">
      <c r="B243" s="74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</row>
    <row r="244" spans="1:17">
      <c r="A244" s="4" t="s">
        <v>235</v>
      </c>
      <c r="B244" s="4" t="s">
        <v>236</v>
      </c>
      <c r="C244" s="85">
        <v>2183841</v>
      </c>
      <c r="D244" s="5">
        <v>2493412</v>
      </c>
      <c r="E244" s="5">
        <v>0</v>
      </c>
      <c r="F244" s="5">
        <v>579110</v>
      </c>
      <c r="G244" s="5">
        <v>855144</v>
      </c>
      <c r="H244" s="5">
        <v>6643</v>
      </c>
      <c r="I244" s="5">
        <v>268</v>
      </c>
      <c r="J244" s="5">
        <v>38843</v>
      </c>
      <c r="K244" s="8"/>
      <c r="L244" s="5">
        <v>226305</v>
      </c>
      <c r="M244" s="5">
        <v>29523</v>
      </c>
      <c r="N244" s="5">
        <v>9841</v>
      </c>
      <c r="O244" s="5">
        <v>66477</v>
      </c>
      <c r="P244" s="5">
        <v>9291</v>
      </c>
      <c r="Q244" s="5">
        <v>26971</v>
      </c>
    </row>
    <row r="245" spans="1:17">
      <c r="A245" s="4"/>
      <c r="B245" s="4" t="s">
        <v>237</v>
      </c>
      <c r="C245" s="85">
        <v>856251</v>
      </c>
      <c r="D245" s="5">
        <v>1081725</v>
      </c>
      <c r="E245" s="5">
        <v>0</v>
      </c>
      <c r="F245" s="5">
        <v>515998</v>
      </c>
      <c r="G245" s="5">
        <v>358629</v>
      </c>
      <c r="H245" s="5">
        <v>2320</v>
      </c>
      <c r="I245" s="5">
        <v>66</v>
      </c>
      <c r="J245" s="5">
        <v>9822</v>
      </c>
      <c r="K245" s="8"/>
      <c r="L245" s="5">
        <v>293580</v>
      </c>
      <c r="M245" s="5">
        <v>19506</v>
      </c>
      <c r="N245" s="5">
        <v>6502</v>
      </c>
      <c r="O245" s="5">
        <v>15177</v>
      </c>
      <c r="P245" s="5">
        <v>3848</v>
      </c>
      <c r="Q245" s="5">
        <v>15843</v>
      </c>
    </row>
    <row r="246" spans="1:17">
      <c r="A246" s="4"/>
      <c r="B246" s="4" t="s">
        <v>238</v>
      </c>
      <c r="C246" s="85">
        <v>557766</v>
      </c>
      <c r="D246" s="5">
        <v>941400</v>
      </c>
      <c r="E246" s="5">
        <v>0</v>
      </c>
      <c r="F246" s="5">
        <v>388224</v>
      </c>
      <c r="G246" s="5">
        <v>252747</v>
      </c>
      <c r="H246" s="5">
        <v>5096</v>
      </c>
      <c r="I246" s="5">
        <v>20</v>
      </c>
      <c r="J246" s="5">
        <v>4933</v>
      </c>
      <c r="K246" s="8"/>
      <c r="L246" s="5">
        <v>291060</v>
      </c>
      <c r="M246" s="5">
        <v>27794</v>
      </c>
      <c r="N246" s="5">
        <v>9264</v>
      </c>
      <c r="O246" s="5">
        <v>7105</v>
      </c>
      <c r="P246" s="5">
        <v>6380</v>
      </c>
      <c r="Q246" s="5">
        <v>23977</v>
      </c>
    </row>
    <row r="247" spans="1:17">
      <c r="A247" s="4"/>
      <c r="B247" s="4" t="s">
        <v>72</v>
      </c>
      <c r="C247" s="85">
        <f t="shared" ref="C247:J247" si="32">SUM(C244:C246)</f>
        <v>3597858</v>
      </c>
      <c r="D247" s="5">
        <f t="shared" si="32"/>
        <v>4516537</v>
      </c>
      <c r="E247" s="5">
        <v>0</v>
      </c>
      <c r="F247" s="5">
        <f t="shared" si="32"/>
        <v>1483332</v>
      </c>
      <c r="G247" s="5">
        <f t="shared" si="32"/>
        <v>1466520</v>
      </c>
      <c r="H247" s="5">
        <f t="shared" si="32"/>
        <v>14059</v>
      </c>
      <c r="I247" s="5">
        <f t="shared" si="32"/>
        <v>354</v>
      </c>
      <c r="J247" s="5">
        <f t="shared" si="32"/>
        <v>53598</v>
      </c>
      <c r="K247" s="8"/>
      <c r="L247" s="5">
        <f t="shared" ref="L247:Q247" si="33">SUM(L244:L246)</f>
        <v>810945</v>
      </c>
      <c r="M247" s="5">
        <f t="shared" si="33"/>
        <v>76823</v>
      </c>
      <c r="N247" s="5">
        <f t="shared" si="33"/>
        <v>25607</v>
      </c>
      <c r="O247" s="5">
        <f t="shared" si="33"/>
        <v>88759</v>
      </c>
      <c r="P247" s="5">
        <f t="shared" si="33"/>
        <v>19519</v>
      </c>
      <c r="Q247" s="5">
        <f t="shared" si="33"/>
        <v>66791</v>
      </c>
    </row>
    <row r="248" spans="1:17"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</row>
    <row r="249" spans="1:17">
      <c r="A249" s="81" t="s">
        <v>239</v>
      </c>
      <c r="B249" s="4" t="s">
        <v>240</v>
      </c>
      <c r="C249" s="21">
        <v>20237000</v>
      </c>
      <c r="D249" s="21">
        <v>406500</v>
      </c>
      <c r="E249" s="21">
        <v>0</v>
      </c>
      <c r="F249" s="21">
        <v>2805</v>
      </c>
      <c r="G249" s="21">
        <v>2220</v>
      </c>
      <c r="H249" s="21">
        <v>12825</v>
      </c>
      <c r="I249" s="21">
        <v>0</v>
      </c>
      <c r="J249" s="21">
        <v>76970</v>
      </c>
      <c r="K249" s="8"/>
      <c r="L249" s="21">
        <v>0</v>
      </c>
      <c r="M249" s="21">
        <v>15250</v>
      </c>
      <c r="N249" s="21">
        <v>1525</v>
      </c>
      <c r="O249" s="21">
        <v>668199</v>
      </c>
      <c r="P249" s="12">
        <v>2995</v>
      </c>
      <c r="Q249" s="12">
        <v>445</v>
      </c>
    </row>
    <row r="250" spans="1:17">
      <c r="A250" s="81"/>
      <c r="B250" s="4" t="s">
        <v>241</v>
      </c>
      <c r="C250" s="21">
        <v>22234904</v>
      </c>
      <c r="D250" s="21">
        <v>1098900</v>
      </c>
      <c r="E250" s="21">
        <v>0</v>
      </c>
      <c r="F250" s="21">
        <v>7905</v>
      </c>
      <c r="G250" s="21">
        <v>44655</v>
      </c>
      <c r="H250" s="21">
        <v>1050930</v>
      </c>
      <c r="I250" s="21">
        <v>7560</v>
      </c>
      <c r="J250" s="21">
        <v>589965</v>
      </c>
      <c r="K250" s="8"/>
      <c r="L250" s="21">
        <v>0</v>
      </c>
      <c r="M250" s="21">
        <v>21560</v>
      </c>
      <c r="N250" s="21">
        <v>650.5</v>
      </c>
      <c r="O250" s="21">
        <v>1562000</v>
      </c>
      <c r="P250" s="12">
        <v>8181</v>
      </c>
      <c r="Q250" s="12">
        <v>2681</v>
      </c>
    </row>
    <row r="251" spans="1:17">
      <c r="A251" s="81"/>
      <c r="B251" s="4" t="s">
        <v>242</v>
      </c>
      <c r="C251" s="21">
        <v>21332850</v>
      </c>
      <c r="D251" s="21">
        <v>480000</v>
      </c>
      <c r="E251" s="21">
        <v>0</v>
      </c>
      <c r="F251" s="21">
        <v>780</v>
      </c>
      <c r="G251" s="21">
        <v>0</v>
      </c>
      <c r="H251" s="21">
        <v>8415</v>
      </c>
      <c r="I251" s="21">
        <v>1850</v>
      </c>
      <c r="J251" s="21">
        <v>62436</v>
      </c>
      <c r="K251" s="8"/>
      <c r="L251" s="21">
        <v>0</v>
      </c>
      <c r="M251" s="21">
        <v>12200</v>
      </c>
      <c r="N251" s="21">
        <v>480</v>
      </c>
      <c r="O251" s="21">
        <v>486820</v>
      </c>
      <c r="P251" s="12">
        <v>1691</v>
      </c>
      <c r="Q251" s="12">
        <v>1273</v>
      </c>
    </row>
    <row r="252" spans="1:17">
      <c r="A252" s="81"/>
      <c r="B252" s="4" t="s">
        <v>243</v>
      </c>
      <c r="C252" s="21">
        <v>16971033</v>
      </c>
      <c r="D252" s="21">
        <v>2389950</v>
      </c>
      <c r="E252" s="21">
        <v>0</v>
      </c>
      <c r="F252" s="21">
        <v>25650</v>
      </c>
      <c r="G252" s="21">
        <v>3105</v>
      </c>
      <c r="H252" s="21">
        <v>990810</v>
      </c>
      <c r="I252" s="21">
        <v>188904</v>
      </c>
      <c r="J252" s="21">
        <v>60977</v>
      </c>
      <c r="K252" s="8"/>
      <c r="L252" s="21">
        <v>0</v>
      </c>
      <c r="M252" s="21">
        <v>4814</v>
      </c>
      <c r="N252" s="21">
        <v>481</v>
      </c>
      <c r="O252" s="21">
        <v>276473</v>
      </c>
      <c r="P252" s="12">
        <v>14944</v>
      </c>
      <c r="Q252" s="12">
        <v>1787</v>
      </c>
    </row>
    <row r="253" spans="1:17">
      <c r="A253" s="81"/>
      <c r="B253" s="4" t="s">
        <v>244</v>
      </c>
      <c r="C253" s="21">
        <v>20862360</v>
      </c>
      <c r="D253" s="21">
        <v>360000</v>
      </c>
      <c r="E253" s="21">
        <v>0</v>
      </c>
      <c r="F253" s="21">
        <v>12000</v>
      </c>
      <c r="G253" s="21">
        <v>0</v>
      </c>
      <c r="H253" s="21">
        <v>5850</v>
      </c>
      <c r="I253" s="21">
        <v>4637</v>
      </c>
      <c r="J253" s="21">
        <v>175272</v>
      </c>
      <c r="K253" s="8"/>
      <c r="L253" s="21">
        <v>0</v>
      </c>
      <c r="M253" s="21">
        <v>19698</v>
      </c>
      <c r="N253" s="21">
        <v>0</v>
      </c>
      <c r="O253" s="21">
        <v>193323</v>
      </c>
      <c r="P253" s="12">
        <v>2478</v>
      </c>
      <c r="Q253" s="21">
        <v>1078</v>
      </c>
    </row>
    <row r="254" spans="1:17">
      <c r="A254" s="81"/>
      <c r="B254" s="4" t="s">
        <v>245</v>
      </c>
      <c r="C254" s="21">
        <v>10660950</v>
      </c>
      <c r="D254" s="21">
        <v>494850</v>
      </c>
      <c r="E254" s="21">
        <v>0</v>
      </c>
      <c r="F254" s="21">
        <v>210</v>
      </c>
      <c r="G254" s="21">
        <v>0</v>
      </c>
      <c r="H254" s="21">
        <v>5445</v>
      </c>
      <c r="I254" s="21">
        <v>1550</v>
      </c>
      <c r="J254" s="21">
        <v>31000</v>
      </c>
      <c r="K254" s="8"/>
      <c r="L254" s="21">
        <v>0</v>
      </c>
      <c r="M254" s="21">
        <v>14050</v>
      </c>
      <c r="N254" s="21">
        <v>1150</v>
      </c>
      <c r="O254" s="21">
        <v>120280</v>
      </c>
      <c r="P254" s="12">
        <v>3686</v>
      </c>
      <c r="Q254" s="12">
        <v>110</v>
      </c>
    </row>
    <row r="255" spans="1:17">
      <c r="A255" s="81"/>
      <c r="B255" s="4" t="s">
        <v>246</v>
      </c>
      <c r="C255" s="21">
        <v>13428450</v>
      </c>
      <c r="D255" s="21">
        <v>178350</v>
      </c>
      <c r="E255" s="21">
        <v>0</v>
      </c>
      <c r="F255" s="21">
        <v>1830</v>
      </c>
      <c r="G255" s="21">
        <v>1740</v>
      </c>
      <c r="H255" s="21">
        <v>7965</v>
      </c>
      <c r="I255" s="21">
        <v>4815</v>
      </c>
      <c r="J255" s="21">
        <v>120671</v>
      </c>
      <c r="K255" s="8"/>
      <c r="L255" s="21">
        <v>0</v>
      </c>
      <c r="M255" s="21">
        <v>42415</v>
      </c>
      <c r="N255" s="21">
        <v>910</v>
      </c>
      <c r="O255" s="21">
        <v>134318</v>
      </c>
      <c r="P255" s="12">
        <v>1347</v>
      </c>
      <c r="Q255" s="12">
        <v>324</v>
      </c>
    </row>
    <row r="256" spans="1:17">
      <c r="A256" s="81"/>
      <c r="B256" s="4" t="s">
        <v>247</v>
      </c>
      <c r="C256" s="21">
        <v>17647020</v>
      </c>
      <c r="D256" s="21">
        <v>484950</v>
      </c>
      <c r="E256" s="21">
        <v>0</v>
      </c>
      <c r="F256" s="21">
        <v>3270</v>
      </c>
      <c r="G256" s="21">
        <v>6735</v>
      </c>
      <c r="H256" s="21">
        <v>32085</v>
      </c>
      <c r="I256" s="21">
        <v>1050</v>
      </c>
      <c r="J256" s="21">
        <v>66504</v>
      </c>
      <c r="K256" s="8"/>
      <c r="L256" s="21">
        <v>0</v>
      </c>
      <c r="M256" s="21">
        <v>21348</v>
      </c>
      <c r="N256" s="21">
        <v>2134</v>
      </c>
      <c r="O256" s="21">
        <v>340085</v>
      </c>
      <c r="P256" s="12">
        <v>3804</v>
      </c>
      <c r="Q256" s="12">
        <v>1368</v>
      </c>
    </row>
    <row r="257" spans="1:17">
      <c r="A257" s="4"/>
      <c r="B257" s="1" t="s">
        <v>23</v>
      </c>
      <c r="C257" s="8">
        <f t="shared" ref="C257:J257" si="34">SUM(C249:C256)</f>
        <v>143374567</v>
      </c>
      <c r="D257" s="8">
        <f t="shared" si="34"/>
        <v>5893500</v>
      </c>
      <c r="E257" s="8">
        <f t="shared" si="34"/>
        <v>0</v>
      </c>
      <c r="F257" s="8">
        <f t="shared" si="34"/>
        <v>54450</v>
      </c>
      <c r="G257" s="8">
        <f t="shared" si="34"/>
        <v>58455</v>
      </c>
      <c r="H257" s="8">
        <f t="shared" si="34"/>
        <v>2114325</v>
      </c>
      <c r="I257" s="8">
        <f t="shared" si="34"/>
        <v>210366</v>
      </c>
      <c r="J257" s="8">
        <f t="shared" si="34"/>
        <v>1183795</v>
      </c>
      <c r="K257" s="8"/>
      <c r="L257" s="8">
        <f t="shared" ref="L257:Q257" si="35">SUM(L249:L256)</f>
        <v>0</v>
      </c>
      <c r="M257" s="8">
        <f t="shared" si="35"/>
        <v>151335</v>
      </c>
      <c r="N257" s="8">
        <f t="shared" si="35"/>
        <v>7330.5</v>
      </c>
      <c r="O257" s="8">
        <f t="shared" si="35"/>
        <v>3781498</v>
      </c>
      <c r="P257" s="8">
        <f t="shared" si="35"/>
        <v>39126</v>
      </c>
      <c r="Q257" s="8">
        <f t="shared" si="35"/>
        <v>9066</v>
      </c>
    </row>
    <row r="258" spans="1:17"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</row>
    <row r="259" spans="1:17">
      <c r="A259" s="81" t="s">
        <v>248</v>
      </c>
      <c r="B259" s="89" t="s">
        <v>249</v>
      </c>
      <c r="C259" s="9">
        <v>731172</v>
      </c>
      <c r="D259" s="9">
        <v>940000</v>
      </c>
      <c r="E259" s="9">
        <v>0</v>
      </c>
      <c r="F259" s="9">
        <v>332000</v>
      </c>
      <c r="G259" s="9">
        <v>296000</v>
      </c>
      <c r="H259" s="9">
        <v>6200</v>
      </c>
      <c r="I259" s="9">
        <v>6240</v>
      </c>
      <c r="J259" s="9">
        <v>520000</v>
      </c>
      <c r="K259" s="43"/>
      <c r="L259" s="9">
        <v>7440</v>
      </c>
      <c r="M259" s="9">
        <v>46400</v>
      </c>
      <c r="N259" s="9">
        <v>6200</v>
      </c>
      <c r="O259" s="9">
        <v>46200</v>
      </c>
      <c r="P259" s="9">
        <v>2640</v>
      </c>
      <c r="Q259" s="9">
        <v>43900</v>
      </c>
    </row>
    <row r="260" spans="1:17">
      <c r="A260" s="81"/>
      <c r="B260" s="89" t="s">
        <v>250</v>
      </c>
      <c r="C260" s="9">
        <v>16226230</v>
      </c>
      <c r="D260" s="9">
        <v>894000</v>
      </c>
      <c r="E260" s="9">
        <v>0</v>
      </c>
      <c r="F260" s="9">
        <v>192000</v>
      </c>
      <c r="G260" s="9">
        <v>204000</v>
      </c>
      <c r="H260" s="9">
        <v>86000</v>
      </c>
      <c r="I260" s="9">
        <v>15000</v>
      </c>
      <c r="J260" s="9">
        <v>7820000</v>
      </c>
      <c r="K260" s="43"/>
      <c r="L260" s="9">
        <v>16400</v>
      </c>
      <c r="M260" s="9">
        <v>12500</v>
      </c>
      <c r="N260" s="9">
        <v>4300</v>
      </c>
      <c r="O260" s="9">
        <v>98210</v>
      </c>
      <c r="P260" s="9">
        <v>4200</v>
      </c>
      <c r="Q260" s="9">
        <v>46880</v>
      </c>
    </row>
    <row r="261" spans="1:17">
      <c r="A261" s="81"/>
      <c r="B261" s="89" t="s">
        <v>251</v>
      </c>
      <c r="C261" s="9">
        <v>19415978</v>
      </c>
      <c r="D261" s="9">
        <v>1356000</v>
      </c>
      <c r="E261" s="9">
        <v>14000</v>
      </c>
      <c r="F261" s="9">
        <v>364000</v>
      </c>
      <c r="G261" s="9">
        <v>564200</v>
      </c>
      <c r="H261" s="9">
        <v>34300</v>
      </c>
      <c r="I261" s="9">
        <v>64140</v>
      </c>
      <c r="J261" s="9">
        <v>214000</v>
      </c>
      <c r="K261" s="43"/>
      <c r="L261" s="9">
        <v>9800</v>
      </c>
      <c r="M261" s="9">
        <v>48250</v>
      </c>
      <c r="N261" s="9">
        <v>4100</v>
      </c>
      <c r="O261" s="9">
        <v>145230</v>
      </c>
      <c r="P261" s="9">
        <v>15265</v>
      </c>
      <c r="Q261" s="9">
        <v>65100</v>
      </c>
    </row>
    <row r="262" spans="1:17">
      <c r="A262" s="4"/>
      <c r="B262" s="29" t="s">
        <v>72</v>
      </c>
      <c r="C262" s="30">
        <f t="shared" ref="C262:Q262" si="36">SUM(C259:C261)</f>
        <v>36373380</v>
      </c>
      <c r="D262" s="30">
        <f t="shared" si="36"/>
        <v>3190000</v>
      </c>
      <c r="E262" s="30">
        <f t="shared" si="36"/>
        <v>14000</v>
      </c>
      <c r="F262" s="30">
        <f t="shared" si="36"/>
        <v>888000</v>
      </c>
      <c r="G262" s="30">
        <f t="shared" si="36"/>
        <v>1064200</v>
      </c>
      <c r="H262" s="30">
        <f t="shared" si="36"/>
        <v>126500</v>
      </c>
      <c r="I262" s="30">
        <f t="shared" si="36"/>
        <v>85380</v>
      </c>
      <c r="J262" s="30">
        <f t="shared" si="36"/>
        <v>8554000</v>
      </c>
      <c r="K262" s="30">
        <f t="shared" si="36"/>
        <v>0</v>
      </c>
      <c r="L262" s="30">
        <f t="shared" si="36"/>
        <v>33640</v>
      </c>
      <c r="M262" s="30">
        <f t="shared" si="36"/>
        <v>107150</v>
      </c>
      <c r="N262" s="30">
        <f t="shared" si="36"/>
        <v>14600</v>
      </c>
      <c r="O262" s="30">
        <f t="shared" si="36"/>
        <v>289640</v>
      </c>
      <c r="P262" s="30">
        <f t="shared" si="36"/>
        <v>22105</v>
      </c>
      <c r="Q262" s="30">
        <f t="shared" si="36"/>
        <v>155880</v>
      </c>
    </row>
    <row r="263" spans="1:17">
      <c r="A263" s="4"/>
      <c r="B263" s="22"/>
      <c r="C263" s="28"/>
      <c r="D263" s="28"/>
      <c r="E263" s="28"/>
      <c r="F263" s="28"/>
      <c r="G263" s="28"/>
      <c r="H263" s="28"/>
      <c r="I263" s="28"/>
      <c r="J263" s="28"/>
      <c r="K263" s="28"/>
      <c r="L263" s="28"/>
      <c r="M263" s="28"/>
      <c r="N263" s="28"/>
      <c r="O263" s="28"/>
      <c r="P263" s="28"/>
      <c r="Q263" s="28"/>
    </row>
    <row r="264" spans="1:17">
      <c r="A264" s="31" t="s">
        <v>252</v>
      </c>
      <c r="B264" s="31" t="s">
        <v>253</v>
      </c>
      <c r="C264" s="53">
        <v>8670659</v>
      </c>
      <c r="D264" s="53">
        <v>1949175</v>
      </c>
      <c r="E264" s="53"/>
      <c r="F264" s="53">
        <v>434230</v>
      </c>
      <c r="G264" s="53">
        <v>694748</v>
      </c>
      <c r="H264" s="53">
        <v>57785</v>
      </c>
      <c r="I264" s="53">
        <v>252</v>
      </c>
      <c r="J264" s="53">
        <v>40204</v>
      </c>
      <c r="L264" s="53">
        <v>27300</v>
      </c>
      <c r="M264" s="53">
        <v>10850</v>
      </c>
      <c r="O264" s="41">
        <v>119396</v>
      </c>
      <c r="P264" s="41"/>
      <c r="Q264" s="41"/>
    </row>
    <row r="265" spans="1:17">
      <c r="A265" s="31"/>
      <c r="B265" s="31" t="s">
        <v>254</v>
      </c>
      <c r="C265" s="53">
        <v>41390470</v>
      </c>
      <c r="D265" s="53">
        <v>4512500</v>
      </c>
      <c r="E265" s="53"/>
      <c r="F265" s="53">
        <v>1820000</v>
      </c>
      <c r="G265" s="53">
        <v>1386000</v>
      </c>
      <c r="H265" s="53">
        <v>5280</v>
      </c>
      <c r="I265" s="53">
        <v>200</v>
      </c>
      <c r="J265" s="53">
        <v>200750</v>
      </c>
      <c r="L265" s="53">
        <f>-O266</f>
        <v>0</v>
      </c>
      <c r="M265" s="53">
        <v>120702</v>
      </c>
      <c r="O265" s="53">
        <v>9325000</v>
      </c>
      <c r="P265" s="41"/>
      <c r="Q265" s="41"/>
    </row>
    <row r="266" spans="1:17">
      <c r="A266" s="31"/>
      <c r="B266" s="31" t="s">
        <v>255</v>
      </c>
      <c r="C266" s="53">
        <v>15878808</v>
      </c>
      <c r="D266" s="53">
        <v>3667500</v>
      </c>
      <c r="E266" s="53">
        <v>0</v>
      </c>
      <c r="F266" s="53">
        <v>1404000</v>
      </c>
      <c r="G266" s="53">
        <v>738000</v>
      </c>
      <c r="H266" s="53">
        <v>9000</v>
      </c>
      <c r="I266" s="53">
        <v>222</v>
      </c>
      <c r="J266" s="53">
        <v>7650</v>
      </c>
      <c r="L266" s="53"/>
      <c r="M266" s="53">
        <v>20874</v>
      </c>
      <c r="O266" s="41"/>
      <c r="P266" s="41"/>
      <c r="Q266" s="41"/>
    </row>
    <row r="267" spans="1:17">
      <c r="A267" s="31"/>
      <c r="B267" s="31" t="s">
        <v>256</v>
      </c>
      <c r="C267" s="90">
        <v>30103863</v>
      </c>
      <c r="D267" s="90">
        <v>1421250</v>
      </c>
      <c r="E267" s="90"/>
      <c r="F267" s="90">
        <v>21600</v>
      </c>
      <c r="G267" s="90">
        <v>14400</v>
      </c>
      <c r="H267" s="90">
        <v>209300</v>
      </c>
      <c r="I267" s="90">
        <v>4620</v>
      </c>
      <c r="J267" s="90">
        <v>389220</v>
      </c>
      <c r="L267" s="90"/>
      <c r="M267" s="90">
        <v>7806</v>
      </c>
      <c r="O267" s="98">
        <v>508538</v>
      </c>
      <c r="P267" s="98"/>
      <c r="Q267" s="98"/>
    </row>
    <row r="268" spans="1:17">
      <c r="A268" s="31"/>
      <c r="B268" s="91" t="s">
        <v>257</v>
      </c>
      <c r="C268" s="53">
        <v>2190000</v>
      </c>
      <c r="D268" s="53">
        <v>1695000</v>
      </c>
      <c r="E268" s="53">
        <v>0</v>
      </c>
      <c r="F268" s="53">
        <v>117000</v>
      </c>
      <c r="G268" s="53">
        <v>80300</v>
      </c>
      <c r="H268" s="53">
        <v>12000</v>
      </c>
      <c r="I268" s="53">
        <v>0</v>
      </c>
      <c r="J268" s="53">
        <v>16425</v>
      </c>
      <c r="L268" s="41">
        <v>0</v>
      </c>
      <c r="M268" s="41">
        <v>34210</v>
      </c>
      <c r="O268" s="41">
        <v>75130</v>
      </c>
      <c r="P268" s="41">
        <v>20075</v>
      </c>
      <c r="Q268" s="41">
        <v>25550</v>
      </c>
    </row>
    <row r="269" spans="1:17">
      <c r="A269" s="31"/>
      <c r="B269" s="6" t="s">
        <v>23</v>
      </c>
      <c r="C269" s="92">
        <f t="shared" ref="C269:J269" si="37">SUM(C264:C268)</f>
        <v>98233800</v>
      </c>
      <c r="D269" s="92">
        <f t="shared" si="37"/>
        <v>13245425</v>
      </c>
      <c r="E269" s="92">
        <f t="shared" si="37"/>
        <v>0</v>
      </c>
      <c r="F269" s="92">
        <f t="shared" si="37"/>
        <v>3796830</v>
      </c>
      <c r="G269" s="92">
        <f t="shared" si="37"/>
        <v>2913448</v>
      </c>
      <c r="H269" s="92">
        <f t="shared" si="37"/>
        <v>293365</v>
      </c>
      <c r="I269" s="92">
        <f t="shared" si="37"/>
        <v>5294</v>
      </c>
      <c r="J269" s="92">
        <f t="shared" si="37"/>
        <v>654249</v>
      </c>
      <c r="K269" s="17"/>
      <c r="L269" s="92">
        <f t="shared" ref="L269:Q269" si="38">SUM(L264:L268)</f>
        <v>27300</v>
      </c>
      <c r="M269" s="92">
        <f t="shared" si="38"/>
        <v>194442</v>
      </c>
      <c r="N269" s="17"/>
      <c r="O269" s="92">
        <f t="shared" si="38"/>
        <v>10028064</v>
      </c>
      <c r="P269" s="92">
        <f t="shared" si="38"/>
        <v>20075</v>
      </c>
      <c r="Q269" s="92">
        <f t="shared" si="38"/>
        <v>25550</v>
      </c>
    </row>
    <row r="270" spans="1:17">
      <c r="B270" s="4"/>
      <c r="C270" s="5"/>
      <c r="D270" s="5"/>
      <c r="E270" s="5"/>
      <c r="F270" s="5"/>
      <c r="G270" s="5"/>
      <c r="H270" s="5"/>
      <c r="I270" s="5"/>
      <c r="J270" s="5"/>
      <c r="K270" s="8"/>
      <c r="L270" s="5"/>
      <c r="M270" s="8"/>
      <c r="N270" s="8"/>
      <c r="O270" s="8"/>
      <c r="P270" s="8"/>
      <c r="Q270" s="8"/>
    </row>
    <row r="271" spans="1:17">
      <c r="A271" s="81" t="s">
        <v>258</v>
      </c>
      <c r="B271" s="4" t="s">
        <v>258</v>
      </c>
      <c r="C271" s="93">
        <v>4532072</v>
      </c>
      <c r="D271" s="8">
        <v>525000</v>
      </c>
      <c r="E271" s="5"/>
      <c r="F271" s="85">
        <v>75978</v>
      </c>
      <c r="G271" s="85">
        <v>29421</v>
      </c>
      <c r="H271" s="85">
        <v>29529</v>
      </c>
      <c r="I271" s="85">
        <v>4452</v>
      </c>
      <c r="J271" s="8">
        <v>430398</v>
      </c>
      <c r="K271" s="8"/>
      <c r="L271" s="85">
        <v>0</v>
      </c>
      <c r="M271" s="5">
        <v>62712</v>
      </c>
      <c r="N271" s="8">
        <v>493781</v>
      </c>
      <c r="O271" s="85">
        <v>6271.2</v>
      </c>
      <c r="P271" s="11"/>
      <c r="Q271" s="8"/>
    </row>
    <row r="272" spans="1:17">
      <c r="A272" s="81"/>
      <c r="B272" s="4" t="s">
        <v>259</v>
      </c>
      <c r="C272" s="93">
        <v>2158002</v>
      </c>
      <c r="D272" s="8">
        <v>707780</v>
      </c>
      <c r="E272" s="5"/>
      <c r="F272" s="85">
        <v>77400</v>
      </c>
      <c r="G272" s="85">
        <v>66141</v>
      </c>
      <c r="H272" s="85">
        <v>115297</v>
      </c>
      <c r="I272" s="85">
        <v>2728</v>
      </c>
      <c r="J272" s="8">
        <v>548665.19999999995</v>
      </c>
      <c r="K272" s="8"/>
      <c r="L272" s="85">
        <v>30000</v>
      </c>
      <c r="M272" s="5">
        <v>21042</v>
      </c>
      <c r="N272" s="8">
        <v>656515</v>
      </c>
      <c r="O272" s="85">
        <v>2104.1999999999998</v>
      </c>
      <c r="P272" s="8">
        <v>36872</v>
      </c>
      <c r="Q272" s="8"/>
    </row>
    <row r="273" spans="1:17">
      <c r="A273" s="81"/>
      <c r="B273" s="4" t="s">
        <v>260</v>
      </c>
      <c r="C273" s="93">
        <v>6860700</v>
      </c>
      <c r="D273" s="8">
        <v>1069000</v>
      </c>
      <c r="E273" s="5"/>
      <c r="F273" s="85">
        <v>208800</v>
      </c>
      <c r="G273" s="85">
        <v>32485</v>
      </c>
      <c r="H273" s="85">
        <v>27300</v>
      </c>
      <c r="I273" s="85">
        <v>520</v>
      </c>
      <c r="J273" s="8">
        <v>901563</v>
      </c>
      <c r="K273" s="8"/>
      <c r="L273" s="85">
        <v>0</v>
      </c>
      <c r="M273" s="8">
        <v>51740</v>
      </c>
      <c r="N273" s="8">
        <v>389983</v>
      </c>
      <c r="O273" s="85">
        <v>5174</v>
      </c>
      <c r="P273" s="11">
        <v>10165</v>
      </c>
      <c r="Q273" s="8"/>
    </row>
    <row r="274" spans="1:17">
      <c r="A274" s="81"/>
      <c r="B274" s="4" t="s">
        <v>261</v>
      </c>
      <c r="C274" s="93">
        <v>3056576</v>
      </c>
      <c r="D274" s="8">
        <v>1197140</v>
      </c>
      <c r="E274" s="5"/>
      <c r="F274" s="85">
        <v>257672</v>
      </c>
      <c r="G274" s="85">
        <v>61425</v>
      </c>
      <c r="H274" s="85">
        <v>113750</v>
      </c>
      <c r="I274" s="85">
        <v>5821</v>
      </c>
      <c r="J274" s="8">
        <v>423406</v>
      </c>
      <c r="K274" s="8"/>
      <c r="L274" s="85">
        <v>0</v>
      </c>
      <c r="M274" s="5">
        <v>59028</v>
      </c>
      <c r="N274" s="8">
        <v>335380</v>
      </c>
      <c r="O274" s="85">
        <v>5902.8</v>
      </c>
      <c r="P274" s="11"/>
      <c r="Q274" s="8"/>
    </row>
    <row r="275" spans="1:17">
      <c r="A275" s="81"/>
      <c r="B275" s="4" t="s">
        <v>262</v>
      </c>
      <c r="C275" s="93">
        <v>356400</v>
      </c>
      <c r="D275" s="8">
        <v>900000</v>
      </c>
      <c r="E275" s="5"/>
      <c r="F275" s="85">
        <v>47513</v>
      </c>
      <c r="G275" s="85">
        <v>25875</v>
      </c>
      <c r="H275" s="85">
        <v>12740</v>
      </c>
      <c r="I275" s="85">
        <v>4830</v>
      </c>
      <c r="J275" s="8">
        <v>720888</v>
      </c>
      <c r="K275" s="8"/>
      <c r="L275" s="85">
        <v>0</v>
      </c>
      <c r="M275" s="5">
        <v>1990</v>
      </c>
      <c r="N275" s="8">
        <v>1155694</v>
      </c>
      <c r="O275" s="85">
        <v>199</v>
      </c>
      <c r="P275" s="11"/>
      <c r="Q275" s="8"/>
    </row>
    <row r="276" spans="1:17">
      <c r="A276" s="81"/>
      <c r="B276" s="4" t="s">
        <v>263</v>
      </c>
      <c r="C276" s="93">
        <v>3341250</v>
      </c>
      <c r="D276" s="8">
        <v>375820</v>
      </c>
      <c r="E276" s="5"/>
      <c r="F276" s="85">
        <v>167265</v>
      </c>
      <c r="G276" s="85">
        <v>78750</v>
      </c>
      <c r="H276" s="85">
        <v>9327</v>
      </c>
      <c r="I276" s="85">
        <v>336</v>
      </c>
      <c r="J276" s="8">
        <v>341293.5</v>
      </c>
      <c r="K276" s="8"/>
      <c r="L276" s="85">
        <v>0</v>
      </c>
      <c r="M276" s="5">
        <v>16820</v>
      </c>
      <c r="N276" s="8">
        <v>25933</v>
      </c>
      <c r="O276" s="85">
        <v>1682</v>
      </c>
      <c r="P276" s="11"/>
      <c r="Q276" s="8"/>
    </row>
    <row r="277" spans="1:17">
      <c r="A277" s="81"/>
      <c r="B277" s="4" t="s">
        <v>264</v>
      </c>
      <c r="C277" s="93">
        <v>3082860</v>
      </c>
      <c r="D277" s="8">
        <v>3756000</v>
      </c>
      <c r="E277" s="5"/>
      <c r="F277" s="85">
        <v>52424</v>
      </c>
      <c r="G277" s="85">
        <v>32625</v>
      </c>
      <c r="H277" s="85">
        <v>58695</v>
      </c>
      <c r="I277" s="85">
        <v>4561</v>
      </c>
      <c r="J277" s="8">
        <v>343633</v>
      </c>
      <c r="K277" s="8"/>
      <c r="L277" s="85">
        <v>0</v>
      </c>
      <c r="M277" s="5">
        <v>38232</v>
      </c>
      <c r="N277" s="8">
        <v>477597</v>
      </c>
      <c r="O277" s="85">
        <v>3823.2</v>
      </c>
      <c r="P277" s="11"/>
      <c r="Q277" s="8"/>
    </row>
    <row r="278" spans="1:17">
      <c r="A278" s="81"/>
      <c r="B278" s="4" t="s">
        <v>265</v>
      </c>
      <c r="C278" s="93">
        <v>4566375</v>
      </c>
      <c r="D278" s="8">
        <v>932000</v>
      </c>
      <c r="E278" s="5"/>
      <c r="F278" s="85">
        <v>202806</v>
      </c>
      <c r="G278" s="85">
        <v>137025</v>
      </c>
      <c r="H278" s="85">
        <v>34580</v>
      </c>
      <c r="I278" s="85">
        <v>688</v>
      </c>
      <c r="J278" s="8">
        <v>58334</v>
      </c>
      <c r="K278" s="8"/>
      <c r="L278" s="85">
        <v>0</v>
      </c>
      <c r="M278" s="5">
        <v>87020</v>
      </c>
      <c r="N278" s="8">
        <v>392357</v>
      </c>
      <c r="O278" s="85">
        <v>8702</v>
      </c>
      <c r="P278" s="11"/>
      <c r="Q278" s="8"/>
    </row>
    <row r="279" spans="1:17">
      <c r="B279" s="1" t="s">
        <v>23</v>
      </c>
      <c r="C279" s="11">
        <f t="shared" ref="C279:Q279" si="39">SUM(C271:C278)</f>
        <v>27954235</v>
      </c>
      <c r="D279" s="11">
        <f t="shared" si="39"/>
        <v>9462740</v>
      </c>
      <c r="E279" s="11">
        <f t="shared" si="39"/>
        <v>0</v>
      </c>
      <c r="F279" s="11">
        <f t="shared" si="39"/>
        <v>1089858</v>
      </c>
      <c r="G279" s="11">
        <f t="shared" si="39"/>
        <v>463747</v>
      </c>
      <c r="H279" s="11">
        <f t="shared" si="39"/>
        <v>401218</v>
      </c>
      <c r="I279" s="11">
        <f t="shared" si="39"/>
        <v>23936</v>
      </c>
      <c r="J279" s="11">
        <f t="shared" si="39"/>
        <v>3768180.7</v>
      </c>
      <c r="K279" s="11">
        <f t="shared" si="39"/>
        <v>0</v>
      </c>
      <c r="L279" s="11">
        <f t="shared" si="39"/>
        <v>30000</v>
      </c>
      <c r="M279" s="11">
        <f t="shared" si="39"/>
        <v>338584</v>
      </c>
      <c r="N279" s="11">
        <f t="shared" si="39"/>
        <v>3927240</v>
      </c>
      <c r="O279" s="11">
        <f t="shared" si="39"/>
        <v>33858.400000000001</v>
      </c>
      <c r="P279" s="11">
        <f t="shared" si="39"/>
        <v>47037</v>
      </c>
      <c r="Q279" s="11">
        <f t="shared" si="39"/>
        <v>0</v>
      </c>
    </row>
    <row r="280" spans="1:17"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</row>
    <row r="281" spans="1:17">
      <c r="A281" s="1" t="s">
        <v>266</v>
      </c>
      <c r="B281" s="1" t="s">
        <v>267</v>
      </c>
      <c r="C281" s="8">
        <v>3392492.9</v>
      </c>
      <c r="D281" s="8">
        <v>493293.78</v>
      </c>
      <c r="E281" s="8">
        <v>0</v>
      </c>
      <c r="F281" s="8">
        <v>182129.11499999999</v>
      </c>
      <c r="G281" s="8">
        <v>10006.07</v>
      </c>
      <c r="H281" s="8">
        <v>7694.4</v>
      </c>
      <c r="I281" s="8">
        <v>795</v>
      </c>
      <c r="J281" s="8">
        <v>502766</v>
      </c>
      <c r="K281" s="8">
        <v>0</v>
      </c>
      <c r="L281" s="8">
        <v>0</v>
      </c>
      <c r="M281" s="8">
        <v>30295.23</v>
      </c>
      <c r="N281" s="8">
        <v>162.64394999999999</v>
      </c>
      <c r="O281" s="8">
        <v>111922.8</v>
      </c>
      <c r="P281" s="8">
        <v>4695.57</v>
      </c>
      <c r="Q281" s="83">
        <v>16872.423699999999</v>
      </c>
    </row>
    <row r="282" spans="1:17">
      <c r="B282" s="1" t="s">
        <v>268</v>
      </c>
      <c r="C282" s="8">
        <v>6428894.4000000004</v>
      </c>
      <c r="D282" s="8">
        <v>1076413.8</v>
      </c>
      <c r="E282" s="8">
        <v>0</v>
      </c>
      <c r="F282" s="8">
        <v>497448.8</v>
      </c>
      <c r="G282" s="8">
        <v>13666.31</v>
      </c>
      <c r="H282" s="8">
        <v>20007.599999999999</v>
      </c>
      <c r="I282" s="8">
        <v>1160</v>
      </c>
      <c r="J282" s="8">
        <v>1077920.8</v>
      </c>
      <c r="K282" s="8">
        <v>0</v>
      </c>
      <c r="L282" s="8">
        <v>0</v>
      </c>
      <c r="M282" s="8">
        <v>88395.96</v>
      </c>
      <c r="N282" s="8">
        <v>474.55065000000002</v>
      </c>
      <c r="O282" s="8">
        <v>247918</v>
      </c>
      <c r="P282" s="8">
        <v>10171.44</v>
      </c>
      <c r="Q282" s="83">
        <v>43720.960800000001</v>
      </c>
    </row>
    <row r="283" spans="1:17">
      <c r="B283" s="1" t="s">
        <v>269</v>
      </c>
      <c r="C283" s="8">
        <v>6995334.5999999996</v>
      </c>
      <c r="D283" s="8">
        <v>926272.82</v>
      </c>
      <c r="E283" s="8">
        <v>0</v>
      </c>
      <c r="F283" s="8">
        <v>426732.04499999998</v>
      </c>
      <c r="G283" s="8">
        <v>7613.38</v>
      </c>
      <c r="H283" s="8">
        <v>10772.4</v>
      </c>
      <c r="I283" s="8">
        <v>5027.5</v>
      </c>
      <c r="J283" s="8">
        <v>1123137.3999999999</v>
      </c>
      <c r="K283" s="8">
        <v>0</v>
      </c>
      <c r="L283" s="8">
        <v>0</v>
      </c>
      <c r="M283" s="8">
        <v>56589.7</v>
      </c>
      <c r="N283" s="8">
        <v>276.41250000000002</v>
      </c>
      <c r="O283" s="8">
        <v>267377</v>
      </c>
      <c r="P283" s="8">
        <v>8939.4840000000004</v>
      </c>
      <c r="Q283" s="83">
        <v>38081.691449999998</v>
      </c>
    </row>
    <row r="284" spans="1:17">
      <c r="B284" s="1" t="s">
        <v>270</v>
      </c>
      <c r="C284" s="8">
        <v>3477787.2</v>
      </c>
      <c r="D284" s="8">
        <v>927736.11</v>
      </c>
      <c r="E284" s="8">
        <v>0</v>
      </c>
      <c r="F284" s="8">
        <v>531194.68999999994</v>
      </c>
      <c r="G284" s="8">
        <v>17242.72</v>
      </c>
      <c r="H284" s="8">
        <v>43861.2</v>
      </c>
      <c r="I284" s="8">
        <v>1266.25</v>
      </c>
      <c r="J284" s="8">
        <v>1276455.3999999999</v>
      </c>
      <c r="K284" s="8">
        <v>0</v>
      </c>
      <c r="L284" s="8">
        <v>0</v>
      </c>
      <c r="M284" s="8">
        <v>365115.63</v>
      </c>
      <c r="N284" s="8">
        <v>1960.1189999999999</v>
      </c>
      <c r="O284" s="8">
        <v>303902.5</v>
      </c>
      <c r="P284" s="8">
        <v>8208.7559999999994</v>
      </c>
      <c r="Q284" s="83">
        <v>46986.523099999999</v>
      </c>
    </row>
    <row r="285" spans="1:17">
      <c r="B285" s="1" t="s">
        <v>271</v>
      </c>
      <c r="C285" s="8">
        <v>3384886.1</v>
      </c>
      <c r="D285" s="8">
        <v>404129.77</v>
      </c>
      <c r="E285" s="8">
        <v>0</v>
      </c>
      <c r="F285" s="8">
        <v>141068.83499999999</v>
      </c>
      <c r="G285" s="8">
        <v>4029.9</v>
      </c>
      <c r="H285" s="8">
        <v>26162.400000000001</v>
      </c>
      <c r="I285" s="8">
        <v>670</v>
      </c>
      <c r="J285" s="8">
        <v>531558.5</v>
      </c>
      <c r="K285" s="8">
        <v>0</v>
      </c>
      <c r="L285" s="8">
        <v>0</v>
      </c>
      <c r="M285" s="8">
        <v>22316.55</v>
      </c>
      <c r="N285" s="8">
        <v>119.80710000000001</v>
      </c>
      <c r="O285" s="8">
        <v>126542.9</v>
      </c>
      <c r="P285" s="8">
        <v>4046.5439999999999</v>
      </c>
      <c r="Q285" s="83">
        <v>12727.671549999999</v>
      </c>
    </row>
    <row r="286" spans="1:17">
      <c r="B286" s="1" t="s">
        <v>272</v>
      </c>
      <c r="C286" s="8">
        <v>4078529.34</v>
      </c>
      <c r="D286" s="8">
        <v>731639.9</v>
      </c>
      <c r="E286" s="8">
        <v>0</v>
      </c>
      <c r="F286" s="8">
        <v>625729.12</v>
      </c>
      <c r="G286" s="8">
        <v>52558.38</v>
      </c>
      <c r="H286" s="8">
        <v>54634.8</v>
      </c>
      <c r="I286" s="8">
        <v>9583.75</v>
      </c>
      <c r="J286" s="8">
        <v>1038494.6</v>
      </c>
      <c r="K286" s="8">
        <v>0</v>
      </c>
      <c r="L286" s="8">
        <v>0</v>
      </c>
      <c r="M286" s="8">
        <v>105610.95</v>
      </c>
      <c r="N286" s="8">
        <v>566.97164999999995</v>
      </c>
      <c r="O286" s="8">
        <v>246350.5</v>
      </c>
      <c r="P286" s="8">
        <v>7725.8879999999999</v>
      </c>
      <c r="Q286" s="83">
        <v>54921.396200000003</v>
      </c>
    </row>
    <row r="287" spans="1:17">
      <c r="B287" s="1" t="s">
        <v>23</v>
      </c>
      <c r="C287" s="8">
        <f t="shared" ref="C287:Q287" si="40">SUM(C281:C286)</f>
        <v>27757924.539999999</v>
      </c>
      <c r="D287" s="8">
        <f t="shared" si="40"/>
        <v>4559486.18</v>
      </c>
      <c r="E287" s="8">
        <f t="shared" si="40"/>
        <v>0</v>
      </c>
      <c r="F287" s="8">
        <f t="shared" si="40"/>
        <v>2404302.605</v>
      </c>
      <c r="G287" s="8">
        <f t="shared" si="40"/>
        <v>105116.76</v>
      </c>
      <c r="H287" s="8">
        <f t="shared" si="40"/>
        <v>163132.79999999999</v>
      </c>
      <c r="I287" s="8">
        <f t="shared" si="40"/>
        <v>18502.5</v>
      </c>
      <c r="J287" s="8">
        <f t="shared" si="40"/>
        <v>5550332.7000000002</v>
      </c>
      <c r="K287" s="8">
        <f t="shared" si="40"/>
        <v>0</v>
      </c>
      <c r="L287" s="8">
        <f t="shared" si="40"/>
        <v>0</v>
      </c>
      <c r="M287" s="8">
        <f t="shared" si="40"/>
        <v>668324.02</v>
      </c>
      <c r="N287" s="8">
        <f t="shared" si="40"/>
        <v>3560.5048499999998</v>
      </c>
      <c r="O287" s="8">
        <f t="shared" si="40"/>
        <v>1304013.7</v>
      </c>
      <c r="P287" s="8">
        <f t="shared" si="40"/>
        <v>43787.682000000001</v>
      </c>
      <c r="Q287" s="8">
        <f t="shared" si="40"/>
        <v>213310.66680000001</v>
      </c>
    </row>
    <row r="288" spans="1:17">
      <c r="A288" s="4"/>
      <c r="B288" s="4"/>
      <c r="C288" s="5"/>
      <c r="D288" s="5"/>
      <c r="E288" s="5"/>
      <c r="F288" s="5"/>
      <c r="G288" s="5"/>
      <c r="H288" s="5"/>
      <c r="I288" s="5"/>
      <c r="J288" s="5"/>
      <c r="K288" s="8"/>
      <c r="L288" s="5"/>
      <c r="M288" s="5"/>
      <c r="N288" s="5"/>
      <c r="O288" s="5"/>
      <c r="P288" s="5"/>
      <c r="Q288" s="5"/>
    </row>
    <row r="289" spans="1:17">
      <c r="A289" s="81" t="s">
        <v>273</v>
      </c>
      <c r="B289" s="4" t="s">
        <v>274</v>
      </c>
      <c r="C289" s="5">
        <v>950500</v>
      </c>
      <c r="D289" s="5">
        <v>1604900</v>
      </c>
      <c r="E289" s="5">
        <v>0</v>
      </c>
      <c r="F289" s="5">
        <v>643123</v>
      </c>
      <c r="G289" s="5">
        <v>49453</v>
      </c>
      <c r="H289" s="5">
        <v>0</v>
      </c>
      <c r="I289" s="5">
        <v>412</v>
      </c>
      <c r="J289" s="5">
        <v>947934</v>
      </c>
      <c r="K289" s="8"/>
      <c r="L289" s="5">
        <v>0</v>
      </c>
      <c r="M289" s="5">
        <v>304000</v>
      </c>
      <c r="N289" s="5">
        <v>500</v>
      </c>
      <c r="O289" s="5">
        <v>214989</v>
      </c>
      <c r="P289" s="8">
        <v>234</v>
      </c>
      <c r="Q289" s="8">
        <v>2954</v>
      </c>
    </row>
    <row r="290" spans="1:17">
      <c r="A290" s="81"/>
      <c r="B290" s="4" t="s">
        <v>275</v>
      </c>
      <c r="C290" s="5">
        <v>956732</v>
      </c>
      <c r="D290" s="5">
        <v>943700</v>
      </c>
      <c r="E290" s="5">
        <v>0</v>
      </c>
      <c r="F290" s="5">
        <v>279563</v>
      </c>
      <c r="G290" s="5">
        <v>25761</v>
      </c>
      <c r="H290" s="5">
        <v>0</v>
      </c>
      <c r="I290" s="5">
        <v>3200</v>
      </c>
      <c r="J290" s="5">
        <v>923270</v>
      </c>
      <c r="K290" s="8"/>
      <c r="L290" s="5">
        <v>0</v>
      </c>
      <c r="M290" s="5">
        <v>784000</v>
      </c>
      <c r="N290" s="5">
        <v>2300</v>
      </c>
      <c r="O290" s="5">
        <v>216300</v>
      </c>
      <c r="P290" s="8">
        <v>102</v>
      </c>
      <c r="Q290" s="8">
        <v>1597</v>
      </c>
    </row>
    <row r="291" spans="1:17">
      <c r="A291" s="81"/>
      <c r="B291" s="4" t="s">
        <v>276</v>
      </c>
      <c r="C291" s="5">
        <v>1320300</v>
      </c>
      <c r="D291" s="5">
        <v>1673400</v>
      </c>
      <c r="E291" s="5">
        <v>0</v>
      </c>
      <c r="F291" s="5">
        <v>570430</v>
      </c>
      <c r="G291" s="5">
        <v>50200</v>
      </c>
      <c r="H291" s="5">
        <v>43000</v>
      </c>
      <c r="I291" s="5">
        <v>1039</v>
      </c>
      <c r="J291" s="5">
        <v>983438</v>
      </c>
      <c r="K291" s="8"/>
      <c r="L291" s="5">
        <v>0</v>
      </c>
      <c r="M291" s="5">
        <v>943000</v>
      </c>
      <c r="N291" s="5">
        <v>175000</v>
      </c>
      <c r="O291" s="5">
        <v>205300</v>
      </c>
      <c r="P291" s="8">
        <v>1902</v>
      </c>
      <c r="Q291" s="8">
        <v>4892</v>
      </c>
    </row>
    <row r="292" spans="1:17">
      <c r="A292" s="81"/>
      <c r="B292" s="4" t="s">
        <v>277</v>
      </c>
      <c r="C292" s="5">
        <v>1432754</v>
      </c>
      <c r="D292" s="5">
        <v>673700</v>
      </c>
      <c r="E292" s="5">
        <v>0</v>
      </c>
      <c r="F292" s="5">
        <v>402400</v>
      </c>
      <c r="G292" s="5">
        <v>3670</v>
      </c>
      <c r="H292" s="5">
        <v>21000</v>
      </c>
      <c r="I292" s="5">
        <v>6239</v>
      </c>
      <c r="J292" s="5">
        <v>578200</v>
      </c>
      <c r="K292" s="8"/>
      <c r="L292" s="5">
        <v>0</v>
      </c>
      <c r="M292" s="5">
        <v>1234000</v>
      </c>
      <c r="N292" s="5">
        <v>213789</v>
      </c>
      <c r="O292" s="5">
        <v>123673</v>
      </c>
      <c r="P292" s="8">
        <v>241</v>
      </c>
      <c r="Q292" s="8">
        <v>3789</v>
      </c>
    </row>
    <row r="293" spans="1:17">
      <c r="A293" s="81"/>
      <c r="B293" s="4" t="s">
        <v>278</v>
      </c>
      <c r="C293" s="5">
        <v>1745030</v>
      </c>
      <c r="D293" s="5">
        <v>1567490</v>
      </c>
      <c r="E293" s="5">
        <v>0</v>
      </c>
      <c r="F293" s="5">
        <v>547770</v>
      </c>
      <c r="G293" s="5">
        <v>47400</v>
      </c>
      <c r="H293" s="5">
        <v>81000</v>
      </c>
      <c r="I293" s="5">
        <v>6239</v>
      </c>
      <c r="J293" s="5">
        <v>923098</v>
      </c>
      <c r="K293" s="8"/>
      <c r="L293" s="5">
        <v>0</v>
      </c>
      <c r="M293" s="5">
        <v>58430</v>
      </c>
      <c r="N293" s="5">
        <v>2900</v>
      </c>
      <c r="O293" s="5">
        <v>219167</v>
      </c>
      <c r="P293" s="8">
        <v>126</v>
      </c>
      <c r="Q293" s="8">
        <v>2990</v>
      </c>
    </row>
    <row r="294" spans="1:17">
      <c r="A294" s="81"/>
      <c r="B294" s="4" t="s">
        <v>279</v>
      </c>
      <c r="C294" s="5">
        <v>1367489</v>
      </c>
      <c r="D294" s="5">
        <v>312745</v>
      </c>
      <c r="E294" s="5">
        <v>0</v>
      </c>
      <c r="F294" s="5">
        <v>124356</v>
      </c>
      <c r="G294" s="5">
        <v>9290</v>
      </c>
      <c r="H294" s="5">
        <v>129400</v>
      </c>
      <c r="I294" s="5">
        <v>6290</v>
      </c>
      <c r="J294" s="5">
        <v>485666</v>
      </c>
      <c r="K294" s="8"/>
      <c r="L294" s="5">
        <v>0</v>
      </c>
      <c r="M294" s="5">
        <v>780.48900000000003</v>
      </c>
      <c r="N294" s="5">
        <v>340741</v>
      </c>
      <c r="O294" s="5">
        <v>79249</v>
      </c>
      <c r="P294" s="8">
        <v>10600</v>
      </c>
      <c r="Q294" s="8">
        <v>5893</v>
      </c>
    </row>
    <row r="295" spans="1:17">
      <c r="A295" s="81"/>
      <c r="B295" s="22" t="s">
        <v>280</v>
      </c>
      <c r="C295" s="5">
        <v>1532783</v>
      </c>
      <c r="D295" s="5">
        <v>1823452</v>
      </c>
      <c r="E295" s="5">
        <v>0</v>
      </c>
      <c r="F295" s="5">
        <v>397308</v>
      </c>
      <c r="G295" s="5">
        <v>12400</v>
      </c>
      <c r="H295" s="5">
        <v>4300</v>
      </c>
      <c r="I295" s="5">
        <v>4673</v>
      </c>
      <c r="J295" s="5">
        <v>973590</v>
      </c>
      <c r="K295" s="8"/>
      <c r="L295" s="5">
        <v>0</v>
      </c>
      <c r="M295" s="5">
        <v>328900</v>
      </c>
      <c r="N295" s="5">
        <v>16390</v>
      </c>
      <c r="O295" s="5">
        <v>220576</v>
      </c>
      <c r="P295" s="8">
        <v>191</v>
      </c>
      <c r="Q295" s="8">
        <v>18200</v>
      </c>
    </row>
    <row r="296" spans="1:17">
      <c r="A296" s="81"/>
      <c r="B296" s="4" t="s">
        <v>281</v>
      </c>
      <c r="C296" s="5">
        <v>852289</v>
      </c>
      <c r="D296" s="5">
        <v>1430089</v>
      </c>
      <c r="E296" s="5">
        <v>0</v>
      </c>
      <c r="F296" s="5">
        <v>578739</v>
      </c>
      <c r="G296" s="5">
        <v>49190</v>
      </c>
      <c r="H296" s="5">
        <v>2100</v>
      </c>
      <c r="I296" s="5">
        <v>3890</v>
      </c>
      <c r="J296" s="5">
        <v>878659</v>
      </c>
      <c r="K296" s="8"/>
      <c r="L296" s="5"/>
      <c r="M296" s="5">
        <v>854913</v>
      </c>
      <c r="N296" s="5">
        <v>80934</v>
      </c>
      <c r="O296" s="5">
        <v>184436</v>
      </c>
      <c r="P296" s="8">
        <v>134</v>
      </c>
      <c r="Q296" s="8">
        <v>16400</v>
      </c>
    </row>
    <row r="297" spans="1:17">
      <c r="B297" s="4" t="s">
        <v>23</v>
      </c>
      <c r="C297" s="94">
        <f t="shared" ref="C297:Q297" si="41">SUM(C289:C296)</f>
        <v>10157877</v>
      </c>
      <c r="D297" s="94">
        <f t="shared" si="41"/>
        <v>10029476</v>
      </c>
      <c r="E297" s="94">
        <f t="shared" si="41"/>
        <v>0</v>
      </c>
      <c r="F297" s="94">
        <f t="shared" si="41"/>
        <v>3543689</v>
      </c>
      <c r="G297" s="94">
        <f t="shared" si="41"/>
        <v>247364</v>
      </c>
      <c r="H297" s="94">
        <f t="shared" si="41"/>
        <v>280800</v>
      </c>
      <c r="I297" s="94">
        <f t="shared" si="41"/>
        <v>31982</v>
      </c>
      <c r="J297" s="94">
        <f t="shared" si="41"/>
        <v>6693855</v>
      </c>
      <c r="K297" s="94">
        <f t="shared" si="41"/>
        <v>0</v>
      </c>
      <c r="L297" s="94">
        <f t="shared" si="41"/>
        <v>0</v>
      </c>
      <c r="M297" s="94">
        <f t="shared" si="41"/>
        <v>4508023.4890000001</v>
      </c>
      <c r="N297" s="94">
        <f t="shared" si="41"/>
        <v>832554</v>
      </c>
      <c r="O297" s="94">
        <f t="shared" si="41"/>
        <v>1463690</v>
      </c>
      <c r="P297" s="94">
        <f t="shared" si="41"/>
        <v>13530</v>
      </c>
      <c r="Q297" s="94">
        <f t="shared" si="41"/>
        <v>56715</v>
      </c>
    </row>
    <row r="299" spans="1:17" s="2" customFormat="1">
      <c r="A299" s="2" t="s">
        <v>282</v>
      </c>
      <c r="B299" s="95" t="s">
        <v>283</v>
      </c>
      <c r="C299" s="96">
        <v>5136295</v>
      </c>
      <c r="D299" s="96">
        <v>611903</v>
      </c>
      <c r="E299" s="95"/>
      <c r="F299" s="96">
        <v>43183</v>
      </c>
      <c r="G299" s="96">
        <v>28268</v>
      </c>
      <c r="H299" s="96">
        <v>386902</v>
      </c>
      <c r="I299" s="95">
        <v>435</v>
      </c>
      <c r="J299" s="96">
        <v>413167</v>
      </c>
      <c r="L299" s="2">
        <v>0</v>
      </c>
      <c r="M299" s="99">
        <v>22740</v>
      </c>
      <c r="N299" s="95">
        <v>1364</v>
      </c>
      <c r="O299" s="99">
        <v>301953</v>
      </c>
      <c r="P299" s="2">
        <v>1452</v>
      </c>
      <c r="Q299" s="2">
        <v>23200</v>
      </c>
    </row>
    <row r="300" spans="1:17" s="2" customFormat="1">
      <c r="B300" s="95" t="s">
        <v>284</v>
      </c>
      <c r="C300" s="96">
        <v>4481173</v>
      </c>
      <c r="D300" s="96">
        <v>521194</v>
      </c>
      <c r="E300" s="95"/>
      <c r="F300" s="96">
        <v>28140</v>
      </c>
      <c r="G300" s="96">
        <v>18922</v>
      </c>
      <c r="H300" s="96">
        <v>450261</v>
      </c>
      <c r="I300" s="95">
        <v>661</v>
      </c>
      <c r="J300" s="96">
        <v>327116</v>
      </c>
      <c r="L300" s="2">
        <v>0</v>
      </c>
      <c r="M300" s="99">
        <v>16386</v>
      </c>
      <c r="N300" s="95">
        <v>983</v>
      </c>
      <c r="O300" s="99">
        <v>271624</v>
      </c>
      <c r="P300" s="2">
        <v>1210</v>
      </c>
      <c r="Q300" s="2">
        <v>642</v>
      </c>
    </row>
    <row r="301" spans="1:17" s="2" customFormat="1">
      <c r="B301" s="95" t="s">
        <v>285</v>
      </c>
      <c r="C301" s="96">
        <v>5972783</v>
      </c>
      <c r="D301" s="96">
        <v>639073</v>
      </c>
      <c r="E301" s="95"/>
      <c r="F301" s="95">
        <v>15838</v>
      </c>
      <c r="G301" s="96">
        <v>16297</v>
      </c>
      <c r="H301" s="96">
        <v>461765</v>
      </c>
      <c r="I301" s="95">
        <v>372</v>
      </c>
      <c r="J301" s="96">
        <v>307824</v>
      </c>
      <c r="L301" s="2">
        <v>0</v>
      </c>
      <c r="M301" s="99">
        <v>3410</v>
      </c>
      <c r="N301" s="95">
        <v>205</v>
      </c>
      <c r="O301" s="99">
        <v>241987</v>
      </c>
      <c r="P301" s="2">
        <v>711</v>
      </c>
      <c r="Q301" s="2">
        <v>133</v>
      </c>
    </row>
    <row r="302" spans="1:17" s="2" customFormat="1">
      <c r="B302" s="95" t="s">
        <v>286</v>
      </c>
      <c r="C302" s="96">
        <v>2632000</v>
      </c>
      <c r="D302" s="96">
        <v>408980</v>
      </c>
      <c r="E302" s="95"/>
      <c r="F302" s="96">
        <v>28060</v>
      </c>
      <c r="G302" s="95">
        <v>9837</v>
      </c>
      <c r="H302" s="96">
        <v>342528</v>
      </c>
      <c r="I302" s="95">
        <v>603</v>
      </c>
      <c r="J302" s="96">
        <v>126033</v>
      </c>
      <c r="L302" s="2">
        <v>0</v>
      </c>
      <c r="M302" s="100">
        <v>7781</v>
      </c>
      <c r="N302" s="95">
        <v>467</v>
      </c>
      <c r="O302" s="99">
        <v>96729</v>
      </c>
      <c r="P302" s="2">
        <v>1395</v>
      </c>
      <c r="Q302" s="2">
        <v>167</v>
      </c>
    </row>
    <row r="303" spans="1:17" s="2" customFormat="1">
      <c r="B303" s="95" t="s">
        <v>287</v>
      </c>
      <c r="C303" s="96">
        <v>2253180</v>
      </c>
      <c r="D303" s="96">
        <v>388974</v>
      </c>
      <c r="E303" s="95"/>
      <c r="F303" s="95">
        <v>36109</v>
      </c>
      <c r="G303" s="95">
        <v>10125</v>
      </c>
      <c r="H303" s="96">
        <v>150683</v>
      </c>
      <c r="I303" s="95">
        <v>1325</v>
      </c>
      <c r="J303" s="96">
        <v>118777</v>
      </c>
      <c r="L303" s="2">
        <v>0</v>
      </c>
      <c r="M303" s="100">
        <v>3206</v>
      </c>
      <c r="N303" s="101">
        <v>192</v>
      </c>
      <c r="O303" s="99">
        <v>88387</v>
      </c>
      <c r="P303" s="2">
        <v>303</v>
      </c>
      <c r="Q303" s="2">
        <v>171</v>
      </c>
    </row>
    <row r="304" spans="1:17" s="2" customFormat="1">
      <c r="B304" s="95" t="s">
        <v>288</v>
      </c>
      <c r="C304" s="96">
        <v>5336617</v>
      </c>
      <c r="D304" s="96">
        <v>425480</v>
      </c>
      <c r="E304" s="95"/>
      <c r="F304" s="95">
        <v>5367</v>
      </c>
      <c r="G304" s="95">
        <v>2531</v>
      </c>
      <c r="H304" s="96">
        <v>186043</v>
      </c>
      <c r="I304" s="95">
        <v>565</v>
      </c>
      <c r="J304" s="96">
        <v>340060</v>
      </c>
      <c r="L304" s="2">
        <v>0</v>
      </c>
      <c r="M304" s="99">
        <v>15080</v>
      </c>
      <c r="N304" s="95">
        <v>905</v>
      </c>
      <c r="O304" s="99">
        <v>274053</v>
      </c>
      <c r="P304" s="2">
        <v>1386</v>
      </c>
      <c r="Q304" s="2">
        <v>59</v>
      </c>
    </row>
    <row r="305" spans="2:17" s="2" customFormat="1">
      <c r="B305" s="95" t="s">
        <v>289</v>
      </c>
      <c r="C305" s="96">
        <v>4596909</v>
      </c>
      <c r="D305" s="96">
        <v>355891</v>
      </c>
      <c r="E305" s="95"/>
      <c r="F305" s="96">
        <v>21197</v>
      </c>
      <c r="G305" s="96">
        <v>15321</v>
      </c>
      <c r="H305" s="96">
        <v>332249</v>
      </c>
      <c r="I305" s="95">
        <v>514</v>
      </c>
      <c r="J305" s="96">
        <v>267892</v>
      </c>
      <c r="L305" s="2">
        <v>0</v>
      </c>
      <c r="M305" s="100">
        <v>1200</v>
      </c>
      <c r="N305" s="95">
        <v>72</v>
      </c>
      <c r="O305" s="99">
        <v>224340</v>
      </c>
      <c r="P305" s="2">
        <v>1479</v>
      </c>
      <c r="Q305" s="2">
        <v>2428</v>
      </c>
    </row>
    <row r="306" spans="2:17" s="3" customFormat="1">
      <c r="B306" s="3" t="s">
        <v>123</v>
      </c>
      <c r="C306" s="97">
        <v>30408957</v>
      </c>
      <c r="D306" s="97">
        <v>3351495</v>
      </c>
      <c r="E306" s="97">
        <v>0</v>
      </c>
      <c r="F306" s="97">
        <v>177894</v>
      </c>
      <c r="G306" s="97">
        <v>101301</v>
      </c>
      <c r="H306" s="97">
        <v>2310431</v>
      </c>
      <c r="I306" s="97">
        <v>4475</v>
      </c>
      <c r="J306" s="97">
        <v>1900869</v>
      </c>
      <c r="K306" s="97">
        <v>0</v>
      </c>
      <c r="L306" s="97">
        <v>0</v>
      </c>
      <c r="M306" s="97">
        <v>69803</v>
      </c>
      <c r="N306" s="97">
        <v>4188</v>
      </c>
      <c r="O306" s="97">
        <v>1499073</v>
      </c>
      <c r="P306" s="97">
        <v>7936</v>
      </c>
      <c r="Q306" s="97">
        <v>26800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BENSON</dc:creator>
  <cp:lastModifiedBy>Rono</cp:lastModifiedBy>
  <dcterms:created xsi:type="dcterms:W3CDTF">2025-07-03T10:39:20Z</dcterms:created>
  <dcterms:modified xsi:type="dcterms:W3CDTF">2025-07-06T13:05:05Z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D22BFB545617470B98E1E17785EC1E4C_11</vt:lpwstr>
  </property>
  <property fmtid="{D5CDD505-2E9C-101B-9397-08002B2CF9AE}" pid="3" name="KSOProductBuildVer">
    <vt:lpwstr>2057-12.2.0.21931</vt:lpwstr>
  </property>
</Properties>
</file>