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3\OneDrive\Documentos\PhD\2nd YEAR\2 SEMESTER SEP 24-JAN 25 SYSTEM S\1. 1ST PAPER DOCUMENTS\"/>
    </mc:Choice>
  </mc:AlternateContent>
  <xr:revisionPtr revIDLastSave="0" documentId="13_ncr:1_{F42F335C-13EC-48D7-A945-870FA29CF2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LECCIONADO" sheetId="4" r:id="rId1"/>
    <sheet name="FIGURE" sheetId="11" r:id="rId2"/>
    <sheet name="ANALYSIS" sheetId="10" r:id="rId3"/>
    <sheet name="TABLES" sheetId="12" r:id="rId4"/>
  </sheets>
  <definedNames>
    <definedName name="_xlnm._FilterDatabase" localSheetId="2" hidden="1">ANALYSIS!$A$1:$Z$33</definedName>
    <definedName name="_Hlk173620855" localSheetId="2">ANALYSIS!$AB$39</definedName>
    <definedName name="_xlnm.Print_Area" localSheetId="2">ANALYSIS!$A$1:$AD$45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2" i="4"/>
  <c r="Z26" i="10"/>
  <c r="Z7" i="10"/>
  <c r="Z23" i="10"/>
  <c r="Z14" i="10"/>
  <c r="Z17" i="10"/>
  <c r="Z22" i="10"/>
  <c r="Z3" i="10"/>
  <c r="Z24" i="10"/>
  <c r="Z11" i="10"/>
  <c r="Z13" i="10"/>
  <c r="Z27" i="10"/>
  <c r="Z28" i="10"/>
  <c r="Z4" i="10"/>
  <c r="Z32" i="10"/>
  <c r="Z19" i="10"/>
  <c r="Z33" i="10"/>
  <c r="Z29" i="10"/>
  <c r="Z12" i="10"/>
  <c r="Z5" i="10"/>
  <c r="Z2" i="10"/>
  <c r="Z18" i="10"/>
  <c r="Z30" i="10"/>
  <c r="Z21" i="10"/>
  <c r="Z20" i="10"/>
  <c r="Z31" i="10"/>
  <c r="Z16" i="10"/>
  <c r="Z15" i="10"/>
  <c r="Z10" i="10"/>
  <c r="Z25" i="10"/>
  <c r="Z9" i="10"/>
  <c r="Z8" i="10"/>
  <c r="Z6" i="10"/>
  <c r="Z1" i="10"/>
  <c r="I62" i="10"/>
  <c r="F28" i="10"/>
  <c r="F12" i="10"/>
  <c r="F2" i="10"/>
  <c r="F25" i="10"/>
  <c r="E14" i="10"/>
  <c r="E17" i="10"/>
  <c r="E23" i="10"/>
  <c r="E22" i="10"/>
  <c r="E3" i="10"/>
  <c r="E24" i="10"/>
  <c r="E11" i="10"/>
  <c r="E13" i="10"/>
  <c r="E27" i="10"/>
  <c r="E28" i="10"/>
  <c r="E4" i="10"/>
  <c r="E32" i="10"/>
  <c r="E19" i="10"/>
  <c r="E33" i="10"/>
  <c r="E29" i="10"/>
  <c r="E12" i="10"/>
  <c r="E5" i="10"/>
  <c r="E2" i="10"/>
  <c r="E18" i="10"/>
  <c r="E30" i="10"/>
  <c r="E21" i="10"/>
  <c r="E20" i="10"/>
  <c r="E31" i="10"/>
  <c r="E16" i="10"/>
  <c r="E15" i="10"/>
  <c r="E10" i="10"/>
  <c r="E7" i="10"/>
  <c r="E25" i="10"/>
  <c r="E26" i="10"/>
  <c r="E9" i="10"/>
  <c r="E8" i="10"/>
  <c r="E6" i="10"/>
  <c r="D14" i="10"/>
  <c r="D17" i="10"/>
  <c r="D23" i="10"/>
  <c r="D22" i="10"/>
  <c r="D3" i="10"/>
  <c r="D24" i="10"/>
  <c r="D11" i="10"/>
  <c r="D13" i="10"/>
  <c r="D27" i="10"/>
  <c r="D28" i="10"/>
  <c r="D4" i="10"/>
  <c r="D32" i="10"/>
  <c r="D19" i="10"/>
  <c r="D33" i="10"/>
  <c r="D29" i="10"/>
  <c r="D12" i="10"/>
  <c r="D5" i="10"/>
  <c r="D2" i="10"/>
  <c r="D18" i="10"/>
  <c r="D30" i="10"/>
  <c r="D21" i="10"/>
  <c r="D20" i="10"/>
  <c r="D31" i="10"/>
  <c r="D16" i="10"/>
  <c r="D15" i="10"/>
  <c r="D10" i="10"/>
  <c r="D7" i="10"/>
  <c r="D25" i="10"/>
  <c r="D26" i="10"/>
  <c r="D9" i="10"/>
  <c r="D8" i="10"/>
  <c r="D6" i="10"/>
  <c r="I1" i="10"/>
  <c r="I6" i="10"/>
  <c r="J6" i="10"/>
  <c r="I14" i="10"/>
  <c r="J14" i="10"/>
  <c r="I17" i="10"/>
  <c r="J17" i="10"/>
  <c r="I23" i="10"/>
  <c r="J23" i="10"/>
  <c r="I22" i="10"/>
  <c r="J22" i="10"/>
  <c r="I3" i="10"/>
  <c r="J3" i="10"/>
  <c r="I24" i="10"/>
  <c r="J24" i="10"/>
  <c r="I11" i="10"/>
  <c r="J11" i="10"/>
  <c r="I13" i="10"/>
  <c r="J13" i="10"/>
  <c r="I27" i="10"/>
  <c r="J27" i="10"/>
  <c r="I28" i="10"/>
  <c r="J28" i="10"/>
  <c r="I4" i="10"/>
  <c r="J4" i="10"/>
  <c r="I32" i="10"/>
  <c r="J32" i="10"/>
  <c r="I19" i="10"/>
  <c r="J19" i="10"/>
  <c r="I33" i="10"/>
  <c r="J33" i="10"/>
  <c r="I29" i="10"/>
  <c r="J29" i="10"/>
  <c r="I12" i="10"/>
  <c r="J12" i="10"/>
  <c r="I5" i="10"/>
  <c r="J5" i="10"/>
  <c r="I2" i="10"/>
  <c r="J2" i="10"/>
  <c r="I18" i="10"/>
  <c r="J18" i="10"/>
  <c r="I30" i="10"/>
  <c r="J30" i="10"/>
  <c r="I21" i="10"/>
  <c r="J21" i="10"/>
  <c r="I20" i="10"/>
  <c r="J20" i="10"/>
  <c r="I31" i="10"/>
  <c r="J31" i="10"/>
  <c r="I16" i="10"/>
  <c r="J16" i="10"/>
  <c r="I15" i="10"/>
  <c r="J15" i="10"/>
  <c r="I10" i="10"/>
  <c r="J10" i="10"/>
  <c r="I7" i="10"/>
  <c r="J7" i="10"/>
  <c r="I25" i="10"/>
  <c r="J25" i="10"/>
  <c r="I26" i="10"/>
  <c r="J26" i="10"/>
  <c r="I9" i="10"/>
  <c r="J9" i="10"/>
  <c r="I8" i="10"/>
  <c r="J8" i="10"/>
  <c r="T14" i="10"/>
  <c r="T17" i="10"/>
  <c r="T23" i="10"/>
  <c r="T22" i="10"/>
  <c r="T3" i="10"/>
  <c r="T24" i="10"/>
  <c r="T11" i="10"/>
  <c r="T13" i="10"/>
  <c r="T27" i="10"/>
  <c r="T28" i="10"/>
  <c r="T4" i="10"/>
  <c r="T32" i="10"/>
  <c r="T19" i="10"/>
  <c r="T33" i="10"/>
  <c r="T29" i="10"/>
  <c r="T12" i="10"/>
  <c r="T5" i="10"/>
  <c r="T2" i="10"/>
  <c r="T18" i="10"/>
  <c r="T30" i="10"/>
  <c r="T21" i="10"/>
  <c r="T20" i="10"/>
  <c r="T31" i="10"/>
  <c r="T16" i="10"/>
  <c r="T15" i="10"/>
  <c r="T10" i="10"/>
  <c r="T7" i="10"/>
  <c r="T25" i="10"/>
  <c r="T26" i="10"/>
  <c r="T9" i="10"/>
  <c r="T8" i="10"/>
  <c r="T6" i="10"/>
  <c r="O14" i="10"/>
  <c r="O17" i="10"/>
  <c r="O23" i="10"/>
  <c r="O22" i="10"/>
  <c r="O3" i="10"/>
  <c r="O24" i="10"/>
  <c r="O11" i="10"/>
  <c r="O13" i="10"/>
  <c r="O27" i="10"/>
  <c r="O28" i="10"/>
  <c r="O4" i="10"/>
  <c r="O32" i="10"/>
  <c r="O19" i="10"/>
  <c r="O33" i="10"/>
  <c r="O29" i="10"/>
  <c r="O12" i="10"/>
  <c r="O5" i="10"/>
  <c r="O2" i="10"/>
  <c r="O18" i="10"/>
  <c r="O30" i="10"/>
  <c r="O21" i="10"/>
  <c r="O20" i="10"/>
  <c r="O31" i="10"/>
  <c r="O16" i="10"/>
  <c r="O15" i="10"/>
  <c r="O10" i="10"/>
  <c r="O7" i="10"/>
  <c r="O25" i="10"/>
  <c r="O26" i="10"/>
  <c r="O9" i="10"/>
  <c r="O8" i="10"/>
  <c r="O6" i="10"/>
  <c r="N14" i="10"/>
  <c r="N17" i="10"/>
  <c r="N23" i="10"/>
  <c r="N22" i="10"/>
  <c r="N3" i="10"/>
  <c r="N24" i="10"/>
  <c r="N11" i="10"/>
  <c r="N13" i="10"/>
  <c r="N27" i="10"/>
  <c r="N28" i="10"/>
  <c r="N4" i="10"/>
  <c r="N32" i="10"/>
  <c r="N19" i="10"/>
  <c r="N33" i="10"/>
  <c r="N29" i="10"/>
  <c r="N12" i="10"/>
  <c r="N5" i="10"/>
  <c r="N2" i="10"/>
  <c r="N18" i="10"/>
  <c r="N30" i="10"/>
  <c r="N21" i="10"/>
  <c r="N20" i="10"/>
  <c r="N31" i="10"/>
  <c r="N16" i="10"/>
  <c r="N15" i="10"/>
  <c r="N10" i="10"/>
  <c r="N7" i="10"/>
  <c r="N25" i="10"/>
  <c r="N26" i="10"/>
  <c r="N9" i="10"/>
  <c r="N8" i="10"/>
  <c r="N6" i="10"/>
  <c r="S14" i="10"/>
  <c r="S17" i="10"/>
  <c r="U17" i="10" s="1"/>
  <c r="S23" i="10"/>
  <c r="S22" i="10"/>
  <c r="S3" i="10"/>
  <c r="S24" i="10"/>
  <c r="S11" i="10"/>
  <c r="S13" i="10"/>
  <c r="S27" i="10"/>
  <c r="S28" i="10"/>
  <c r="S4" i="10"/>
  <c r="S32" i="10"/>
  <c r="S19" i="10"/>
  <c r="S33" i="10"/>
  <c r="S29" i="10"/>
  <c r="S12" i="10"/>
  <c r="S5" i="10"/>
  <c r="S2" i="10"/>
  <c r="S18" i="10"/>
  <c r="S30" i="10"/>
  <c r="S21" i="10"/>
  <c r="S20" i="10"/>
  <c r="S31" i="10"/>
  <c r="S16" i="10"/>
  <c r="S15" i="10"/>
  <c r="S10" i="10"/>
  <c r="U10" i="10" s="1"/>
  <c r="S7" i="10"/>
  <c r="S25" i="10"/>
  <c r="S26" i="10"/>
  <c r="S9" i="10"/>
  <c r="S8" i="10"/>
  <c r="S6" i="10"/>
  <c r="C14" i="10"/>
  <c r="C17" i="10"/>
  <c r="C23" i="10"/>
  <c r="C22" i="10"/>
  <c r="C3" i="10"/>
  <c r="C24" i="10"/>
  <c r="C11" i="10"/>
  <c r="C13" i="10"/>
  <c r="C27" i="10"/>
  <c r="C28" i="10"/>
  <c r="C4" i="10"/>
  <c r="C32" i="10"/>
  <c r="C19" i="10"/>
  <c r="C33" i="10"/>
  <c r="C29" i="10"/>
  <c r="C12" i="10"/>
  <c r="C5" i="10"/>
  <c r="C2" i="10"/>
  <c r="C18" i="10"/>
  <c r="C30" i="10"/>
  <c r="C21" i="10"/>
  <c r="C20" i="10"/>
  <c r="C31" i="10"/>
  <c r="C16" i="10"/>
  <c r="C15" i="10"/>
  <c r="C10" i="10"/>
  <c r="C7" i="10"/>
  <c r="C25" i="10"/>
  <c r="C26" i="10"/>
  <c r="C9" i="10"/>
  <c r="C8" i="10"/>
  <c r="C6" i="10"/>
  <c r="B14" i="10"/>
  <c r="B17" i="10"/>
  <c r="B23" i="10"/>
  <c r="B22" i="10"/>
  <c r="B3" i="10"/>
  <c r="B24" i="10"/>
  <c r="B11" i="10"/>
  <c r="B13" i="10"/>
  <c r="B27" i="10"/>
  <c r="B28" i="10"/>
  <c r="B4" i="10"/>
  <c r="B32" i="10"/>
  <c r="B19" i="10"/>
  <c r="B33" i="10"/>
  <c r="B29" i="10"/>
  <c r="B12" i="10"/>
  <c r="B5" i="10"/>
  <c r="B2" i="10"/>
  <c r="B18" i="10"/>
  <c r="B30" i="10"/>
  <c r="B21" i="10"/>
  <c r="B20" i="10"/>
  <c r="B31" i="10"/>
  <c r="B16" i="10"/>
  <c r="B15" i="10"/>
  <c r="B10" i="10"/>
  <c r="B7" i="10"/>
  <c r="B25" i="10"/>
  <c r="B26" i="10"/>
  <c r="B9" i="10"/>
  <c r="B8" i="10"/>
  <c r="B6" i="10"/>
  <c r="A14" i="10"/>
  <c r="A17" i="10"/>
  <c r="A23" i="10"/>
  <c r="A22" i="10"/>
  <c r="A3" i="10"/>
  <c r="A24" i="10"/>
  <c r="A11" i="10"/>
  <c r="A13" i="10"/>
  <c r="A27" i="10"/>
  <c r="A28" i="10"/>
  <c r="A4" i="10"/>
  <c r="A32" i="10"/>
  <c r="A19" i="10"/>
  <c r="A33" i="10"/>
  <c r="A29" i="10"/>
  <c r="A12" i="10"/>
  <c r="A5" i="10"/>
  <c r="A2" i="10"/>
  <c r="A18" i="10"/>
  <c r="A30" i="10"/>
  <c r="A21" i="10"/>
  <c r="A20" i="10"/>
  <c r="A31" i="10"/>
  <c r="A16" i="10"/>
  <c r="A15" i="10"/>
  <c r="A10" i="10"/>
  <c r="A7" i="10"/>
  <c r="A25" i="10"/>
  <c r="A26" i="10"/>
  <c r="A9" i="10"/>
  <c r="A8" i="10"/>
  <c r="A6" i="10"/>
  <c r="C1" i="10"/>
  <c r="B1" i="10"/>
  <c r="S1" i="10"/>
  <c r="N1" i="10"/>
  <c r="K8" i="4"/>
  <c r="L8" i="4" s="1"/>
  <c r="K31" i="4"/>
  <c r="L31" i="4" s="1"/>
  <c r="K11" i="4"/>
  <c r="L11" i="4" s="1"/>
  <c r="K12" i="4"/>
  <c r="L12" i="4" s="1"/>
  <c r="K17" i="4"/>
  <c r="L17" i="4" s="1"/>
  <c r="K22" i="4"/>
  <c r="L22" i="4" s="1"/>
  <c r="K25" i="4"/>
  <c r="L25" i="4" s="1"/>
  <c r="K14" i="4"/>
  <c r="L14" i="4" s="1"/>
  <c r="H9" i="10" s="1"/>
  <c r="K16" i="4"/>
  <c r="L16" i="4" s="1"/>
  <c r="K7" i="4"/>
  <c r="L7" i="4" s="1"/>
  <c r="K13" i="4"/>
  <c r="L13" i="4" s="1"/>
  <c r="K19" i="4"/>
  <c r="L19" i="4" s="1"/>
  <c r="K2" i="4"/>
  <c r="L2" i="4" s="1"/>
  <c r="K29" i="4"/>
  <c r="L29" i="4" s="1"/>
  <c r="K33" i="4"/>
  <c r="L33" i="4" s="1"/>
  <c r="K32" i="4"/>
  <c r="L32" i="4" s="1"/>
  <c r="K28" i="4"/>
  <c r="L28" i="4" s="1"/>
  <c r="K9" i="4"/>
  <c r="L9" i="4" s="1"/>
  <c r="K18" i="4"/>
  <c r="L18" i="4" s="1"/>
  <c r="K10" i="4"/>
  <c r="L10" i="4" s="1"/>
  <c r="K3" i="4"/>
  <c r="L3" i="4" s="1"/>
  <c r="K27" i="4"/>
  <c r="L27" i="4" s="1"/>
  <c r="K26" i="4"/>
  <c r="L26" i="4" s="1"/>
  <c r="K4" i="4"/>
  <c r="L4" i="4" s="1"/>
  <c r="H29" i="10" s="1"/>
  <c r="K21" i="4"/>
  <c r="L21" i="4" s="1"/>
  <c r="K15" i="4"/>
  <c r="L15" i="4" s="1"/>
  <c r="H5" i="10" s="1"/>
  <c r="K24" i="4"/>
  <c r="L24" i="4" s="1"/>
  <c r="K23" i="4"/>
  <c r="L23" i="4" s="1"/>
  <c r="K6" i="4"/>
  <c r="L6" i="4" s="1"/>
  <c r="K5" i="4"/>
  <c r="L5" i="4" s="1"/>
  <c r="K20" i="4"/>
  <c r="L20" i="4" s="1"/>
  <c r="E28" i="4"/>
  <c r="G28" i="4" s="1"/>
  <c r="F13" i="10" s="1"/>
  <c r="E5" i="4"/>
  <c r="G5" i="4" s="1"/>
  <c r="F23" i="10" s="1"/>
  <c r="E11" i="4"/>
  <c r="G11" i="4" s="1"/>
  <c r="E12" i="4"/>
  <c r="G12" i="4" s="1"/>
  <c r="E16" i="4"/>
  <c r="G16" i="4" s="1"/>
  <c r="E15" i="4"/>
  <c r="G15" i="4" s="1"/>
  <c r="F5" i="10" s="1"/>
  <c r="E14" i="4"/>
  <c r="G14" i="4" s="1"/>
  <c r="F9" i="10" s="1"/>
  <c r="E2" i="4"/>
  <c r="G2" i="4" s="1"/>
  <c r="F6" i="10" s="1"/>
  <c r="E7" i="4"/>
  <c r="G7" i="4" s="1"/>
  <c r="F14" i="10" s="1"/>
  <c r="E10" i="4"/>
  <c r="G10" i="4" s="1"/>
  <c r="E3" i="4"/>
  <c r="G3" i="4" s="1"/>
  <c r="E4" i="4"/>
  <c r="G4" i="4" s="1"/>
  <c r="E6" i="4"/>
  <c r="G6" i="4" s="1"/>
  <c r="F30" i="10" s="1"/>
  <c r="E8" i="4"/>
  <c r="G8" i="4" s="1"/>
  <c r="F24" i="10" s="1"/>
  <c r="E13" i="4"/>
  <c r="G13" i="4" s="1"/>
  <c r="F17" i="10" s="1"/>
  <c r="E9" i="4"/>
  <c r="G9" i="4" s="1"/>
  <c r="F11" i="10" s="1"/>
  <c r="J15" i="4"/>
  <c r="R20" i="4"/>
  <c r="N30" i="4"/>
  <c r="P30" i="4"/>
  <c r="K30" i="4" s="1"/>
  <c r="F32" i="10" l="1"/>
  <c r="H20" i="10"/>
  <c r="H6" i="10"/>
  <c r="H11" i="10"/>
  <c r="F3" i="10"/>
  <c r="H21" i="10"/>
  <c r="F4" i="10"/>
  <c r="H30" i="10"/>
  <c r="H22" i="10"/>
  <c r="H2" i="10"/>
  <c r="H3" i="10"/>
  <c r="F27" i="10"/>
  <c r="F19" i="10"/>
  <c r="H7" i="10"/>
  <c r="H18" i="10"/>
  <c r="H10" i="10"/>
  <c r="G31" i="10"/>
  <c r="F22" i="10"/>
  <c r="H12" i="10"/>
  <c r="F8" i="10"/>
  <c r="H23" i="10"/>
  <c r="F10" i="10"/>
  <c r="F26" i="10"/>
  <c r="F15" i="10"/>
  <c r="H32" i="10"/>
  <c r="G25" i="10"/>
  <c r="F29" i="10"/>
  <c r="H27" i="10"/>
  <c r="H16" i="10"/>
  <c r="H26" i="10"/>
  <c r="H13" i="10"/>
  <c r="F33" i="10"/>
  <c r="H14" i="10"/>
  <c r="H24" i="10"/>
  <c r="H15" i="10"/>
  <c r="H28" i="10"/>
  <c r="H33" i="10"/>
  <c r="H17" i="10"/>
  <c r="F7" i="10"/>
  <c r="H19" i="10"/>
  <c r="F16" i="10"/>
  <c r="F20" i="10"/>
  <c r="F21" i="10"/>
  <c r="H8" i="10"/>
  <c r="F31" i="10"/>
  <c r="G21" i="10"/>
  <c r="F18" i="10"/>
  <c r="G27" i="10"/>
  <c r="K28" i="10"/>
  <c r="U15" i="10"/>
  <c r="U19" i="10"/>
  <c r="K20" i="10"/>
  <c r="P9" i="10"/>
  <c r="P2" i="10"/>
  <c r="P24" i="10"/>
  <c r="K7" i="10"/>
  <c r="K2" i="10"/>
  <c r="K6" i="10"/>
  <c r="K25" i="10"/>
  <c r="K21" i="10"/>
  <c r="K27" i="10"/>
  <c r="K30" i="10"/>
  <c r="K16" i="10"/>
  <c r="K3" i="10"/>
  <c r="K18" i="10"/>
  <c r="K33" i="10"/>
  <c r="K13" i="10"/>
  <c r="K17" i="10"/>
  <c r="K14" i="10"/>
  <c r="K19" i="10"/>
  <c r="K10" i="10"/>
  <c r="K12" i="10"/>
  <c r="K29" i="10"/>
  <c r="K8" i="10"/>
  <c r="K15" i="10"/>
  <c r="G4" i="10"/>
  <c r="G9" i="10"/>
  <c r="K9" i="10"/>
  <c r="G20" i="10"/>
  <c r="G28" i="10"/>
  <c r="G26" i="10"/>
  <c r="K26" i="10"/>
  <c r="K11" i="10"/>
  <c r="G30" i="10"/>
  <c r="G13" i="10"/>
  <c r="G7" i="10"/>
  <c r="G18" i="10"/>
  <c r="G11" i="10"/>
  <c r="K32" i="10"/>
  <c r="G2" i="10"/>
  <c r="G24" i="10"/>
  <c r="G5" i="10"/>
  <c r="G3" i="10"/>
  <c r="G12" i="10"/>
  <c r="G22" i="10"/>
  <c r="G6" i="10"/>
  <c r="G29" i="10"/>
  <c r="G23" i="10"/>
  <c r="G10" i="10"/>
  <c r="G33" i="10"/>
  <c r="G17" i="10"/>
  <c r="G15" i="10"/>
  <c r="G19" i="10"/>
  <c r="G14" i="10"/>
  <c r="K23" i="10"/>
  <c r="G16" i="10"/>
  <c r="G32" i="10"/>
  <c r="G8" i="10"/>
  <c r="P5" i="10"/>
  <c r="P3" i="10"/>
  <c r="K5" i="10"/>
  <c r="K4" i="10"/>
  <c r="K24" i="10"/>
  <c r="K31" i="10"/>
  <c r="K22" i="10"/>
  <c r="U29" i="10"/>
  <c r="U23" i="10"/>
  <c r="P8" i="10"/>
  <c r="P18" i="10"/>
  <c r="P11" i="10"/>
  <c r="U30" i="10"/>
  <c r="U13" i="10"/>
  <c r="P23" i="10"/>
  <c r="U4" i="10"/>
  <c r="P7" i="10"/>
  <c r="AC39" i="10"/>
  <c r="AC41" i="10"/>
  <c r="P21" i="10"/>
  <c r="AC40" i="10"/>
  <c r="U28" i="10"/>
  <c r="P10" i="10"/>
  <c r="P33" i="10"/>
  <c r="P17" i="10"/>
  <c r="P27" i="10"/>
  <c r="U32" i="10"/>
  <c r="P4" i="10"/>
  <c r="P20" i="10"/>
  <c r="P28" i="10"/>
  <c r="U2" i="10"/>
  <c r="U26" i="10"/>
  <c r="U5" i="10"/>
  <c r="U3" i="10"/>
  <c r="U25" i="10"/>
  <c r="U12" i="10"/>
  <c r="U22" i="10"/>
  <c r="P30" i="10"/>
  <c r="P13" i="10"/>
  <c r="P15" i="10"/>
  <c r="P19" i="10"/>
  <c r="P14" i="10"/>
  <c r="U9" i="10"/>
  <c r="U24" i="10"/>
  <c r="U21" i="10"/>
  <c r="U27" i="10"/>
  <c r="P6" i="10"/>
  <c r="U8" i="10"/>
  <c r="U18" i="10"/>
  <c r="U11" i="10"/>
  <c r="P29" i="10"/>
  <c r="P25" i="10"/>
  <c r="P12" i="10"/>
  <c r="P22" i="10"/>
  <c r="P31" i="10"/>
  <c r="P26" i="10"/>
  <c r="P16" i="10"/>
  <c r="P32" i="10"/>
  <c r="L30" i="4"/>
  <c r="H31" i="10" s="1"/>
  <c r="U33" i="10"/>
  <c r="U31" i="10"/>
  <c r="U20" i="10"/>
  <c r="U14" i="10"/>
  <c r="U7" i="10"/>
  <c r="U6" i="10"/>
  <c r="U16" i="10"/>
  <c r="H25" i="10" l="1"/>
  <c r="H4" i="10"/>
  <c r="AD41" i="10"/>
  <c r="AD40" i="10"/>
  <c r="AD39" i="10"/>
  <c r="L35" i="10"/>
  <c r="Q34" i="10"/>
  <c r="Q35" i="10"/>
  <c r="L34" i="10"/>
  <c r="V35" i="10" l="1"/>
  <c r="V34" i="10"/>
  <c r="L7" i="10"/>
  <c r="M7" i="10" s="1"/>
  <c r="L31" i="10"/>
  <c r="M31" i="10" s="1"/>
  <c r="L6" i="10"/>
  <c r="M6" i="10" s="1"/>
  <c r="L30" i="10"/>
  <c r="M30" i="10" s="1"/>
  <c r="L12" i="10"/>
  <c r="M12" i="10" s="1"/>
  <c r="L14" i="10"/>
  <c r="M14" i="10" s="1"/>
  <c r="L26" i="10"/>
  <c r="M26" i="10" s="1"/>
  <c r="L3" i="10"/>
  <c r="L23" i="10"/>
  <c r="L19" i="10"/>
  <c r="M19" i="10" s="1"/>
  <c r="L25" i="10"/>
  <c r="M25" i="10" s="1"/>
  <c r="L27" i="10"/>
  <c r="L13" i="10"/>
  <c r="M13" i="10" s="1"/>
  <c r="L18" i="10"/>
  <c r="M18" i="10" s="1"/>
  <c r="L4" i="10"/>
  <c r="M4" i="10" s="1"/>
  <c r="L15" i="10"/>
  <c r="M15" i="10" s="1"/>
  <c r="L33" i="10"/>
  <c r="M33" i="10" s="1"/>
  <c r="L17" i="10"/>
  <c r="L28" i="10"/>
  <c r="M28" i="10" s="1"/>
  <c r="L29" i="10"/>
  <c r="M29" i="10" s="1"/>
  <c r="L8" i="10"/>
  <c r="M8" i="10" s="1"/>
  <c r="L2" i="10"/>
  <c r="M2" i="10" s="1"/>
  <c r="L10" i="10"/>
  <c r="M10" i="10" s="1"/>
  <c r="L20" i="10"/>
  <c r="L24" i="10"/>
  <c r="M24" i="10" s="1"/>
  <c r="L11" i="10"/>
  <c r="L9" i="10"/>
  <c r="M9" i="10" s="1"/>
  <c r="L5" i="10"/>
  <c r="M5" i="10" s="1"/>
  <c r="L32" i="10"/>
  <c r="M32" i="10" s="1"/>
  <c r="L16" i="10"/>
  <c r="M16" i="10" s="1"/>
  <c r="L21" i="10"/>
  <c r="M21" i="10" s="1"/>
  <c r="Q13" i="10"/>
  <c r="R13" i="10" s="1"/>
  <c r="Q24" i="10"/>
  <c r="Q32" i="10"/>
  <c r="R32" i="10" s="1"/>
  <c r="Q33" i="10"/>
  <c r="R33" i="10" s="1"/>
  <c r="Q14" i="10"/>
  <c r="R14" i="10" s="1"/>
  <c r="Q26" i="10"/>
  <c r="R26" i="10" s="1"/>
  <c r="Q10" i="10"/>
  <c r="R10" i="10" s="1"/>
  <c r="Q8" i="10"/>
  <c r="R8" i="10" s="1"/>
  <c r="Q23" i="10"/>
  <c r="R23" i="10" s="1"/>
  <c r="Q20" i="10"/>
  <c r="R20" i="10" s="1"/>
  <c r="Q9" i="10"/>
  <c r="R9" i="10" s="1"/>
  <c r="Q25" i="10"/>
  <c r="R25" i="10" s="1"/>
  <c r="Q12" i="10"/>
  <c r="R12" i="10" s="1"/>
  <c r="Q18" i="10"/>
  <c r="R18" i="10" s="1"/>
  <c r="Q2" i="10"/>
  <c r="R2" i="10" s="1"/>
  <c r="Q31" i="10"/>
  <c r="R31" i="10" s="1"/>
  <c r="Q21" i="10"/>
  <c r="R21" i="10" s="1"/>
  <c r="Q17" i="10"/>
  <c r="R17" i="10" s="1"/>
  <c r="Q11" i="10"/>
  <c r="R11" i="10" s="1"/>
  <c r="Q28" i="10"/>
  <c r="R28" i="10" s="1"/>
  <c r="Q3" i="10"/>
  <c r="R3" i="10" s="1"/>
  <c r="Q30" i="10"/>
  <c r="R30" i="10" s="1"/>
  <c r="Q4" i="10"/>
  <c r="Q29" i="10"/>
  <c r="R29" i="10" s="1"/>
  <c r="Q16" i="10"/>
  <c r="R16" i="10" s="1"/>
  <c r="Q6" i="10"/>
  <c r="R6" i="10" s="1"/>
  <c r="Q7" i="10"/>
  <c r="R7" i="10" s="1"/>
  <c r="Q15" i="10"/>
  <c r="R15" i="10" s="1"/>
  <c r="Q5" i="10"/>
  <c r="R5" i="10" s="1"/>
  <c r="Q19" i="10"/>
  <c r="R19" i="10" s="1"/>
  <c r="Q27" i="10"/>
  <c r="R27" i="10" s="1"/>
  <c r="Q22" i="10"/>
  <c r="R22" i="10" s="1"/>
  <c r="L22" i="10"/>
  <c r="M22" i="10" s="1"/>
  <c r="V5" i="10" l="1"/>
  <c r="W5" i="10" s="1"/>
  <c r="Y5" i="10" s="1"/>
  <c r="V3" i="10"/>
  <c r="W3" i="10" s="1"/>
  <c r="V10" i="10"/>
  <c r="W10" i="10" s="1"/>
  <c r="Y10" i="10" s="1"/>
  <c r="V4" i="10"/>
  <c r="W4" i="10" s="1"/>
  <c r="V26" i="10"/>
  <c r="W26" i="10" s="1"/>
  <c r="Y26" i="10" s="1"/>
  <c r="V28" i="10"/>
  <c r="W28" i="10" s="1"/>
  <c r="Y28" i="10" s="1"/>
  <c r="V13" i="10"/>
  <c r="W13" i="10" s="1"/>
  <c r="Y13" i="10" s="1"/>
  <c r="V16" i="10"/>
  <c r="W16" i="10" s="1"/>
  <c r="Y16" i="10" s="1"/>
  <c r="V18" i="10"/>
  <c r="W18" i="10" s="1"/>
  <c r="Y18" i="10" s="1"/>
  <c r="V29" i="10"/>
  <c r="W29" i="10" s="1"/>
  <c r="Y29" i="10" s="1"/>
  <c r="V21" i="10"/>
  <c r="W21" i="10" s="1"/>
  <c r="Y21" i="10" s="1"/>
  <c r="V9" i="10"/>
  <c r="W9" i="10" s="1"/>
  <c r="Y9" i="10" s="1"/>
  <c r="V17" i="10"/>
  <c r="W17" i="10" s="1"/>
  <c r="V27" i="10"/>
  <c r="W27" i="10" s="1"/>
  <c r="V22" i="10"/>
  <c r="X22" i="10" s="1"/>
  <c r="V33" i="10"/>
  <c r="W33" i="10" s="1"/>
  <c r="Y33" i="10" s="1"/>
  <c r="V32" i="10"/>
  <c r="W32" i="10" s="1"/>
  <c r="Y32" i="10" s="1"/>
  <c r="V8" i="10"/>
  <c r="W8" i="10" s="1"/>
  <c r="Y8" i="10" s="1"/>
  <c r="V2" i="10"/>
  <c r="W2" i="10" s="1"/>
  <c r="Y2" i="10" s="1"/>
  <c r="V11" i="10"/>
  <c r="W11" i="10" s="1"/>
  <c r="V24" i="10"/>
  <c r="W24" i="10" s="1"/>
  <c r="V20" i="10"/>
  <c r="W20" i="10" s="1"/>
  <c r="V14" i="10"/>
  <c r="W14" i="10" s="1"/>
  <c r="Y14" i="10" s="1"/>
  <c r="V25" i="10"/>
  <c r="W25" i="10" s="1"/>
  <c r="Y25" i="10" s="1"/>
  <c r="V30" i="10"/>
  <c r="W30" i="10" s="1"/>
  <c r="Y30" i="10" s="1"/>
  <c r="V12" i="10"/>
  <c r="W12" i="10" s="1"/>
  <c r="Y12" i="10" s="1"/>
  <c r="V15" i="10"/>
  <c r="W15" i="10" s="1"/>
  <c r="Y15" i="10" s="1"/>
  <c r="V19" i="10"/>
  <c r="W19" i="10" s="1"/>
  <c r="Y19" i="10" s="1"/>
  <c r="V6" i="10"/>
  <c r="W6" i="10" s="1"/>
  <c r="Y6" i="10" s="1"/>
  <c r="V23" i="10"/>
  <c r="W23" i="10" s="1"/>
  <c r="V31" i="10"/>
  <c r="W31" i="10" s="1"/>
  <c r="Y31" i="10" s="1"/>
  <c r="X2" i="10"/>
  <c r="M23" i="10"/>
  <c r="R24" i="10"/>
  <c r="V7" i="10"/>
  <c r="W7" i="10" s="1"/>
  <c r="Y7" i="10" s="1"/>
  <c r="M3" i="10"/>
  <c r="M17" i="10"/>
  <c r="M11" i="10"/>
  <c r="M20" i="10"/>
  <c r="M27" i="10"/>
  <c r="R4" i="10"/>
  <c r="Y4" i="10" s="1"/>
  <c r="Y23" i="10" l="1"/>
  <c r="Y24" i="10"/>
  <c r="W22" i="10"/>
  <c r="Y22" i="10" s="1"/>
  <c r="Y3" i="10"/>
  <c r="X5" i="10"/>
  <c r="Y27" i="10"/>
  <c r="Y17" i="10"/>
  <c r="Y20" i="10"/>
  <c r="Y11" i="10"/>
  <c r="X3" i="10"/>
  <c r="X26" i="10"/>
  <c r="X4" i="10"/>
  <c r="X27" i="10"/>
  <c r="X8" i="10"/>
  <c r="X32" i="10"/>
  <c r="X33" i="10"/>
  <c r="X10" i="10"/>
  <c r="X13" i="10"/>
  <c r="X28" i="10"/>
  <c r="X20" i="10"/>
  <c r="X29" i="10"/>
  <c r="X17" i="10"/>
  <c r="X9" i="10"/>
  <c r="X21" i="10"/>
  <c r="X18" i="10"/>
  <c r="X16" i="10"/>
  <c r="X24" i="10"/>
  <c r="X11" i="10"/>
  <c r="X25" i="10"/>
  <c r="X30" i="10"/>
  <c r="X12" i="10"/>
  <c r="X14" i="10"/>
  <c r="X6" i="10"/>
  <c r="X19" i="10"/>
  <c r="X31" i="10"/>
  <c r="X15" i="10"/>
  <c r="X23" i="10"/>
  <c r="X7" i="10"/>
</calcChain>
</file>

<file path=xl/sharedStrings.xml><?xml version="1.0" encoding="utf-8"?>
<sst xmlns="http://schemas.openxmlformats.org/spreadsheetml/2006/main" count="532" uniqueCount="139">
  <si>
    <t>Recife</t>
  </si>
  <si>
    <t>-</t>
  </si>
  <si>
    <t xml:space="preserve">Metro - Services - Demand
Passanger/year </t>
  </si>
  <si>
    <t>Fuente</t>
  </si>
  <si>
    <t>https://metro.cdmx.gob.mx/longitud-lineas</t>
  </si>
  <si>
    <t>year metro</t>
  </si>
  <si>
    <t>Metro - Services - Demand
Passanger/day</t>
  </si>
  <si>
    <t>https://www.metro.sp.gov.br/wp-content/uploads/2023/05/relatorio-integrado-2022.pdf</t>
  </si>
  <si>
    <t>https://web.archive.org/web/20190709192307/http://g1.globo.com/rio-de-janeiro/noticia/2016/07/temer-participa-de-inauguracao-da-linha-4-do-metro-no-rio.html</t>
  </si>
  <si>
    <t>https://www.metro.cl/gobierno-corporativo/memoria</t>
  </si>
  <si>
    <t>https://www.metrobh.com.br/institucional/#metro-bh-em-numeros</t>
  </si>
  <si>
    <t>https://lineasdelmetro.com.mx/guadalajara/</t>
  </si>
  <si>
    <t>https://www.metrorecife.com.br/mapa/</t>
  </si>
  <si>
    <t>https://www.ccrmetrobahia.com.br/por-dentro-do-metr%C3%B4/metr%C3%B4-em-n%C3%BAmeros/</t>
  </si>
  <si>
    <t>https://www.trensurb.gov.br/sobre-a-trensurb/historia</t>
  </si>
  <si>
    <t>http://repositoriodigital.uma.edu.ve:8080/jspui/bitstream/123456789/858/1/TEG_EPG1_2018.pdf</t>
  </si>
  <si>
    <t>https://metro.df.gov.br/wp-content/uploads/2023/05/Relatorio_de_Sustentabilidade__2__compactado.pdf</t>
  </si>
  <si>
    <t>147.688,</t>
  </si>
  <si>
    <t>https://issuu.com/metrodequito/docs/01-quitosemueve</t>
  </si>
  <si>
    <t>https://www.elmetrodepanama.com/wp-content/uploads/2024/02/Metro-de-Panama-Memoria-Anual-2023-version-digital-2.pdf</t>
  </si>
  <si>
    <t>Row Labels</t>
  </si>
  <si>
    <t>Grand Total</t>
  </si>
  <si>
    <t>Ciudad de Mexico</t>
  </si>
  <si>
    <t>Sao Paulo</t>
  </si>
  <si>
    <t>Buenos Aires</t>
  </si>
  <si>
    <t>Rio de Janeiro</t>
  </si>
  <si>
    <t>Lima</t>
  </si>
  <si>
    <t>Santiago</t>
  </si>
  <si>
    <t>Belo Horizonte</t>
  </si>
  <si>
    <t>Guadalajara</t>
  </si>
  <si>
    <t>Salvador</t>
  </si>
  <si>
    <t>Caracas</t>
  </si>
  <si>
    <t>Brasilia</t>
  </si>
  <si>
    <t>Quito</t>
  </si>
  <si>
    <t>Panama</t>
  </si>
  <si>
    <t>Beijing</t>
  </si>
  <si>
    <t>Guiyang</t>
  </si>
  <si>
    <t xml:space="preserve">	10544000</t>
  </si>
  <si>
    <t>https://www.ceicdata.com/en/china/no-of-employee-prefecture-level-city/no-of-employee-guizhou-guiyang</t>
  </si>
  <si>
    <t>https://www.estadisticaciudad.gob.ar/eyc/?p=46559
https://www.researchgate.net/publication/345811121_Demanda_de_pasajeros_del_Sistema_de_Subterraneos_de_la_Ciudad_Autonoma_de_Buenos_Aires_Evidencia_empirica_de_diferencias_entre_lineas_y_estaciones</t>
  </si>
  <si>
    <t>https://nj.tjj.beijing.gov.cn/nj/main/2021-tjnj/zk/indexeh.htm</t>
  </si>
  <si>
    <t>Daily ridership  in total
(millions/day) - mobility</t>
  </si>
  <si>
    <t>MinMax</t>
  </si>
  <si>
    <t>TOTAL
MinMax</t>
  </si>
  <si>
    <t>TOTAL
PONDERADO</t>
  </si>
  <si>
    <t>POND</t>
  </si>
  <si>
    <t>OPENED</t>
  </si>
  <si>
    <t>Shanghai</t>
  </si>
  <si>
    <t>Xian</t>
  </si>
  <si>
    <t>Chengdu</t>
  </si>
  <si>
    <t>Tianjin</t>
  </si>
  <si>
    <t>Changzhou</t>
  </si>
  <si>
    <t>Xiamen</t>
  </si>
  <si>
    <t>Jinan</t>
  </si>
  <si>
    <t>Shaoxing</t>
  </si>
  <si>
    <t>Fuzhou</t>
  </si>
  <si>
    <t>Lanzhou</t>
  </si>
  <si>
    <t>Changsha</t>
  </si>
  <si>
    <t>Foshan</t>
  </si>
  <si>
    <t>Dongguan</t>
  </si>
  <si>
    <t>Urumqi</t>
  </si>
  <si>
    <t>China</t>
  </si>
  <si>
    <t>Brazil</t>
  </si>
  <si>
    <t>México</t>
  </si>
  <si>
    <t>Argentina</t>
  </si>
  <si>
    <t>Perú</t>
  </si>
  <si>
    <t>Chile</t>
  </si>
  <si>
    <t xml:space="preserve">Brazil </t>
  </si>
  <si>
    <t>Ecuador</t>
  </si>
  <si>
    <t>SCALE</t>
  </si>
  <si>
    <t>Medium City</t>
  </si>
  <si>
    <t>Large City</t>
  </si>
  <si>
    <t>Mega city</t>
  </si>
  <si>
    <t>CITY</t>
  </si>
  <si>
    <t>COUNTRY</t>
  </si>
  <si>
    <t>POPULATION
metropolitan area (total people) - socioeconomic</t>
  </si>
  <si>
    <t>AREA
 metropolitan area
(Km2) - socioeconomico</t>
  </si>
  <si>
    <t>DENSITY
 metropolitan area (population/km2) - socioeconomic</t>
  </si>
  <si>
    <t>COVERAGE
SQ.KM</t>
  </si>
  <si>
    <t>RELATION 
LAND AREA/ SQ.KM</t>
  </si>
  <si>
    <t>Venezuela</t>
  </si>
  <si>
    <t>Colombia</t>
  </si>
  <si>
    <t>PROVINCIA</t>
  </si>
  <si>
    <t>Guangdong </t>
  </si>
  <si>
    <t> Fujian</t>
  </si>
  <si>
    <t> Xinjiang </t>
  </si>
  <si>
    <t> Gansu</t>
  </si>
  <si>
    <t> Jiangsu</t>
  </si>
  <si>
    <t> Guangdong </t>
  </si>
  <si>
    <t>Guizhou</t>
  </si>
  <si>
    <t> Zhejiang</t>
  </si>
  <si>
    <t>Shandong</t>
  </si>
  <si>
    <t> Hunan</t>
  </si>
  <si>
    <t>Shaanxi</t>
  </si>
  <si>
    <t>Sichuan</t>
  </si>
  <si>
    <t>Pichincha</t>
  </si>
  <si>
    <t>Federal District</t>
  </si>
  <si>
    <t>Anitoquia</t>
  </si>
  <si>
    <t>Distrito Capital</t>
  </si>
  <si>
    <t>Pernambuco</t>
  </si>
  <si>
    <t>Bahía</t>
  </si>
  <si>
    <t>Rio Grande do Sul</t>
  </si>
  <si>
    <t>Jalisco</t>
  </si>
  <si>
    <t>Minas Gerais</t>
  </si>
  <si>
    <t>Medellin</t>
  </si>
  <si>
    <t xml:space="preserve">Porto Alegre </t>
  </si>
  <si>
    <t>PIB  - GDP MILLIONS
(%) - socioeconomic</t>
  </si>
  <si>
    <t xml:space="preserve">Daily ridership public Transport
(millions/day) - mobility </t>
  </si>
  <si>
    <t xml:space="preserve">TABLE RESULT 
DENS-COVER </t>
  </si>
  <si>
    <t xml:space="preserve">TABLE RESULT 
AREA-COVER </t>
  </si>
  <si>
    <t xml:space="preserve">TABLE RESULT 
POPU-COVER </t>
  </si>
  <si>
    <t>METRO SERV -LENGGHT
(KM)</t>
  </si>
  <si>
    <t>METRO SERV 
LINES (UNID)</t>
  </si>
  <si>
    <t>METRO SERV
STATIONS (UNID)</t>
  </si>
  <si>
    <t>GENERAL VALUE</t>
  </si>
  <si>
    <t>K-MEANS CLUSTER POPU-COVER</t>
  </si>
  <si>
    <t>K-MEANS CLUSTER AREA-COVER</t>
  </si>
  <si>
    <t>K-MEANS CLUSTER DENS-COVER</t>
  </si>
  <si>
    <t>CLUSTER PONDERTED 3</t>
  </si>
  <si>
    <t>POPULATION</t>
  </si>
  <si>
    <t>AREA</t>
  </si>
  <si>
    <t>DENSITY</t>
  </si>
  <si>
    <t>Sum of POPULATION
metropolitan area (total people) - socioeconomic</t>
  </si>
  <si>
    <t>Sum of RELATION 
LAND AREA/ SQ.KM</t>
  </si>
  <si>
    <t>Sum of AREA
 metropolitan area
(Km2) - socioeconomico</t>
  </si>
  <si>
    <t>Sum of DENSITY
 metropolitan area (population/km2) - socioeconomic</t>
  </si>
  <si>
    <t xml:space="preserve">RELATION
POPU-COVER </t>
  </si>
  <si>
    <t xml:space="preserve">RELATION
AREA-COVER </t>
  </si>
  <si>
    <t xml:space="preserve">RELATION
DENS-COVER </t>
  </si>
  <si>
    <t>K-MEAN RESULT</t>
  </si>
  <si>
    <t>VARIABLE</t>
  </si>
  <si>
    <t>EXTREME WORK COMMUTES
60 MINUTES OR MORE (%)</t>
  </si>
  <si>
    <t>CLUSTER PONDERTED 2</t>
  </si>
  <si>
    <t>CLUSTER PONDERTED 1</t>
  </si>
  <si>
    <t xml:space="preserve">CITY </t>
  </si>
  <si>
    <t>ORDER</t>
  </si>
  <si>
    <t>RESULT</t>
  </si>
  <si>
    <t>LAND AREA
 metropolitan area
(Km2) - socioeconomico</t>
  </si>
  <si>
    <t>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</si>
</sst>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#,##0.000"/>
    <numFmt numFmtId="167" formatCode="#,##0.000000"/>
    <numFmt numFmtId="168" formatCode="0.000000"/>
  </numFmts>
  <fonts count="10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charset val="20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5F4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2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top" shrinkToFi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top" shrinkToFit="1"/>
    </xf>
    <xf numFmtId="0" fontId="0" fillId="0" borderId="0" xfId="0" pivotButton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center" vertical="top" shrinkToFit="1"/>
    </xf>
    <xf numFmtId="166" fontId="5" fillId="0" borderId="0" xfId="0" applyNumberFormat="1" applyFont="1" applyAlignment="1">
      <alignment horizontal="center" vertical="top" shrinkToFit="1"/>
    </xf>
    <xf numFmtId="166" fontId="5" fillId="3" borderId="0" xfId="0" applyNumberFormat="1" applyFont="1" applyFill="1" applyAlignment="1">
      <alignment horizontal="center" vertical="top" shrinkToFit="1"/>
    </xf>
    <xf numFmtId="167" fontId="5" fillId="0" borderId="0" xfId="0" applyNumberFormat="1" applyFont="1" applyAlignment="1">
      <alignment horizontal="center" vertical="top" shrinkToFit="1"/>
    </xf>
    <xf numFmtId="167" fontId="1" fillId="3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166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1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wrapText="1"/>
    </xf>
    <xf numFmtId="0" fontId="5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shrinkToFit="1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 shrinkToFit="1"/>
    </xf>
    <xf numFmtId="1" fontId="2" fillId="6" borderId="0" xfId="0" applyNumberFormat="1" applyFont="1" applyFill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2" fillId="6" borderId="0" xfId="0" applyNumberFormat="1" applyFont="1" applyFill="1" applyAlignment="1">
      <alignment horizontal="center" vertical="top" shrinkToFit="1"/>
    </xf>
    <xf numFmtId="165" fontId="2" fillId="6" borderId="0" xfId="0" applyNumberFormat="1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168" fontId="5" fillId="0" borderId="0" xfId="0" applyNumberFormat="1" applyFont="1" applyAlignment="1">
      <alignment horizontal="center" vertical="top" wrapText="1"/>
    </xf>
    <xf numFmtId="167" fontId="1" fillId="3" borderId="0" xfId="0" applyNumberFormat="1" applyFont="1" applyFill="1" applyAlignment="1">
      <alignment horizontal="center" vertical="top"/>
    </xf>
    <xf numFmtId="166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shrinkToFit="1"/>
    </xf>
    <xf numFmtId="1" fontId="2" fillId="5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top" shrinkToFit="1"/>
    </xf>
    <xf numFmtId="165" fontId="2" fillId="5" borderId="0" xfId="0" applyNumberFormat="1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3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/>
    </xf>
    <xf numFmtId="0" fontId="4" fillId="7" borderId="0" xfId="0" applyFont="1" applyFill="1" applyAlignment="1">
      <alignment horizontal="center" vertical="center" wrapText="1"/>
    </xf>
    <xf numFmtId="166" fontId="1" fillId="7" borderId="0" xfId="0" applyNumberFormat="1" applyFont="1" applyFill="1" applyAlignment="1">
      <alignment horizontal="center" vertical="top"/>
    </xf>
    <xf numFmtId="0" fontId="1" fillId="7" borderId="0" xfId="0" applyFont="1" applyFill="1" applyAlignment="1">
      <alignment horizontal="left" vertical="top"/>
    </xf>
    <xf numFmtId="165" fontId="2" fillId="6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left" vertical="top"/>
    </xf>
    <xf numFmtId="2" fontId="0" fillId="3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left" vertical="top"/>
    </xf>
    <xf numFmtId="0" fontId="9" fillId="2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2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2" fontId="0" fillId="9" borderId="0" xfId="0" applyNumberForma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2" fontId="0" fillId="12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left" vertical="top"/>
    </xf>
  </cellXfs>
  <cellStyles count="3">
    <cellStyle name="Comma" xfId="2" builtinId="3"/>
    <cellStyle name="Normal" xfId="0" builtinId="0"/>
    <cellStyle name="Percent" xfId="1" builtinId="5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E5F4F7"/>
      <color rgb="FFFFFFCC"/>
      <color rgb="FFFFFF99"/>
      <color rgb="FFCCFFCC"/>
      <color rgb="FFFFCCCC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[article-data-franklinliendro.xlsx]FIGURE!PivotTable1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FIGURE!$C$2</c:f>
              <c:strCache>
                <c:ptCount val="1"/>
                <c:pt idx="0">
                  <c:v>Sum of POPULATION
metropolitan area (total people)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FIGURE!$C$3:$C$35</c:f>
              <c:numCache>
                <c:formatCode>General</c:formatCode>
                <c:ptCount val="32"/>
                <c:pt idx="0">
                  <c:v>1771384</c:v>
                </c:pt>
                <c:pt idx="1">
                  <c:v>1950100</c:v>
                </c:pt>
                <c:pt idx="2">
                  <c:v>2111500</c:v>
                </c:pt>
                <c:pt idx="3">
                  <c:v>2239191</c:v>
                </c:pt>
                <c:pt idx="4">
                  <c:v>2668300</c:v>
                </c:pt>
                <c:pt idx="5">
                  <c:v>2852372</c:v>
                </c:pt>
                <c:pt idx="6">
                  <c:v>3383258</c:v>
                </c:pt>
                <c:pt idx="7">
                  <c:v>3611087</c:v>
                </c:pt>
                <c:pt idx="8">
                  <c:v>3693100</c:v>
                </c:pt>
                <c:pt idx="9">
                  <c:v>3708500</c:v>
                </c:pt>
                <c:pt idx="10">
                  <c:v>3887261</c:v>
                </c:pt>
                <c:pt idx="11">
                  <c:v>3887900</c:v>
                </c:pt>
                <c:pt idx="12">
                  <c:v>3992799.9999999995</c:v>
                </c:pt>
                <c:pt idx="13">
                  <c:v>4016371</c:v>
                </c:pt>
                <c:pt idx="14">
                  <c:v>4161237</c:v>
                </c:pt>
                <c:pt idx="15">
                  <c:v>4431100</c:v>
                </c:pt>
                <c:pt idx="16">
                  <c:v>4515531</c:v>
                </c:pt>
                <c:pt idx="17">
                  <c:v>4621800</c:v>
                </c:pt>
                <c:pt idx="18">
                  <c:v>5609654</c:v>
                </c:pt>
                <c:pt idx="19">
                  <c:v>5842259</c:v>
                </c:pt>
                <c:pt idx="20">
                  <c:v>6257300</c:v>
                </c:pt>
                <c:pt idx="21">
                  <c:v>7431799.9999999991</c:v>
                </c:pt>
                <c:pt idx="22">
                  <c:v>8156600</c:v>
                </c:pt>
                <c:pt idx="23">
                  <c:v>9752000</c:v>
                </c:pt>
                <c:pt idx="24">
                  <c:v>12156624</c:v>
                </c:pt>
                <c:pt idx="25">
                  <c:v>14390000</c:v>
                </c:pt>
                <c:pt idx="26">
                  <c:v>14657500</c:v>
                </c:pt>
                <c:pt idx="27">
                  <c:v>15769937.907311</c:v>
                </c:pt>
                <c:pt idx="28">
                  <c:v>20392950</c:v>
                </c:pt>
                <c:pt idx="29">
                  <c:v>20935204</c:v>
                </c:pt>
                <c:pt idx="30">
                  <c:v>21883000</c:v>
                </c:pt>
                <c:pt idx="31">
                  <c:v>24152700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97551"/>
        <c:axId val="2080098031"/>
      </c:barChart>
      <c:lineChart>
        <c:grouping val="standard"/>
        <c:varyColors val="0"/>
        <c:ser>
          <c:idx val="1"/>
          <c:order val="1"/>
          <c:tx>
            <c:strRef>
              <c:f>FIGURE!$D$2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FIGURE!$B$3:$B$35</c:f>
              <c:strCache>
                <c:ptCount val="32"/>
                <c:pt idx="0">
                  <c:v>Panama</c:v>
                </c:pt>
                <c:pt idx="1">
                  <c:v>Dongguan</c:v>
                </c:pt>
                <c:pt idx="2">
                  <c:v>Xiamen</c:v>
                </c:pt>
                <c:pt idx="3">
                  <c:v>Quito</c:v>
                </c:pt>
                <c:pt idx="4">
                  <c:v>Urumqi</c:v>
                </c:pt>
                <c:pt idx="5">
                  <c:v>Brasilia</c:v>
                </c:pt>
                <c:pt idx="6">
                  <c:v>Medellin</c:v>
                </c:pt>
                <c:pt idx="7">
                  <c:v>Caracas</c:v>
                </c:pt>
                <c:pt idx="8">
                  <c:v>Lanzhou</c:v>
                </c:pt>
                <c:pt idx="9">
                  <c:v>Changzhou</c:v>
                </c:pt>
                <c:pt idx="10">
                  <c:v>Recife</c:v>
                </c:pt>
                <c:pt idx="11">
                  <c:v>Foshan</c:v>
                </c:pt>
                <c:pt idx="12">
                  <c:v>Fuzhou</c:v>
                </c:pt>
                <c:pt idx="13">
                  <c:v>Salvador</c:v>
                </c:pt>
                <c:pt idx="14">
                  <c:v>Porto Alegre </c:v>
                </c:pt>
                <c:pt idx="15">
                  <c:v>Shaoxing</c:v>
                </c:pt>
                <c:pt idx="16">
                  <c:v>Guadalajara</c:v>
                </c:pt>
                <c:pt idx="17">
                  <c:v>Guiyang</c:v>
                </c:pt>
                <c:pt idx="18">
                  <c:v>Belo Horizonte</c:v>
                </c:pt>
                <c:pt idx="19">
                  <c:v>Santiago</c:v>
                </c:pt>
                <c:pt idx="20">
                  <c:v>Jinan</c:v>
                </c:pt>
                <c:pt idx="21">
                  <c:v>Changsha</c:v>
                </c:pt>
                <c:pt idx="22">
                  <c:v>Xian</c:v>
                </c:pt>
                <c:pt idx="23">
                  <c:v>Lima</c:v>
                </c:pt>
                <c:pt idx="24">
                  <c:v>Rio de Janeiro</c:v>
                </c:pt>
                <c:pt idx="25">
                  <c:v>Tianjin</c:v>
                </c:pt>
                <c:pt idx="26">
                  <c:v>Chengdu</c:v>
                </c:pt>
                <c:pt idx="27">
                  <c:v>Buenos Aires</c:v>
                </c:pt>
                <c:pt idx="28">
                  <c:v>Ciudad de Mexico</c:v>
                </c:pt>
                <c:pt idx="29">
                  <c:v>Sao Paulo</c:v>
                </c:pt>
                <c:pt idx="30">
                  <c:v>Beijing</c:v>
                </c:pt>
                <c:pt idx="31">
                  <c:v>Shanghai</c:v>
                </c:pt>
              </c:strCache>
            </c:strRef>
          </c:cat>
          <c:val>
            <c:numRef>
              <c:f>FIGURE!$D$3:$D$35</c:f>
              <c:numCache>
                <c:formatCode>General</c:formatCode>
                <c:ptCount val="32"/>
                <c:pt idx="0">
                  <c:v>5.7767247386759584</c:v>
                </c:pt>
                <c:pt idx="1">
                  <c:v>0.30634146341463414</c:v>
                </c:pt>
                <c:pt idx="2">
                  <c:v>2.0699234844025898</c:v>
                </c:pt>
                <c:pt idx="3">
                  <c:v>2.0236848465318618</c:v>
                </c:pt>
                <c:pt idx="4">
                  <c:v>7.6518711923411656E-2</c:v>
                </c:pt>
                <c:pt idx="5">
                  <c:v>5.4040874865543209</c:v>
                </c:pt>
                <c:pt idx="6">
                  <c:v>7.8566836371218569</c:v>
                </c:pt>
                <c:pt idx="7">
                  <c:v>9.2526570233664582</c:v>
                </c:pt>
                <c:pt idx="8">
                  <c:v>4.3865839706148009</c:v>
                </c:pt>
                <c:pt idx="9">
                  <c:v>0.50561756633119848</c:v>
                </c:pt>
                <c:pt idx="10">
                  <c:v>1.6721981836337525</c:v>
                </c:pt>
                <c:pt idx="11">
                  <c:v>0.97887309110057918</c:v>
                </c:pt>
                <c:pt idx="12">
                  <c:v>0.26724825788605777</c:v>
                </c:pt>
                <c:pt idx="13">
                  <c:v>2.6136931602822631</c:v>
                </c:pt>
                <c:pt idx="14">
                  <c:v>2.5468454767500806</c:v>
                </c:pt>
                <c:pt idx="15">
                  <c:v>0.22452953255224059</c:v>
                </c:pt>
                <c:pt idx="16">
                  <c:v>3.4822186667898873</c:v>
                </c:pt>
                <c:pt idx="17">
                  <c:v>3.3493333333333335</c:v>
                </c:pt>
                <c:pt idx="18">
                  <c:v>1.5830182421227197</c:v>
                </c:pt>
                <c:pt idx="19">
                  <c:v>10.852447129909365</c:v>
                </c:pt>
                <c:pt idx="20">
                  <c:v>0.251262815703926</c:v>
                </c:pt>
                <c:pt idx="21">
                  <c:v>0.67179417738659442</c:v>
                </c:pt>
                <c:pt idx="22">
                  <c:v>1.0548558977914231</c:v>
                </c:pt>
                <c:pt idx="23">
                  <c:v>3.3342349110944149</c:v>
                </c:pt>
                <c:pt idx="24">
                  <c:v>2.2887111111111111</c:v>
                </c:pt>
                <c:pt idx="25">
                  <c:v>0.91905009650079716</c:v>
                </c:pt>
                <c:pt idx="26">
                  <c:v>1.5460374556554739</c:v>
                </c:pt>
                <c:pt idx="27">
                  <c:v>1.3973525624517127</c:v>
                </c:pt>
                <c:pt idx="28">
                  <c:v>3.7556145249718154</c:v>
                </c:pt>
                <c:pt idx="29">
                  <c:v>2.02415572657311</c:v>
                </c:pt>
                <c:pt idx="30">
                  <c:v>1.5001584399756245</c:v>
                </c:pt>
                <c:pt idx="31">
                  <c:v>6.3542785049676711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3-45CA-B58E-EDD07781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11791"/>
        <c:axId val="1962913695"/>
      </c:lineChart>
      <c:catAx>
        <c:axId val="20800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8031"/>
        <c:crosses val="autoZero"/>
        <c:auto val="1"/>
        <c:lblAlgn val="ctr"/>
        <c:lblOffset val="100"/>
        <c:noMultiLvlLbl val="0"/>
      </c:catAx>
      <c:valAx>
        <c:axId val="20800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97551"/>
        <c:crosses val="autoZero"/>
        <c:crossBetween val="between"/>
      </c:valAx>
      <c:valAx>
        <c:axId val="196291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11791"/>
        <c:crosses val="max"/>
        <c:crossBetween val="between"/>
      </c:valAx>
      <c:catAx>
        <c:axId val="183321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913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[article-data-franklinliendro.xlsx]FIGURE!PivotTable6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FIGURE!$C$37</c:f>
              <c:strCache>
                <c:ptCount val="1"/>
                <c:pt idx="0">
                  <c:v>Sum of AREA
 metropolitan area
(Km2) - socioeconomico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FIGURE!$C$38:$C$70</c:f>
              <c:numCache>
                <c:formatCode>General</c:formatCode>
                <c:ptCount val="32"/>
                <c:pt idx="0">
                  <c:v>16410</c:v>
                </c:pt>
                <c:pt idx="1">
                  <c:v>603</c:v>
                </c:pt>
                <c:pt idx="2">
                  <c:v>251.01</c:v>
                </c:pt>
                <c:pt idx="3">
                  <c:v>3883</c:v>
                </c:pt>
                <c:pt idx="4">
                  <c:v>260.63</c:v>
                </c:pt>
                <c:pt idx="5">
                  <c:v>11816</c:v>
                </c:pt>
                <c:pt idx="6">
                  <c:v>4372</c:v>
                </c:pt>
                <c:pt idx="7">
                  <c:v>12121</c:v>
                </c:pt>
                <c:pt idx="8">
                  <c:v>2608.5744249999998</c:v>
                </c:pt>
                <c:pt idx="9">
                  <c:v>2460</c:v>
                </c:pt>
                <c:pt idx="10">
                  <c:v>3798</c:v>
                </c:pt>
                <c:pt idx="11">
                  <c:v>18799</c:v>
                </c:pt>
                <c:pt idx="12">
                  <c:v>692.524</c:v>
                </c:pt>
                <c:pt idx="13">
                  <c:v>1230</c:v>
                </c:pt>
                <c:pt idx="14">
                  <c:v>7998</c:v>
                </c:pt>
                <c:pt idx="15">
                  <c:v>332.14</c:v>
                </c:pt>
                <c:pt idx="16">
                  <c:v>798.6</c:v>
                </c:pt>
                <c:pt idx="17">
                  <c:v>172.65299999999999</c:v>
                </c:pt>
                <c:pt idx="18">
                  <c:v>287</c:v>
                </c:pt>
                <c:pt idx="19">
                  <c:v>433.98</c:v>
                </c:pt>
                <c:pt idx="20">
                  <c:v>372.39</c:v>
                </c:pt>
                <c:pt idx="21">
                  <c:v>841.23999999996545</c:v>
                </c:pt>
                <c:pt idx="22">
                  <c:v>900</c:v>
                </c:pt>
                <c:pt idx="23">
                  <c:v>384.43686323588486</c:v>
                </c:pt>
                <c:pt idx="24">
                  <c:v>662</c:v>
                </c:pt>
                <c:pt idx="25">
                  <c:v>2209</c:v>
                </c:pt>
                <c:pt idx="26">
                  <c:v>6341</c:v>
                </c:pt>
                <c:pt idx="27">
                  <c:v>8279</c:v>
                </c:pt>
                <c:pt idx="28">
                  <c:v>11917</c:v>
                </c:pt>
                <c:pt idx="29">
                  <c:v>13788</c:v>
                </c:pt>
                <c:pt idx="30">
                  <c:v>1699</c:v>
                </c:pt>
                <c:pt idx="31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112239"/>
        <c:axId val="1801113679"/>
      </c:barChart>
      <c:lineChart>
        <c:grouping val="standard"/>
        <c:varyColors val="0"/>
        <c:ser>
          <c:idx val="1"/>
          <c:order val="1"/>
          <c:tx>
            <c:strRef>
              <c:f>FIGURE!$D$37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FIGURE!$B$38:$B$70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FIGURE!$D$38:$D$70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F-4592-80C8-0046527B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64111"/>
        <c:axId val="323464591"/>
      </c:lineChart>
      <c:catAx>
        <c:axId val="18011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3679"/>
        <c:crosses val="autoZero"/>
        <c:auto val="1"/>
        <c:lblAlgn val="ctr"/>
        <c:lblOffset val="100"/>
        <c:noMultiLvlLbl val="0"/>
      </c:catAx>
      <c:valAx>
        <c:axId val="1801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2239"/>
        <c:crosses val="autoZero"/>
        <c:crossBetween val="between"/>
      </c:valAx>
      <c:valAx>
        <c:axId val="32346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4111"/>
        <c:crosses val="max"/>
        <c:crossBetween val="between"/>
      </c:valAx>
      <c:catAx>
        <c:axId val="323464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6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[article-data-franklinliendro.xlsx]FIGURE!PivotTable7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FIGURE!$C$72</c:f>
              <c:strCache>
                <c:ptCount val="1"/>
                <c:pt idx="0">
                  <c:v>Sum of DENSITY
 metropolitan area (population/km2) - socioeconomic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FIGURE!$C$73:$C$105</c:f>
              <c:numCache>
                <c:formatCode>General</c:formatCode>
                <c:ptCount val="32"/>
                <c:pt idx="0">
                  <c:v>1333.5161486898232</c:v>
                </c:pt>
                <c:pt idx="1">
                  <c:v>9302.9087893864016</c:v>
                </c:pt>
                <c:pt idx="2">
                  <c:v>11363.579140273296</c:v>
                </c:pt>
                <c:pt idx="3">
                  <c:v>4061.2768239276334</c:v>
                </c:pt>
                <c:pt idx="4">
                  <c:v>13855</c:v>
                </c:pt>
                <c:pt idx="5">
                  <c:v>628.96073121191591</c:v>
                </c:pt>
                <c:pt idx="6">
                  <c:v>848.23879231473006</c:v>
                </c:pt>
                <c:pt idx="7">
                  <c:v>1209.2649121359623</c:v>
                </c:pt>
                <c:pt idx="8">
                  <c:v>7817.6607899542687</c:v>
                </c:pt>
                <c:pt idx="9">
                  <c:v>792.72357723577238</c:v>
                </c:pt>
                <c:pt idx="10">
                  <c:v>1023.6703528172723</c:v>
                </c:pt>
                <c:pt idx="11">
                  <c:v>212.39427629129207</c:v>
                </c:pt>
                <c:pt idx="12">
                  <c:v>6520.3964050343384</c:v>
                </c:pt>
                <c:pt idx="13">
                  <c:v>3757.560975609756</c:v>
                </c:pt>
                <c:pt idx="14">
                  <c:v>782.35808952238062</c:v>
                </c:pt>
                <c:pt idx="15">
                  <c:v>11119.106400915278</c:v>
                </c:pt>
                <c:pt idx="16">
                  <c:v>12211</c:v>
                </c:pt>
                <c:pt idx="17">
                  <c:v>19595.709312899286</c:v>
                </c:pt>
                <c:pt idx="18">
                  <c:v>6172.0696864111496</c:v>
                </c:pt>
                <c:pt idx="19">
                  <c:v>9588.5455550947045</c:v>
                </c:pt>
                <c:pt idx="20">
                  <c:v>6013.0266655925243</c:v>
                </c:pt>
                <c:pt idx="21">
                  <c:v>4620.8703818175072</c:v>
                </c:pt>
                <c:pt idx="22">
                  <c:v>13507.36</c:v>
                </c:pt>
                <c:pt idx="23">
                  <c:v>10447.413825493662</c:v>
                </c:pt>
                <c:pt idx="24">
                  <c:v>8825</c:v>
                </c:pt>
                <c:pt idx="25">
                  <c:v>9477.2313263920332</c:v>
                </c:pt>
                <c:pt idx="26">
                  <c:v>3808.9733480523578</c:v>
                </c:pt>
                <c:pt idx="27">
                  <c:v>535.22164512622294</c:v>
                </c:pt>
                <c:pt idx="28">
                  <c:v>1207.5186708064109</c:v>
                </c:pt>
                <c:pt idx="29">
                  <c:v>193.52335364084712</c:v>
                </c:pt>
                <c:pt idx="30">
                  <c:v>1242.789876397881</c:v>
                </c:pt>
                <c:pt idx="31">
                  <c:v>807.82410617014955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296911"/>
        <c:axId val="1921297391"/>
      </c:barChart>
      <c:lineChart>
        <c:grouping val="standard"/>
        <c:varyColors val="0"/>
        <c:ser>
          <c:idx val="1"/>
          <c:order val="1"/>
          <c:tx>
            <c:strRef>
              <c:f>FIGURE!$D$72</c:f>
              <c:strCache>
                <c:ptCount val="1"/>
                <c:pt idx="0">
                  <c:v>Sum of RELATION 
LAND AREA/ SQ.KM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FIGURE!$B$73:$B$105</c:f>
              <c:strCache>
                <c:ptCount val="32"/>
                <c:pt idx="0">
                  <c:v>Beijing</c:v>
                </c:pt>
                <c:pt idx="1">
                  <c:v>Belo Horizonte</c:v>
                </c:pt>
                <c:pt idx="2">
                  <c:v>Brasilia</c:v>
                </c:pt>
                <c:pt idx="3">
                  <c:v>Buenos Aires</c:v>
                </c:pt>
                <c:pt idx="4">
                  <c:v>Caracas</c:v>
                </c:pt>
                <c:pt idx="5">
                  <c:v>Changsha</c:v>
                </c:pt>
                <c:pt idx="6">
                  <c:v>Changzhou</c:v>
                </c:pt>
                <c:pt idx="7">
                  <c:v>Chengdu</c:v>
                </c:pt>
                <c:pt idx="8">
                  <c:v>Ciudad de Mexico</c:v>
                </c:pt>
                <c:pt idx="9">
                  <c:v>Dongguan</c:v>
                </c:pt>
                <c:pt idx="10">
                  <c:v>Foshan</c:v>
                </c:pt>
                <c:pt idx="11">
                  <c:v>Fuzhou</c:v>
                </c:pt>
                <c:pt idx="12">
                  <c:v>Guadalajara</c:v>
                </c:pt>
                <c:pt idx="13">
                  <c:v>Guiyang</c:v>
                </c:pt>
                <c:pt idx="14">
                  <c:v>Jinan</c:v>
                </c:pt>
                <c:pt idx="15">
                  <c:v>Lanzhou</c:v>
                </c:pt>
                <c:pt idx="16">
                  <c:v>Lima</c:v>
                </c:pt>
                <c:pt idx="17">
                  <c:v>Medellin</c:v>
                </c:pt>
                <c:pt idx="18">
                  <c:v>Panama</c:v>
                </c:pt>
                <c:pt idx="19">
                  <c:v>Porto Alegre </c:v>
                </c:pt>
                <c:pt idx="20">
                  <c:v>Quito</c:v>
                </c:pt>
                <c:pt idx="21">
                  <c:v>Recife</c:v>
                </c:pt>
                <c:pt idx="22">
                  <c:v>Rio de Janeiro</c:v>
                </c:pt>
                <c:pt idx="23">
                  <c:v>Salvador</c:v>
                </c:pt>
                <c:pt idx="24">
                  <c:v>Santiago</c:v>
                </c:pt>
                <c:pt idx="25">
                  <c:v>Sao Paulo</c:v>
                </c:pt>
                <c:pt idx="26">
                  <c:v>Shanghai</c:v>
                </c:pt>
                <c:pt idx="27">
                  <c:v>Shaoxing</c:v>
                </c:pt>
                <c:pt idx="28">
                  <c:v>Tianjin</c:v>
                </c:pt>
                <c:pt idx="29">
                  <c:v>Urumqi</c:v>
                </c:pt>
                <c:pt idx="30">
                  <c:v>Xiamen</c:v>
                </c:pt>
                <c:pt idx="31">
                  <c:v>Xian</c:v>
                </c:pt>
              </c:strCache>
            </c:strRef>
          </c:cat>
          <c:val>
            <c:numRef>
              <c:f>FIGURE!$D$73:$D$105</c:f>
              <c:numCache>
                <c:formatCode>General</c:formatCode>
                <c:ptCount val="32"/>
                <c:pt idx="0">
                  <c:v>1.5001584399756245</c:v>
                </c:pt>
                <c:pt idx="1">
                  <c:v>1.5830182421227197</c:v>
                </c:pt>
                <c:pt idx="2">
                  <c:v>5.4040874865543209</c:v>
                </c:pt>
                <c:pt idx="3">
                  <c:v>1.3973525624517127</c:v>
                </c:pt>
                <c:pt idx="4">
                  <c:v>9.2526570233664582</c:v>
                </c:pt>
                <c:pt idx="5">
                  <c:v>0.67179417738659442</c:v>
                </c:pt>
                <c:pt idx="6">
                  <c:v>0.50561756633119848</c:v>
                </c:pt>
                <c:pt idx="7">
                  <c:v>1.5460374556554739</c:v>
                </c:pt>
                <c:pt idx="8">
                  <c:v>3.7556145249718154</c:v>
                </c:pt>
                <c:pt idx="9">
                  <c:v>0.30634146341463414</c:v>
                </c:pt>
                <c:pt idx="10">
                  <c:v>0.97887309110057918</c:v>
                </c:pt>
                <c:pt idx="11">
                  <c:v>0.26724825788605777</c:v>
                </c:pt>
                <c:pt idx="12">
                  <c:v>3.4822186667898873</c:v>
                </c:pt>
                <c:pt idx="13">
                  <c:v>3.3493333333333335</c:v>
                </c:pt>
                <c:pt idx="14">
                  <c:v>0.251262815703926</c:v>
                </c:pt>
                <c:pt idx="15">
                  <c:v>4.3865839706148009</c:v>
                </c:pt>
                <c:pt idx="16">
                  <c:v>3.3342349110944149</c:v>
                </c:pt>
                <c:pt idx="17">
                  <c:v>7.8566836371218569</c:v>
                </c:pt>
                <c:pt idx="18">
                  <c:v>5.7767247386759584</c:v>
                </c:pt>
                <c:pt idx="19">
                  <c:v>2.5468454767500806</c:v>
                </c:pt>
                <c:pt idx="20">
                  <c:v>2.0236848465318618</c:v>
                </c:pt>
                <c:pt idx="21">
                  <c:v>1.6721981836337525</c:v>
                </c:pt>
                <c:pt idx="22">
                  <c:v>2.2887111111111111</c:v>
                </c:pt>
                <c:pt idx="23">
                  <c:v>2.6136931602822631</c:v>
                </c:pt>
                <c:pt idx="24">
                  <c:v>10.852447129909365</c:v>
                </c:pt>
                <c:pt idx="25">
                  <c:v>2.02415572657311</c:v>
                </c:pt>
                <c:pt idx="26">
                  <c:v>6.3542785049676711</c:v>
                </c:pt>
                <c:pt idx="27">
                  <c:v>0.22452953255224059</c:v>
                </c:pt>
                <c:pt idx="28">
                  <c:v>0.91905009650079716</c:v>
                </c:pt>
                <c:pt idx="29">
                  <c:v>7.6518711923411656E-2</c:v>
                </c:pt>
                <c:pt idx="30">
                  <c:v>2.0699234844025898</c:v>
                </c:pt>
                <c:pt idx="31">
                  <c:v>1.0548558977914231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A-48BB-9B8E-77CD6B39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99519"/>
        <c:axId val="1960698559"/>
      </c:lineChart>
      <c:catAx>
        <c:axId val="19212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7391"/>
        <c:crosses val="autoZero"/>
        <c:auto val="1"/>
        <c:lblAlgn val="ctr"/>
        <c:lblOffset val="100"/>
        <c:noMultiLvlLbl val="0"/>
      </c:catAx>
      <c:valAx>
        <c:axId val="1921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6911"/>
        <c:crosses val="autoZero"/>
        <c:crossBetween val="between"/>
      </c:valAx>
      <c:valAx>
        <c:axId val="196069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99519"/>
        <c:crosses val="max"/>
        <c:crossBetween val="between"/>
      </c:valAx>
      <c:catAx>
        <c:axId val="196069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69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26670</xdr:rowOff>
    </xdr:from>
    <xdr:to>
      <xdr:col>19</xdr:col>
      <xdr:colOff>22860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79B7-23FB-5C43-A86F-B962F042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41</xdr:row>
      <xdr:rowOff>125730</xdr:rowOff>
    </xdr:from>
    <xdr:to>
      <xdr:col>19</xdr:col>
      <xdr:colOff>15240</xdr:colOff>
      <xdr:row>58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2C93B-B37C-759F-D38F-E2139936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75</xdr:row>
      <xdr:rowOff>19050</xdr:rowOff>
    </xdr:from>
    <xdr:to>
      <xdr:col>18</xdr:col>
      <xdr:colOff>601980</xdr:colOff>
      <xdr:row>91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0370E-CC2F-959B-D900-CBC85C4B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Liendro" refreshedDate="45560.850503009256" createdVersion="8" refreshedVersion="8" minRefreshableVersion="3" recordCount="32" xr:uid="{C0AB9B19-5FA6-49D5-BD19-1282851A1F02}">
  <cacheSource type="worksheet">
    <worksheetSource ref="A1:Y32" sheet="SELECCIONADO"/>
  </cacheSource>
  <cacheFields count="23">
    <cacheField name="COUNTRY" numFmtId="0">
      <sharedItems/>
    </cacheField>
    <cacheField name="PROVINCIA" numFmtId="0">
      <sharedItems/>
    </cacheField>
    <cacheField name="CITY" numFmtId="0">
      <sharedItems count="32">
        <s v="Panama"/>
        <s v="Dongguan"/>
        <s v="Xiamen"/>
        <s v="Quito"/>
        <s v="Urumqi"/>
        <s v="Brasilia"/>
        <s v="Medellin"/>
        <s v="Caracas"/>
        <s v="Lanzhou"/>
        <s v="Changzhou"/>
        <s v="Recife"/>
        <s v="Foshan"/>
        <s v="Fuzhou"/>
        <s v="Salvador"/>
        <s v="Porto Alegre "/>
        <s v="Shaoxing"/>
        <s v="Guadalajara"/>
        <s v="Guiyang"/>
        <s v="Belo Horizonte"/>
        <s v="Santiago"/>
        <s v="Jinan"/>
        <s v="Changsha"/>
        <s v="Xian"/>
        <s v="Lima"/>
        <s v="Rio de Janeiro"/>
        <s v="Tianjin"/>
        <s v="Chengdu"/>
        <s v="Buenos Aires"/>
        <s v="Ciudad de Mexico"/>
        <s v="Sao Paulo"/>
        <s v="Beijing"/>
        <s v="Shanghai"/>
      </sharedItems>
    </cacheField>
    <cacheField name="SCALE" numFmtId="0">
      <sharedItems/>
    </cacheField>
    <cacheField name="POPULATION_x000a_metropolitan area (total people) - socioeconomic" numFmtId="1">
      <sharedItems containsSemiMixedTypes="0" containsString="0" containsNumber="1" minValue="1771384" maxValue="24152700"/>
    </cacheField>
    <cacheField name="AREA_x000a_ metropolitan area_x000a_(Km2) - socioeconomico" numFmtId="1">
      <sharedItems containsSemiMixedTypes="0" containsString="0" containsNumber="1" minValue="172.65299999999999" maxValue="18799"/>
    </cacheField>
    <cacheField name="DENSITY_x000a_ metropolitan area (population/km2) - socioeconomic" numFmtId="1">
      <sharedItems containsSemiMixedTypes="0" containsString="0" containsNumber="1" minValue="193.52335364084712" maxValue="19595.709312899286"/>
    </cacheField>
    <cacheField name="PIB  - GDP MILLIONS_x000a_(%) - socioeconomic" numFmtId="0">
      <sharedItems containsBlank="1" containsMixedTypes="1" containsNumber="1" minValue="6.4409999999999998" maxValue="372.18115696733298"/>
    </cacheField>
    <cacheField name="Daily ridership  in total_x000a_(millions/day) - mobility" numFmtId="0">
      <sharedItems containsString="0" containsBlank="1" containsNumber="1" minValue="1.8723990000000001" maxValue="43.116880000000002"/>
    </cacheField>
    <cacheField name="Daily ridership public Transport_x000a_(millions/day) - mobility " numFmtId="0">
      <sharedItems containsString="0" containsBlank="1" containsNumber="1" minValue="0.65988400000000003" maxValue="16480000"/>
    </cacheField>
    <cacheField name="COVERAGE_x000a_SQ.KM" numFmtId="4">
      <sharedItems containsSemiMixedTypes="0" containsString="0" containsNumber="1" minValue="7.5359999999999996" maxValue="402.9248"/>
    </cacheField>
    <cacheField name="RELATION _x000a_LAND AREA/ SQ.KM" numFmtId="165">
      <sharedItems containsSemiMixedTypes="0" containsString="0" containsNumber="1" minValue="7.6518711923411656E-2" maxValue="10.852447129909365"/>
    </cacheField>
    <cacheField name="OPENED" numFmtId="0">
      <sharedItems containsString="0" containsBlank="1" containsNumber="1" containsInteger="1" minValue="1913" maxValue="2023"/>
    </cacheField>
    <cacheField name="METRO SERV -LENGGHT_x000a_(KM)" numFmtId="0">
      <sharedItems containsMixedTypes="1" containsNumber="1" minValue="19" maxValue="836"/>
    </cacheField>
    <cacheField name="METRO SERV _x000a_LINES (UNID)" numFmtId="0">
      <sharedItems containsSemiMixedTypes="0" containsString="0" containsNumber="1" containsInteger="1" minValue="1" maxValue="506"/>
    </cacheField>
    <cacheField name="METRO SERV_x000a_STATIONS (UNID)" numFmtId="0">
      <sharedItems containsSemiMixedTypes="0" containsString="0" containsNumber="1" containsInteger="1" minValue="15" maxValue="802"/>
    </cacheField>
    <cacheField name="Metro - Services - Demand_x000a_Passanger/year " numFmtId="0">
      <sharedItems containsBlank="1" containsMixedTypes="1" containsNumber="1" containsInteger="1" minValue="42800000" maxValue="3848400000"/>
    </cacheField>
    <cacheField name="Metro - Services - Demand_x000a_Passanger/day" numFmtId="0">
      <sharedItems containsBlank="1" containsMixedTypes="1" containsNumber="1" containsInteger="1" minValue="2024" maxValue="2610000"/>
    </cacheField>
    <cacheField name="year metro" numFmtId="0">
      <sharedItems containsString="0" containsBlank="1" containsNumber="1" containsInteger="1" minValue="2016" maxValue="2023"/>
    </cacheField>
    <cacheField name="Fuente" numFmtId="0">
      <sharedItems containsBlank="1"/>
    </cacheField>
    <cacheField name="TABLE RESULT _x000a_POPU-COVER " numFmtId="0">
      <sharedItems containsSemiMixedTypes="0" containsString="0" containsNumber="1" containsInteger="1" minValue="1" maxValue="3"/>
    </cacheField>
    <cacheField name="TABLE RESULT _x000a_AREA-COVER " numFmtId="0">
      <sharedItems containsSemiMixedTypes="0" containsString="0" containsNumber="1" containsInteger="1" minValue="1" maxValue="3"/>
    </cacheField>
    <cacheField name="TABLE RESULT _x000a_DENS-COVER 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Panama"/>
    <s v="Panama"/>
    <x v="0"/>
    <s v="Medium City"/>
    <n v="1771384"/>
    <n v="287"/>
    <n v="6172.0696864111496"/>
    <n v="46.21"/>
    <n v="1.8723990000000001"/>
    <n v="0.65988400000000003"/>
    <n v="16.5792"/>
    <n v="5.7767247386759584"/>
    <n v="2014"/>
    <n v="41.6"/>
    <n v="2"/>
    <n v="33"/>
    <n v="219000000"/>
    <n v="499396"/>
    <n v="2023"/>
    <s v="https://www.elmetrodepanama.com/wp-content/uploads/2024/02/Metro-de-Panama-Memoria-Anual-2023-version-digital-2.pdf"/>
    <n v="3"/>
    <n v="1"/>
    <n v="3"/>
  </r>
  <r>
    <s v="China"/>
    <s v="Guangdong "/>
    <x v="1"/>
    <s v="Medium City"/>
    <n v="1950100"/>
    <n v="2460"/>
    <n v="792.72357723577238"/>
    <m/>
    <m/>
    <m/>
    <n v="7.5359999999999996"/>
    <n v="0.30634146341463414"/>
    <n v="2016"/>
    <n v="37.700000000000003"/>
    <n v="1"/>
    <n v="15"/>
    <m/>
    <m/>
    <m/>
    <m/>
    <n v="2"/>
    <n v="3"/>
    <n v="2"/>
  </r>
  <r>
    <s v="China"/>
    <s v=" Fujian"/>
    <x v="2"/>
    <s v="Medium City"/>
    <n v="2111500"/>
    <n v="1699"/>
    <n v="1242.789876397881"/>
    <m/>
    <m/>
    <m/>
    <n v="35.167999999999999"/>
    <n v="2.0699234844025898"/>
    <n v="2021"/>
    <n v="98.4"/>
    <n v="3"/>
    <n v="70"/>
    <m/>
    <m/>
    <m/>
    <m/>
    <n v="2"/>
    <n v="3"/>
    <n v="2"/>
  </r>
  <r>
    <s v="Ecuador"/>
    <s v="Pichincha"/>
    <x v="3"/>
    <s v="Medium City"/>
    <n v="2239191"/>
    <n v="372.39"/>
    <n v="6013.0266655925243"/>
    <n v="6.4409999999999998"/>
    <n v="3.9214707999999998"/>
    <n v="2.2305839999999999"/>
    <n v="7.5359999999999996"/>
    <n v="2.0236848465318618"/>
    <n v="2023"/>
    <n v="22.6"/>
    <n v="1"/>
    <n v="15"/>
    <s v="-"/>
    <s v="147.688,"/>
    <n v="2023"/>
    <s v="https://issuu.com/metrodequito/docs/01-quitosemueve"/>
    <n v="2"/>
    <n v="3"/>
    <n v="3"/>
  </r>
  <r>
    <s v="China"/>
    <s v=" Xinjiang "/>
    <x v="4"/>
    <s v="Medium City"/>
    <n v="2668300"/>
    <n v="13788"/>
    <n v="193.52335364084712"/>
    <m/>
    <m/>
    <m/>
    <n v="10.5504"/>
    <n v="7.6518711923411656E-2"/>
    <n v="2018"/>
    <n v="27.6"/>
    <n v="1"/>
    <n v="21"/>
    <m/>
    <m/>
    <m/>
    <m/>
    <n v="2"/>
    <n v="2"/>
    <n v="2"/>
  </r>
  <r>
    <s v="Brazil"/>
    <s v="Federal District"/>
    <x v="5"/>
    <s v="Medium City"/>
    <n v="2852372"/>
    <n v="251.01"/>
    <n v="11363.579140273296"/>
    <n v="87.5235959613007"/>
    <n v="4.0907943357640955"/>
    <n v="1.3850344943505464"/>
    <n v="13.5648"/>
    <n v="5.4040874865543209"/>
    <n v="2001"/>
    <n v="42.4"/>
    <n v="2"/>
    <n v="27"/>
    <n v="42800000"/>
    <n v="108000"/>
    <n v="2022"/>
    <s v="https://metro.df.gov.br/wp-content/uploads/2023/05/Relatorio_de_Sustentabilidade__2__compactado.pdf"/>
    <n v="3"/>
    <n v="1"/>
    <n v="3"/>
  </r>
  <r>
    <s v="Colombia"/>
    <s v="Anitoquia"/>
    <x v="6"/>
    <s v="Medium City"/>
    <n v="3383258"/>
    <n v="172.65299999999999"/>
    <n v="19595.709312899286"/>
    <n v="18.157203882196601"/>
    <n v="5.6127970000000005"/>
    <n v="2.2638989999999999"/>
    <n v="13.5648"/>
    <n v="7.8566836371218569"/>
    <n v="1995"/>
    <n v="31.3"/>
    <n v="2"/>
    <n v="27"/>
    <m/>
    <m/>
    <m/>
    <m/>
    <n v="3"/>
    <n v="1"/>
    <n v="1"/>
  </r>
  <r>
    <s v="Venezuela"/>
    <s v="Distrito Capital"/>
    <x v="7"/>
    <s v="Medium City"/>
    <n v="3611087"/>
    <n v="260.63"/>
    <n v="13855"/>
    <s v="-"/>
    <n v="7.5230915481782974"/>
    <n v="4.2824669736908971"/>
    <n v="24.115200000000002"/>
    <n v="9.2526570233664582"/>
    <n v="1983"/>
    <n v="53"/>
    <n v="3"/>
    <n v="48"/>
    <n v="320300000"/>
    <n v="1630000"/>
    <n v="2017"/>
    <s v="http://repositoriodigital.uma.edu.ve:8080/jspui/bitstream/123456789/858/1/TEG_EPG1_2018.pdf"/>
    <n v="3"/>
    <n v="1"/>
    <n v="1"/>
  </r>
  <r>
    <s v="China"/>
    <s v=" Gansu"/>
    <x v="8"/>
    <s v="Medium City"/>
    <n v="3693100"/>
    <n v="332.14"/>
    <n v="11119.106400915278"/>
    <m/>
    <m/>
    <m/>
    <n v="14.569599999999999"/>
    <n v="4.3865839706148009"/>
    <n v="2019"/>
    <n v="34.96"/>
    <n v="2"/>
    <n v="29"/>
    <m/>
    <m/>
    <m/>
    <m/>
    <n v="2"/>
    <n v="3"/>
    <n v="3"/>
  </r>
  <r>
    <s v="China"/>
    <s v=" Jiangsu"/>
    <x v="9"/>
    <s v="Medium City"/>
    <n v="3708500"/>
    <n v="4372"/>
    <n v="848.23879231473006"/>
    <m/>
    <m/>
    <m/>
    <n v="22.105599999999999"/>
    <n v="0.50561756633119848"/>
    <n v="2019"/>
    <n v="54.03"/>
    <n v="2"/>
    <n v="44"/>
    <m/>
    <m/>
    <m/>
    <m/>
    <n v="2"/>
    <n v="3"/>
    <n v="2"/>
  </r>
  <r>
    <s v="Brazil "/>
    <s v="Pernambuco"/>
    <x v="10"/>
    <s v="Medium City"/>
    <n v="3887261"/>
    <n v="841.23999999996545"/>
    <n v="4620.8703818175072"/>
    <n v="35.911681467860603"/>
    <n v="7.0274203392999546"/>
    <n v="2.6064498460523047"/>
    <n v="14.0672"/>
    <n v="1.6721981836337525"/>
    <n v="1985"/>
    <n v="39.5"/>
    <n v="3"/>
    <n v="28"/>
    <n v="93500000"/>
    <n v="400000"/>
    <n v="2023"/>
    <s v="https://www.metrorecife.com.br/mapa/"/>
    <n v="2"/>
    <n v="3"/>
    <n v="2"/>
  </r>
  <r>
    <s v="China"/>
    <s v=" Guangdong "/>
    <x v="11"/>
    <s v="Medium City"/>
    <n v="3887900"/>
    <n v="3798"/>
    <n v="1023.6703528172723"/>
    <m/>
    <m/>
    <m/>
    <n v="37.177599999999998"/>
    <n v="0.97887309110057918"/>
    <n v="2010"/>
    <n v="134.9"/>
    <n v="3"/>
    <n v="74"/>
    <m/>
    <m/>
    <m/>
    <m/>
    <n v="2"/>
    <n v="3"/>
    <n v="2"/>
  </r>
  <r>
    <s v="China"/>
    <s v=" Fujian"/>
    <x v="12"/>
    <s v="Medium City"/>
    <n v="3992799.9999999995"/>
    <n v="18799"/>
    <n v="212.39427629129207"/>
    <m/>
    <m/>
    <m/>
    <n v="50.24"/>
    <n v="0.26724825788605777"/>
    <n v="2016"/>
    <n v="143.5"/>
    <n v="5"/>
    <n v="100"/>
    <m/>
    <m/>
    <m/>
    <m/>
    <n v="2"/>
    <n v="2"/>
    <n v="2"/>
  </r>
  <r>
    <s v="Brazil"/>
    <s v="Bahía"/>
    <x v="13"/>
    <s v="Medium City"/>
    <n v="4016371"/>
    <n v="384.43686323588486"/>
    <n v="10447.413825493662"/>
    <n v="34.854906792999799"/>
    <n v="6.1306332435345361"/>
    <n v="2.3776702895347808"/>
    <n v="10.048"/>
    <n v="2.6136931602822631"/>
    <n v="2014"/>
    <n v="34"/>
    <n v="2"/>
    <n v="20"/>
    <n v="62000000"/>
    <n v="350000"/>
    <m/>
    <s v="https://www.ccrmetrobahia.com.br/por-dentro-do-metr%C3%B4/metr%C3%B4-em-n%C3%BAmeros/"/>
    <n v="2"/>
    <n v="3"/>
    <n v="3"/>
  </r>
  <r>
    <s v="Brazil"/>
    <s v="Rio Grande do Sul"/>
    <x v="14"/>
    <s v="Medium City"/>
    <n v="4161237"/>
    <n v="433.98"/>
    <n v="9588.5455550947045"/>
    <n v="55.335856406287903"/>
    <n v="5.8370003038828262"/>
    <n v="2.1307638966666662"/>
    <n v="11.0528"/>
    <n v="2.5468454767500806"/>
    <n v="1985"/>
    <n v="43.8"/>
    <n v="1"/>
    <n v="22"/>
    <n v="48100000"/>
    <n v="200000"/>
    <n v="2023"/>
    <s v="https://www.trensurb.gov.br/sobre-a-trensurb/historia"/>
    <n v="2"/>
    <n v="3"/>
    <n v="3"/>
  </r>
  <r>
    <s v="China"/>
    <s v=" Zhejiang"/>
    <x v="15"/>
    <s v="Medium City"/>
    <n v="4431100"/>
    <n v="8279"/>
    <n v="535.22164512622294"/>
    <m/>
    <m/>
    <m/>
    <n v="18.588799999999999"/>
    <n v="0.22452953255224059"/>
    <n v="2021"/>
    <n v="61.9"/>
    <n v="2"/>
    <n v="37"/>
    <m/>
    <m/>
    <m/>
    <m/>
    <n v="2"/>
    <n v="2"/>
    <n v="2"/>
  </r>
  <r>
    <s v="México"/>
    <s v="Jalisco"/>
    <x v="16"/>
    <s v="Medium City"/>
    <n v="4515531"/>
    <n v="692.524"/>
    <n v="6520.3964050343384"/>
    <n v="73.822313432835799"/>
    <n v="10.387395631921864"/>
    <n v="3.1557797047124545"/>
    <n v="24.115200000000002"/>
    <n v="3.4822186667898873"/>
    <n v="1989"/>
    <n v="46.5"/>
    <n v="3"/>
    <n v="48"/>
    <n v="139500000"/>
    <n v="382142"/>
    <n v="2023"/>
    <s v="https://lineasdelmetro.com.mx/guadalajara/"/>
    <n v="2"/>
    <n v="3"/>
    <n v="3"/>
  </r>
  <r>
    <s v="China"/>
    <s v="Guizhou"/>
    <x v="17"/>
    <s v="Medium City"/>
    <n v="4621800"/>
    <n v="1230"/>
    <n v="3757.560975609756"/>
    <m/>
    <m/>
    <n v="2408550"/>
    <n v="41.196800000000003"/>
    <n v="3.3493333333333335"/>
    <n v="2017"/>
    <n v="118.73"/>
    <n v="3"/>
    <n v="82"/>
    <m/>
    <m/>
    <m/>
    <s v="https://www.ceicdata.com/en/china/no-of-employee-prefecture-level-city/no-of-employee-guizhou-guiyang"/>
    <n v="2"/>
    <n v="3"/>
    <n v="2"/>
  </r>
  <r>
    <s v="Brazil"/>
    <s v="Minas Gerais"/>
    <x v="18"/>
    <s v="Large City"/>
    <n v="5609654"/>
    <n v="603"/>
    <n v="9302.9087893864016"/>
    <n v="68.766104958611805"/>
    <n v="12.632550311070631"/>
    <n v="3.2753302151274384"/>
    <n v="9.5456000000000003"/>
    <n v="1.5830182421227197"/>
    <n v="1986"/>
    <n v="28.1"/>
    <n v="1"/>
    <n v="19"/>
    <n v="54400000"/>
    <n v="100000"/>
    <n v="2023"/>
    <s v="https://www.metrobh.com.br/institucional/#metro-bh-em-numeros"/>
    <n v="2"/>
    <n v="3"/>
    <n v="3"/>
  </r>
  <r>
    <s v="Chile"/>
    <s v="Santiago"/>
    <x v="19"/>
    <s v="Large City"/>
    <n v="5842259"/>
    <n v="662"/>
    <n v="8825"/>
    <n v="107.40248972133399"/>
    <n v="13.726144366142044"/>
    <n v="5.4799499999999997"/>
    <n v="71.843199999999996"/>
    <n v="10.852447129909365"/>
    <n v="1975"/>
    <n v="149.80000000000001"/>
    <n v="7"/>
    <n v="143"/>
    <n v="599090000"/>
    <n v="2030000"/>
    <n v="2023"/>
    <s v="https://www.metro.cl/gobierno-corporativo/memoria"/>
    <n v="3"/>
    <n v="1"/>
    <n v="1"/>
  </r>
  <r>
    <s v="China"/>
    <s v="Shandong"/>
    <x v="20"/>
    <s v="Large City"/>
    <n v="6257300"/>
    <n v="7998"/>
    <n v="782.35808952238062"/>
    <m/>
    <m/>
    <m/>
    <n v="20.096"/>
    <n v="0.251262815703926"/>
    <n v="2019"/>
    <n v="84.25"/>
    <n v="3"/>
    <n v="40"/>
    <m/>
    <m/>
    <m/>
    <m/>
    <n v="2"/>
    <n v="2"/>
    <n v="2"/>
  </r>
  <r>
    <s v="China"/>
    <s v=" Hunan"/>
    <x v="21"/>
    <s v="Large City"/>
    <n v="7431799.9999999991"/>
    <n v="11816"/>
    <n v="628.96073121191591"/>
    <m/>
    <m/>
    <m/>
    <n v="79.379199999999997"/>
    <n v="0.67179417738659442"/>
    <n v="2014"/>
    <n v="208"/>
    <n v="7"/>
    <n v="158"/>
    <m/>
    <m/>
    <m/>
    <m/>
    <n v="2"/>
    <n v="2"/>
    <n v="2"/>
  </r>
  <r>
    <s v="China"/>
    <s v="Shaanxi"/>
    <x v="22"/>
    <s v="Large City"/>
    <n v="8156600"/>
    <n v="10097"/>
    <n v="807.82410617014955"/>
    <m/>
    <m/>
    <m/>
    <n v="106.50879999999999"/>
    <n v="1.0548558977914231"/>
    <n v="2011"/>
    <n v="311"/>
    <n v="9"/>
    <n v="212"/>
    <m/>
    <m/>
    <m/>
    <m/>
    <n v="2"/>
    <n v="2"/>
    <n v="2"/>
  </r>
  <r>
    <s v="Perú"/>
    <s v="Lima"/>
    <x v="23"/>
    <s v="Large City"/>
    <n v="9752000"/>
    <n v="798.6"/>
    <n v="12211"/>
    <n v="67.723247232472303"/>
    <n v="22.262"/>
    <n v="11.345000000000001"/>
    <n v="26.627199999999998"/>
    <n v="3.3342349110944149"/>
    <n v="2011"/>
    <n v="61.400000000000006"/>
    <n v="2"/>
    <n v="53"/>
    <n v="110400000"/>
    <n v="550000"/>
    <m/>
    <m/>
    <n v="2"/>
    <n v="3"/>
    <n v="3"/>
  </r>
  <r>
    <s v="Brazil"/>
    <s v="Rio de Janeiro"/>
    <x v="24"/>
    <s v="Mega city"/>
    <n v="12156624"/>
    <n v="900"/>
    <n v="13507.36"/>
    <n v="153.38783126843302"/>
    <n v="22.076110365024793"/>
    <n v="10.535286623474565"/>
    <n v="20.598400000000002"/>
    <n v="2.2887111111111111"/>
    <n v="1979"/>
    <n v="58"/>
    <n v="3"/>
    <n v="41"/>
    <n v="188861315"/>
    <n v="2024"/>
    <n v="2016"/>
    <s v="https://web.archive.org/web/20190709192307/http://g1.globo.com/rio-de-janeiro/noticia/2016/07/temer-participa-de-inauguracao-da-linha-4-do-metro-no-rio.html"/>
    <n v="1"/>
    <n v="3"/>
    <n v="3"/>
  </r>
  <r>
    <s v="China"/>
    <s v="Tianjin"/>
    <x v="25"/>
    <s v="Mega city"/>
    <n v="14390000"/>
    <n v="11917"/>
    <n v="1207.5186708064109"/>
    <m/>
    <m/>
    <m/>
    <n v="109.5232"/>
    <n v="0.91905009650079716"/>
    <n v="1984"/>
    <n v="301"/>
    <n v="10"/>
    <n v="218"/>
    <m/>
    <m/>
    <m/>
    <m/>
    <n v="1"/>
    <n v="2"/>
    <n v="2"/>
  </r>
  <r>
    <s v="China"/>
    <s v="Sichuan"/>
    <x v="26"/>
    <s v="Mega city"/>
    <n v="14657500"/>
    <n v="12121"/>
    <n v="1209.2649121359623"/>
    <m/>
    <m/>
    <m/>
    <n v="187.39519999999999"/>
    <n v="1.5460374556554739"/>
    <n v="2010"/>
    <n v="558.1"/>
    <n v="13"/>
    <n v="373"/>
    <m/>
    <m/>
    <m/>
    <m/>
    <n v="1"/>
    <n v="2"/>
    <n v="2"/>
  </r>
  <r>
    <s v="Argentina"/>
    <s v="Buenos Aires"/>
    <x v="27"/>
    <s v="Mega city"/>
    <n v="15769937.907311"/>
    <n v="3883"/>
    <n v="4061.2768239276334"/>
    <n v="75.661355556425903"/>
    <n v="34.376628138984564"/>
    <n v="12.499173510476242"/>
    <n v="54.2592"/>
    <n v="1.3973525624517127"/>
    <n v="1913"/>
    <s v="70,7"/>
    <n v="6"/>
    <n v="108"/>
    <n v="302850000"/>
    <m/>
    <n v="2023"/>
    <s v="https://www.estadisticaciudad.gob.ar/eyc/?p=46559_x000a_https://www.researchgate.net/publication/345811121_Demanda_de_pasajeros_del_Sistema_de_Subterraneos_de_la_Ciudad_Autonoma_de_Buenos_Aires_Evidencia_empirica_de_diferencias_entre_lineas_y_estaciones"/>
    <n v="1"/>
    <n v="3"/>
    <n v="2"/>
  </r>
  <r>
    <s v="México"/>
    <s v="Ciudad de Mexico"/>
    <x v="28"/>
    <s v="Mega city"/>
    <n v="20392950"/>
    <n v="2608.5744249999998"/>
    <n v="7817.6607899542687"/>
    <n v="192.620223880597"/>
    <n v="43.116880000000002"/>
    <n v="25.246925999999998"/>
    <n v="97.968000000000004"/>
    <n v="3.7556145249718154"/>
    <m/>
    <n v="201.06"/>
    <n v="12"/>
    <n v="195"/>
    <n v="1057461875"/>
    <m/>
    <n v="2022"/>
    <s v="https://metro.cdmx.gob.mx/longitud-lineas"/>
    <n v="1"/>
    <n v="3"/>
    <n v="3"/>
  </r>
  <r>
    <s v="Brazil"/>
    <s v="Sao Paulo"/>
    <x v="29"/>
    <s v="Mega city"/>
    <n v="20935204"/>
    <n v="2209"/>
    <n v="9477.2313263920332"/>
    <n v="372.18115696733298"/>
    <n v="42.826424487983047"/>
    <n v="13.957219982354985"/>
    <n v="44.7136"/>
    <n v="2.02415572657311"/>
    <n v="1974"/>
    <n v="104.4"/>
    <n v="13"/>
    <n v="89"/>
    <n v="1104200000"/>
    <n v="2610000"/>
    <n v="2022"/>
    <s v="https://www.metro.sp.gov.br/wp-content/uploads/2023/05/relatorio-integrado-2022.pdf"/>
    <n v="1"/>
    <n v="3"/>
    <n v="3"/>
  </r>
  <r>
    <s v="China"/>
    <s v="Beijing"/>
    <x v="30"/>
    <s v="Mega city"/>
    <n v="21883000"/>
    <n v="16410"/>
    <n v="1333.5161486898232"/>
    <m/>
    <m/>
    <n v="16480000"/>
    <n v="246.17599999999999"/>
    <n v="1.5001584399756245"/>
    <n v="1971"/>
    <n v="836"/>
    <n v="27"/>
    <n v="490"/>
    <n v="3848400000"/>
    <s v="_x0009_10544000"/>
    <n v="2018"/>
    <s v="https://nj.tjj.beijing.gov.cn/nj/main/2021-tjnj/zk/indexeh.htm"/>
    <n v="1"/>
    <n v="2"/>
    <n v="2"/>
  </r>
  <r>
    <s v="China"/>
    <s v="Shanghai"/>
    <x v="31"/>
    <s v="Mega city"/>
    <n v="24152700"/>
    <n v="6341"/>
    <n v="3808.9733480523578"/>
    <m/>
    <m/>
    <m/>
    <n v="402.9248"/>
    <n v="6.3542785049676711"/>
    <n v="1993"/>
    <n v="19"/>
    <n v="506"/>
    <n v="802"/>
    <m/>
    <m/>
    <m/>
    <m/>
    <n v="1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01DF8-38B3-46ED-8422-CCF380C0452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7:D70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dataField="1"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EA_x000a_ metropolitan area_x000a_(Km2) - socioeconomico" fld="5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3D676-DC7E-459A-8C77-2B902392FA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35" firstHeaderRow="0" firstDataRow="1" firstDataCol="1"/>
  <pivotFields count="23">
    <pivotField showAll="0"/>
    <pivotField showAll="0"/>
    <pivotField axis="axisRow" showAll="0" sortType="ascending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 v="18"/>
    </i>
    <i>
      <x v="9"/>
    </i>
    <i>
      <x v="30"/>
    </i>
    <i>
      <x v="20"/>
    </i>
    <i>
      <x v="29"/>
    </i>
    <i>
      <x v="2"/>
    </i>
    <i>
      <x v="17"/>
    </i>
    <i>
      <x v="4"/>
    </i>
    <i>
      <x v="15"/>
    </i>
    <i>
      <x v="6"/>
    </i>
    <i>
      <x v="21"/>
    </i>
    <i>
      <x v="10"/>
    </i>
    <i>
      <x v="11"/>
    </i>
    <i>
      <x v="23"/>
    </i>
    <i>
      <x v="19"/>
    </i>
    <i>
      <x v="27"/>
    </i>
    <i>
      <x v="12"/>
    </i>
    <i>
      <x v="13"/>
    </i>
    <i>
      <x v="1"/>
    </i>
    <i>
      <x v="24"/>
    </i>
    <i>
      <x v="14"/>
    </i>
    <i>
      <x v="5"/>
    </i>
    <i>
      <x v="31"/>
    </i>
    <i>
      <x v="16"/>
    </i>
    <i>
      <x v="22"/>
    </i>
    <i>
      <x v="28"/>
    </i>
    <i>
      <x v="7"/>
    </i>
    <i>
      <x v="3"/>
    </i>
    <i>
      <x v="8"/>
    </i>
    <i>
      <x v="25"/>
    </i>
    <i>
      <x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x000a_metropolitan area (total people) - socioeconomic" fld="4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3D97-C9FD-4F9A-BAD7-EB05FB89E82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2:D105" firstHeaderRow="0" firstDataRow="1" firstDataCol="1"/>
  <pivotFields count="23">
    <pivotField showAll="0"/>
    <pivotField showAll="0"/>
    <pivotField axis="axisRow" showAll="0">
      <items count="33">
        <item x="30"/>
        <item x="18"/>
        <item x="5"/>
        <item x="27"/>
        <item x="7"/>
        <item x="21"/>
        <item x="9"/>
        <item x="26"/>
        <item x="28"/>
        <item x="1"/>
        <item x="11"/>
        <item x="12"/>
        <item x="16"/>
        <item x="17"/>
        <item x="20"/>
        <item x="8"/>
        <item x="23"/>
        <item x="6"/>
        <item x="0"/>
        <item x="14"/>
        <item x="3"/>
        <item x="10"/>
        <item x="24"/>
        <item x="13"/>
        <item x="19"/>
        <item x="29"/>
        <item x="31"/>
        <item x="15"/>
        <item x="25"/>
        <item x="4"/>
        <item x="2"/>
        <item x="22"/>
        <item t="default"/>
      </items>
    </pivotField>
    <pivotField showAll="0"/>
    <pivotField numFmtId="1" showAll="0"/>
    <pivotField numFmtId="1" showAll="0"/>
    <pivotField dataField="1" numFmtId="1" showAll="0"/>
    <pivotField showAll="0"/>
    <pivotField showAll="0"/>
    <pivotField showAll="0"/>
    <pivotField numFmtId="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NSITY_x000a_ metropolitan area (population/km2) - socioeconomic" fld="6" baseField="0" baseItem="0"/>
    <dataField name="Sum of RELATION _x000a_LAND AREA/ SQ.KM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Jiangs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8C71-2A7B-4235-85DE-9174E81FB292}">
  <dimension ref="A1:AC65"/>
  <sheetViews>
    <sheetView topLeftCell="A18" zoomScale="80" zoomScaleNormal="80" workbookViewId="0">
      <pane xSplit="3" topLeftCell="O1" activePane="topRight" state="frozen"/>
      <selection pane="topRight" activeCell="A2" sqref="A2:XFD33"/>
    </sheetView>
  </sheetViews>
  <sheetFormatPr defaultRowHeight="13.2" x14ac:dyDescent="0.25"/>
  <cols>
    <col min="1" max="1" width="10" style="29" bestFit="1" customWidth="1"/>
    <col min="2" max="2" width="20.77734375" style="29" customWidth="1"/>
    <col min="3" max="3" width="15.6640625" style="29" bestFit="1" customWidth="1"/>
    <col min="4" max="4" width="11.21875" style="29" bestFit="1" customWidth="1"/>
    <col min="5" max="5" width="20.77734375" style="55" customWidth="1"/>
    <col min="6" max="7" width="20.77734375" style="54" customWidth="1"/>
    <col min="8" max="8" width="19.88671875" style="2" hidden="1" customWidth="1"/>
    <col min="9" max="9" width="21.5546875" style="4" hidden="1" customWidth="1"/>
    <col min="10" max="10" width="22.109375" style="4" hidden="1" customWidth="1"/>
    <col min="11" max="12" width="22.109375" style="58" customWidth="1"/>
    <col min="13" max="13" width="8.77734375" style="29" bestFit="1" customWidth="1"/>
    <col min="14" max="16" width="20.77734375" style="29" customWidth="1"/>
    <col min="17" max="19" width="20.77734375" style="4" hidden="1" customWidth="1"/>
    <col min="20" max="20" width="129" style="4" hidden="1" customWidth="1"/>
    <col min="21" max="21" width="20.77734375" style="58" customWidth="1"/>
    <col min="22" max="22" width="20.77734375" style="4" customWidth="1"/>
    <col min="23" max="23" width="20.77734375" style="58" customWidth="1"/>
    <col min="24" max="24" width="20.77734375" style="4" customWidth="1"/>
    <col min="25" max="25" width="20.77734375" style="58" customWidth="1"/>
    <col min="26" max="26" width="22.6640625" style="4" customWidth="1"/>
    <col min="27" max="27" width="16.6640625" style="75" customWidth="1"/>
    <col min="28" max="16384" width="8.88671875" style="2"/>
  </cols>
  <sheetData>
    <row r="1" spans="1:29" s="59" customFormat="1" ht="52.8" x14ac:dyDescent="0.25">
      <c r="A1" s="35" t="s">
        <v>74</v>
      </c>
      <c r="B1" s="5" t="s">
        <v>82</v>
      </c>
      <c r="C1" s="5" t="s">
        <v>73</v>
      </c>
      <c r="D1" s="5" t="s">
        <v>69</v>
      </c>
      <c r="E1" s="48" t="s">
        <v>75</v>
      </c>
      <c r="F1" s="49" t="s">
        <v>76</v>
      </c>
      <c r="G1" s="49" t="s">
        <v>77</v>
      </c>
      <c r="H1" s="5" t="s">
        <v>106</v>
      </c>
      <c r="I1" s="5" t="s">
        <v>41</v>
      </c>
      <c r="J1" s="5" t="s">
        <v>107</v>
      </c>
      <c r="K1" s="48" t="s">
        <v>78</v>
      </c>
      <c r="L1" s="48" t="s">
        <v>79</v>
      </c>
      <c r="M1" s="5" t="s">
        <v>46</v>
      </c>
      <c r="N1" s="5" t="s">
        <v>111</v>
      </c>
      <c r="O1" s="5" t="s">
        <v>112</v>
      </c>
      <c r="P1" s="5" t="s">
        <v>113</v>
      </c>
      <c r="Q1" s="5" t="s">
        <v>2</v>
      </c>
      <c r="R1" s="5" t="s">
        <v>6</v>
      </c>
      <c r="S1" s="5" t="s">
        <v>5</v>
      </c>
      <c r="T1" s="5" t="s">
        <v>3</v>
      </c>
      <c r="U1" s="48" t="s">
        <v>110</v>
      </c>
      <c r="V1" s="5" t="s">
        <v>126</v>
      </c>
      <c r="W1" s="48" t="s">
        <v>109</v>
      </c>
      <c r="X1" s="5" t="s">
        <v>127</v>
      </c>
      <c r="Y1" s="48" t="s">
        <v>108</v>
      </c>
      <c r="Z1" s="5" t="s">
        <v>128</v>
      </c>
      <c r="AA1" s="74" t="s">
        <v>131</v>
      </c>
    </row>
    <row r="2" spans="1:29" x14ac:dyDescent="0.25">
      <c r="A2" s="29" t="s">
        <v>61</v>
      </c>
      <c r="B2" s="30" t="s">
        <v>85</v>
      </c>
      <c r="C2" s="29" t="s">
        <v>60</v>
      </c>
      <c r="D2" s="30" t="s">
        <v>70</v>
      </c>
      <c r="E2" s="50">
        <f>266.83*10000</f>
        <v>2668300</v>
      </c>
      <c r="F2" s="50">
        <v>13788</v>
      </c>
      <c r="G2" s="50">
        <f t="shared" ref="G2:G16" si="0">+E2/F2</f>
        <v>193.52335364084712</v>
      </c>
      <c r="H2" s="39"/>
      <c r="J2" s="34"/>
      <c r="K2" s="56">
        <f t="shared" ref="K2:K33" si="1">+(P2*502400)/1000000</f>
        <v>10.5504</v>
      </c>
      <c r="L2" s="57">
        <f t="shared" ref="L2:L33" si="2">+(K2/F2)*100</f>
        <v>7.6518711923411656E-2</v>
      </c>
      <c r="M2" s="38">
        <v>2018</v>
      </c>
      <c r="N2" s="29">
        <v>27.6</v>
      </c>
      <c r="O2" s="29">
        <v>1</v>
      </c>
      <c r="P2" s="29">
        <v>21</v>
      </c>
      <c r="U2" s="55">
        <v>2</v>
      </c>
      <c r="V2" s="29">
        <v>-0.431251</v>
      </c>
      <c r="W2" s="55">
        <v>2</v>
      </c>
      <c r="X2" s="29">
        <v>-0.77105999999999997</v>
      </c>
      <c r="Y2" s="58">
        <v>2</v>
      </c>
      <c r="Z2" s="4">
        <v>-0.65237699999999998</v>
      </c>
      <c r="AA2" s="75">
        <v>8</v>
      </c>
      <c r="AC2" s="2" t="str">
        <f>+_xlfn.CONCAT(C2," ",A2)</f>
        <v>Urumqi China</v>
      </c>
    </row>
    <row r="3" spans="1:29" x14ac:dyDescent="0.25">
      <c r="A3" s="29" t="s">
        <v>61</v>
      </c>
      <c r="B3" s="29" t="s">
        <v>84</v>
      </c>
      <c r="C3" s="29" t="s">
        <v>55</v>
      </c>
      <c r="D3" s="30" t="s">
        <v>70</v>
      </c>
      <c r="E3" s="50">
        <f>399.28*10000</f>
        <v>3992799.9999999995</v>
      </c>
      <c r="F3" s="50">
        <v>18799</v>
      </c>
      <c r="G3" s="50">
        <f t="shared" si="0"/>
        <v>212.39427629129207</v>
      </c>
      <c r="H3" s="39"/>
      <c r="J3" s="34"/>
      <c r="K3" s="56">
        <f t="shared" si="1"/>
        <v>50.24</v>
      </c>
      <c r="L3" s="57">
        <f t="shared" si="2"/>
        <v>0.26724825788605777</v>
      </c>
      <c r="M3" s="38">
        <v>2016</v>
      </c>
      <c r="N3" s="29">
        <v>143.5</v>
      </c>
      <c r="O3" s="29">
        <v>5</v>
      </c>
      <c r="P3" s="29">
        <v>100</v>
      </c>
      <c r="U3" s="55">
        <v>2</v>
      </c>
      <c r="V3" s="29">
        <v>-0.431251</v>
      </c>
      <c r="W3" s="55">
        <v>2</v>
      </c>
      <c r="X3" s="29">
        <v>-0.77105999999999997</v>
      </c>
      <c r="Y3" s="58">
        <v>2</v>
      </c>
      <c r="Z3" s="4">
        <v>-0.65237699999999998</v>
      </c>
      <c r="AA3" s="75">
        <v>8</v>
      </c>
      <c r="AC3" s="2" t="str">
        <f t="shared" ref="AC3:AC33" si="3">+_xlfn.CONCAT(C3," ",A3)</f>
        <v>Fuzhou China</v>
      </c>
    </row>
    <row r="4" spans="1:29" x14ac:dyDescent="0.25">
      <c r="A4" s="29" t="s">
        <v>61</v>
      </c>
      <c r="B4" s="29" t="s">
        <v>90</v>
      </c>
      <c r="C4" s="29" t="s">
        <v>54</v>
      </c>
      <c r="D4" s="30" t="s">
        <v>70</v>
      </c>
      <c r="E4" s="50">
        <f>443.11*10000</f>
        <v>4431100</v>
      </c>
      <c r="F4" s="50">
        <v>8279</v>
      </c>
      <c r="G4" s="50">
        <f t="shared" si="0"/>
        <v>535.22164512622294</v>
      </c>
      <c r="H4" s="39"/>
      <c r="J4" s="34"/>
      <c r="K4" s="56">
        <f t="shared" si="1"/>
        <v>18.588799999999999</v>
      </c>
      <c r="L4" s="57">
        <f t="shared" si="2"/>
        <v>0.22452953255224059</v>
      </c>
      <c r="M4" s="38">
        <v>2021</v>
      </c>
      <c r="N4" s="29">
        <v>61.9</v>
      </c>
      <c r="O4" s="29">
        <v>2</v>
      </c>
      <c r="P4" s="29">
        <v>37</v>
      </c>
      <c r="U4" s="55">
        <v>2</v>
      </c>
      <c r="V4" s="29">
        <v>-0.431251</v>
      </c>
      <c r="W4" s="55">
        <v>2</v>
      </c>
      <c r="X4" s="29">
        <v>-0.77105999999999997</v>
      </c>
      <c r="Y4" s="58">
        <v>2</v>
      </c>
      <c r="Z4" s="4">
        <v>-0.65237699999999998</v>
      </c>
      <c r="AA4" s="75">
        <v>10</v>
      </c>
      <c r="AC4" s="2" t="str">
        <f t="shared" si="3"/>
        <v>Shaoxing China</v>
      </c>
    </row>
    <row r="5" spans="1:29" x14ac:dyDescent="0.25">
      <c r="A5" s="29" t="s">
        <v>61</v>
      </c>
      <c r="B5" s="40" t="s">
        <v>92</v>
      </c>
      <c r="C5" s="29" t="s">
        <v>57</v>
      </c>
      <c r="D5" s="30" t="s">
        <v>71</v>
      </c>
      <c r="E5" s="50">
        <f>743.18*10000</f>
        <v>7431799.9999999991</v>
      </c>
      <c r="F5" s="50">
        <v>11816</v>
      </c>
      <c r="G5" s="50">
        <f t="shared" si="0"/>
        <v>628.96073121191591</v>
      </c>
      <c r="H5" s="39"/>
      <c r="J5" s="34"/>
      <c r="K5" s="56">
        <f t="shared" si="1"/>
        <v>79.379199999999997</v>
      </c>
      <c r="L5" s="57">
        <f t="shared" si="2"/>
        <v>0.67179417738659442</v>
      </c>
      <c r="M5" s="38">
        <v>2014</v>
      </c>
      <c r="N5" s="29">
        <v>208</v>
      </c>
      <c r="O5" s="29">
        <v>7</v>
      </c>
      <c r="P5" s="29">
        <v>158</v>
      </c>
      <c r="Q5" s="34"/>
      <c r="U5" s="55">
        <v>2</v>
      </c>
      <c r="V5" s="29">
        <v>-0.431251</v>
      </c>
      <c r="W5" s="55">
        <v>2</v>
      </c>
      <c r="X5" s="29">
        <v>-0.77105999999999997</v>
      </c>
      <c r="Y5" s="58">
        <v>2</v>
      </c>
      <c r="Z5" s="4">
        <v>-0.65237699999999998</v>
      </c>
      <c r="AA5" s="75">
        <v>10</v>
      </c>
      <c r="AC5" s="2" t="str">
        <f t="shared" si="3"/>
        <v>Changsha China</v>
      </c>
    </row>
    <row r="6" spans="1:29" ht="17.55" customHeight="1" x14ac:dyDescent="0.25">
      <c r="A6" s="29" t="s">
        <v>61</v>
      </c>
      <c r="B6" s="40" t="s">
        <v>91</v>
      </c>
      <c r="C6" s="29" t="s">
        <v>53</v>
      </c>
      <c r="D6" s="30" t="s">
        <v>71</v>
      </c>
      <c r="E6" s="50">
        <f>625.73*10000</f>
        <v>6257300</v>
      </c>
      <c r="F6" s="50">
        <v>7998</v>
      </c>
      <c r="G6" s="50">
        <f t="shared" si="0"/>
        <v>782.35808952238062</v>
      </c>
      <c r="H6" s="39"/>
      <c r="J6" s="34"/>
      <c r="K6" s="56">
        <f t="shared" si="1"/>
        <v>20.096</v>
      </c>
      <c r="L6" s="57">
        <f t="shared" si="2"/>
        <v>0.251262815703926</v>
      </c>
      <c r="M6" s="38">
        <v>2019</v>
      </c>
      <c r="N6" s="29">
        <v>84.25</v>
      </c>
      <c r="O6" s="29">
        <v>3</v>
      </c>
      <c r="P6" s="29">
        <v>40</v>
      </c>
      <c r="Q6" s="34"/>
      <c r="U6" s="55">
        <v>2</v>
      </c>
      <c r="V6" s="29">
        <v>-0.431251</v>
      </c>
      <c r="W6" s="55">
        <v>2</v>
      </c>
      <c r="X6" s="29">
        <v>-0.77105999999999997</v>
      </c>
      <c r="Y6" s="58">
        <v>2</v>
      </c>
      <c r="Z6" s="4">
        <v>-0.65237699999999998</v>
      </c>
      <c r="AA6" s="75">
        <v>10</v>
      </c>
      <c r="AC6" s="2" t="str">
        <f t="shared" si="3"/>
        <v>Jinan China</v>
      </c>
    </row>
    <row r="7" spans="1:29" ht="17.55" customHeight="1" x14ac:dyDescent="0.25">
      <c r="A7" s="29" t="s">
        <v>61</v>
      </c>
      <c r="B7" s="30" t="s">
        <v>83</v>
      </c>
      <c r="C7" s="29" t="s">
        <v>59</v>
      </c>
      <c r="D7" s="30" t="s">
        <v>70</v>
      </c>
      <c r="E7" s="50">
        <f>195.01*10000</f>
        <v>1950100</v>
      </c>
      <c r="F7" s="50">
        <v>2460</v>
      </c>
      <c r="G7" s="50">
        <f t="shared" si="0"/>
        <v>792.72357723577238</v>
      </c>
      <c r="H7" s="39"/>
      <c r="J7" s="34"/>
      <c r="K7" s="56">
        <f t="shared" si="1"/>
        <v>7.5359999999999996</v>
      </c>
      <c r="L7" s="57">
        <f t="shared" si="2"/>
        <v>0.30634146341463414</v>
      </c>
      <c r="M7" s="38">
        <v>2016</v>
      </c>
      <c r="N7" s="29">
        <v>37.700000000000003</v>
      </c>
      <c r="O7" s="29">
        <v>1</v>
      </c>
      <c r="P7" s="29">
        <v>15</v>
      </c>
      <c r="U7" s="55">
        <v>2</v>
      </c>
      <c r="V7" s="29">
        <v>-0.431251</v>
      </c>
      <c r="W7" s="55">
        <v>3</v>
      </c>
      <c r="X7" s="29">
        <v>-0.21254899999999999</v>
      </c>
      <c r="Y7" s="58">
        <v>2</v>
      </c>
      <c r="Z7" s="4">
        <v>-0.65237699999999998</v>
      </c>
      <c r="AA7" s="75">
        <v>10</v>
      </c>
      <c r="AC7" s="2" t="str">
        <f t="shared" si="3"/>
        <v>Dongguan China</v>
      </c>
    </row>
    <row r="8" spans="1:29" ht="17.55" customHeight="1" x14ac:dyDescent="0.25">
      <c r="A8" s="29" t="s">
        <v>61</v>
      </c>
      <c r="B8" s="40" t="s">
        <v>93</v>
      </c>
      <c r="C8" s="29" t="s">
        <v>48</v>
      </c>
      <c r="D8" s="30" t="s">
        <v>71</v>
      </c>
      <c r="E8" s="50">
        <f>815.66*10000</f>
        <v>8156600</v>
      </c>
      <c r="F8" s="50">
        <v>10097</v>
      </c>
      <c r="G8" s="54">
        <f t="shared" si="0"/>
        <v>807.82410617014955</v>
      </c>
      <c r="H8" s="39"/>
      <c r="J8" s="34"/>
      <c r="K8" s="56">
        <f t="shared" si="1"/>
        <v>106.50879999999999</v>
      </c>
      <c r="L8" s="57">
        <f t="shared" si="2"/>
        <v>1.0548558977914231</v>
      </c>
      <c r="M8" s="38">
        <v>2011</v>
      </c>
      <c r="N8" s="29">
        <v>311</v>
      </c>
      <c r="O8" s="29">
        <v>9</v>
      </c>
      <c r="P8" s="29">
        <v>212</v>
      </c>
      <c r="Q8" s="34"/>
      <c r="U8" s="55">
        <v>2</v>
      </c>
      <c r="V8" s="29">
        <v>-0.431251</v>
      </c>
      <c r="W8" s="55">
        <v>2</v>
      </c>
      <c r="X8" s="29">
        <v>-0.77105999999999997</v>
      </c>
      <c r="Y8" s="58">
        <v>2</v>
      </c>
      <c r="Z8" s="4">
        <v>-0.65237699999999998</v>
      </c>
      <c r="AA8" s="75">
        <v>10</v>
      </c>
      <c r="AC8" s="2" t="str">
        <f t="shared" si="3"/>
        <v>Xian China</v>
      </c>
    </row>
    <row r="9" spans="1:29" ht="17.55" customHeight="1" x14ac:dyDescent="0.25">
      <c r="A9" s="29" t="s">
        <v>61</v>
      </c>
      <c r="B9" s="29" t="s">
        <v>87</v>
      </c>
      <c r="C9" s="29" t="s">
        <v>51</v>
      </c>
      <c r="D9" s="30" t="s">
        <v>70</v>
      </c>
      <c r="E9" s="50">
        <f>370.85*10000</f>
        <v>3708500</v>
      </c>
      <c r="F9" s="50">
        <v>4372</v>
      </c>
      <c r="G9" s="50">
        <f t="shared" si="0"/>
        <v>848.23879231473006</v>
      </c>
      <c r="H9" s="39"/>
      <c r="J9" s="34"/>
      <c r="K9" s="56">
        <f t="shared" si="1"/>
        <v>22.105599999999999</v>
      </c>
      <c r="L9" s="57">
        <f t="shared" si="2"/>
        <v>0.50561756633119848</v>
      </c>
      <c r="M9" s="38">
        <v>2019</v>
      </c>
      <c r="N9" s="29">
        <v>54.03</v>
      </c>
      <c r="O9" s="29">
        <v>2</v>
      </c>
      <c r="P9" s="29">
        <v>44</v>
      </c>
      <c r="U9" s="55">
        <v>2</v>
      </c>
      <c r="V9" s="29">
        <v>-0.431251</v>
      </c>
      <c r="W9" s="55">
        <v>3</v>
      </c>
      <c r="X9" s="29">
        <v>-0.21254899999999999</v>
      </c>
      <c r="Y9" s="58">
        <v>2</v>
      </c>
      <c r="Z9" s="4">
        <v>-0.65237699999999998</v>
      </c>
      <c r="AA9" s="75">
        <v>6</v>
      </c>
      <c r="AC9" s="2" t="str">
        <f t="shared" si="3"/>
        <v>Changzhou China</v>
      </c>
    </row>
    <row r="10" spans="1:29" ht="17.25" customHeight="1" x14ac:dyDescent="0.25">
      <c r="A10" s="29" t="s">
        <v>61</v>
      </c>
      <c r="B10" s="29" t="s">
        <v>88</v>
      </c>
      <c r="C10" s="29" t="s">
        <v>58</v>
      </c>
      <c r="D10" s="30" t="s">
        <v>70</v>
      </c>
      <c r="E10" s="50">
        <f>388.79*10000</f>
        <v>3887900</v>
      </c>
      <c r="F10" s="50">
        <v>3798</v>
      </c>
      <c r="G10" s="50">
        <f t="shared" si="0"/>
        <v>1023.6703528172723</v>
      </c>
      <c r="H10" s="39"/>
      <c r="J10" s="34"/>
      <c r="K10" s="56">
        <f t="shared" si="1"/>
        <v>37.177599999999998</v>
      </c>
      <c r="L10" s="57">
        <f t="shared" si="2"/>
        <v>0.97887309110057918</v>
      </c>
      <c r="M10" s="38">
        <v>2010</v>
      </c>
      <c r="N10" s="29">
        <v>134.9</v>
      </c>
      <c r="O10" s="29">
        <v>3</v>
      </c>
      <c r="P10" s="29">
        <v>74</v>
      </c>
      <c r="U10" s="55">
        <v>2</v>
      </c>
      <c r="V10" s="29">
        <v>-0.431251</v>
      </c>
      <c r="W10" s="55">
        <v>3</v>
      </c>
      <c r="X10" s="29">
        <v>-0.21254899999999999</v>
      </c>
      <c r="Y10" s="58">
        <v>2</v>
      </c>
      <c r="Z10" s="4">
        <v>-0.65237699999999998</v>
      </c>
      <c r="AA10" s="75">
        <v>10</v>
      </c>
      <c r="AC10" s="2" t="str">
        <f t="shared" si="3"/>
        <v>Foshan China</v>
      </c>
    </row>
    <row r="11" spans="1:29" ht="17.25" customHeight="1" x14ac:dyDescent="0.25">
      <c r="A11" s="29" t="s">
        <v>61</v>
      </c>
      <c r="B11" s="29" t="s">
        <v>50</v>
      </c>
      <c r="C11" s="29" t="s">
        <v>50</v>
      </c>
      <c r="D11" s="29" t="s">
        <v>72</v>
      </c>
      <c r="E11" s="50">
        <f>1439*10000</f>
        <v>14390000</v>
      </c>
      <c r="F11" s="50">
        <v>11917</v>
      </c>
      <c r="G11" s="54">
        <f t="shared" si="0"/>
        <v>1207.5186708064109</v>
      </c>
      <c r="K11" s="56">
        <f t="shared" si="1"/>
        <v>109.5232</v>
      </c>
      <c r="L11" s="57">
        <f t="shared" si="2"/>
        <v>0.91905009650079716</v>
      </c>
      <c r="M11" s="29">
        <v>1984</v>
      </c>
      <c r="N11" s="29">
        <v>301</v>
      </c>
      <c r="O11" s="29">
        <v>10</v>
      </c>
      <c r="P11" s="29">
        <v>218</v>
      </c>
      <c r="U11" s="55">
        <v>1</v>
      </c>
      <c r="V11" s="29">
        <v>-0.130935</v>
      </c>
      <c r="W11" s="55">
        <v>2</v>
      </c>
      <c r="X11" s="29">
        <v>-0.77105999999999997</v>
      </c>
      <c r="Y11" s="58">
        <v>2</v>
      </c>
      <c r="Z11" s="4">
        <v>-0.65237699999999998</v>
      </c>
      <c r="AA11" s="75">
        <v>17</v>
      </c>
      <c r="AC11" s="2" t="str">
        <f t="shared" si="3"/>
        <v>Tianjin China</v>
      </c>
    </row>
    <row r="12" spans="1:29" ht="17.25" customHeight="1" x14ac:dyDescent="0.25">
      <c r="A12" s="29" t="s">
        <v>61</v>
      </c>
      <c r="B12" s="40" t="s">
        <v>94</v>
      </c>
      <c r="C12" s="29" t="s">
        <v>49</v>
      </c>
      <c r="D12" s="29" t="s">
        <v>72</v>
      </c>
      <c r="E12" s="50">
        <f>1465.75*10000</f>
        <v>14657500</v>
      </c>
      <c r="F12" s="50">
        <v>12121</v>
      </c>
      <c r="G12" s="54">
        <f t="shared" si="0"/>
        <v>1209.2649121359623</v>
      </c>
      <c r="K12" s="56">
        <f t="shared" si="1"/>
        <v>187.39519999999999</v>
      </c>
      <c r="L12" s="57">
        <f t="shared" si="2"/>
        <v>1.5460374556554739</v>
      </c>
      <c r="M12" s="29">
        <v>2010</v>
      </c>
      <c r="N12" s="29">
        <v>558.1</v>
      </c>
      <c r="O12" s="29">
        <v>13</v>
      </c>
      <c r="P12" s="29">
        <v>373</v>
      </c>
      <c r="U12" s="55">
        <v>1</v>
      </c>
      <c r="V12" s="29">
        <v>-0.130935</v>
      </c>
      <c r="W12" s="55">
        <v>2</v>
      </c>
      <c r="X12" s="29">
        <v>-0.77105999999999997</v>
      </c>
      <c r="Y12" s="58">
        <v>2</v>
      </c>
      <c r="Z12" s="4">
        <v>-0.65237699999999998</v>
      </c>
      <c r="AA12" s="75">
        <v>14</v>
      </c>
      <c r="AC12" s="2" t="str">
        <f t="shared" si="3"/>
        <v>Chengdu China</v>
      </c>
    </row>
    <row r="13" spans="1:29" ht="17.25" customHeight="1" x14ac:dyDescent="0.25">
      <c r="A13" s="29" t="s">
        <v>61</v>
      </c>
      <c r="B13" s="30" t="s">
        <v>84</v>
      </c>
      <c r="C13" s="29" t="s">
        <v>52</v>
      </c>
      <c r="D13" s="30" t="s">
        <v>70</v>
      </c>
      <c r="E13" s="50">
        <f>211.15*10000</f>
        <v>2111500</v>
      </c>
      <c r="F13" s="50">
        <v>1699</v>
      </c>
      <c r="G13" s="50">
        <f t="shared" si="0"/>
        <v>1242.789876397881</v>
      </c>
      <c r="H13" s="39"/>
      <c r="J13" s="34"/>
      <c r="K13" s="56">
        <f t="shared" si="1"/>
        <v>35.167999999999999</v>
      </c>
      <c r="L13" s="57">
        <f t="shared" si="2"/>
        <v>2.0699234844025898</v>
      </c>
      <c r="M13" s="38">
        <v>2021</v>
      </c>
      <c r="N13" s="29">
        <v>98.4</v>
      </c>
      <c r="O13" s="29">
        <v>3</v>
      </c>
      <c r="P13" s="29">
        <v>70</v>
      </c>
      <c r="U13" s="55">
        <v>2</v>
      </c>
      <c r="V13" s="29">
        <v>-0.431251</v>
      </c>
      <c r="W13" s="55">
        <v>3</v>
      </c>
      <c r="X13" s="29">
        <v>-0.21254899999999999</v>
      </c>
      <c r="Y13" s="58">
        <v>2</v>
      </c>
      <c r="Z13" s="4">
        <v>-0.65237699999999998</v>
      </c>
      <c r="AA13" s="75">
        <v>7</v>
      </c>
      <c r="AC13" s="2" t="str">
        <f t="shared" si="3"/>
        <v>Xiamen China</v>
      </c>
    </row>
    <row r="14" spans="1:29" ht="17.25" customHeight="1" x14ac:dyDescent="0.25">
      <c r="A14" s="29" t="s">
        <v>61</v>
      </c>
      <c r="B14" s="29" t="s">
        <v>35</v>
      </c>
      <c r="C14" s="29" t="s">
        <v>35</v>
      </c>
      <c r="D14" s="29" t="s">
        <v>72</v>
      </c>
      <c r="E14" s="50">
        <f>2188.3*10000</f>
        <v>21883000</v>
      </c>
      <c r="F14" s="50">
        <v>16410</v>
      </c>
      <c r="G14" s="54">
        <f t="shared" si="0"/>
        <v>1333.5161486898232</v>
      </c>
      <c r="H14" s="39"/>
      <c r="J14" s="34">
        <v>16480000</v>
      </c>
      <c r="K14" s="56">
        <f t="shared" si="1"/>
        <v>246.17599999999999</v>
      </c>
      <c r="L14" s="57">
        <f t="shared" si="2"/>
        <v>1.5001584399756245</v>
      </c>
      <c r="M14" s="44">
        <v>1971</v>
      </c>
      <c r="N14" s="29">
        <v>836</v>
      </c>
      <c r="O14" s="29">
        <v>27</v>
      </c>
      <c r="P14" s="29">
        <v>490</v>
      </c>
      <c r="Q14" s="34">
        <v>3848400000</v>
      </c>
      <c r="R14" s="34" t="s">
        <v>37</v>
      </c>
      <c r="S14" s="34">
        <v>2018</v>
      </c>
      <c r="T14" s="4" t="s">
        <v>40</v>
      </c>
      <c r="U14" s="55">
        <v>1</v>
      </c>
      <c r="V14" s="29">
        <v>-0.130935</v>
      </c>
      <c r="W14" s="55">
        <v>2</v>
      </c>
      <c r="X14" s="29">
        <v>-0.77105999999999997</v>
      </c>
      <c r="Y14" s="58">
        <v>2</v>
      </c>
      <c r="Z14" s="4">
        <v>-0.65237699999999998</v>
      </c>
      <c r="AA14" s="75">
        <v>30</v>
      </c>
      <c r="AC14" s="2" t="str">
        <f t="shared" si="3"/>
        <v>Beijing China</v>
      </c>
    </row>
    <row r="15" spans="1:29" ht="17.25" customHeight="1" x14ac:dyDescent="0.25">
      <c r="A15" s="29" t="s">
        <v>61</v>
      </c>
      <c r="B15" s="29" t="s">
        <v>89</v>
      </c>
      <c r="C15" s="29" t="s">
        <v>36</v>
      </c>
      <c r="D15" s="30" t="s">
        <v>70</v>
      </c>
      <c r="E15" s="50">
        <f>462.18*10000</f>
        <v>4621800</v>
      </c>
      <c r="F15" s="50">
        <v>1230</v>
      </c>
      <c r="G15" s="50">
        <f t="shared" si="0"/>
        <v>3757.560975609756</v>
      </c>
      <c r="H15" s="39"/>
      <c r="J15" s="34">
        <f>963420*2.5</f>
        <v>2408550</v>
      </c>
      <c r="K15" s="56">
        <f t="shared" si="1"/>
        <v>41.196800000000003</v>
      </c>
      <c r="L15" s="57">
        <f t="shared" si="2"/>
        <v>3.3493333333333335</v>
      </c>
      <c r="M15" s="38">
        <v>2017</v>
      </c>
      <c r="N15" s="29">
        <v>118.73</v>
      </c>
      <c r="O15" s="29">
        <v>3</v>
      </c>
      <c r="P15" s="29">
        <v>82</v>
      </c>
      <c r="T15" s="4" t="s">
        <v>38</v>
      </c>
      <c r="U15" s="55">
        <v>2</v>
      </c>
      <c r="V15" s="29">
        <v>-0.431251</v>
      </c>
      <c r="W15" s="55">
        <v>3</v>
      </c>
      <c r="X15" s="29">
        <v>-0.21254899999999999</v>
      </c>
      <c r="Y15" s="58">
        <v>2</v>
      </c>
      <c r="Z15" s="4">
        <v>-0.65237699999999998</v>
      </c>
      <c r="AA15" s="75">
        <v>8</v>
      </c>
      <c r="AC15" s="2" t="str">
        <f t="shared" si="3"/>
        <v>Guiyang China</v>
      </c>
    </row>
    <row r="16" spans="1:29" ht="17.25" customHeight="1" x14ac:dyDescent="0.25">
      <c r="A16" s="29" t="s">
        <v>61</v>
      </c>
      <c r="B16" s="29" t="s">
        <v>47</v>
      </c>
      <c r="C16" s="29" t="s">
        <v>47</v>
      </c>
      <c r="D16" s="29" t="s">
        <v>72</v>
      </c>
      <c r="E16" s="50">
        <f>2415.27*10000</f>
        <v>24152700</v>
      </c>
      <c r="F16" s="50">
        <v>6341</v>
      </c>
      <c r="G16" s="54">
        <f t="shared" si="0"/>
        <v>3808.9733480523578</v>
      </c>
      <c r="K16" s="56">
        <f t="shared" si="1"/>
        <v>254.21440000000001</v>
      </c>
      <c r="L16" s="57">
        <f t="shared" si="2"/>
        <v>4.0090585081217478</v>
      </c>
      <c r="M16" s="29">
        <v>1993</v>
      </c>
      <c r="N16" s="29">
        <v>802</v>
      </c>
      <c r="O16" s="4">
        <v>19</v>
      </c>
      <c r="P16" s="29">
        <v>506</v>
      </c>
      <c r="U16" s="55">
        <v>1</v>
      </c>
      <c r="V16" s="29">
        <v>-0.130935</v>
      </c>
      <c r="W16" s="55">
        <v>1</v>
      </c>
      <c r="X16" s="29">
        <v>1.7588140000000001</v>
      </c>
      <c r="Y16" s="58">
        <v>3</v>
      </c>
      <c r="Z16" s="4">
        <v>0.248617</v>
      </c>
      <c r="AA16" s="75">
        <v>18</v>
      </c>
      <c r="AC16" s="2" t="str">
        <f t="shared" si="3"/>
        <v>Shanghai China</v>
      </c>
    </row>
    <row r="17" spans="1:29" ht="17.25" customHeight="1" x14ac:dyDescent="0.25">
      <c r="A17" s="29" t="s">
        <v>64</v>
      </c>
      <c r="B17" s="30" t="s">
        <v>24</v>
      </c>
      <c r="C17" s="30" t="s">
        <v>24</v>
      </c>
      <c r="D17" s="29" t="s">
        <v>72</v>
      </c>
      <c r="E17" s="51">
        <v>15769937.907311</v>
      </c>
      <c r="F17" s="50">
        <v>3883</v>
      </c>
      <c r="G17" s="50">
        <v>4061.2768239276334</v>
      </c>
      <c r="H17" s="3">
        <v>75.661355556425903</v>
      </c>
      <c r="I17" s="33">
        <v>34.376628138984564</v>
      </c>
      <c r="J17" s="7">
        <v>12.499173510476242</v>
      </c>
      <c r="K17" s="56">
        <f t="shared" si="1"/>
        <v>54.2592</v>
      </c>
      <c r="L17" s="57">
        <f t="shared" si="2"/>
        <v>1.3973525624517127</v>
      </c>
      <c r="M17" s="32">
        <v>1913</v>
      </c>
      <c r="N17" s="29">
        <v>70.7</v>
      </c>
      <c r="O17" s="29">
        <v>6</v>
      </c>
      <c r="P17" s="29">
        <v>108</v>
      </c>
      <c r="Q17" s="34">
        <v>302850000</v>
      </c>
      <c r="R17" s="34"/>
      <c r="S17" s="34">
        <v>2023</v>
      </c>
      <c r="T17" s="41" t="s">
        <v>39</v>
      </c>
      <c r="U17" s="55">
        <v>1</v>
      </c>
      <c r="V17" s="29">
        <v>-0.130935</v>
      </c>
      <c r="W17" s="55">
        <v>3</v>
      </c>
      <c r="X17" s="29">
        <v>-0.21254899999999999</v>
      </c>
      <c r="Y17" s="58">
        <v>2</v>
      </c>
      <c r="Z17" s="4">
        <v>-0.65237699999999998</v>
      </c>
      <c r="AA17" s="75" t="s">
        <v>1</v>
      </c>
      <c r="AC17" s="2" t="str">
        <f t="shared" si="3"/>
        <v>Buenos Aires Argentina</v>
      </c>
    </row>
    <row r="18" spans="1:29" ht="17.25" customHeight="1" x14ac:dyDescent="0.25">
      <c r="A18" s="29" t="s">
        <v>67</v>
      </c>
      <c r="B18" s="42" t="s">
        <v>99</v>
      </c>
      <c r="C18" s="30" t="s">
        <v>0</v>
      </c>
      <c r="D18" s="30" t="s">
        <v>70</v>
      </c>
      <c r="E18" s="51">
        <v>3887261</v>
      </c>
      <c r="F18" s="53">
        <v>841.23999999996545</v>
      </c>
      <c r="G18" s="54">
        <v>4620.8703818175072</v>
      </c>
      <c r="H18" s="7">
        <v>35.911681467860603</v>
      </c>
      <c r="I18" s="7">
        <v>7.0274203392999546</v>
      </c>
      <c r="J18" s="43">
        <v>2.6064498460523047</v>
      </c>
      <c r="K18" s="56">
        <f t="shared" si="1"/>
        <v>14.0672</v>
      </c>
      <c r="L18" s="57">
        <f t="shared" si="2"/>
        <v>1.6721981836337525</v>
      </c>
      <c r="M18" s="38">
        <v>1985</v>
      </c>
      <c r="N18" s="29">
        <v>39.5</v>
      </c>
      <c r="O18" s="29">
        <v>3</v>
      </c>
      <c r="P18" s="29">
        <v>28</v>
      </c>
      <c r="Q18" s="34">
        <v>93500000</v>
      </c>
      <c r="R18" s="34">
        <v>400000</v>
      </c>
      <c r="S18" s="34">
        <v>2023</v>
      </c>
      <c r="T18" s="4" t="s">
        <v>12</v>
      </c>
      <c r="U18" s="55">
        <v>2</v>
      </c>
      <c r="V18" s="29">
        <v>-0.431251</v>
      </c>
      <c r="W18" s="55">
        <v>3</v>
      </c>
      <c r="X18" s="29">
        <v>-0.21254899999999999</v>
      </c>
      <c r="Y18" s="58">
        <v>2</v>
      </c>
      <c r="Z18" s="4">
        <v>-0.65237699999999998</v>
      </c>
      <c r="AA18" s="75" t="s">
        <v>1</v>
      </c>
      <c r="AC18" s="2" t="str">
        <f t="shared" si="3"/>
        <v xml:space="preserve">Recife Brazil </v>
      </c>
    </row>
    <row r="19" spans="1:29" ht="17.7" customHeight="1" x14ac:dyDescent="0.25">
      <c r="A19" s="29" t="s">
        <v>68</v>
      </c>
      <c r="B19" s="30" t="s">
        <v>95</v>
      </c>
      <c r="C19" s="30" t="s">
        <v>33</v>
      </c>
      <c r="D19" s="30" t="s">
        <v>70</v>
      </c>
      <c r="E19" s="50">
        <v>2239191</v>
      </c>
      <c r="F19" s="50">
        <v>372.39</v>
      </c>
      <c r="G19" s="50">
        <v>6013.0266655925243</v>
      </c>
      <c r="H19" s="3">
        <v>6.4409999999999998</v>
      </c>
      <c r="I19" s="7">
        <v>3.9214707999999998</v>
      </c>
      <c r="J19" s="7">
        <v>2.2305839999999999</v>
      </c>
      <c r="K19" s="56">
        <f t="shared" si="1"/>
        <v>7.5359999999999996</v>
      </c>
      <c r="L19" s="57">
        <f t="shared" si="2"/>
        <v>2.0236848465318618</v>
      </c>
      <c r="M19" s="32">
        <v>2023</v>
      </c>
      <c r="N19" s="29">
        <v>22.6</v>
      </c>
      <c r="O19" s="29">
        <v>1</v>
      </c>
      <c r="P19" s="29">
        <v>15</v>
      </c>
      <c r="Q19" s="34" t="s">
        <v>1</v>
      </c>
      <c r="R19" s="34" t="s">
        <v>17</v>
      </c>
      <c r="S19" s="34">
        <v>2023</v>
      </c>
      <c r="T19" s="4" t="s">
        <v>18</v>
      </c>
      <c r="U19" s="55">
        <v>2</v>
      </c>
      <c r="V19" s="29">
        <v>-0.431251</v>
      </c>
      <c r="W19" s="55">
        <v>3</v>
      </c>
      <c r="X19" s="29">
        <v>-0.21254899999999999</v>
      </c>
      <c r="Y19" s="58">
        <v>3</v>
      </c>
      <c r="Z19" s="4">
        <v>0.248617</v>
      </c>
      <c r="AA19" s="75" t="s">
        <v>1</v>
      </c>
      <c r="AC19" s="2" t="str">
        <f t="shared" si="3"/>
        <v>Quito Ecuador</v>
      </c>
    </row>
    <row r="20" spans="1:29" ht="17.25" customHeight="1" x14ac:dyDescent="0.25">
      <c r="A20" s="29" t="s">
        <v>34</v>
      </c>
      <c r="B20" s="30" t="s">
        <v>34</v>
      </c>
      <c r="C20" s="30" t="s">
        <v>34</v>
      </c>
      <c r="D20" s="30" t="s">
        <v>70</v>
      </c>
      <c r="E20" s="50">
        <v>1771384</v>
      </c>
      <c r="F20" s="50">
        <v>287</v>
      </c>
      <c r="G20" s="50">
        <v>6172.0696864111496</v>
      </c>
      <c r="H20" s="3">
        <v>46.21</v>
      </c>
      <c r="I20" s="30">
        <v>1.8723990000000001</v>
      </c>
      <c r="J20" s="36">
        <v>0.65988400000000003</v>
      </c>
      <c r="K20" s="56">
        <f t="shared" si="1"/>
        <v>16.5792</v>
      </c>
      <c r="L20" s="57">
        <f t="shared" si="2"/>
        <v>5.7767247386759584</v>
      </c>
      <c r="M20" s="38">
        <v>2014</v>
      </c>
      <c r="N20" s="29">
        <v>41.6</v>
      </c>
      <c r="O20" s="29">
        <v>2</v>
      </c>
      <c r="P20" s="29">
        <v>33</v>
      </c>
      <c r="Q20" s="34">
        <v>219000000</v>
      </c>
      <c r="R20" s="34">
        <f>299359+192614+7423</f>
        <v>499396</v>
      </c>
      <c r="S20" s="34">
        <v>2023</v>
      </c>
      <c r="T20" s="4" t="s">
        <v>19</v>
      </c>
      <c r="U20" s="55">
        <v>3</v>
      </c>
      <c r="V20" s="29">
        <v>1.8482479999999999</v>
      </c>
      <c r="W20" s="55">
        <v>1</v>
      </c>
      <c r="X20" s="29">
        <v>1.7588140000000001</v>
      </c>
      <c r="Y20" s="58">
        <v>3</v>
      </c>
      <c r="Z20" s="4">
        <v>0.248617</v>
      </c>
      <c r="AA20" s="75" t="s">
        <v>1</v>
      </c>
      <c r="AC20" s="2" t="str">
        <f t="shared" si="3"/>
        <v>Panama Panama</v>
      </c>
    </row>
    <row r="21" spans="1:29" ht="17.7" customHeight="1" x14ac:dyDescent="0.25">
      <c r="A21" s="29" t="s">
        <v>63</v>
      </c>
      <c r="B21" s="40" t="s">
        <v>102</v>
      </c>
      <c r="C21" s="30" t="s">
        <v>29</v>
      </c>
      <c r="D21" s="30" t="s">
        <v>70</v>
      </c>
      <c r="E21" s="50">
        <v>4515531</v>
      </c>
      <c r="F21" s="50">
        <v>692.524</v>
      </c>
      <c r="G21" s="50">
        <v>6520.3964050343384</v>
      </c>
      <c r="H21" s="3">
        <v>73.822313432835799</v>
      </c>
      <c r="I21" s="7">
        <v>10.387395631921864</v>
      </c>
      <c r="J21" s="7">
        <v>3.1557797047124545</v>
      </c>
      <c r="K21" s="56">
        <f t="shared" si="1"/>
        <v>24.115200000000002</v>
      </c>
      <c r="L21" s="57">
        <f t="shared" si="2"/>
        <v>3.4822186667898873</v>
      </c>
      <c r="M21" s="32">
        <v>1989</v>
      </c>
      <c r="N21" s="29">
        <v>46.5</v>
      </c>
      <c r="O21" s="29">
        <v>3</v>
      </c>
      <c r="P21" s="29">
        <v>48</v>
      </c>
      <c r="Q21" s="34">
        <v>139500000</v>
      </c>
      <c r="R21" s="34">
        <v>382142</v>
      </c>
      <c r="S21" s="34">
        <v>2023</v>
      </c>
      <c r="T21" s="4" t="s">
        <v>11</v>
      </c>
      <c r="U21" s="55">
        <v>2</v>
      </c>
      <c r="V21" s="29">
        <v>-0.431251</v>
      </c>
      <c r="W21" s="55">
        <v>3</v>
      </c>
      <c r="X21" s="29">
        <v>-0.21254899999999999</v>
      </c>
      <c r="Y21" s="58">
        <v>3</v>
      </c>
      <c r="Z21" s="4">
        <v>0.248617</v>
      </c>
      <c r="AA21" s="75" t="s">
        <v>1</v>
      </c>
      <c r="AC21" s="2" t="str">
        <f t="shared" si="3"/>
        <v>Guadalajara México</v>
      </c>
    </row>
    <row r="22" spans="1:29" ht="17.55" customHeight="1" x14ac:dyDescent="0.25">
      <c r="A22" s="29" t="s">
        <v>63</v>
      </c>
      <c r="B22" s="30" t="s">
        <v>22</v>
      </c>
      <c r="C22" s="30" t="s">
        <v>22</v>
      </c>
      <c r="D22" s="29" t="s">
        <v>72</v>
      </c>
      <c r="E22" s="50">
        <v>20392950</v>
      </c>
      <c r="F22" s="50">
        <v>2608.5744249999998</v>
      </c>
      <c r="G22" s="50">
        <v>7817.6607899542687</v>
      </c>
      <c r="H22" s="41">
        <v>192.620223880597</v>
      </c>
      <c r="I22" s="7">
        <v>43.116880000000002</v>
      </c>
      <c r="J22" s="7">
        <v>25.246925999999998</v>
      </c>
      <c r="K22" s="56">
        <f t="shared" si="1"/>
        <v>97.968000000000004</v>
      </c>
      <c r="L22" s="57">
        <f t="shared" si="2"/>
        <v>3.7556145249718154</v>
      </c>
      <c r="M22" s="32">
        <v>1969</v>
      </c>
      <c r="N22" s="29">
        <v>201.06</v>
      </c>
      <c r="O22" s="29">
        <v>12</v>
      </c>
      <c r="P22" s="29">
        <v>195</v>
      </c>
      <c r="Q22" s="34">
        <v>1057461875</v>
      </c>
      <c r="R22" s="34"/>
      <c r="S22" s="34">
        <v>2022</v>
      </c>
      <c r="T22" s="4" t="s">
        <v>4</v>
      </c>
      <c r="U22" s="55">
        <v>1</v>
      </c>
      <c r="V22" s="29">
        <v>-0.130935</v>
      </c>
      <c r="W22" s="55">
        <v>3</v>
      </c>
      <c r="X22" s="29">
        <v>-0.21254899999999999</v>
      </c>
      <c r="Y22" s="58">
        <v>3</v>
      </c>
      <c r="Z22" s="4">
        <v>0.248617</v>
      </c>
      <c r="AA22" s="75" t="s">
        <v>1</v>
      </c>
      <c r="AC22" s="2" t="str">
        <f t="shared" si="3"/>
        <v>Ciudad de Mexico México</v>
      </c>
    </row>
    <row r="23" spans="1:29" ht="17.55" customHeight="1" x14ac:dyDescent="0.25">
      <c r="A23" s="29" t="s">
        <v>66</v>
      </c>
      <c r="B23" s="30" t="s">
        <v>27</v>
      </c>
      <c r="C23" s="30" t="s">
        <v>27</v>
      </c>
      <c r="D23" s="30" t="s">
        <v>71</v>
      </c>
      <c r="E23" s="52">
        <v>5842259</v>
      </c>
      <c r="F23" s="51">
        <v>662</v>
      </c>
      <c r="G23" s="51">
        <v>8825</v>
      </c>
      <c r="H23" s="45">
        <v>107.40248972133399</v>
      </c>
      <c r="I23" s="46">
        <v>13.726144366142044</v>
      </c>
      <c r="J23" s="47">
        <v>5.4799499999999997</v>
      </c>
      <c r="K23" s="56">
        <f t="shared" si="1"/>
        <v>71.843199999999996</v>
      </c>
      <c r="L23" s="57">
        <f t="shared" si="2"/>
        <v>10.852447129909365</v>
      </c>
      <c r="M23" s="31">
        <v>1975</v>
      </c>
      <c r="N23" s="29">
        <v>149.80000000000001</v>
      </c>
      <c r="O23" s="42">
        <v>7</v>
      </c>
      <c r="P23" s="42">
        <v>143</v>
      </c>
      <c r="Q23" s="42">
        <v>599090000</v>
      </c>
      <c r="R23" s="42">
        <v>2030000</v>
      </c>
      <c r="S23" s="34">
        <v>2023</v>
      </c>
      <c r="T23" s="4" t="s">
        <v>9</v>
      </c>
      <c r="U23" s="55">
        <v>3</v>
      </c>
      <c r="V23" s="29">
        <v>1.8482479999999999</v>
      </c>
      <c r="W23" s="55">
        <v>1</v>
      </c>
      <c r="X23" s="29">
        <v>1.7588140000000001</v>
      </c>
      <c r="Y23" s="58">
        <v>1</v>
      </c>
      <c r="Z23" s="4">
        <v>2.402002</v>
      </c>
      <c r="AA23" s="75" t="s">
        <v>1</v>
      </c>
      <c r="AC23" s="2" t="str">
        <f t="shared" si="3"/>
        <v>Santiago Chile</v>
      </c>
    </row>
    <row r="24" spans="1:29" ht="17.55" customHeight="1" x14ac:dyDescent="0.25">
      <c r="A24" s="29" t="s">
        <v>62</v>
      </c>
      <c r="B24" s="40" t="s">
        <v>103</v>
      </c>
      <c r="C24" s="30" t="s">
        <v>28</v>
      </c>
      <c r="D24" s="30" t="s">
        <v>71</v>
      </c>
      <c r="E24" s="50">
        <v>5609654</v>
      </c>
      <c r="F24" s="50">
        <v>603</v>
      </c>
      <c r="G24" s="50">
        <v>9302.9087893864016</v>
      </c>
      <c r="H24" s="3">
        <v>68.766104958611805</v>
      </c>
      <c r="I24" s="37">
        <v>12.632550311070631</v>
      </c>
      <c r="J24" s="37">
        <v>3.2753302151274384</v>
      </c>
      <c r="K24" s="56">
        <f t="shared" si="1"/>
        <v>9.5456000000000003</v>
      </c>
      <c r="L24" s="57">
        <f t="shared" si="2"/>
        <v>1.5830182421227197</v>
      </c>
      <c r="M24" s="32">
        <v>1986</v>
      </c>
      <c r="N24" s="29">
        <v>28.1</v>
      </c>
      <c r="O24" s="29">
        <v>1</v>
      </c>
      <c r="P24" s="29">
        <v>19</v>
      </c>
      <c r="Q24" s="42">
        <v>54400000</v>
      </c>
      <c r="R24" s="34">
        <v>100000</v>
      </c>
      <c r="S24" s="34">
        <v>2023</v>
      </c>
      <c r="T24" s="4" t="s">
        <v>10</v>
      </c>
      <c r="U24" s="55">
        <v>2</v>
      </c>
      <c r="V24" s="29">
        <v>-0.431251</v>
      </c>
      <c r="W24" s="55">
        <v>3</v>
      </c>
      <c r="X24" s="29">
        <v>-0.21254899999999999</v>
      </c>
      <c r="Y24" s="58">
        <v>3</v>
      </c>
      <c r="Z24" s="4">
        <v>0.248617</v>
      </c>
      <c r="AA24" s="75" t="s">
        <v>1</v>
      </c>
      <c r="AC24" s="2" t="str">
        <f t="shared" si="3"/>
        <v>Belo Horizonte Brazil</v>
      </c>
    </row>
    <row r="25" spans="1:29" ht="17.55" customHeight="1" x14ac:dyDescent="0.25">
      <c r="A25" s="29" t="s">
        <v>62</v>
      </c>
      <c r="B25" s="30" t="s">
        <v>23</v>
      </c>
      <c r="C25" s="30" t="s">
        <v>23</v>
      </c>
      <c r="D25" s="29" t="s">
        <v>72</v>
      </c>
      <c r="E25" s="51">
        <v>20935204</v>
      </c>
      <c r="F25" s="52">
        <v>2209</v>
      </c>
      <c r="G25" s="51">
        <v>9477.2313263920332</v>
      </c>
      <c r="H25" s="46">
        <v>372.18115696733298</v>
      </c>
      <c r="I25" s="46">
        <v>42.826424487983047</v>
      </c>
      <c r="J25" s="46">
        <v>13.957219982354985</v>
      </c>
      <c r="K25" s="56">
        <f t="shared" si="1"/>
        <v>44.7136</v>
      </c>
      <c r="L25" s="57">
        <f t="shared" si="2"/>
        <v>2.02415572657311</v>
      </c>
      <c r="M25" s="31">
        <v>1974</v>
      </c>
      <c r="N25" s="29">
        <v>104.4</v>
      </c>
      <c r="O25" s="29">
        <v>13</v>
      </c>
      <c r="P25" s="29">
        <v>89</v>
      </c>
      <c r="Q25" s="34">
        <v>1104200000</v>
      </c>
      <c r="R25" s="34">
        <v>2610000</v>
      </c>
      <c r="S25" s="34">
        <v>2022</v>
      </c>
      <c r="T25" s="4" t="s">
        <v>7</v>
      </c>
      <c r="U25" s="55">
        <v>1</v>
      </c>
      <c r="V25" s="29">
        <v>-0.130935</v>
      </c>
      <c r="W25" s="55">
        <v>3</v>
      </c>
      <c r="X25" s="29">
        <v>-0.21254899999999999</v>
      </c>
      <c r="Y25" s="58">
        <v>3</v>
      </c>
      <c r="Z25" s="4">
        <v>0.248617</v>
      </c>
      <c r="AA25" s="75" t="s">
        <v>1</v>
      </c>
      <c r="AC25" s="2" t="str">
        <f t="shared" si="3"/>
        <v>Sao Paulo Brazil</v>
      </c>
    </row>
    <row r="26" spans="1:29" ht="17.25" customHeight="1" x14ac:dyDescent="0.25">
      <c r="A26" s="29" t="s">
        <v>62</v>
      </c>
      <c r="B26" s="44" t="s">
        <v>101</v>
      </c>
      <c r="C26" s="30" t="s">
        <v>105</v>
      </c>
      <c r="D26" s="30" t="s">
        <v>70</v>
      </c>
      <c r="E26" s="54">
        <v>4161237</v>
      </c>
      <c r="F26" s="53">
        <v>433.98</v>
      </c>
      <c r="G26" s="54">
        <v>9588.5455550947045</v>
      </c>
      <c r="H26" s="43">
        <v>55.335856406287903</v>
      </c>
      <c r="I26" s="7">
        <v>5.8370003038828262</v>
      </c>
      <c r="J26" s="4">
        <v>2.1307638966666662</v>
      </c>
      <c r="K26" s="56">
        <f t="shared" si="1"/>
        <v>11.0528</v>
      </c>
      <c r="L26" s="57">
        <f t="shared" si="2"/>
        <v>2.5468454767500806</v>
      </c>
      <c r="M26" s="38">
        <v>1985</v>
      </c>
      <c r="N26" s="29">
        <v>43.8</v>
      </c>
      <c r="O26" s="29">
        <v>1</v>
      </c>
      <c r="P26" s="29">
        <v>22</v>
      </c>
      <c r="Q26" s="34">
        <v>48100000</v>
      </c>
      <c r="R26" s="34">
        <v>200000</v>
      </c>
      <c r="S26" s="34">
        <v>2023</v>
      </c>
      <c r="T26" s="4" t="s">
        <v>14</v>
      </c>
      <c r="U26" s="55">
        <v>2</v>
      </c>
      <c r="V26" s="29">
        <v>-0.431251</v>
      </c>
      <c r="W26" s="55">
        <v>3</v>
      </c>
      <c r="X26" s="29">
        <v>-0.21254899999999999</v>
      </c>
      <c r="Y26" s="58">
        <v>3</v>
      </c>
      <c r="Z26" s="4">
        <v>0.248617</v>
      </c>
      <c r="AA26" s="75" t="s">
        <v>1</v>
      </c>
      <c r="AC26" s="2" t="str">
        <f t="shared" si="3"/>
        <v>Porto Alegre  Brazil</v>
      </c>
    </row>
    <row r="27" spans="1:29" ht="17.7" customHeight="1" x14ac:dyDescent="0.25">
      <c r="A27" s="29" t="s">
        <v>62</v>
      </c>
      <c r="B27" s="29" t="s">
        <v>100</v>
      </c>
      <c r="C27" s="30" t="s">
        <v>30</v>
      </c>
      <c r="D27" s="30" t="s">
        <v>70</v>
      </c>
      <c r="E27" s="54">
        <v>4016371</v>
      </c>
      <c r="F27" s="53">
        <v>384.43686323588486</v>
      </c>
      <c r="G27" s="54">
        <v>10447.413825493662</v>
      </c>
      <c r="H27" s="43">
        <v>34.854906792999799</v>
      </c>
      <c r="I27" s="43">
        <v>6.1306332435345361</v>
      </c>
      <c r="J27" s="43">
        <v>2.3776702895347808</v>
      </c>
      <c r="K27" s="56">
        <f t="shared" si="1"/>
        <v>10.048</v>
      </c>
      <c r="L27" s="57">
        <f t="shared" si="2"/>
        <v>2.6136931602822631</v>
      </c>
      <c r="M27" s="38">
        <v>2014</v>
      </c>
      <c r="N27" s="29">
        <v>34</v>
      </c>
      <c r="O27" s="29">
        <v>2</v>
      </c>
      <c r="P27" s="29">
        <v>20</v>
      </c>
      <c r="Q27" s="34">
        <v>62000000</v>
      </c>
      <c r="R27" s="34">
        <v>350000</v>
      </c>
      <c r="S27" s="34"/>
      <c r="T27" s="4" t="s">
        <v>13</v>
      </c>
      <c r="U27" s="55">
        <v>2</v>
      </c>
      <c r="V27" s="29">
        <v>-0.431251</v>
      </c>
      <c r="W27" s="55">
        <v>3</v>
      </c>
      <c r="X27" s="29">
        <v>-0.21254899999999999</v>
      </c>
      <c r="Y27" s="58">
        <v>3</v>
      </c>
      <c r="Z27" s="4">
        <v>0.248617</v>
      </c>
      <c r="AA27" s="75" t="s">
        <v>1</v>
      </c>
      <c r="AC27" s="2" t="str">
        <f t="shared" si="3"/>
        <v>Salvador Brazil</v>
      </c>
    </row>
    <row r="28" spans="1:29" ht="17.55" customHeight="1" x14ac:dyDescent="0.25">
      <c r="A28" s="29" t="s">
        <v>61</v>
      </c>
      <c r="B28" s="29" t="s">
        <v>86</v>
      </c>
      <c r="C28" s="29" t="s">
        <v>56</v>
      </c>
      <c r="D28" s="30" t="s">
        <v>70</v>
      </c>
      <c r="E28" s="50">
        <f>369.31*10000</f>
        <v>3693100</v>
      </c>
      <c r="F28" s="50">
        <v>332.14</v>
      </c>
      <c r="G28" s="50">
        <f>+E28/F28</f>
        <v>11119.106400915278</v>
      </c>
      <c r="H28" s="39"/>
      <c r="J28" s="34"/>
      <c r="K28" s="56">
        <f t="shared" si="1"/>
        <v>14.569599999999999</v>
      </c>
      <c r="L28" s="57">
        <f t="shared" si="2"/>
        <v>4.3865839706148009</v>
      </c>
      <c r="M28" s="38">
        <v>2019</v>
      </c>
      <c r="N28" s="29">
        <v>34.96</v>
      </c>
      <c r="O28" s="29">
        <v>2</v>
      </c>
      <c r="P28" s="29">
        <v>29</v>
      </c>
      <c r="U28" s="55">
        <v>2</v>
      </c>
      <c r="V28" s="29">
        <v>-0.431251</v>
      </c>
      <c r="W28" s="55">
        <v>3</v>
      </c>
      <c r="X28" s="29">
        <v>-0.21254899999999999</v>
      </c>
      <c r="Y28" s="58">
        <v>3</v>
      </c>
      <c r="Z28" s="4">
        <v>0.248617</v>
      </c>
      <c r="AA28" s="75">
        <v>8</v>
      </c>
      <c r="AC28" s="2" t="str">
        <f t="shared" si="3"/>
        <v>Lanzhou China</v>
      </c>
    </row>
    <row r="29" spans="1:29" ht="17.55" customHeight="1" x14ac:dyDescent="0.25">
      <c r="A29" s="29" t="s">
        <v>62</v>
      </c>
      <c r="B29" s="40" t="s">
        <v>96</v>
      </c>
      <c r="C29" s="30" t="s">
        <v>32</v>
      </c>
      <c r="D29" s="30" t="s">
        <v>70</v>
      </c>
      <c r="E29" s="50">
        <v>2852372</v>
      </c>
      <c r="F29" s="50">
        <v>251.01</v>
      </c>
      <c r="G29" s="50">
        <v>11363.579140273296</v>
      </c>
      <c r="H29" s="41">
        <v>87.5235959613007</v>
      </c>
      <c r="I29" s="37">
        <v>4.0907943357640955</v>
      </c>
      <c r="J29" s="7">
        <v>1.3850344943505464</v>
      </c>
      <c r="K29" s="56">
        <f t="shared" si="1"/>
        <v>13.5648</v>
      </c>
      <c r="L29" s="57">
        <f t="shared" si="2"/>
        <v>5.4040874865543209</v>
      </c>
      <c r="M29" s="32">
        <v>2001</v>
      </c>
      <c r="N29" s="29">
        <v>42.4</v>
      </c>
      <c r="O29" s="29">
        <v>2</v>
      </c>
      <c r="P29" s="29">
        <v>27</v>
      </c>
      <c r="Q29" s="34">
        <v>42800000</v>
      </c>
      <c r="R29" s="34">
        <v>108000</v>
      </c>
      <c r="S29" s="34">
        <v>2022</v>
      </c>
      <c r="T29" s="4" t="s">
        <v>16</v>
      </c>
      <c r="U29" s="55">
        <v>3</v>
      </c>
      <c r="V29" s="29">
        <v>1.8482479999999999</v>
      </c>
      <c r="W29" s="55">
        <v>1</v>
      </c>
      <c r="X29" s="29">
        <v>1.7588140000000001</v>
      </c>
      <c r="Y29" s="58">
        <v>3</v>
      </c>
      <c r="Z29" s="4">
        <v>0.248617</v>
      </c>
      <c r="AA29" s="75" t="s">
        <v>1</v>
      </c>
      <c r="AC29" s="2" t="str">
        <f t="shared" si="3"/>
        <v>Brasilia Brazil</v>
      </c>
    </row>
    <row r="30" spans="1:29" x14ac:dyDescent="0.25">
      <c r="A30" s="29" t="s">
        <v>65</v>
      </c>
      <c r="B30" s="30" t="s">
        <v>26</v>
      </c>
      <c r="C30" s="30" t="s">
        <v>26</v>
      </c>
      <c r="D30" s="30" t="s">
        <v>71</v>
      </c>
      <c r="E30" s="50">
        <v>9752000</v>
      </c>
      <c r="F30" s="50">
        <v>798.6</v>
      </c>
      <c r="G30" s="50">
        <v>12211</v>
      </c>
      <c r="H30" s="3">
        <v>67.723247232472303</v>
      </c>
      <c r="I30" s="7">
        <v>22.262</v>
      </c>
      <c r="J30" s="7">
        <v>11.345000000000001</v>
      </c>
      <c r="K30" s="56">
        <f t="shared" si="1"/>
        <v>26.627199999999998</v>
      </c>
      <c r="L30" s="57">
        <f t="shared" si="2"/>
        <v>3.3342349110944149</v>
      </c>
      <c r="M30" s="32">
        <v>2011</v>
      </c>
      <c r="N30" s="29">
        <f>34.6+26.8</f>
        <v>61.400000000000006</v>
      </c>
      <c r="O30" s="29">
        <v>2</v>
      </c>
      <c r="P30" s="29">
        <f>26+27</f>
        <v>53</v>
      </c>
      <c r="Q30" s="34">
        <v>110400000</v>
      </c>
      <c r="R30" s="34">
        <v>550000</v>
      </c>
      <c r="S30" s="34"/>
      <c r="U30" s="55">
        <v>2</v>
      </c>
      <c r="V30" s="29">
        <v>-0.431251</v>
      </c>
      <c r="W30" s="55">
        <v>3</v>
      </c>
      <c r="X30" s="29">
        <v>-0.21254899999999999</v>
      </c>
      <c r="Y30" s="58">
        <v>3</v>
      </c>
      <c r="Z30" s="4">
        <v>0.248617</v>
      </c>
      <c r="AA30" s="75" t="s">
        <v>1</v>
      </c>
      <c r="AC30" s="2" t="str">
        <f t="shared" si="3"/>
        <v>Lima Perú</v>
      </c>
    </row>
    <row r="31" spans="1:29" x14ac:dyDescent="0.25">
      <c r="A31" s="29" t="s">
        <v>62</v>
      </c>
      <c r="B31" s="44" t="s">
        <v>25</v>
      </c>
      <c r="C31" s="30" t="s">
        <v>25</v>
      </c>
      <c r="D31" s="29" t="s">
        <v>72</v>
      </c>
      <c r="E31" s="54">
        <v>12156624</v>
      </c>
      <c r="F31" s="53">
        <v>900</v>
      </c>
      <c r="G31" s="54">
        <v>13507.36</v>
      </c>
      <c r="H31" s="43">
        <v>153.38783126843302</v>
      </c>
      <c r="I31" s="43">
        <v>22.076110365024793</v>
      </c>
      <c r="J31" s="43">
        <v>10.535286623474565</v>
      </c>
      <c r="K31" s="56">
        <f t="shared" si="1"/>
        <v>20.598400000000002</v>
      </c>
      <c r="L31" s="57">
        <f t="shared" si="2"/>
        <v>2.2887111111111111</v>
      </c>
      <c r="M31" s="38">
        <v>1979</v>
      </c>
      <c r="N31" s="29">
        <v>58</v>
      </c>
      <c r="O31" s="29">
        <v>3</v>
      </c>
      <c r="P31" s="29">
        <v>41</v>
      </c>
      <c r="Q31" s="34">
        <v>188861315</v>
      </c>
      <c r="R31" s="34">
        <v>2024</v>
      </c>
      <c r="S31" s="34">
        <v>2016</v>
      </c>
      <c r="T31" s="4" t="s">
        <v>8</v>
      </c>
      <c r="U31" s="55">
        <v>1</v>
      </c>
      <c r="V31" s="29">
        <v>-0.130935</v>
      </c>
      <c r="W31" s="55">
        <v>3</v>
      </c>
      <c r="X31" s="29">
        <v>-0.21254899999999999</v>
      </c>
      <c r="Y31" s="58">
        <v>3</v>
      </c>
      <c r="Z31" s="4">
        <v>0.248617</v>
      </c>
      <c r="AA31" s="75" t="s">
        <v>1</v>
      </c>
      <c r="AC31" s="2" t="str">
        <f t="shared" si="3"/>
        <v>Rio de Janeiro Brazil</v>
      </c>
    </row>
    <row r="32" spans="1:29" x14ac:dyDescent="0.25">
      <c r="A32" s="29" t="s">
        <v>80</v>
      </c>
      <c r="B32" s="42" t="s">
        <v>98</v>
      </c>
      <c r="C32" s="30" t="s">
        <v>31</v>
      </c>
      <c r="D32" s="30" t="s">
        <v>70</v>
      </c>
      <c r="E32" s="51">
        <v>3611087</v>
      </c>
      <c r="F32" s="50">
        <v>260.63</v>
      </c>
      <c r="G32" s="50">
        <v>13855</v>
      </c>
      <c r="H32" s="3" t="s">
        <v>1</v>
      </c>
      <c r="I32" s="7">
        <v>7.5230915481782974</v>
      </c>
      <c r="J32" s="37">
        <v>4.2824669736908971</v>
      </c>
      <c r="K32" s="56">
        <f t="shared" si="1"/>
        <v>24.115200000000002</v>
      </c>
      <c r="L32" s="57">
        <f t="shared" si="2"/>
        <v>9.2526570233664582</v>
      </c>
      <c r="M32" s="32">
        <v>1983</v>
      </c>
      <c r="N32" s="29">
        <v>53</v>
      </c>
      <c r="O32" s="29">
        <v>3</v>
      </c>
      <c r="P32" s="29">
        <v>48</v>
      </c>
      <c r="Q32" s="34">
        <v>320300000</v>
      </c>
      <c r="R32" s="34">
        <v>1630000</v>
      </c>
      <c r="S32" s="34">
        <v>2017</v>
      </c>
      <c r="T32" s="4" t="s">
        <v>15</v>
      </c>
      <c r="U32" s="55">
        <v>3</v>
      </c>
      <c r="V32" s="29">
        <v>1.8482479999999999</v>
      </c>
      <c r="W32" s="55">
        <v>1</v>
      </c>
      <c r="X32" s="29">
        <v>1.7588140000000001</v>
      </c>
      <c r="Y32" s="58">
        <v>1</v>
      </c>
      <c r="Z32" s="4">
        <v>2.402002</v>
      </c>
      <c r="AA32" s="75" t="s">
        <v>1</v>
      </c>
      <c r="AC32" s="2" t="str">
        <f t="shared" si="3"/>
        <v>Caracas Venezuela</v>
      </c>
    </row>
    <row r="33" spans="1:29" x14ac:dyDescent="0.25">
      <c r="A33" s="29" t="s">
        <v>81</v>
      </c>
      <c r="B33" s="42" t="s">
        <v>97</v>
      </c>
      <c r="C33" s="30" t="s">
        <v>104</v>
      </c>
      <c r="D33" s="30" t="s">
        <v>70</v>
      </c>
      <c r="E33" s="51">
        <v>3383258</v>
      </c>
      <c r="F33" s="52">
        <v>172.65299999999999</v>
      </c>
      <c r="G33" s="51">
        <v>19595.709312899286</v>
      </c>
      <c r="H33" s="41">
        <v>18.157203882196601</v>
      </c>
      <c r="I33" s="37">
        <v>5.6127970000000005</v>
      </c>
      <c r="J33" s="7">
        <v>2.2638989999999999</v>
      </c>
      <c r="K33" s="56">
        <f t="shared" si="1"/>
        <v>13.5648</v>
      </c>
      <c r="L33" s="57">
        <f t="shared" si="2"/>
        <v>7.8566836371218569</v>
      </c>
      <c r="M33" s="32">
        <v>1995</v>
      </c>
      <c r="N33" s="29">
        <v>31.3</v>
      </c>
      <c r="O33" s="29">
        <v>2</v>
      </c>
      <c r="P33" s="29">
        <v>27</v>
      </c>
      <c r="Q33" s="34"/>
      <c r="R33" s="34"/>
      <c r="S33" s="34"/>
      <c r="U33" s="55">
        <v>3</v>
      </c>
      <c r="V33" s="29">
        <v>1.8482479999999999</v>
      </c>
      <c r="W33" s="55">
        <v>1</v>
      </c>
      <c r="X33" s="29">
        <v>1.7588140000000001</v>
      </c>
      <c r="Y33" s="58">
        <v>1</v>
      </c>
      <c r="Z33" s="4">
        <v>2.402002</v>
      </c>
      <c r="AA33" s="75" t="s">
        <v>1</v>
      </c>
      <c r="AC33" s="2" t="str">
        <f t="shared" si="3"/>
        <v>Medellin Colombia</v>
      </c>
    </row>
    <row r="34" spans="1:29" x14ac:dyDescent="0.25">
      <c r="L34" s="79"/>
    </row>
    <row r="35" spans="1:29" x14ac:dyDescent="0.25">
      <c r="K35" s="57"/>
    </row>
    <row r="36" spans="1:29" x14ac:dyDescent="0.25">
      <c r="K36" s="57"/>
    </row>
    <row r="37" spans="1:29" x14ac:dyDescent="0.25">
      <c r="K37" s="57"/>
    </row>
    <row r="38" spans="1:29" x14ac:dyDescent="0.25">
      <c r="K38" s="57"/>
    </row>
    <row r="39" spans="1:29" x14ac:dyDescent="0.25">
      <c r="K39" s="57"/>
    </row>
    <row r="40" spans="1:29" x14ac:dyDescent="0.25">
      <c r="K40" s="57"/>
    </row>
    <row r="41" spans="1:29" x14ac:dyDescent="0.25">
      <c r="K41" s="57"/>
    </row>
    <row r="42" spans="1:29" x14ac:dyDescent="0.25">
      <c r="K42" s="57"/>
    </row>
    <row r="43" spans="1:29" x14ac:dyDescent="0.25">
      <c r="K43" s="57"/>
    </row>
    <row r="44" spans="1:29" x14ac:dyDescent="0.25">
      <c r="K44" s="57"/>
    </row>
    <row r="45" spans="1:29" x14ac:dyDescent="0.25">
      <c r="K45" s="57"/>
    </row>
    <row r="46" spans="1:29" x14ac:dyDescent="0.25">
      <c r="K46" s="57"/>
    </row>
    <row r="47" spans="1:29" x14ac:dyDescent="0.25">
      <c r="K47" s="57"/>
    </row>
    <row r="48" spans="1:29" x14ac:dyDescent="0.25">
      <c r="K48" s="57"/>
    </row>
    <row r="49" spans="11:11" x14ac:dyDescent="0.25">
      <c r="K49" s="57"/>
    </row>
    <row r="50" spans="11:11" x14ac:dyDescent="0.25">
      <c r="K50" s="57"/>
    </row>
    <row r="51" spans="11:11" x14ac:dyDescent="0.25">
      <c r="K51" s="57"/>
    </row>
    <row r="52" spans="11:11" x14ac:dyDescent="0.25">
      <c r="K52" s="57"/>
    </row>
    <row r="53" spans="11:11" x14ac:dyDescent="0.25">
      <c r="K53" s="57"/>
    </row>
    <row r="54" spans="11:11" x14ac:dyDescent="0.25">
      <c r="K54" s="57"/>
    </row>
    <row r="55" spans="11:11" x14ac:dyDescent="0.25">
      <c r="K55" s="57"/>
    </row>
    <row r="56" spans="11:11" x14ac:dyDescent="0.25">
      <c r="K56" s="57"/>
    </row>
    <row r="57" spans="11:11" x14ac:dyDescent="0.25">
      <c r="K57" s="57"/>
    </row>
    <row r="58" spans="11:11" x14ac:dyDescent="0.25">
      <c r="K58" s="57"/>
    </row>
    <row r="59" spans="11:11" x14ac:dyDescent="0.25">
      <c r="K59" s="57"/>
    </row>
    <row r="60" spans="11:11" x14ac:dyDescent="0.25">
      <c r="K60" s="57"/>
    </row>
    <row r="61" spans="11:11" x14ac:dyDescent="0.25">
      <c r="K61" s="57"/>
    </row>
    <row r="62" spans="11:11" x14ac:dyDescent="0.25">
      <c r="K62" s="57"/>
    </row>
    <row r="63" spans="11:11" x14ac:dyDescent="0.25">
      <c r="K63" s="57"/>
    </row>
    <row r="64" spans="11:11" x14ac:dyDescent="0.25">
      <c r="K64" s="57"/>
    </row>
    <row r="65" spans="11:11" x14ac:dyDescent="0.25">
      <c r="K65" s="57"/>
    </row>
  </sheetData>
  <sortState xmlns:xlrd2="http://schemas.microsoft.com/office/spreadsheetml/2017/richdata2" ref="A2:AA66">
    <sortCondition ref="G1:G66"/>
  </sortState>
  <conditionalFormatting sqref="G5:G8">
    <cfRule type="cellIs" dxfId="16" priority="5" operator="equal">
      <formula>"?"</formula>
    </cfRule>
    <cfRule type="expression" dxfId="15" priority="6">
      <formula>ISERR(G5)=TRUE</formula>
    </cfRule>
  </conditionalFormatting>
  <conditionalFormatting sqref="G25">
    <cfRule type="cellIs" dxfId="14" priority="7" operator="equal">
      <formula>"?"</formula>
    </cfRule>
    <cfRule type="expression" dxfId="13" priority="8">
      <formula>ISERR(G25)=TRUE</formula>
    </cfRule>
  </conditionalFormatting>
  <conditionalFormatting sqref="G27">
    <cfRule type="cellIs" dxfId="12" priority="3" operator="equal">
      <formula>"?"</formula>
    </cfRule>
    <cfRule type="expression" dxfId="11" priority="4">
      <formula>ISERR(G27)=TRUE</formula>
    </cfRule>
  </conditionalFormatting>
  <conditionalFormatting sqref="H20">
    <cfRule type="cellIs" dxfId="10" priority="1" operator="equal">
      <formula>"?"</formula>
    </cfRule>
    <cfRule type="expression" dxfId="9" priority="2">
      <formula>ISERR(H20)=TRUE</formula>
    </cfRule>
  </conditionalFormatting>
  <hyperlinks>
    <hyperlink ref="B9" r:id="rId1" display="https://en.wikipedia.org/wiki/Jiangsu" xr:uid="{A57D6162-1503-4CD4-92DC-BBBE2ED2243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6A6-C870-4780-AAF5-32A0959FEDB8}">
  <dimension ref="B2:D105"/>
  <sheetViews>
    <sheetView topLeftCell="A64" workbookViewId="0">
      <selection activeCell="C106" sqref="C106"/>
    </sheetView>
  </sheetViews>
  <sheetFormatPr defaultRowHeight="13.2" x14ac:dyDescent="0.25"/>
  <cols>
    <col min="2" max="2" width="14.88671875" bestFit="1" customWidth="1"/>
    <col min="3" max="3" width="61.5546875" bestFit="1" customWidth="1"/>
    <col min="4" max="4" width="36.6640625" bestFit="1" customWidth="1"/>
  </cols>
  <sheetData>
    <row r="2" spans="2:4" x14ac:dyDescent="0.25">
      <c r="B2" s="8" t="s">
        <v>20</v>
      </c>
      <c r="C2" t="s">
        <v>122</v>
      </c>
      <c r="D2" t="s">
        <v>123</v>
      </c>
    </row>
    <row r="3" spans="2:4" x14ac:dyDescent="0.25">
      <c r="B3" t="s">
        <v>34</v>
      </c>
      <c r="C3">
        <v>1771384</v>
      </c>
      <c r="D3">
        <v>5.7767247386759584</v>
      </c>
    </row>
    <row r="4" spans="2:4" x14ac:dyDescent="0.25">
      <c r="B4" t="s">
        <v>59</v>
      </c>
      <c r="C4">
        <v>1950100</v>
      </c>
      <c r="D4">
        <v>0.30634146341463414</v>
      </c>
    </row>
    <row r="5" spans="2:4" x14ac:dyDescent="0.25">
      <c r="B5" t="s">
        <v>52</v>
      </c>
      <c r="C5">
        <v>2111500</v>
      </c>
      <c r="D5">
        <v>2.0699234844025898</v>
      </c>
    </row>
    <row r="6" spans="2:4" x14ac:dyDescent="0.25">
      <c r="B6" t="s">
        <v>33</v>
      </c>
      <c r="C6">
        <v>2239191</v>
      </c>
      <c r="D6">
        <v>2.0236848465318618</v>
      </c>
    </row>
    <row r="7" spans="2:4" x14ac:dyDescent="0.25">
      <c r="B7" t="s">
        <v>60</v>
      </c>
      <c r="C7">
        <v>2668300</v>
      </c>
      <c r="D7">
        <v>7.6518711923411656E-2</v>
      </c>
    </row>
    <row r="8" spans="2:4" x14ac:dyDescent="0.25">
      <c r="B8" t="s">
        <v>32</v>
      </c>
      <c r="C8">
        <v>2852372</v>
      </c>
      <c r="D8">
        <v>5.4040874865543209</v>
      </c>
    </row>
    <row r="9" spans="2:4" x14ac:dyDescent="0.25">
      <c r="B9" t="s">
        <v>104</v>
      </c>
      <c r="C9">
        <v>3383258</v>
      </c>
      <c r="D9">
        <v>7.8566836371218569</v>
      </c>
    </row>
    <row r="10" spans="2:4" x14ac:dyDescent="0.25">
      <c r="B10" t="s">
        <v>31</v>
      </c>
      <c r="C10">
        <v>3611087</v>
      </c>
      <c r="D10">
        <v>9.2526570233664582</v>
      </c>
    </row>
    <row r="11" spans="2:4" x14ac:dyDescent="0.25">
      <c r="B11" t="s">
        <v>56</v>
      </c>
      <c r="C11">
        <v>3693100</v>
      </c>
      <c r="D11">
        <v>4.3865839706148009</v>
      </c>
    </row>
    <row r="12" spans="2:4" x14ac:dyDescent="0.25">
      <c r="B12" t="s">
        <v>51</v>
      </c>
      <c r="C12">
        <v>3708500</v>
      </c>
      <c r="D12">
        <v>0.50561756633119848</v>
      </c>
    </row>
    <row r="13" spans="2:4" x14ac:dyDescent="0.25">
      <c r="B13" t="s">
        <v>0</v>
      </c>
      <c r="C13">
        <v>3887261</v>
      </c>
      <c r="D13">
        <v>1.6721981836337525</v>
      </c>
    </row>
    <row r="14" spans="2:4" x14ac:dyDescent="0.25">
      <c r="B14" t="s">
        <v>58</v>
      </c>
      <c r="C14">
        <v>3887900</v>
      </c>
      <c r="D14">
        <v>0.97887309110057918</v>
      </c>
    </row>
    <row r="15" spans="2:4" x14ac:dyDescent="0.25">
      <c r="B15" t="s">
        <v>55</v>
      </c>
      <c r="C15">
        <v>3992799.9999999995</v>
      </c>
      <c r="D15">
        <v>0.26724825788605777</v>
      </c>
    </row>
    <row r="16" spans="2:4" x14ac:dyDescent="0.25">
      <c r="B16" t="s">
        <v>30</v>
      </c>
      <c r="C16">
        <v>4016371</v>
      </c>
      <c r="D16">
        <v>2.6136931602822631</v>
      </c>
    </row>
    <row r="17" spans="2:4" x14ac:dyDescent="0.25">
      <c r="B17" t="s">
        <v>105</v>
      </c>
      <c r="C17">
        <v>4161237</v>
      </c>
      <c r="D17">
        <v>2.5468454767500806</v>
      </c>
    </row>
    <row r="18" spans="2:4" x14ac:dyDescent="0.25">
      <c r="B18" t="s">
        <v>54</v>
      </c>
      <c r="C18">
        <v>4431100</v>
      </c>
      <c r="D18">
        <v>0.22452953255224059</v>
      </c>
    </row>
    <row r="19" spans="2:4" x14ac:dyDescent="0.25">
      <c r="B19" t="s">
        <v>29</v>
      </c>
      <c r="C19">
        <v>4515531</v>
      </c>
      <c r="D19">
        <v>3.4822186667898873</v>
      </c>
    </row>
    <row r="20" spans="2:4" x14ac:dyDescent="0.25">
      <c r="B20" t="s">
        <v>36</v>
      </c>
      <c r="C20">
        <v>4621800</v>
      </c>
      <c r="D20">
        <v>3.3493333333333335</v>
      </c>
    </row>
    <row r="21" spans="2:4" x14ac:dyDescent="0.25">
      <c r="B21" t="s">
        <v>28</v>
      </c>
      <c r="C21">
        <v>5609654</v>
      </c>
      <c r="D21">
        <v>1.5830182421227197</v>
      </c>
    </row>
    <row r="22" spans="2:4" x14ac:dyDescent="0.25">
      <c r="B22" t="s">
        <v>27</v>
      </c>
      <c r="C22">
        <v>5842259</v>
      </c>
      <c r="D22">
        <v>10.852447129909365</v>
      </c>
    </row>
    <row r="23" spans="2:4" x14ac:dyDescent="0.25">
      <c r="B23" t="s">
        <v>53</v>
      </c>
      <c r="C23">
        <v>6257300</v>
      </c>
      <c r="D23">
        <v>0.251262815703926</v>
      </c>
    </row>
    <row r="24" spans="2:4" x14ac:dyDescent="0.25">
      <c r="B24" t="s">
        <v>57</v>
      </c>
      <c r="C24">
        <v>7431799.9999999991</v>
      </c>
      <c r="D24">
        <v>0.67179417738659442</v>
      </c>
    </row>
    <row r="25" spans="2:4" x14ac:dyDescent="0.25">
      <c r="B25" t="s">
        <v>48</v>
      </c>
      <c r="C25">
        <v>8156600</v>
      </c>
      <c r="D25">
        <v>1.0548558977914231</v>
      </c>
    </row>
    <row r="26" spans="2:4" x14ac:dyDescent="0.25">
      <c r="B26" t="s">
        <v>26</v>
      </c>
      <c r="C26">
        <v>9752000</v>
      </c>
      <c r="D26">
        <v>3.3342349110944149</v>
      </c>
    </row>
    <row r="27" spans="2:4" x14ac:dyDescent="0.25">
      <c r="B27" t="s">
        <v>25</v>
      </c>
      <c r="C27">
        <v>12156624</v>
      </c>
      <c r="D27">
        <v>2.2887111111111111</v>
      </c>
    </row>
    <row r="28" spans="2:4" x14ac:dyDescent="0.25">
      <c r="B28" t="s">
        <v>50</v>
      </c>
      <c r="C28">
        <v>14390000</v>
      </c>
      <c r="D28">
        <v>0.91905009650079716</v>
      </c>
    </row>
    <row r="29" spans="2:4" x14ac:dyDescent="0.25">
      <c r="B29" t="s">
        <v>49</v>
      </c>
      <c r="C29">
        <v>14657500</v>
      </c>
      <c r="D29">
        <v>1.5460374556554739</v>
      </c>
    </row>
    <row r="30" spans="2:4" x14ac:dyDescent="0.25">
      <c r="B30" t="s">
        <v>24</v>
      </c>
      <c r="C30">
        <v>15769937.907311</v>
      </c>
      <c r="D30">
        <v>1.3973525624517127</v>
      </c>
    </row>
    <row r="31" spans="2:4" x14ac:dyDescent="0.25">
      <c r="B31" t="s">
        <v>22</v>
      </c>
      <c r="C31">
        <v>20392950</v>
      </c>
      <c r="D31">
        <v>3.7556145249718154</v>
      </c>
    </row>
    <row r="32" spans="2:4" x14ac:dyDescent="0.25">
      <c r="B32" t="s">
        <v>23</v>
      </c>
      <c r="C32">
        <v>20935204</v>
      </c>
      <c r="D32">
        <v>2.02415572657311</v>
      </c>
    </row>
    <row r="33" spans="2:4" x14ac:dyDescent="0.25">
      <c r="B33" t="s">
        <v>35</v>
      </c>
      <c r="C33">
        <v>21883000</v>
      </c>
      <c r="D33">
        <v>1.5001584399756245</v>
      </c>
    </row>
    <row r="34" spans="2:4" x14ac:dyDescent="0.25">
      <c r="B34" t="s">
        <v>47</v>
      </c>
      <c r="C34">
        <v>24152700</v>
      </c>
      <c r="D34">
        <v>6.3542785049676711</v>
      </c>
    </row>
    <row r="35" spans="2:4" x14ac:dyDescent="0.25">
      <c r="B35" t="s">
        <v>21</v>
      </c>
      <c r="C35">
        <v>248890320.90731099</v>
      </c>
      <c r="D35">
        <v>90.32673422748104</v>
      </c>
    </row>
    <row r="37" spans="2:4" x14ac:dyDescent="0.25">
      <c r="B37" s="8" t="s">
        <v>20</v>
      </c>
      <c r="C37" t="s">
        <v>124</v>
      </c>
      <c r="D37" t="s">
        <v>123</v>
      </c>
    </row>
    <row r="38" spans="2:4" x14ac:dyDescent="0.25">
      <c r="B38" t="s">
        <v>35</v>
      </c>
      <c r="C38">
        <v>16410</v>
      </c>
      <c r="D38">
        <v>1.5001584399756245</v>
      </c>
    </row>
    <row r="39" spans="2:4" x14ac:dyDescent="0.25">
      <c r="B39" t="s">
        <v>28</v>
      </c>
      <c r="C39">
        <v>603</v>
      </c>
      <c r="D39">
        <v>1.5830182421227197</v>
      </c>
    </row>
    <row r="40" spans="2:4" x14ac:dyDescent="0.25">
      <c r="B40" t="s">
        <v>32</v>
      </c>
      <c r="C40">
        <v>251.01</v>
      </c>
      <c r="D40">
        <v>5.4040874865543209</v>
      </c>
    </row>
    <row r="41" spans="2:4" x14ac:dyDescent="0.25">
      <c r="B41" t="s">
        <v>24</v>
      </c>
      <c r="C41">
        <v>3883</v>
      </c>
      <c r="D41">
        <v>1.3973525624517127</v>
      </c>
    </row>
    <row r="42" spans="2:4" x14ac:dyDescent="0.25">
      <c r="B42" t="s">
        <v>31</v>
      </c>
      <c r="C42">
        <v>260.63</v>
      </c>
      <c r="D42">
        <v>9.2526570233664582</v>
      </c>
    </row>
    <row r="43" spans="2:4" x14ac:dyDescent="0.25">
      <c r="B43" t="s">
        <v>57</v>
      </c>
      <c r="C43">
        <v>11816</v>
      </c>
      <c r="D43">
        <v>0.67179417738659442</v>
      </c>
    </row>
    <row r="44" spans="2:4" x14ac:dyDescent="0.25">
      <c r="B44" t="s">
        <v>51</v>
      </c>
      <c r="C44">
        <v>4372</v>
      </c>
      <c r="D44">
        <v>0.50561756633119848</v>
      </c>
    </row>
    <row r="45" spans="2:4" x14ac:dyDescent="0.25">
      <c r="B45" t="s">
        <v>49</v>
      </c>
      <c r="C45">
        <v>12121</v>
      </c>
      <c r="D45">
        <v>1.5460374556554739</v>
      </c>
    </row>
    <row r="46" spans="2:4" x14ac:dyDescent="0.25">
      <c r="B46" t="s">
        <v>22</v>
      </c>
      <c r="C46">
        <v>2608.5744249999998</v>
      </c>
      <c r="D46">
        <v>3.7556145249718154</v>
      </c>
    </row>
    <row r="47" spans="2:4" x14ac:dyDescent="0.25">
      <c r="B47" t="s">
        <v>59</v>
      </c>
      <c r="C47">
        <v>2460</v>
      </c>
      <c r="D47">
        <v>0.30634146341463414</v>
      </c>
    </row>
    <row r="48" spans="2:4" x14ac:dyDescent="0.25">
      <c r="B48" t="s">
        <v>58</v>
      </c>
      <c r="C48">
        <v>3798</v>
      </c>
      <c r="D48">
        <v>0.97887309110057918</v>
      </c>
    </row>
    <row r="49" spans="2:4" x14ac:dyDescent="0.25">
      <c r="B49" t="s">
        <v>55</v>
      </c>
      <c r="C49">
        <v>18799</v>
      </c>
      <c r="D49">
        <v>0.26724825788605777</v>
      </c>
    </row>
    <row r="50" spans="2:4" x14ac:dyDescent="0.25">
      <c r="B50" t="s">
        <v>29</v>
      </c>
      <c r="C50">
        <v>692.524</v>
      </c>
      <c r="D50">
        <v>3.4822186667898873</v>
      </c>
    </row>
    <row r="51" spans="2:4" x14ac:dyDescent="0.25">
      <c r="B51" t="s">
        <v>36</v>
      </c>
      <c r="C51">
        <v>1230</v>
      </c>
      <c r="D51">
        <v>3.3493333333333335</v>
      </c>
    </row>
    <row r="52" spans="2:4" x14ac:dyDescent="0.25">
      <c r="B52" t="s">
        <v>53</v>
      </c>
      <c r="C52">
        <v>7998</v>
      </c>
      <c r="D52">
        <v>0.251262815703926</v>
      </c>
    </row>
    <row r="53" spans="2:4" x14ac:dyDescent="0.25">
      <c r="B53" t="s">
        <v>56</v>
      </c>
      <c r="C53">
        <v>332.14</v>
      </c>
      <c r="D53">
        <v>4.3865839706148009</v>
      </c>
    </row>
    <row r="54" spans="2:4" x14ac:dyDescent="0.25">
      <c r="B54" t="s">
        <v>26</v>
      </c>
      <c r="C54">
        <v>798.6</v>
      </c>
      <c r="D54">
        <v>3.3342349110944149</v>
      </c>
    </row>
    <row r="55" spans="2:4" x14ac:dyDescent="0.25">
      <c r="B55" t="s">
        <v>104</v>
      </c>
      <c r="C55">
        <v>172.65299999999999</v>
      </c>
      <c r="D55">
        <v>7.8566836371218569</v>
      </c>
    </row>
    <row r="56" spans="2:4" x14ac:dyDescent="0.25">
      <c r="B56" t="s">
        <v>34</v>
      </c>
      <c r="C56">
        <v>287</v>
      </c>
      <c r="D56">
        <v>5.7767247386759584</v>
      </c>
    </row>
    <row r="57" spans="2:4" x14ac:dyDescent="0.25">
      <c r="B57" t="s">
        <v>105</v>
      </c>
      <c r="C57">
        <v>433.98</v>
      </c>
      <c r="D57">
        <v>2.5468454767500806</v>
      </c>
    </row>
    <row r="58" spans="2:4" x14ac:dyDescent="0.25">
      <c r="B58" t="s">
        <v>33</v>
      </c>
      <c r="C58">
        <v>372.39</v>
      </c>
      <c r="D58">
        <v>2.0236848465318618</v>
      </c>
    </row>
    <row r="59" spans="2:4" x14ac:dyDescent="0.25">
      <c r="B59" t="s">
        <v>0</v>
      </c>
      <c r="C59">
        <v>841.23999999996545</v>
      </c>
      <c r="D59">
        <v>1.6721981836337525</v>
      </c>
    </row>
    <row r="60" spans="2:4" x14ac:dyDescent="0.25">
      <c r="B60" t="s">
        <v>25</v>
      </c>
      <c r="C60">
        <v>900</v>
      </c>
      <c r="D60">
        <v>2.2887111111111111</v>
      </c>
    </row>
    <row r="61" spans="2:4" x14ac:dyDescent="0.25">
      <c r="B61" t="s">
        <v>30</v>
      </c>
      <c r="C61">
        <v>384.43686323588486</v>
      </c>
      <c r="D61">
        <v>2.6136931602822631</v>
      </c>
    </row>
    <row r="62" spans="2:4" x14ac:dyDescent="0.25">
      <c r="B62" t="s">
        <v>27</v>
      </c>
      <c r="C62">
        <v>662</v>
      </c>
      <c r="D62">
        <v>10.852447129909365</v>
      </c>
    </row>
    <row r="63" spans="2:4" x14ac:dyDescent="0.25">
      <c r="B63" t="s">
        <v>23</v>
      </c>
      <c r="C63">
        <v>2209</v>
      </c>
      <c r="D63">
        <v>2.02415572657311</v>
      </c>
    </row>
    <row r="64" spans="2:4" x14ac:dyDescent="0.25">
      <c r="B64" t="s">
        <v>47</v>
      </c>
      <c r="C64">
        <v>6341</v>
      </c>
      <c r="D64">
        <v>6.3542785049676711</v>
      </c>
    </row>
    <row r="65" spans="2:4" x14ac:dyDescent="0.25">
      <c r="B65" t="s">
        <v>54</v>
      </c>
      <c r="C65">
        <v>8279</v>
      </c>
      <c r="D65">
        <v>0.22452953255224059</v>
      </c>
    </row>
    <row r="66" spans="2:4" x14ac:dyDescent="0.25">
      <c r="B66" t="s">
        <v>50</v>
      </c>
      <c r="C66">
        <v>11917</v>
      </c>
      <c r="D66">
        <v>0.91905009650079716</v>
      </c>
    </row>
    <row r="67" spans="2:4" x14ac:dyDescent="0.25">
      <c r="B67" t="s">
        <v>60</v>
      </c>
      <c r="C67">
        <v>13788</v>
      </c>
      <c r="D67">
        <v>7.6518711923411656E-2</v>
      </c>
    </row>
    <row r="68" spans="2:4" x14ac:dyDescent="0.25">
      <c r="B68" t="s">
        <v>52</v>
      </c>
      <c r="C68">
        <v>1699</v>
      </c>
      <c r="D68">
        <v>2.0699234844025898</v>
      </c>
    </row>
    <row r="69" spans="2:4" x14ac:dyDescent="0.25">
      <c r="B69" t="s">
        <v>48</v>
      </c>
      <c r="C69">
        <v>10097</v>
      </c>
      <c r="D69">
        <v>1.0548558977914231</v>
      </c>
    </row>
    <row r="70" spans="2:4" x14ac:dyDescent="0.25">
      <c r="B70" t="s">
        <v>21</v>
      </c>
      <c r="C70">
        <v>146817.17828823585</v>
      </c>
      <c r="D70">
        <v>90.32673422748104</v>
      </c>
    </row>
    <row r="72" spans="2:4" x14ac:dyDescent="0.25">
      <c r="B72" s="8" t="s">
        <v>20</v>
      </c>
      <c r="C72" t="s">
        <v>125</v>
      </c>
      <c r="D72" t="s">
        <v>123</v>
      </c>
    </row>
    <row r="73" spans="2:4" x14ac:dyDescent="0.25">
      <c r="B73" t="s">
        <v>35</v>
      </c>
      <c r="C73">
        <v>1333.5161486898232</v>
      </c>
      <c r="D73">
        <v>1.5001584399756245</v>
      </c>
    </row>
    <row r="74" spans="2:4" x14ac:dyDescent="0.25">
      <c r="B74" t="s">
        <v>28</v>
      </c>
      <c r="C74">
        <v>9302.9087893864016</v>
      </c>
      <c r="D74">
        <v>1.5830182421227197</v>
      </c>
    </row>
    <row r="75" spans="2:4" x14ac:dyDescent="0.25">
      <c r="B75" t="s">
        <v>32</v>
      </c>
      <c r="C75">
        <v>11363.579140273296</v>
      </c>
      <c r="D75">
        <v>5.4040874865543209</v>
      </c>
    </row>
    <row r="76" spans="2:4" x14ac:dyDescent="0.25">
      <c r="B76" t="s">
        <v>24</v>
      </c>
      <c r="C76">
        <v>4061.2768239276334</v>
      </c>
      <c r="D76">
        <v>1.3973525624517127</v>
      </c>
    </row>
    <row r="77" spans="2:4" x14ac:dyDescent="0.25">
      <c r="B77" t="s">
        <v>31</v>
      </c>
      <c r="C77">
        <v>13855</v>
      </c>
      <c r="D77">
        <v>9.2526570233664582</v>
      </c>
    </row>
    <row r="78" spans="2:4" x14ac:dyDescent="0.25">
      <c r="B78" t="s">
        <v>57</v>
      </c>
      <c r="C78">
        <v>628.96073121191591</v>
      </c>
      <c r="D78">
        <v>0.67179417738659442</v>
      </c>
    </row>
    <row r="79" spans="2:4" x14ac:dyDescent="0.25">
      <c r="B79" t="s">
        <v>51</v>
      </c>
      <c r="C79">
        <v>848.23879231473006</v>
      </c>
      <c r="D79">
        <v>0.50561756633119848</v>
      </c>
    </row>
    <row r="80" spans="2:4" x14ac:dyDescent="0.25">
      <c r="B80" t="s">
        <v>49</v>
      </c>
      <c r="C80">
        <v>1209.2649121359623</v>
      </c>
      <c r="D80">
        <v>1.5460374556554739</v>
      </c>
    </row>
    <row r="81" spans="2:4" x14ac:dyDescent="0.25">
      <c r="B81" t="s">
        <v>22</v>
      </c>
      <c r="C81">
        <v>7817.6607899542687</v>
      </c>
      <c r="D81">
        <v>3.7556145249718154</v>
      </c>
    </row>
    <row r="82" spans="2:4" x14ac:dyDescent="0.25">
      <c r="B82" t="s">
        <v>59</v>
      </c>
      <c r="C82">
        <v>792.72357723577238</v>
      </c>
      <c r="D82">
        <v>0.30634146341463414</v>
      </c>
    </row>
    <row r="83" spans="2:4" x14ac:dyDescent="0.25">
      <c r="B83" t="s">
        <v>58</v>
      </c>
      <c r="C83">
        <v>1023.6703528172723</v>
      </c>
      <c r="D83">
        <v>0.97887309110057918</v>
      </c>
    </row>
    <row r="84" spans="2:4" x14ac:dyDescent="0.25">
      <c r="B84" t="s">
        <v>55</v>
      </c>
      <c r="C84">
        <v>212.39427629129207</v>
      </c>
      <c r="D84">
        <v>0.26724825788605777</v>
      </c>
    </row>
    <row r="85" spans="2:4" x14ac:dyDescent="0.25">
      <c r="B85" t="s">
        <v>29</v>
      </c>
      <c r="C85">
        <v>6520.3964050343384</v>
      </c>
      <c r="D85">
        <v>3.4822186667898873</v>
      </c>
    </row>
    <row r="86" spans="2:4" x14ac:dyDescent="0.25">
      <c r="B86" t="s">
        <v>36</v>
      </c>
      <c r="C86">
        <v>3757.560975609756</v>
      </c>
      <c r="D86">
        <v>3.3493333333333335</v>
      </c>
    </row>
    <row r="87" spans="2:4" x14ac:dyDescent="0.25">
      <c r="B87" t="s">
        <v>53</v>
      </c>
      <c r="C87">
        <v>782.35808952238062</v>
      </c>
      <c r="D87">
        <v>0.251262815703926</v>
      </c>
    </row>
    <row r="88" spans="2:4" x14ac:dyDescent="0.25">
      <c r="B88" t="s">
        <v>56</v>
      </c>
      <c r="C88">
        <v>11119.106400915278</v>
      </c>
      <c r="D88">
        <v>4.3865839706148009</v>
      </c>
    </row>
    <row r="89" spans="2:4" x14ac:dyDescent="0.25">
      <c r="B89" t="s">
        <v>26</v>
      </c>
      <c r="C89">
        <v>12211</v>
      </c>
      <c r="D89">
        <v>3.3342349110944149</v>
      </c>
    </row>
    <row r="90" spans="2:4" x14ac:dyDescent="0.25">
      <c r="B90" t="s">
        <v>104</v>
      </c>
      <c r="C90">
        <v>19595.709312899286</v>
      </c>
      <c r="D90">
        <v>7.8566836371218569</v>
      </c>
    </row>
    <row r="91" spans="2:4" x14ac:dyDescent="0.25">
      <c r="B91" t="s">
        <v>34</v>
      </c>
      <c r="C91">
        <v>6172.0696864111496</v>
      </c>
      <c r="D91">
        <v>5.7767247386759584</v>
      </c>
    </row>
    <row r="92" spans="2:4" x14ac:dyDescent="0.25">
      <c r="B92" t="s">
        <v>105</v>
      </c>
      <c r="C92">
        <v>9588.5455550947045</v>
      </c>
      <c r="D92">
        <v>2.5468454767500806</v>
      </c>
    </row>
    <row r="93" spans="2:4" x14ac:dyDescent="0.25">
      <c r="B93" t="s">
        <v>33</v>
      </c>
      <c r="C93">
        <v>6013.0266655925243</v>
      </c>
      <c r="D93">
        <v>2.0236848465318618</v>
      </c>
    </row>
    <row r="94" spans="2:4" x14ac:dyDescent="0.25">
      <c r="B94" t="s">
        <v>0</v>
      </c>
      <c r="C94">
        <v>4620.8703818175072</v>
      </c>
      <c r="D94">
        <v>1.6721981836337525</v>
      </c>
    </row>
    <row r="95" spans="2:4" x14ac:dyDescent="0.25">
      <c r="B95" t="s">
        <v>25</v>
      </c>
      <c r="C95">
        <v>13507.36</v>
      </c>
      <c r="D95">
        <v>2.2887111111111111</v>
      </c>
    </row>
    <row r="96" spans="2:4" x14ac:dyDescent="0.25">
      <c r="B96" t="s">
        <v>30</v>
      </c>
      <c r="C96">
        <v>10447.413825493662</v>
      </c>
      <c r="D96">
        <v>2.6136931602822631</v>
      </c>
    </row>
    <row r="97" spans="2:4" x14ac:dyDescent="0.25">
      <c r="B97" t="s">
        <v>27</v>
      </c>
      <c r="C97">
        <v>8825</v>
      </c>
      <c r="D97">
        <v>10.852447129909365</v>
      </c>
    </row>
    <row r="98" spans="2:4" x14ac:dyDescent="0.25">
      <c r="B98" t="s">
        <v>23</v>
      </c>
      <c r="C98">
        <v>9477.2313263920332</v>
      </c>
      <c r="D98">
        <v>2.02415572657311</v>
      </c>
    </row>
    <row r="99" spans="2:4" x14ac:dyDescent="0.25">
      <c r="B99" t="s">
        <v>47</v>
      </c>
      <c r="C99">
        <v>3808.9733480523578</v>
      </c>
      <c r="D99">
        <v>6.3542785049676711</v>
      </c>
    </row>
    <row r="100" spans="2:4" x14ac:dyDescent="0.25">
      <c r="B100" t="s">
        <v>54</v>
      </c>
      <c r="C100">
        <v>535.22164512622294</v>
      </c>
      <c r="D100">
        <v>0.22452953255224059</v>
      </c>
    </row>
    <row r="101" spans="2:4" x14ac:dyDescent="0.25">
      <c r="B101" t="s">
        <v>50</v>
      </c>
      <c r="C101">
        <v>1207.5186708064109</v>
      </c>
      <c r="D101">
        <v>0.91905009650079716</v>
      </c>
    </row>
    <row r="102" spans="2:4" x14ac:dyDescent="0.25">
      <c r="B102" t="s">
        <v>60</v>
      </c>
      <c r="C102">
        <v>193.52335364084712</v>
      </c>
      <c r="D102">
        <v>7.6518711923411656E-2</v>
      </c>
    </row>
    <row r="103" spans="2:4" x14ac:dyDescent="0.25">
      <c r="B103" t="s">
        <v>52</v>
      </c>
      <c r="C103">
        <v>1242.789876397881</v>
      </c>
      <c r="D103">
        <v>2.0699234844025898</v>
      </c>
    </row>
    <row r="104" spans="2:4" x14ac:dyDescent="0.25">
      <c r="B104" t="s">
        <v>48</v>
      </c>
      <c r="C104">
        <v>807.82410617014955</v>
      </c>
      <c r="D104">
        <v>1.0548558977914231</v>
      </c>
    </row>
    <row r="105" spans="2:4" x14ac:dyDescent="0.25">
      <c r="B105" t="s">
        <v>21</v>
      </c>
      <c r="C105">
        <v>182882.69395921484</v>
      </c>
      <c r="D105">
        <v>90.32673422748104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18EB-8157-4FAD-A1F1-6520401FF323}">
  <dimension ref="A1:AD65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3.2" x14ac:dyDescent="0.25"/>
  <cols>
    <col min="1" max="1" width="25.6640625" style="73" customWidth="1"/>
    <col min="2" max="2" width="11.109375" style="73" bestFit="1" customWidth="1"/>
    <col min="3" max="3" width="10.88671875" style="73" customWidth="1"/>
    <col min="4" max="4" width="20.77734375" style="71" customWidth="1"/>
    <col min="5" max="6" width="20.77734375" style="68" customWidth="1"/>
    <col min="7" max="8" width="22.109375" style="72" customWidth="1"/>
    <col min="9" max="11" width="18.109375" style="1" customWidth="1"/>
    <col min="12" max="13" width="18.109375" style="18" customWidth="1"/>
    <col min="14" max="14" width="18.33203125" style="1" customWidth="1"/>
    <col min="15" max="15" width="19.6640625" style="1" customWidth="1"/>
    <col min="16" max="16" width="18.33203125" style="1" customWidth="1"/>
    <col min="17" max="18" width="18.33203125" style="18" customWidth="1"/>
    <col min="19" max="20" width="17.77734375" style="1" customWidth="1"/>
    <col min="21" max="21" width="17.77734375" style="17" customWidth="1"/>
    <col min="22" max="23" width="17.77734375" style="18" customWidth="1"/>
    <col min="24" max="25" width="18.5546875" style="1" customWidth="1"/>
    <col min="26" max="26" width="18.5546875" style="78" customWidth="1"/>
    <col min="27" max="27" width="18.5546875" style="1" customWidth="1"/>
    <col min="28" max="28" width="26.5546875" style="1" customWidth="1"/>
    <col min="29" max="29" width="25.5546875" style="1" customWidth="1"/>
    <col min="30" max="16384" width="8.88671875" style="1"/>
  </cols>
  <sheetData>
    <row r="1" spans="1:29" ht="52.8" x14ac:dyDescent="0.25">
      <c r="A1" s="65" t="s">
        <v>73</v>
      </c>
      <c r="B1" s="65" t="str">
        <f>+SELECCIONADO!D1</f>
        <v>SCALE</v>
      </c>
      <c r="C1" s="65" t="str">
        <f>+SELECCIONADO!A1</f>
        <v>COUNTRY</v>
      </c>
      <c r="D1" s="65" t="s">
        <v>75</v>
      </c>
      <c r="E1" s="66" t="s">
        <v>137</v>
      </c>
      <c r="F1" s="66" t="s">
        <v>77</v>
      </c>
      <c r="G1" s="65" t="s">
        <v>78</v>
      </c>
      <c r="H1" s="65" t="s">
        <v>79</v>
      </c>
      <c r="I1" s="6" t="str">
        <f>+SELECCIONADO!U1</f>
        <v xml:space="preserve">TABLE RESULT 
POPU-COVER </v>
      </c>
      <c r="J1" s="6" t="s">
        <v>115</v>
      </c>
      <c r="K1" s="6" t="s">
        <v>114</v>
      </c>
      <c r="L1" s="10" t="s">
        <v>42</v>
      </c>
      <c r="M1" s="10" t="s">
        <v>133</v>
      </c>
      <c r="N1" s="6" t="str">
        <f>+SELECCIONADO!W1</f>
        <v xml:space="preserve">TABLE RESULT 
AREA-COVER </v>
      </c>
      <c r="O1" s="6" t="s">
        <v>116</v>
      </c>
      <c r="P1" s="6" t="s">
        <v>114</v>
      </c>
      <c r="Q1" s="10" t="s">
        <v>42</v>
      </c>
      <c r="R1" s="10" t="s">
        <v>132</v>
      </c>
      <c r="S1" s="6" t="str">
        <f>+SELECCIONADO!Y1</f>
        <v xml:space="preserve">TABLE RESULT 
DENS-COVER </v>
      </c>
      <c r="T1" s="6" t="s">
        <v>117</v>
      </c>
      <c r="U1" s="11" t="s">
        <v>114</v>
      </c>
      <c r="V1" s="10" t="s">
        <v>42</v>
      </c>
      <c r="W1" s="10" t="s">
        <v>118</v>
      </c>
      <c r="X1" s="6" t="s">
        <v>43</v>
      </c>
      <c r="Y1" s="6" t="s">
        <v>44</v>
      </c>
      <c r="Z1" s="76" t="str">
        <f>+SELECCIONADO!AA1</f>
        <v>EXTREME WORK COMMUTES
60 MINUTES OR MORE (%)</v>
      </c>
      <c r="AA1" s="6"/>
      <c r="AB1" s="6"/>
      <c r="AC1" s="6"/>
    </row>
    <row r="2" spans="1:29" x14ac:dyDescent="0.25">
      <c r="A2" s="28" t="str">
        <f>+SELECCIONADO!C20</f>
        <v>Panama</v>
      </c>
      <c r="B2" s="64" t="str">
        <f>+SELECCIONADO!D20</f>
        <v>Medium City</v>
      </c>
      <c r="C2" s="64" t="str">
        <f>+SELECCIONADO!A20</f>
        <v>Panama</v>
      </c>
      <c r="D2" s="67">
        <f>+SELECCIONADO!E20</f>
        <v>1771384</v>
      </c>
      <c r="E2" s="67">
        <f>+SELECCIONADO!F20</f>
        <v>287</v>
      </c>
      <c r="F2" s="68">
        <f>+SELECCIONADO!G20</f>
        <v>6172.0696864111496</v>
      </c>
      <c r="G2" s="69">
        <f>+SELECCIONADO!K20</f>
        <v>16.5792</v>
      </c>
      <c r="H2" s="70">
        <f>+SELECCIONADO!L20</f>
        <v>5.7767247386759584</v>
      </c>
      <c r="I2" s="27">
        <f>+SELECCIONADO!U20</f>
        <v>3</v>
      </c>
      <c r="J2" s="60">
        <f>+SELECCIONADO!V20</f>
        <v>1.8482479999999999</v>
      </c>
      <c r="K2" s="15">
        <f t="shared" ref="K2:K33" si="0">I2*J2</f>
        <v>5.5447439999999997</v>
      </c>
      <c r="L2" s="14">
        <f t="shared" ref="L2:L33" si="1">(K2-$L$35)/($L$34-$L$35)</f>
        <v>1</v>
      </c>
      <c r="M2" s="14">
        <f t="shared" ref="M2:M33" si="2">+L2*$AD$39</f>
        <v>0.47935733239203782</v>
      </c>
      <c r="N2" s="26">
        <f>+SELECCIONADO!W20</f>
        <v>1</v>
      </c>
      <c r="O2" s="60">
        <f>+SELECCIONADO!X20</f>
        <v>1.7588140000000001</v>
      </c>
      <c r="P2" s="13">
        <f t="shared" ref="P2:P33" si="3">+N2*O2</f>
        <v>1.7588140000000001</v>
      </c>
      <c r="Q2" s="14">
        <f t="shared" ref="Q2:Q33" si="4">(P2-$Q$35)/($Q$34-$Q$35)</f>
        <v>1</v>
      </c>
      <c r="R2" s="14">
        <f t="shared" ref="R2:R33" si="5">+Q2*$AD$40</f>
        <v>0.45616193671724231</v>
      </c>
      <c r="S2" s="26">
        <f>+SELECCIONADO!Y20</f>
        <v>3</v>
      </c>
      <c r="T2" s="60">
        <f>+SELECCIONADO!Z20</f>
        <v>0.248617</v>
      </c>
      <c r="U2" s="12">
        <f t="shared" ref="U2:U33" si="6">+S2*T2</f>
        <v>0.74585100000000004</v>
      </c>
      <c r="V2" s="14">
        <f t="shared" ref="V2:V33" si="7">(U2-$V$35)/($V$34-$V$35)</f>
        <v>0.55320744068398353</v>
      </c>
      <c r="W2" s="14">
        <f t="shared" ref="W2:W33" si="8">+V2*$AD$41</f>
        <v>3.5671220109487832E-2</v>
      </c>
      <c r="X2" s="19">
        <f t="shared" ref="X2:X33" si="9">+L2+Q2+V2</f>
        <v>2.5532074406839835</v>
      </c>
      <c r="Y2" s="19">
        <f t="shared" ref="Y2:Y33" si="10">+M2+R2+W2</f>
        <v>0.97119048921876805</v>
      </c>
      <c r="Z2" s="77" t="str">
        <f>+SELECCIONADO!AA20</f>
        <v>-</v>
      </c>
      <c r="AA2" s="19"/>
    </row>
    <row r="3" spans="1:29" x14ac:dyDescent="0.25">
      <c r="A3" s="28" t="str">
        <f>+SELECCIONADO!C7</f>
        <v>Dongguan</v>
      </c>
      <c r="B3" s="64" t="str">
        <f>+SELECCIONADO!D7</f>
        <v>Medium City</v>
      </c>
      <c r="C3" s="64" t="str">
        <f>+SELECCIONADO!A7</f>
        <v>China</v>
      </c>
      <c r="D3" s="67">
        <f>+SELECCIONADO!E7</f>
        <v>1950100</v>
      </c>
      <c r="E3" s="67">
        <f>+SELECCIONADO!F7</f>
        <v>2460</v>
      </c>
      <c r="F3" s="68">
        <f>+SELECCIONADO!G7</f>
        <v>792.72357723577238</v>
      </c>
      <c r="G3" s="69">
        <f>+SELECCIONADO!K7</f>
        <v>7.5359999999999996</v>
      </c>
      <c r="H3" s="70">
        <f>+SELECCIONADO!L7</f>
        <v>0.30634146341463414</v>
      </c>
      <c r="I3" s="27">
        <f>+SELECCIONADO!U7</f>
        <v>2</v>
      </c>
      <c r="J3" s="60">
        <f>+SELECCIONADO!V7</f>
        <v>-0.431251</v>
      </c>
      <c r="K3" s="15">
        <f t="shared" si="0"/>
        <v>-0.86250199999999999</v>
      </c>
      <c r="L3" s="14">
        <f t="shared" si="1"/>
        <v>0</v>
      </c>
      <c r="M3" s="14">
        <f t="shared" si="2"/>
        <v>0</v>
      </c>
      <c r="N3" s="26">
        <f>+SELECCIONADO!W7</f>
        <v>3</v>
      </c>
      <c r="O3" s="60">
        <f>+SELECCIONADO!X7</f>
        <v>-0.21254899999999999</v>
      </c>
      <c r="P3" s="13">
        <f t="shared" si="3"/>
        <v>-0.63764699999999996</v>
      </c>
      <c r="Q3" s="14">
        <f t="shared" si="4"/>
        <v>0.27400517550487224</v>
      </c>
      <c r="R3" s="14">
        <f t="shared" si="5"/>
        <v>0.1249907315288504</v>
      </c>
      <c r="S3" s="26">
        <f>+SELECCIONADO!Y7</f>
        <v>2</v>
      </c>
      <c r="T3" s="60">
        <f>+SELECCIONADO!Z7</f>
        <v>-0.65237699999999998</v>
      </c>
      <c r="U3" s="12">
        <f t="shared" si="6"/>
        <v>-1.304754</v>
      </c>
      <c r="V3" s="14">
        <f t="shared" si="7"/>
        <v>0</v>
      </c>
      <c r="W3" s="14">
        <f t="shared" si="8"/>
        <v>0</v>
      </c>
      <c r="X3" s="19">
        <f t="shared" si="9"/>
        <v>0.27400517550487224</v>
      </c>
      <c r="Y3" s="19">
        <f t="shared" si="10"/>
        <v>0.1249907315288504</v>
      </c>
      <c r="Z3" s="77">
        <f>+SELECCIONADO!AA7</f>
        <v>10</v>
      </c>
      <c r="AA3" s="19"/>
    </row>
    <row r="4" spans="1:29" x14ac:dyDescent="0.25">
      <c r="A4" s="28" t="str">
        <f>+SELECCIONADO!C13</f>
        <v>Xiamen</v>
      </c>
      <c r="B4" s="64" t="str">
        <f>+SELECCIONADO!D13</f>
        <v>Medium City</v>
      </c>
      <c r="C4" s="64" t="str">
        <f>+SELECCIONADO!A13</f>
        <v>China</v>
      </c>
      <c r="D4" s="67">
        <f>+SELECCIONADO!E13</f>
        <v>2111500</v>
      </c>
      <c r="E4" s="67">
        <f>+SELECCIONADO!F13</f>
        <v>1699</v>
      </c>
      <c r="F4" s="68">
        <f>+SELECCIONADO!G13</f>
        <v>1242.789876397881</v>
      </c>
      <c r="G4" s="69">
        <f>+SELECCIONADO!K13</f>
        <v>35.167999999999999</v>
      </c>
      <c r="H4" s="70">
        <f>+SELECCIONADO!L13</f>
        <v>2.0699234844025898</v>
      </c>
      <c r="I4" s="27">
        <f>+SELECCIONADO!U13</f>
        <v>2</v>
      </c>
      <c r="J4" s="60">
        <f>+SELECCIONADO!V13</f>
        <v>-0.431251</v>
      </c>
      <c r="K4" s="15">
        <f t="shared" si="0"/>
        <v>-0.86250199999999999</v>
      </c>
      <c r="L4" s="14">
        <f t="shared" si="1"/>
        <v>0</v>
      </c>
      <c r="M4" s="14">
        <f t="shared" si="2"/>
        <v>0</v>
      </c>
      <c r="N4" s="26">
        <f>+SELECCIONADO!W13</f>
        <v>3</v>
      </c>
      <c r="O4" s="60">
        <f>+SELECCIONADO!X13</f>
        <v>-0.21254899999999999</v>
      </c>
      <c r="P4" s="13">
        <f t="shared" si="3"/>
        <v>-0.63764699999999996</v>
      </c>
      <c r="Q4" s="14">
        <f t="shared" si="4"/>
        <v>0.27400517550487224</v>
      </c>
      <c r="R4" s="14">
        <f t="shared" si="5"/>
        <v>0.1249907315288504</v>
      </c>
      <c r="S4" s="26">
        <f>+SELECCIONADO!Y13</f>
        <v>2</v>
      </c>
      <c r="T4" s="60">
        <f>+SELECCIONADO!Z13</f>
        <v>-0.65237699999999998</v>
      </c>
      <c r="U4" s="12">
        <f t="shared" si="6"/>
        <v>-1.304754</v>
      </c>
      <c r="V4" s="14">
        <f t="shared" si="7"/>
        <v>0</v>
      </c>
      <c r="W4" s="14">
        <f t="shared" si="8"/>
        <v>0</v>
      </c>
      <c r="X4" s="19">
        <f t="shared" si="9"/>
        <v>0.27400517550487224</v>
      </c>
      <c r="Y4" s="19">
        <f t="shared" si="10"/>
        <v>0.1249907315288504</v>
      </c>
      <c r="Z4" s="77">
        <f>+SELECCIONADO!AA13</f>
        <v>7</v>
      </c>
      <c r="AA4" s="19"/>
    </row>
    <row r="5" spans="1:29" x14ac:dyDescent="0.25">
      <c r="A5" s="28" t="str">
        <f>+SELECCIONADO!C19</f>
        <v>Quito</v>
      </c>
      <c r="B5" s="64" t="str">
        <f>+SELECCIONADO!D19</f>
        <v>Medium City</v>
      </c>
      <c r="C5" s="64" t="str">
        <f>+SELECCIONADO!A19</f>
        <v>Ecuador</v>
      </c>
      <c r="D5" s="67">
        <f>+SELECCIONADO!E19</f>
        <v>2239191</v>
      </c>
      <c r="E5" s="67">
        <f>+SELECCIONADO!F19</f>
        <v>372.39</v>
      </c>
      <c r="F5" s="68">
        <f>+SELECCIONADO!G19</f>
        <v>6013.0266655925243</v>
      </c>
      <c r="G5" s="69">
        <f>+SELECCIONADO!K19</f>
        <v>7.5359999999999996</v>
      </c>
      <c r="H5" s="70">
        <f>+SELECCIONADO!L19</f>
        <v>2.0236848465318618</v>
      </c>
      <c r="I5" s="27">
        <f>+SELECCIONADO!U19</f>
        <v>2</v>
      </c>
      <c r="J5" s="60">
        <f>+SELECCIONADO!V19</f>
        <v>-0.431251</v>
      </c>
      <c r="K5" s="15">
        <f t="shared" si="0"/>
        <v>-0.86250199999999999</v>
      </c>
      <c r="L5" s="14">
        <f t="shared" si="1"/>
        <v>0</v>
      </c>
      <c r="M5" s="14">
        <f t="shared" si="2"/>
        <v>0</v>
      </c>
      <c r="N5" s="26">
        <f>+SELECCIONADO!W19</f>
        <v>3</v>
      </c>
      <c r="O5" s="60">
        <f>+SELECCIONADO!X19</f>
        <v>-0.21254899999999999</v>
      </c>
      <c r="P5" s="13">
        <f t="shared" si="3"/>
        <v>-0.63764699999999996</v>
      </c>
      <c r="Q5" s="14">
        <f t="shared" si="4"/>
        <v>0.27400517550487224</v>
      </c>
      <c r="R5" s="14">
        <f t="shared" si="5"/>
        <v>0.1249907315288504</v>
      </c>
      <c r="S5" s="26">
        <f>+SELECCIONADO!Y19</f>
        <v>3</v>
      </c>
      <c r="T5" s="60">
        <f>+SELECCIONADO!Z19</f>
        <v>0.248617</v>
      </c>
      <c r="U5" s="12">
        <f t="shared" si="6"/>
        <v>0.74585100000000004</v>
      </c>
      <c r="V5" s="14">
        <f t="shared" si="7"/>
        <v>0.55320744068398353</v>
      </c>
      <c r="W5" s="14">
        <f t="shared" si="8"/>
        <v>3.5671220109487832E-2</v>
      </c>
      <c r="X5" s="19">
        <f t="shared" si="9"/>
        <v>0.82721261618885578</v>
      </c>
      <c r="Y5" s="19">
        <f t="shared" si="10"/>
        <v>0.16066195163833824</v>
      </c>
      <c r="Z5" s="77" t="str">
        <f>+SELECCIONADO!AA19</f>
        <v>-</v>
      </c>
      <c r="AA5" s="19"/>
    </row>
    <row r="6" spans="1:29" x14ac:dyDescent="0.25">
      <c r="A6" s="28" t="str">
        <f>+SELECCIONADO!C2</f>
        <v>Urumqi</v>
      </c>
      <c r="B6" s="64" t="str">
        <f>+SELECCIONADO!D2</f>
        <v>Medium City</v>
      </c>
      <c r="C6" s="64" t="str">
        <f>+SELECCIONADO!A2</f>
        <v>China</v>
      </c>
      <c r="D6" s="67">
        <f>+SELECCIONADO!E2</f>
        <v>2668300</v>
      </c>
      <c r="E6" s="67">
        <f>+SELECCIONADO!F2</f>
        <v>13788</v>
      </c>
      <c r="F6" s="68">
        <f>+SELECCIONADO!G2</f>
        <v>193.52335364084712</v>
      </c>
      <c r="G6" s="69">
        <f>+SELECCIONADO!K2</f>
        <v>10.5504</v>
      </c>
      <c r="H6" s="70">
        <f>+SELECCIONADO!L2</f>
        <v>7.6518711923411656E-2</v>
      </c>
      <c r="I6" s="27">
        <f>+SELECCIONADO!U2</f>
        <v>2</v>
      </c>
      <c r="J6" s="60">
        <f>+SELECCIONADO!V2</f>
        <v>-0.431251</v>
      </c>
      <c r="K6" s="15">
        <f t="shared" si="0"/>
        <v>-0.86250199999999999</v>
      </c>
      <c r="L6" s="14">
        <f t="shared" si="1"/>
        <v>0</v>
      </c>
      <c r="M6" s="14">
        <f t="shared" si="2"/>
        <v>0</v>
      </c>
      <c r="N6" s="26">
        <f>+SELECCIONADO!W2</f>
        <v>2</v>
      </c>
      <c r="O6" s="60">
        <f>+SELECCIONADO!X2</f>
        <v>-0.77105999999999997</v>
      </c>
      <c r="P6" s="13">
        <f t="shared" si="3"/>
        <v>-1.5421199999999999</v>
      </c>
      <c r="Q6" s="14">
        <f t="shared" si="4"/>
        <v>0</v>
      </c>
      <c r="R6" s="14">
        <f t="shared" si="5"/>
        <v>0</v>
      </c>
      <c r="S6" s="26">
        <f>+SELECCIONADO!Y2</f>
        <v>2</v>
      </c>
      <c r="T6" s="60">
        <f>+SELECCIONADO!Z2</f>
        <v>-0.65237699999999998</v>
      </c>
      <c r="U6" s="12">
        <f t="shared" si="6"/>
        <v>-1.304754</v>
      </c>
      <c r="V6" s="14">
        <f t="shared" si="7"/>
        <v>0</v>
      </c>
      <c r="W6" s="14">
        <f t="shared" si="8"/>
        <v>0</v>
      </c>
      <c r="X6" s="19">
        <f t="shared" si="9"/>
        <v>0</v>
      </c>
      <c r="Y6" s="19">
        <f t="shared" si="10"/>
        <v>0</v>
      </c>
      <c r="Z6" s="77">
        <f>+SELECCIONADO!AA2</f>
        <v>8</v>
      </c>
      <c r="AA6" s="19"/>
    </row>
    <row r="7" spans="1:29" x14ac:dyDescent="0.25">
      <c r="A7" s="28" t="str">
        <f>+SELECCIONADO!C29</f>
        <v>Brasilia</v>
      </c>
      <c r="B7" s="64" t="str">
        <f>+SELECCIONADO!D29</f>
        <v>Medium City</v>
      </c>
      <c r="C7" s="64" t="str">
        <f>+SELECCIONADO!A29</f>
        <v>Brazil</v>
      </c>
      <c r="D7" s="67">
        <f>+SELECCIONADO!E29</f>
        <v>2852372</v>
      </c>
      <c r="E7" s="67">
        <f>+SELECCIONADO!F29</f>
        <v>251.01</v>
      </c>
      <c r="F7" s="68">
        <f>+SELECCIONADO!G29</f>
        <v>11363.579140273296</v>
      </c>
      <c r="G7" s="69">
        <f>+SELECCIONADO!K29</f>
        <v>13.5648</v>
      </c>
      <c r="H7" s="70">
        <f>+SELECCIONADO!L29</f>
        <v>5.4040874865543209</v>
      </c>
      <c r="I7" s="27">
        <f>+SELECCIONADO!U29</f>
        <v>3</v>
      </c>
      <c r="J7" s="60">
        <f>+SELECCIONADO!V29</f>
        <v>1.8482479999999999</v>
      </c>
      <c r="K7" s="15">
        <f t="shared" si="0"/>
        <v>5.5447439999999997</v>
      </c>
      <c r="L7" s="14">
        <f t="shared" si="1"/>
        <v>1</v>
      </c>
      <c r="M7" s="14">
        <f t="shared" si="2"/>
        <v>0.47935733239203782</v>
      </c>
      <c r="N7" s="26">
        <f>+SELECCIONADO!W29</f>
        <v>1</v>
      </c>
      <c r="O7" s="60">
        <f>+SELECCIONADO!X29</f>
        <v>1.7588140000000001</v>
      </c>
      <c r="P7" s="13">
        <f t="shared" si="3"/>
        <v>1.7588140000000001</v>
      </c>
      <c r="Q7" s="14">
        <f t="shared" si="4"/>
        <v>1</v>
      </c>
      <c r="R7" s="14">
        <f t="shared" si="5"/>
        <v>0.45616193671724231</v>
      </c>
      <c r="S7" s="26">
        <f>+SELECCIONADO!Y29</f>
        <v>3</v>
      </c>
      <c r="T7" s="60">
        <f>+SELECCIONADO!Z29</f>
        <v>0.248617</v>
      </c>
      <c r="U7" s="12">
        <f t="shared" si="6"/>
        <v>0.74585100000000004</v>
      </c>
      <c r="V7" s="14">
        <f t="shared" si="7"/>
        <v>0.55320744068398353</v>
      </c>
      <c r="W7" s="14">
        <f t="shared" si="8"/>
        <v>3.5671220109487832E-2</v>
      </c>
      <c r="X7" s="19">
        <f t="shared" si="9"/>
        <v>2.5532074406839835</v>
      </c>
      <c r="Y7" s="19">
        <f t="shared" si="10"/>
        <v>0.97119048921876805</v>
      </c>
      <c r="Z7" s="77" t="str">
        <f>+SELECCIONADO!AA29</f>
        <v>-</v>
      </c>
      <c r="AA7" s="19"/>
    </row>
    <row r="8" spans="1:29" x14ac:dyDescent="0.25">
      <c r="A8" s="28" t="str">
        <f>+SELECCIONADO!C33</f>
        <v>Medellin</v>
      </c>
      <c r="B8" s="64" t="str">
        <f>+SELECCIONADO!D33</f>
        <v>Medium City</v>
      </c>
      <c r="C8" s="64" t="str">
        <f>+SELECCIONADO!A33</f>
        <v>Colombia</v>
      </c>
      <c r="D8" s="67">
        <f>+SELECCIONADO!E33</f>
        <v>3383258</v>
      </c>
      <c r="E8" s="67">
        <f>+SELECCIONADO!F33</f>
        <v>172.65299999999999</v>
      </c>
      <c r="F8" s="68">
        <f>+SELECCIONADO!G33</f>
        <v>19595.709312899286</v>
      </c>
      <c r="G8" s="69">
        <f>+SELECCIONADO!K33</f>
        <v>13.5648</v>
      </c>
      <c r="H8" s="70">
        <f>+SELECCIONADO!L33</f>
        <v>7.8566836371218569</v>
      </c>
      <c r="I8" s="27">
        <f>+SELECCIONADO!U33</f>
        <v>3</v>
      </c>
      <c r="J8" s="60">
        <f>+SELECCIONADO!V33</f>
        <v>1.8482479999999999</v>
      </c>
      <c r="K8" s="15">
        <f t="shared" si="0"/>
        <v>5.5447439999999997</v>
      </c>
      <c r="L8" s="14">
        <f t="shared" si="1"/>
        <v>1</v>
      </c>
      <c r="M8" s="14">
        <f t="shared" si="2"/>
        <v>0.47935733239203782</v>
      </c>
      <c r="N8" s="26">
        <f>+SELECCIONADO!W33</f>
        <v>1</v>
      </c>
      <c r="O8" s="60">
        <f>+SELECCIONADO!X33</f>
        <v>1.7588140000000001</v>
      </c>
      <c r="P8" s="13">
        <f t="shared" si="3"/>
        <v>1.7588140000000001</v>
      </c>
      <c r="Q8" s="14">
        <f t="shared" si="4"/>
        <v>1</v>
      </c>
      <c r="R8" s="14">
        <f t="shared" si="5"/>
        <v>0.45616193671724231</v>
      </c>
      <c r="S8" s="26">
        <f>+SELECCIONADO!Y33</f>
        <v>1</v>
      </c>
      <c r="T8" s="60">
        <f>+SELECCIONADO!Z33</f>
        <v>2.402002</v>
      </c>
      <c r="U8" s="12">
        <f t="shared" si="6"/>
        <v>2.402002</v>
      </c>
      <c r="V8" s="14">
        <f t="shared" si="7"/>
        <v>1</v>
      </c>
      <c r="W8" s="14">
        <f t="shared" si="8"/>
        <v>6.4480730890719901E-2</v>
      </c>
      <c r="X8" s="19">
        <f t="shared" si="9"/>
        <v>3</v>
      </c>
      <c r="Y8" s="19">
        <f t="shared" si="10"/>
        <v>1</v>
      </c>
      <c r="Z8" s="77" t="str">
        <f>+SELECCIONADO!AA33</f>
        <v>-</v>
      </c>
      <c r="AA8" s="19"/>
    </row>
    <row r="9" spans="1:29" x14ac:dyDescent="0.25">
      <c r="A9" s="28" t="str">
        <f>+SELECCIONADO!C32</f>
        <v>Caracas</v>
      </c>
      <c r="B9" s="64" t="str">
        <f>+SELECCIONADO!D32</f>
        <v>Medium City</v>
      </c>
      <c r="C9" s="64" t="str">
        <f>+SELECCIONADO!A32</f>
        <v>Venezuela</v>
      </c>
      <c r="D9" s="67">
        <f>+SELECCIONADO!E32</f>
        <v>3611087</v>
      </c>
      <c r="E9" s="67">
        <f>+SELECCIONADO!F32</f>
        <v>260.63</v>
      </c>
      <c r="F9" s="68">
        <f>+SELECCIONADO!G32</f>
        <v>13855</v>
      </c>
      <c r="G9" s="69">
        <f>+SELECCIONADO!K32</f>
        <v>24.115200000000002</v>
      </c>
      <c r="H9" s="70">
        <f>+SELECCIONADO!L32</f>
        <v>9.2526570233664582</v>
      </c>
      <c r="I9" s="27">
        <f>+SELECCIONADO!U32</f>
        <v>3</v>
      </c>
      <c r="J9" s="60">
        <f>+SELECCIONADO!V32</f>
        <v>1.8482479999999999</v>
      </c>
      <c r="K9" s="15">
        <f t="shared" si="0"/>
        <v>5.5447439999999997</v>
      </c>
      <c r="L9" s="14">
        <f t="shared" si="1"/>
        <v>1</v>
      </c>
      <c r="M9" s="14">
        <f t="shared" si="2"/>
        <v>0.47935733239203782</v>
      </c>
      <c r="N9" s="26">
        <f>+SELECCIONADO!W32</f>
        <v>1</v>
      </c>
      <c r="O9" s="60">
        <f>+SELECCIONADO!X32</f>
        <v>1.7588140000000001</v>
      </c>
      <c r="P9" s="13">
        <f t="shared" si="3"/>
        <v>1.7588140000000001</v>
      </c>
      <c r="Q9" s="14">
        <f t="shared" si="4"/>
        <v>1</v>
      </c>
      <c r="R9" s="14">
        <f t="shared" si="5"/>
        <v>0.45616193671724231</v>
      </c>
      <c r="S9" s="26">
        <f>+SELECCIONADO!Y32</f>
        <v>1</v>
      </c>
      <c r="T9" s="60">
        <f>+SELECCIONADO!Z32</f>
        <v>2.402002</v>
      </c>
      <c r="U9" s="12">
        <f t="shared" si="6"/>
        <v>2.402002</v>
      </c>
      <c r="V9" s="14">
        <f t="shared" si="7"/>
        <v>1</v>
      </c>
      <c r="W9" s="14">
        <f t="shared" si="8"/>
        <v>6.4480730890719901E-2</v>
      </c>
      <c r="X9" s="19">
        <f t="shared" si="9"/>
        <v>3</v>
      </c>
      <c r="Y9" s="19">
        <f t="shared" si="10"/>
        <v>1</v>
      </c>
      <c r="Z9" s="77" t="str">
        <f>+SELECCIONADO!AA32</f>
        <v>-</v>
      </c>
      <c r="AA9" s="19"/>
    </row>
    <row r="10" spans="1:29" x14ac:dyDescent="0.25">
      <c r="A10" s="28" t="str">
        <f>+SELECCIONADO!C28</f>
        <v>Lanzhou</v>
      </c>
      <c r="B10" s="64" t="str">
        <f>+SELECCIONADO!D28</f>
        <v>Medium City</v>
      </c>
      <c r="C10" s="64" t="str">
        <f>+SELECCIONADO!A28</f>
        <v>China</v>
      </c>
      <c r="D10" s="67">
        <f>+SELECCIONADO!E28</f>
        <v>3693100</v>
      </c>
      <c r="E10" s="67">
        <f>+SELECCIONADO!F28</f>
        <v>332.14</v>
      </c>
      <c r="F10" s="68">
        <f>+SELECCIONADO!G28</f>
        <v>11119.106400915278</v>
      </c>
      <c r="G10" s="69">
        <f>+SELECCIONADO!K28</f>
        <v>14.569599999999999</v>
      </c>
      <c r="H10" s="70">
        <f>+SELECCIONADO!L28</f>
        <v>4.3865839706148009</v>
      </c>
      <c r="I10" s="27">
        <f>+SELECCIONADO!U28</f>
        <v>2</v>
      </c>
      <c r="J10" s="60">
        <f>+SELECCIONADO!V28</f>
        <v>-0.431251</v>
      </c>
      <c r="K10" s="15">
        <f t="shared" si="0"/>
        <v>-0.86250199999999999</v>
      </c>
      <c r="L10" s="14">
        <f t="shared" si="1"/>
        <v>0</v>
      </c>
      <c r="M10" s="14">
        <f t="shared" si="2"/>
        <v>0</v>
      </c>
      <c r="N10" s="26">
        <f>+SELECCIONADO!W28</f>
        <v>3</v>
      </c>
      <c r="O10" s="60">
        <f>+SELECCIONADO!X28</f>
        <v>-0.21254899999999999</v>
      </c>
      <c r="P10" s="13">
        <f t="shared" si="3"/>
        <v>-0.63764699999999996</v>
      </c>
      <c r="Q10" s="14">
        <f t="shared" si="4"/>
        <v>0.27400517550487224</v>
      </c>
      <c r="R10" s="14">
        <f t="shared" si="5"/>
        <v>0.1249907315288504</v>
      </c>
      <c r="S10" s="26">
        <f>+SELECCIONADO!Y28</f>
        <v>3</v>
      </c>
      <c r="T10" s="60">
        <f>+SELECCIONADO!Z28</f>
        <v>0.248617</v>
      </c>
      <c r="U10" s="12">
        <f t="shared" si="6"/>
        <v>0.74585100000000004</v>
      </c>
      <c r="V10" s="14">
        <f t="shared" si="7"/>
        <v>0.55320744068398353</v>
      </c>
      <c r="W10" s="14">
        <f t="shared" si="8"/>
        <v>3.5671220109487832E-2</v>
      </c>
      <c r="X10" s="19">
        <f t="shared" si="9"/>
        <v>0.82721261618885578</v>
      </c>
      <c r="Y10" s="19">
        <f t="shared" si="10"/>
        <v>0.16066195163833824</v>
      </c>
      <c r="Z10" s="77">
        <f>+SELECCIONADO!AA28</f>
        <v>8</v>
      </c>
      <c r="AA10" s="19"/>
    </row>
    <row r="11" spans="1:29" x14ac:dyDescent="0.25">
      <c r="A11" s="28" t="str">
        <f>+SELECCIONADO!C9</f>
        <v>Changzhou</v>
      </c>
      <c r="B11" s="64" t="str">
        <f>+SELECCIONADO!D9</f>
        <v>Medium City</v>
      </c>
      <c r="C11" s="64" t="str">
        <f>+SELECCIONADO!A9</f>
        <v>China</v>
      </c>
      <c r="D11" s="67">
        <f>+SELECCIONADO!E9</f>
        <v>3708500</v>
      </c>
      <c r="E11" s="67">
        <f>+SELECCIONADO!F9</f>
        <v>4372</v>
      </c>
      <c r="F11" s="68">
        <f>+SELECCIONADO!G9</f>
        <v>848.23879231473006</v>
      </c>
      <c r="G11" s="69">
        <f>+SELECCIONADO!K9</f>
        <v>22.105599999999999</v>
      </c>
      <c r="H11" s="70">
        <f>+SELECCIONADO!L9</f>
        <v>0.50561756633119848</v>
      </c>
      <c r="I11" s="27">
        <f>+SELECCIONADO!U9</f>
        <v>2</v>
      </c>
      <c r="J11" s="60">
        <f>+SELECCIONADO!V9</f>
        <v>-0.431251</v>
      </c>
      <c r="K11" s="15">
        <f t="shared" si="0"/>
        <v>-0.86250199999999999</v>
      </c>
      <c r="L11" s="14">
        <f t="shared" si="1"/>
        <v>0</v>
      </c>
      <c r="M11" s="14">
        <f t="shared" si="2"/>
        <v>0</v>
      </c>
      <c r="N11" s="26">
        <f>+SELECCIONADO!W9</f>
        <v>3</v>
      </c>
      <c r="O11" s="60">
        <f>+SELECCIONADO!X9</f>
        <v>-0.21254899999999999</v>
      </c>
      <c r="P11" s="13">
        <f t="shared" si="3"/>
        <v>-0.63764699999999996</v>
      </c>
      <c r="Q11" s="14">
        <f t="shared" si="4"/>
        <v>0.27400517550487224</v>
      </c>
      <c r="R11" s="14">
        <f t="shared" si="5"/>
        <v>0.1249907315288504</v>
      </c>
      <c r="S11" s="26">
        <f>+SELECCIONADO!Y9</f>
        <v>2</v>
      </c>
      <c r="T11" s="60">
        <f>+SELECCIONADO!Z9</f>
        <v>-0.65237699999999998</v>
      </c>
      <c r="U11" s="12">
        <f t="shared" si="6"/>
        <v>-1.304754</v>
      </c>
      <c r="V11" s="14">
        <f t="shared" si="7"/>
        <v>0</v>
      </c>
      <c r="W11" s="14">
        <f t="shared" si="8"/>
        <v>0</v>
      </c>
      <c r="X11" s="19">
        <f t="shared" si="9"/>
        <v>0.27400517550487224</v>
      </c>
      <c r="Y11" s="19">
        <f t="shared" si="10"/>
        <v>0.1249907315288504</v>
      </c>
      <c r="Z11" s="77">
        <f>+SELECCIONADO!AA9</f>
        <v>6</v>
      </c>
      <c r="AA11" s="19"/>
    </row>
    <row r="12" spans="1:29" x14ac:dyDescent="0.25">
      <c r="A12" s="28" t="str">
        <f>+SELECCIONADO!C18</f>
        <v>Recife</v>
      </c>
      <c r="B12" s="64" t="str">
        <f>+SELECCIONADO!D18</f>
        <v>Medium City</v>
      </c>
      <c r="C12" s="64" t="str">
        <f>+SELECCIONADO!A18</f>
        <v xml:space="preserve">Brazil </v>
      </c>
      <c r="D12" s="67">
        <f>+SELECCIONADO!E18</f>
        <v>3887261</v>
      </c>
      <c r="E12" s="67">
        <f>+SELECCIONADO!F18</f>
        <v>841.23999999996545</v>
      </c>
      <c r="F12" s="68">
        <f>+SELECCIONADO!G18</f>
        <v>4620.8703818175072</v>
      </c>
      <c r="G12" s="69">
        <f>+SELECCIONADO!K18</f>
        <v>14.0672</v>
      </c>
      <c r="H12" s="70">
        <f>+SELECCIONADO!L18</f>
        <v>1.6721981836337525</v>
      </c>
      <c r="I12" s="27">
        <f>+SELECCIONADO!U18</f>
        <v>2</v>
      </c>
      <c r="J12" s="60">
        <f>+SELECCIONADO!V18</f>
        <v>-0.431251</v>
      </c>
      <c r="K12" s="15">
        <f t="shared" si="0"/>
        <v>-0.86250199999999999</v>
      </c>
      <c r="L12" s="14">
        <f t="shared" si="1"/>
        <v>0</v>
      </c>
      <c r="M12" s="14">
        <f t="shared" si="2"/>
        <v>0</v>
      </c>
      <c r="N12" s="26">
        <f>+SELECCIONADO!W18</f>
        <v>3</v>
      </c>
      <c r="O12" s="60">
        <f>+SELECCIONADO!X18</f>
        <v>-0.21254899999999999</v>
      </c>
      <c r="P12" s="13">
        <f t="shared" si="3"/>
        <v>-0.63764699999999996</v>
      </c>
      <c r="Q12" s="14">
        <f t="shared" si="4"/>
        <v>0.27400517550487224</v>
      </c>
      <c r="R12" s="14">
        <f t="shared" si="5"/>
        <v>0.1249907315288504</v>
      </c>
      <c r="S12" s="26">
        <f>+SELECCIONADO!Y18</f>
        <v>2</v>
      </c>
      <c r="T12" s="60">
        <f>+SELECCIONADO!Z18</f>
        <v>-0.65237699999999998</v>
      </c>
      <c r="U12" s="12">
        <f t="shared" si="6"/>
        <v>-1.304754</v>
      </c>
      <c r="V12" s="14">
        <f t="shared" si="7"/>
        <v>0</v>
      </c>
      <c r="W12" s="14">
        <f t="shared" si="8"/>
        <v>0</v>
      </c>
      <c r="X12" s="19">
        <f t="shared" si="9"/>
        <v>0.27400517550487224</v>
      </c>
      <c r="Y12" s="19">
        <f t="shared" si="10"/>
        <v>0.1249907315288504</v>
      </c>
      <c r="Z12" s="77" t="str">
        <f>+SELECCIONADO!AA18</f>
        <v>-</v>
      </c>
      <c r="AA12" s="19"/>
    </row>
    <row r="13" spans="1:29" x14ac:dyDescent="0.25">
      <c r="A13" s="28" t="str">
        <f>+SELECCIONADO!C10</f>
        <v>Foshan</v>
      </c>
      <c r="B13" s="64" t="str">
        <f>+SELECCIONADO!D10</f>
        <v>Medium City</v>
      </c>
      <c r="C13" s="64" t="str">
        <f>+SELECCIONADO!A10</f>
        <v>China</v>
      </c>
      <c r="D13" s="67">
        <f>+SELECCIONADO!E10</f>
        <v>3887900</v>
      </c>
      <c r="E13" s="67">
        <f>+SELECCIONADO!F10</f>
        <v>3798</v>
      </c>
      <c r="F13" s="68">
        <f>+SELECCIONADO!G10</f>
        <v>1023.6703528172723</v>
      </c>
      <c r="G13" s="69">
        <f>+SELECCIONADO!K10</f>
        <v>37.177599999999998</v>
      </c>
      <c r="H13" s="70">
        <f>+SELECCIONADO!L10</f>
        <v>0.97887309110057918</v>
      </c>
      <c r="I13" s="27">
        <f>+SELECCIONADO!U10</f>
        <v>2</v>
      </c>
      <c r="J13" s="60">
        <f>+SELECCIONADO!V10</f>
        <v>-0.431251</v>
      </c>
      <c r="K13" s="15">
        <f t="shared" si="0"/>
        <v>-0.86250199999999999</v>
      </c>
      <c r="L13" s="14">
        <f t="shared" si="1"/>
        <v>0</v>
      </c>
      <c r="M13" s="14">
        <f t="shared" si="2"/>
        <v>0</v>
      </c>
      <c r="N13" s="26">
        <f>+SELECCIONADO!W10</f>
        <v>3</v>
      </c>
      <c r="O13" s="60">
        <f>+SELECCIONADO!X10</f>
        <v>-0.21254899999999999</v>
      </c>
      <c r="P13" s="13">
        <f t="shared" si="3"/>
        <v>-0.63764699999999996</v>
      </c>
      <c r="Q13" s="14">
        <f t="shared" si="4"/>
        <v>0.27400517550487224</v>
      </c>
      <c r="R13" s="14">
        <f t="shared" si="5"/>
        <v>0.1249907315288504</v>
      </c>
      <c r="S13" s="26">
        <f>+SELECCIONADO!Y10</f>
        <v>2</v>
      </c>
      <c r="T13" s="60">
        <f>+SELECCIONADO!Z10</f>
        <v>-0.65237699999999998</v>
      </c>
      <c r="U13" s="12">
        <f t="shared" si="6"/>
        <v>-1.304754</v>
      </c>
      <c r="V13" s="14">
        <f t="shared" si="7"/>
        <v>0</v>
      </c>
      <c r="W13" s="14">
        <f t="shared" si="8"/>
        <v>0</v>
      </c>
      <c r="X13" s="19">
        <f t="shared" si="9"/>
        <v>0.27400517550487224</v>
      </c>
      <c r="Y13" s="19">
        <f t="shared" si="10"/>
        <v>0.1249907315288504</v>
      </c>
      <c r="Z13" s="77">
        <f>+SELECCIONADO!AA10</f>
        <v>10</v>
      </c>
      <c r="AA13" s="19"/>
    </row>
    <row r="14" spans="1:29" x14ac:dyDescent="0.25">
      <c r="A14" s="28" t="str">
        <f>+SELECCIONADO!C3</f>
        <v>Fuzhou</v>
      </c>
      <c r="B14" s="64" t="str">
        <f>+SELECCIONADO!D3</f>
        <v>Medium City</v>
      </c>
      <c r="C14" s="64" t="str">
        <f>+SELECCIONADO!A3</f>
        <v>China</v>
      </c>
      <c r="D14" s="67">
        <f>+SELECCIONADO!E3</f>
        <v>3992799.9999999995</v>
      </c>
      <c r="E14" s="67">
        <f>+SELECCIONADO!F3</f>
        <v>18799</v>
      </c>
      <c r="F14" s="68">
        <f>+SELECCIONADO!G3</f>
        <v>212.39427629129207</v>
      </c>
      <c r="G14" s="69">
        <f>+SELECCIONADO!K3</f>
        <v>50.24</v>
      </c>
      <c r="H14" s="70">
        <f>+SELECCIONADO!L3</f>
        <v>0.26724825788605777</v>
      </c>
      <c r="I14" s="27">
        <f>+SELECCIONADO!U3</f>
        <v>2</v>
      </c>
      <c r="J14" s="60">
        <f>+SELECCIONADO!V3</f>
        <v>-0.431251</v>
      </c>
      <c r="K14" s="15">
        <f t="shared" si="0"/>
        <v>-0.86250199999999999</v>
      </c>
      <c r="L14" s="14">
        <f t="shared" si="1"/>
        <v>0</v>
      </c>
      <c r="M14" s="14">
        <f t="shared" si="2"/>
        <v>0</v>
      </c>
      <c r="N14" s="26">
        <f>+SELECCIONADO!W3</f>
        <v>2</v>
      </c>
      <c r="O14" s="60">
        <f>+SELECCIONADO!X3</f>
        <v>-0.77105999999999997</v>
      </c>
      <c r="P14" s="13">
        <f t="shared" si="3"/>
        <v>-1.5421199999999999</v>
      </c>
      <c r="Q14" s="14">
        <f t="shared" si="4"/>
        <v>0</v>
      </c>
      <c r="R14" s="14">
        <f t="shared" si="5"/>
        <v>0</v>
      </c>
      <c r="S14" s="26">
        <f>+SELECCIONADO!Y3</f>
        <v>2</v>
      </c>
      <c r="T14" s="60">
        <f>+SELECCIONADO!Z3</f>
        <v>-0.65237699999999998</v>
      </c>
      <c r="U14" s="12">
        <f t="shared" si="6"/>
        <v>-1.304754</v>
      </c>
      <c r="V14" s="14">
        <f t="shared" si="7"/>
        <v>0</v>
      </c>
      <c r="W14" s="14">
        <f t="shared" si="8"/>
        <v>0</v>
      </c>
      <c r="X14" s="19">
        <f t="shared" si="9"/>
        <v>0</v>
      </c>
      <c r="Y14" s="19">
        <f t="shared" si="10"/>
        <v>0</v>
      </c>
      <c r="Z14" s="77">
        <f>+SELECCIONADO!AA3</f>
        <v>8</v>
      </c>
      <c r="AA14" s="19"/>
    </row>
    <row r="15" spans="1:29" x14ac:dyDescent="0.25">
      <c r="A15" s="28" t="str">
        <f>+SELECCIONADO!C27</f>
        <v>Salvador</v>
      </c>
      <c r="B15" s="64" t="str">
        <f>+SELECCIONADO!D27</f>
        <v>Medium City</v>
      </c>
      <c r="C15" s="64" t="str">
        <f>+SELECCIONADO!A27</f>
        <v>Brazil</v>
      </c>
      <c r="D15" s="67">
        <f>+SELECCIONADO!E27</f>
        <v>4016371</v>
      </c>
      <c r="E15" s="67">
        <f>+SELECCIONADO!F27</f>
        <v>384.43686323588486</v>
      </c>
      <c r="F15" s="68">
        <f>+SELECCIONADO!G27</f>
        <v>10447.413825493662</v>
      </c>
      <c r="G15" s="69">
        <f>+SELECCIONADO!K27</f>
        <v>10.048</v>
      </c>
      <c r="H15" s="70">
        <f>+SELECCIONADO!L27</f>
        <v>2.6136931602822631</v>
      </c>
      <c r="I15" s="27">
        <f>+SELECCIONADO!U27</f>
        <v>2</v>
      </c>
      <c r="J15" s="60">
        <f>+SELECCIONADO!V27</f>
        <v>-0.431251</v>
      </c>
      <c r="K15" s="15">
        <f t="shared" si="0"/>
        <v>-0.86250199999999999</v>
      </c>
      <c r="L15" s="14">
        <f t="shared" si="1"/>
        <v>0</v>
      </c>
      <c r="M15" s="14">
        <f t="shared" si="2"/>
        <v>0</v>
      </c>
      <c r="N15" s="26">
        <f>+SELECCIONADO!W27</f>
        <v>3</v>
      </c>
      <c r="O15" s="60">
        <f>+SELECCIONADO!X27</f>
        <v>-0.21254899999999999</v>
      </c>
      <c r="P15" s="13">
        <f t="shared" si="3"/>
        <v>-0.63764699999999996</v>
      </c>
      <c r="Q15" s="14">
        <f t="shared" si="4"/>
        <v>0.27400517550487224</v>
      </c>
      <c r="R15" s="14">
        <f t="shared" si="5"/>
        <v>0.1249907315288504</v>
      </c>
      <c r="S15" s="26">
        <f>+SELECCIONADO!Y27</f>
        <v>3</v>
      </c>
      <c r="T15" s="60">
        <f>+SELECCIONADO!Z27</f>
        <v>0.248617</v>
      </c>
      <c r="U15" s="12">
        <f t="shared" si="6"/>
        <v>0.74585100000000004</v>
      </c>
      <c r="V15" s="14">
        <f t="shared" si="7"/>
        <v>0.55320744068398353</v>
      </c>
      <c r="W15" s="14">
        <f t="shared" si="8"/>
        <v>3.5671220109487832E-2</v>
      </c>
      <c r="X15" s="19">
        <f t="shared" si="9"/>
        <v>0.82721261618885578</v>
      </c>
      <c r="Y15" s="19">
        <f t="shared" si="10"/>
        <v>0.16066195163833824</v>
      </c>
      <c r="Z15" s="77" t="str">
        <f>+SELECCIONADO!AA27</f>
        <v>-</v>
      </c>
      <c r="AA15" s="19"/>
    </row>
    <row r="16" spans="1:29" x14ac:dyDescent="0.25">
      <c r="A16" s="28" t="str">
        <f>+SELECCIONADO!C26</f>
        <v xml:space="preserve">Porto Alegre </v>
      </c>
      <c r="B16" s="64" t="str">
        <f>+SELECCIONADO!D26</f>
        <v>Medium City</v>
      </c>
      <c r="C16" s="64" t="str">
        <f>+SELECCIONADO!A26</f>
        <v>Brazil</v>
      </c>
      <c r="D16" s="67">
        <f>+SELECCIONADO!E26</f>
        <v>4161237</v>
      </c>
      <c r="E16" s="67">
        <f>+SELECCIONADO!F26</f>
        <v>433.98</v>
      </c>
      <c r="F16" s="68">
        <f>+SELECCIONADO!G26</f>
        <v>9588.5455550947045</v>
      </c>
      <c r="G16" s="69">
        <f>+SELECCIONADO!K26</f>
        <v>11.0528</v>
      </c>
      <c r="H16" s="70">
        <f>+SELECCIONADO!L26</f>
        <v>2.5468454767500806</v>
      </c>
      <c r="I16" s="27">
        <f>+SELECCIONADO!U26</f>
        <v>2</v>
      </c>
      <c r="J16" s="60">
        <f>+SELECCIONADO!V26</f>
        <v>-0.431251</v>
      </c>
      <c r="K16" s="15">
        <f t="shared" si="0"/>
        <v>-0.86250199999999999</v>
      </c>
      <c r="L16" s="14">
        <f t="shared" si="1"/>
        <v>0</v>
      </c>
      <c r="M16" s="14">
        <f t="shared" si="2"/>
        <v>0</v>
      </c>
      <c r="N16" s="26">
        <f>+SELECCIONADO!W26</f>
        <v>3</v>
      </c>
      <c r="O16" s="60">
        <f>+SELECCIONADO!X26</f>
        <v>-0.21254899999999999</v>
      </c>
      <c r="P16" s="13">
        <f t="shared" si="3"/>
        <v>-0.63764699999999996</v>
      </c>
      <c r="Q16" s="14">
        <f t="shared" si="4"/>
        <v>0.27400517550487224</v>
      </c>
      <c r="R16" s="14">
        <f t="shared" si="5"/>
        <v>0.1249907315288504</v>
      </c>
      <c r="S16" s="26">
        <f>+SELECCIONADO!Y26</f>
        <v>3</v>
      </c>
      <c r="T16" s="60">
        <f>+SELECCIONADO!Z26</f>
        <v>0.248617</v>
      </c>
      <c r="U16" s="12">
        <f t="shared" si="6"/>
        <v>0.74585100000000004</v>
      </c>
      <c r="V16" s="14">
        <f t="shared" si="7"/>
        <v>0.55320744068398353</v>
      </c>
      <c r="W16" s="14">
        <f t="shared" si="8"/>
        <v>3.5671220109487832E-2</v>
      </c>
      <c r="X16" s="19">
        <f t="shared" si="9"/>
        <v>0.82721261618885578</v>
      </c>
      <c r="Y16" s="19">
        <f t="shared" si="10"/>
        <v>0.16066195163833824</v>
      </c>
      <c r="Z16" s="77" t="str">
        <f>+SELECCIONADO!AA26</f>
        <v>-</v>
      </c>
      <c r="AA16" s="19"/>
    </row>
    <row r="17" spans="1:27" x14ac:dyDescent="0.25">
      <c r="A17" s="28" t="str">
        <f>+SELECCIONADO!C4</f>
        <v>Shaoxing</v>
      </c>
      <c r="B17" s="64" t="str">
        <f>+SELECCIONADO!D4</f>
        <v>Medium City</v>
      </c>
      <c r="C17" s="64" t="str">
        <f>+SELECCIONADO!A4</f>
        <v>China</v>
      </c>
      <c r="D17" s="67">
        <f>+SELECCIONADO!E4</f>
        <v>4431100</v>
      </c>
      <c r="E17" s="67">
        <f>+SELECCIONADO!F4</f>
        <v>8279</v>
      </c>
      <c r="F17" s="68">
        <f>+SELECCIONADO!G4</f>
        <v>535.22164512622294</v>
      </c>
      <c r="G17" s="69">
        <f>+SELECCIONADO!K4</f>
        <v>18.588799999999999</v>
      </c>
      <c r="H17" s="70">
        <f>+SELECCIONADO!L4</f>
        <v>0.22452953255224059</v>
      </c>
      <c r="I17" s="27">
        <f>+SELECCIONADO!U4</f>
        <v>2</v>
      </c>
      <c r="J17" s="60">
        <f>+SELECCIONADO!V4</f>
        <v>-0.431251</v>
      </c>
      <c r="K17" s="15">
        <f t="shared" si="0"/>
        <v>-0.86250199999999999</v>
      </c>
      <c r="L17" s="14">
        <f t="shared" si="1"/>
        <v>0</v>
      </c>
      <c r="M17" s="14">
        <f t="shared" si="2"/>
        <v>0</v>
      </c>
      <c r="N17" s="26">
        <f>+SELECCIONADO!W4</f>
        <v>2</v>
      </c>
      <c r="O17" s="60">
        <f>+SELECCIONADO!X4</f>
        <v>-0.77105999999999997</v>
      </c>
      <c r="P17" s="13">
        <f t="shared" si="3"/>
        <v>-1.5421199999999999</v>
      </c>
      <c r="Q17" s="14">
        <f t="shared" si="4"/>
        <v>0</v>
      </c>
      <c r="R17" s="14">
        <f t="shared" si="5"/>
        <v>0</v>
      </c>
      <c r="S17" s="26">
        <f>+SELECCIONADO!Y4</f>
        <v>2</v>
      </c>
      <c r="T17" s="60">
        <f>+SELECCIONADO!Z4</f>
        <v>-0.65237699999999998</v>
      </c>
      <c r="U17" s="12">
        <f t="shared" si="6"/>
        <v>-1.304754</v>
      </c>
      <c r="V17" s="14">
        <f t="shared" si="7"/>
        <v>0</v>
      </c>
      <c r="W17" s="14">
        <f t="shared" si="8"/>
        <v>0</v>
      </c>
      <c r="X17" s="19">
        <f t="shared" si="9"/>
        <v>0</v>
      </c>
      <c r="Y17" s="19">
        <f t="shared" si="10"/>
        <v>0</v>
      </c>
      <c r="Z17" s="77">
        <f>+SELECCIONADO!AA4</f>
        <v>10</v>
      </c>
      <c r="AA17" s="19"/>
    </row>
    <row r="18" spans="1:27" x14ac:dyDescent="0.25">
      <c r="A18" s="28" t="str">
        <f>+SELECCIONADO!C21</f>
        <v>Guadalajara</v>
      </c>
      <c r="B18" s="64" t="str">
        <f>+SELECCIONADO!D21</f>
        <v>Medium City</v>
      </c>
      <c r="C18" s="64" t="str">
        <f>+SELECCIONADO!A21</f>
        <v>México</v>
      </c>
      <c r="D18" s="67">
        <f>+SELECCIONADO!E21</f>
        <v>4515531</v>
      </c>
      <c r="E18" s="67">
        <f>+SELECCIONADO!F21</f>
        <v>692.524</v>
      </c>
      <c r="F18" s="68">
        <f>+SELECCIONADO!G21</f>
        <v>6520.3964050343384</v>
      </c>
      <c r="G18" s="69">
        <f>+SELECCIONADO!K21</f>
        <v>24.115200000000002</v>
      </c>
      <c r="H18" s="70">
        <f>+SELECCIONADO!L21</f>
        <v>3.4822186667898873</v>
      </c>
      <c r="I18" s="27">
        <f>+SELECCIONADO!U21</f>
        <v>2</v>
      </c>
      <c r="J18" s="60">
        <f>+SELECCIONADO!V21</f>
        <v>-0.431251</v>
      </c>
      <c r="K18" s="15">
        <f t="shared" si="0"/>
        <v>-0.86250199999999999</v>
      </c>
      <c r="L18" s="14">
        <f t="shared" si="1"/>
        <v>0</v>
      </c>
      <c r="M18" s="14">
        <f t="shared" si="2"/>
        <v>0</v>
      </c>
      <c r="N18" s="26">
        <f>+SELECCIONADO!W21</f>
        <v>3</v>
      </c>
      <c r="O18" s="60">
        <f>+SELECCIONADO!X21</f>
        <v>-0.21254899999999999</v>
      </c>
      <c r="P18" s="13">
        <f t="shared" si="3"/>
        <v>-0.63764699999999996</v>
      </c>
      <c r="Q18" s="14">
        <f t="shared" si="4"/>
        <v>0.27400517550487224</v>
      </c>
      <c r="R18" s="14">
        <f t="shared" si="5"/>
        <v>0.1249907315288504</v>
      </c>
      <c r="S18" s="26">
        <f>+SELECCIONADO!Y21</f>
        <v>3</v>
      </c>
      <c r="T18" s="60">
        <f>+SELECCIONADO!Z21</f>
        <v>0.248617</v>
      </c>
      <c r="U18" s="12">
        <f t="shared" si="6"/>
        <v>0.74585100000000004</v>
      </c>
      <c r="V18" s="14">
        <f t="shared" si="7"/>
        <v>0.55320744068398353</v>
      </c>
      <c r="W18" s="14">
        <f t="shared" si="8"/>
        <v>3.5671220109487832E-2</v>
      </c>
      <c r="X18" s="19">
        <f t="shared" si="9"/>
        <v>0.82721261618885578</v>
      </c>
      <c r="Y18" s="19">
        <f t="shared" si="10"/>
        <v>0.16066195163833824</v>
      </c>
      <c r="Z18" s="77" t="str">
        <f>+SELECCIONADO!AA21</f>
        <v>-</v>
      </c>
      <c r="AA18" s="19"/>
    </row>
    <row r="19" spans="1:27" x14ac:dyDescent="0.25">
      <c r="A19" s="28" t="str">
        <f>+SELECCIONADO!C15</f>
        <v>Guiyang</v>
      </c>
      <c r="B19" s="64" t="str">
        <f>+SELECCIONADO!D15</f>
        <v>Medium City</v>
      </c>
      <c r="C19" s="64" t="str">
        <f>+SELECCIONADO!A15</f>
        <v>China</v>
      </c>
      <c r="D19" s="67">
        <f>+SELECCIONADO!E15</f>
        <v>4621800</v>
      </c>
      <c r="E19" s="67">
        <f>+SELECCIONADO!F15</f>
        <v>1230</v>
      </c>
      <c r="F19" s="68">
        <f>+SELECCIONADO!G15</f>
        <v>3757.560975609756</v>
      </c>
      <c r="G19" s="69">
        <f>+SELECCIONADO!K15</f>
        <v>41.196800000000003</v>
      </c>
      <c r="H19" s="70">
        <f>+SELECCIONADO!L15</f>
        <v>3.3493333333333335</v>
      </c>
      <c r="I19" s="27">
        <f>+SELECCIONADO!U15</f>
        <v>2</v>
      </c>
      <c r="J19" s="60">
        <f>+SELECCIONADO!V15</f>
        <v>-0.431251</v>
      </c>
      <c r="K19" s="15">
        <f t="shared" si="0"/>
        <v>-0.86250199999999999</v>
      </c>
      <c r="L19" s="14">
        <f t="shared" si="1"/>
        <v>0</v>
      </c>
      <c r="M19" s="14">
        <f t="shared" si="2"/>
        <v>0</v>
      </c>
      <c r="N19" s="26">
        <f>+SELECCIONADO!W15</f>
        <v>3</v>
      </c>
      <c r="O19" s="60">
        <f>+SELECCIONADO!X15</f>
        <v>-0.21254899999999999</v>
      </c>
      <c r="P19" s="13">
        <f t="shared" si="3"/>
        <v>-0.63764699999999996</v>
      </c>
      <c r="Q19" s="14">
        <f t="shared" si="4"/>
        <v>0.27400517550487224</v>
      </c>
      <c r="R19" s="14">
        <f t="shared" si="5"/>
        <v>0.1249907315288504</v>
      </c>
      <c r="S19" s="26">
        <f>+SELECCIONADO!Y15</f>
        <v>2</v>
      </c>
      <c r="T19" s="60">
        <f>+SELECCIONADO!Z15</f>
        <v>-0.65237699999999998</v>
      </c>
      <c r="U19" s="12">
        <f t="shared" si="6"/>
        <v>-1.304754</v>
      </c>
      <c r="V19" s="14">
        <f t="shared" si="7"/>
        <v>0</v>
      </c>
      <c r="W19" s="14">
        <f t="shared" si="8"/>
        <v>0</v>
      </c>
      <c r="X19" s="19">
        <f t="shared" si="9"/>
        <v>0.27400517550487224</v>
      </c>
      <c r="Y19" s="19">
        <f t="shared" si="10"/>
        <v>0.1249907315288504</v>
      </c>
      <c r="Z19" s="77">
        <f>+SELECCIONADO!AA15</f>
        <v>8</v>
      </c>
      <c r="AA19" s="19"/>
    </row>
    <row r="20" spans="1:27" x14ac:dyDescent="0.25">
      <c r="A20" s="28" t="str">
        <f>+SELECCIONADO!C24</f>
        <v>Belo Horizonte</v>
      </c>
      <c r="B20" s="64" t="str">
        <f>+SELECCIONADO!D24</f>
        <v>Large City</v>
      </c>
      <c r="C20" s="64" t="str">
        <f>+SELECCIONADO!A24</f>
        <v>Brazil</v>
      </c>
      <c r="D20" s="67">
        <f>+SELECCIONADO!E24</f>
        <v>5609654</v>
      </c>
      <c r="E20" s="67">
        <f>+SELECCIONADO!F24</f>
        <v>603</v>
      </c>
      <c r="F20" s="68">
        <f>+SELECCIONADO!G24</f>
        <v>9302.9087893864016</v>
      </c>
      <c r="G20" s="69">
        <f>+SELECCIONADO!K24</f>
        <v>9.5456000000000003</v>
      </c>
      <c r="H20" s="70">
        <f>+SELECCIONADO!L24</f>
        <v>1.5830182421227197</v>
      </c>
      <c r="I20" s="27">
        <f>+SELECCIONADO!U24</f>
        <v>2</v>
      </c>
      <c r="J20" s="60">
        <f>+SELECCIONADO!V24</f>
        <v>-0.431251</v>
      </c>
      <c r="K20" s="15">
        <f t="shared" si="0"/>
        <v>-0.86250199999999999</v>
      </c>
      <c r="L20" s="14">
        <f t="shared" si="1"/>
        <v>0</v>
      </c>
      <c r="M20" s="14">
        <f t="shared" si="2"/>
        <v>0</v>
      </c>
      <c r="N20" s="26">
        <f>+SELECCIONADO!W24</f>
        <v>3</v>
      </c>
      <c r="O20" s="60">
        <f>+SELECCIONADO!X24</f>
        <v>-0.21254899999999999</v>
      </c>
      <c r="P20" s="13">
        <f t="shared" si="3"/>
        <v>-0.63764699999999996</v>
      </c>
      <c r="Q20" s="14">
        <f t="shared" si="4"/>
        <v>0.27400517550487224</v>
      </c>
      <c r="R20" s="14">
        <f t="shared" si="5"/>
        <v>0.1249907315288504</v>
      </c>
      <c r="S20" s="26">
        <f>+SELECCIONADO!Y24</f>
        <v>3</v>
      </c>
      <c r="T20" s="60">
        <f>+SELECCIONADO!Z24</f>
        <v>0.248617</v>
      </c>
      <c r="U20" s="12">
        <f t="shared" si="6"/>
        <v>0.74585100000000004</v>
      </c>
      <c r="V20" s="14">
        <f t="shared" si="7"/>
        <v>0.55320744068398353</v>
      </c>
      <c r="W20" s="14">
        <f t="shared" si="8"/>
        <v>3.5671220109487832E-2</v>
      </c>
      <c r="X20" s="19">
        <f t="shared" si="9"/>
        <v>0.82721261618885578</v>
      </c>
      <c r="Y20" s="19">
        <f t="shared" si="10"/>
        <v>0.16066195163833824</v>
      </c>
      <c r="Z20" s="77" t="str">
        <f>+SELECCIONADO!AA24</f>
        <v>-</v>
      </c>
      <c r="AA20" s="19"/>
    </row>
    <row r="21" spans="1:27" x14ac:dyDescent="0.25">
      <c r="A21" s="28" t="str">
        <f>+SELECCIONADO!C23</f>
        <v>Santiago</v>
      </c>
      <c r="B21" s="64" t="str">
        <f>+SELECCIONADO!D23</f>
        <v>Large City</v>
      </c>
      <c r="C21" s="64" t="str">
        <f>+SELECCIONADO!A23</f>
        <v>Chile</v>
      </c>
      <c r="D21" s="67">
        <f>+SELECCIONADO!E23</f>
        <v>5842259</v>
      </c>
      <c r="E21" s="67">
        <f>+SELECCIONADO!F23</f>
        <v>662</v>
      </c>
      <c r="F21" s="68">
        <f>+SELECCIONADO!G23</f>
        <v>8825</v>
      </c>
      <c r="G21" s="69">
        <f>+SELECCIONADO!K23</f>
        <v>71.843199999999996</v>
      </c>
      <c r="H21" s="70">
        <f>+SELECCIONADO!L23</f>
        <v>10.852447129909365</v>
      </c>
      <c r="I21" s="27">
        <f>+SELECCIONADO!U23</f>
        <v>3</v>
      </c>
      <c r="J21" s="60">
        <f>+SELECCIONADO!V23</f>
        <v>1.8482479999999999</v>
      </c>
      <c r="K21" s="15">
        <f t="shared" si="0"/>
        <v>5.5447439999999997</v>
      </c>
      <c r="L21" s="14">
        <f t="shared" si="1"/>
        <v>1</v>
      </c>
      <c r="M21" s="14">
        <f t="shared" si="2"/>
        <v>0.47935733239203782</v>
      </c>
      <c r="N21" s="26">
        <f>+SELECCIONADO!W23</f>
        <v>1</v>
      </c>
      <c r="O21" s="60">
        <f>+SELECCIONADO!X23</f>
        <v>1.7588140000000001</v>
      </c>
      <c r="P21" s="13">
        <f t="shared" si="3"/>
        <v>1.7588140000000001</v>
      </c>
      <c r="Q21" s="14">
        <f t="shared" si="4"/>
        <v>1</v>
      </c>
      <c r="R21" s="14">
        <f t="shared" si="5"/>
        <v>0.45616193671724231</v>
      </c>
      <c r="S21" s="26">
        <f>+SELECCIONADO!Y23</f>
        <v>1</v>
      </c>
      <c r="T21" s="60">
        <f>+SELECCIONADO!Z23</f>
        <v>2.402002</v>
      </c>
      <c r="U21" s="12">
        <f t="shared" si="6"/>
        <v>2.402002</v>
      </c>
      <c r="V21" s="14">
        <f t="shared" si="7"/>
        <v>1</v>
      </c>
      <c r="W21" s="14">
        <f t="shared" si="8"/>
        <v>6.4480730890719901E-2</v>
      </c>
      <c r="X21" s="19">
        <f t="shared" si="9"/>
        <v>3</v>
      </c>
      <c r="Y21" s="19">
        <f t="shared" si="10"/>
        <v>1</v>
      </c>
      <c r="Z21" s="77" t="str">
        <f>+SELECCIONADO!AA23</f>
        <v>-</v>
      </c>
      <c r="AA21" s="19"/>
    </row>
    <row r="22" spans="1:27" x14ac:dyDescent="0.25">
      <c r="A22" s="28" t="str">
        <f>+SELECCIONADO!C6</f>
        <v>Jinan</v>
      </c>
      <c r="B22" s="64" t="str">
        <f>+SELECCIONADO!D6</f>
        <v>Large City</v>
      </c>
      <c r="C22" s="64" t="str">
        <f>+SELECCIONADO!A6</f>
        <v>China</v>
      </c>
      <c r="D22" s="67">
        <f>+SELECCIONADO!E6</f>
        <v>6257300</v>
      </c>
      <c r="E22" s="67">
        <f>+SELECCIONADO!F6</f>
        <v>7998</v>
      </c>
      <c r="F22" s="68">
        <f>+SELECCIONADO!G6</f>
        <v>782.35808952238062</v>
      </c>
      <c r="G22" s="69">
        <f>+SELECCIONADO!K6</f>
        <v>20.096</v>
      </c>
      <c r="H22" s="70">
        <f>+SELECCIONADO!L6</f>
        <v>0.251262815703926</v>
      </c>
      <c r="I22" s="27">
        <f>+SELECCIONADO!U6</f>
        <v>2</v>
      </c>
      <c r="J22" s="60">
        <f>+SELECCIONADO!V6</f>
        <v>-0.431251</v>
      </c>
      <c r="K22" s="15">
        <f t="shared" si="0"/>
        <v>-0.86250199999999999</v>
      </c>
      <c r="L22" s="14">
        <f t="shared" si="1"/>
        <v>0</v>
      </c>
      <c r="M22" s="14">
        <f t="shared" si="2"/>
        <v>0</v>
      </c>
      <c r="N22" s="26">
        <f>+SELECCIONADO!W6</f>
        <v>2</v>
      </c>
      <c r="O22" s="60">
        <f>+SELECCIONADO!X6</f>
        <v>-0.77105999999999997</v>
      </c>
      <c r="P22" s="13">
        <f t="shared" si="3"/>
        <v>-1.5421199999999999</v>
      </c>
      <c r="Q22" s="14">
        <f t="shared" si="4"/>
        <v>0</v>
      </c>
      <c r="R22" s="14">
        <f t="shared" si="5"/>
        <v>0</v>
      </c>
      <c r="S22" s="26">
        <f>+SELECCIONADO!Y6</f>
        <v>2</v>
      </c>
      <c r="T22" s="60">
        <f>+SELECCIONADO!Z6</f>
        <v>-0.65237699999999998</v>
      </c>
      <c r="U22" s="12">
        <f t="shared" si="6"/>
        <v>-1.304754</v>
      </c>
      <c r="V22" s="14">
        <f t="shared" si="7"/>
        <v>0</v>
      </c>
      <c r="W22" s="14">
        <f t="shared" si="8"/>
        <v>0</v>
      </c>
      <c r="X22" s="19">
        <f t="shared" si="9"/>
        <v>0</v>
      </c>
      <c r="Y22" s="19">
        <f t="shared" si="10"/>
        <v>0</v>
      </c>
      <c r="Z22" s="77">
        <f>+SELECCIONADO!AA6</f>
        <v>10</v>
      </c>
      <c r="AA22" s="19"/>
    </row>
    <row r="23" spans="1:27" x14ac:dyDescent="0.25">
      <c r="A23" s="28" t="str">
        <f>+SELECCIONADO!C5</f>
        <v>Changsha</v>
      </c>
      <c r="B23" s="64" t="str">
        <f>+SELECCIONADO!D5</f>
        <v>Large City</v>
      </c>
      <c r="C23" s="64" t="str">
        <f>+SELECCIONADO!A5</f>
        <v>China</v>
      </c>
      <c r="D23" s="67">
        <f>+SELECCIONADO!E5</f>
        <v>7431799.9999999991</v>
      </c>
      <c r="E23" s="67">
        <f>+SELECCIONADO!F5</f>
        <v>11816</v>
      </c>
      <c r="F23" s="68">
        <f>+SELECCIONADO!G5</f>
        <v>628.96073121191591</v>
      </c>
      <c r="G23" s="69">
        <f>+SELECCIONADO!K5</f>
        <v>79.379199999999997</v>
      </c>
      <c r="H23" s="70">
        <f>+SELECCIONADO!L5</f>
        <v>0.67179417738659442</v>
      </c>
      <c r="I23" s="27">
        <f>+SELECCIONADO!U5</f>
        <v>2</v>
      </c>
      <c r="J23" s="60">
        <f>+SELECCIONADO!V5</f>
        <v>-0.431251</v>
      </c>
      <c r="K23" s="15">
        <f t="shared" si="0"/>
        <v>-0.86250199999999999</v>
      </c>
      <c r="L23" s="14">
        <f t="shared" si="1"/>
        <v>0</v>
      </c>
      <c r="M23" s="14">
        <f t="shared" si="2"/>
        <v>0</v>
      </c>
      <c r="N23" s="26">
        <f>+SELECCIONADO!W5</f>
        <v>2</v>
      </c>
      <c r="O23" s="60">
        <f>+SELECCIONADO!X5</f>
        <v>-0.77105999999999997</v>
      </c>
      <c r="P23" s="13">
        <f t="shared" si="3"/>
        <v>-1.5421199999999999</v>
      </c>
      <c r="Q23" s="14">
        <f t="shared" si="4"/>
        <v>0</v>
      </c>
      <c r="R23" s="14">
        <f t="shared" si="5"/>
        <v>0</v>
      </c>
      <c r="S23" s="26">
        <f>+SELECCIONADO!Y5</f>
        <v>2</v>
      </c>
      <c r="T23" s="60">
        <f>+SELECCIONADO!Z5</f>
        <v>-0.65237699999999998</v>
      </c>
      <c r="U23" s="12">
        <f t="shared" si="6"/>
        <v>-1.304754</v>
      </c>
      <c r="V23" s="14">
        <f t="shared" si="7"/>
        <v>0</v>
      </c>
      <c r="W23" s="14">
        <f t="shared" si="8"/>
        <v>0</v>
      </c>
      <c r="X23" s="19">
        <f t="shared" si="9"/>
        <v>0</v>
      </c>
      <c r="Y23" s="19">
        <f t="shared" si="10"/>
        <v>0</v>
      </c>
      <c r="Z23" s="77">
        <f>+SELECCIONADO!AA5</f>
        <v>10</v>
      </c>
      <c r="AA23" s="19"/>
    </row>
    <row r="24" spans="1:27" x14ac:dyDescent="0.25">
      <c r="A24" s="28" t="str">
        <f>+SELECCIONADO!C8</f>
        <v>Xian</v>
      </c>
      <c r="B24" s="64" t="str">
        <f>+SELECCIONADO!D8</f>
        <v>Large City</v>
      </c>
      <c r="C24" s="64" t="str">
        <f>+SELECCIONADO!A8</f>
        <v>China</v>
      </c>
      <c r="D24" s="67">
        <f>+SELECCIONADO!E8</f>
        <v>8156600</v>
      </c>
      <c r="E24" s="67">
        <f>+SELECCIONADO!F8</f>
        <v>10097</v>
      </c>
      <c r="F24" s="68">
        <f>+SELECCIONADO!G8</f>
        <v>807.82410617014955</v>
      </c>
      <c r="G24" s="69">
        <f>+SELECCIONADO!K8</f>
        <v>106.50879999999999</v>
      </c>
      <c r="H24" s="70">
        <f>+SELECCIONADO!L8</f>
        <v>1.0548558977914231</v>
      </c>
      <c r="I24" s="27">
        <f>+SELECCIONADO!U8</f>
        <v>2</v>
      </c>
      <c r="J24" s="60">
        <f>+SELECCIONADO!V8</f>
        <v>-0.431251</v>
      </c>
      <c r="K24" s="15">
        <f t="shared" si="0"/>
        <v>-0.86250199999999999</v>
      </c>
      <c r="L24" s="14">
        <f t="shared" si="1"/>
        <v>0</v>
      </c>
      <c r="M24" s="14">
        <f t="shared" si="2"/>
        <v>0</v>
      </c>
      <c r="N24" s="26">
        <f>+SELECCIONADO!W8</f>
        <v>2</v>
      </c>
      <c r="O24" s="60">
        <f>+SELECCIONADO!X8</f>
        <v>-0.77105999999999997</v>
      </c>
      <c r="P24" s="13">
        <f t="shared" si="3"/>
        <v>-1.5421199999999999</v>
      </c>
      <c r="Q24" s="14">
        <f t="shared" si="4"/>
        <v>0</v>
      </c>
      <c r="R24" s="14">
        <f t="shared" si="5"/>
        <v>0</v>
      </c>
      <c r="S24" s="26">
        <f>+SELECCIONADO!Y8</f>
        <v>2</v>
      </c>
      <c r="T24" s="60">
        <f>+SELECCIONADO!Z8</f>
        <v>-0.65237699999999998</v>
      </c>
      <c r="U24" s="12">
        <f t="shared" si="6"/>
        <v>-1.304754</v>
      </c>
      <c r="V24" s="14">
        <f t="shared" si="7"/>
        <v>0</v>
      </c>
      <c r="W24" s="14">
        <f t="shared" si="8"/>
        <v>0</v>
      </c>
      <c r="X24" s="19">
        <f t="shared" si="9"/>
        <v>0</v>
      </c>
      <c r="Y24" s="19">
        <f t="shared" si="10"/>
        <v>0</v>
      </c>
      <c r="Z24" s="77">
        <f>+SELECCIONADO!AA8</f>
        <v>10</v>
      </c>
      <c r="AA24" s="19"/>
    </row>
    <row r="25" spans="1:27" x14ac:dyDescent="0.25">
      <c r="A25" s="28" t="str">
        <f>+SELECCIONADO!C30</f>
        <v>Lima</v>
      </c>
      <c r="B25" s="64" t="str">
        <f>+SELECCIONADO!D30</f>
        <v>Large City</v>
      </c>
      <c r="C25" s="64" t="str">
        <f>+SELECCIONADO!A30</f>
        <v>Perú</v>
      </c>
      <c r="D25" s="67">
        <f>+SELECCIONADO!E30</f>
        <v>9752000</v>
      </c>
      <c r="E25" s="67">
        <f>+SELECCIONADO!F30</f>
        <v>798.6</v>
      </c>
      <c r="F25" s="68">
        <f>+SELECCIONADO!G30</f>
        <v>12211</v>
      </c>
      <c r="G25" s="69">
        <f>+SELECCIONADO!K30</f>
        <v>26.627199999999998</v>
      </c>
      <c r="H25" s="70">
        <f>+SELECCIONADO!L30</f>
        <v>3.3342349110944149</v>
      </c>
      <c r="I25" s="27">
        <f>+SELECCIONADO!U30</f>
        <v>2</v>
      </c>
      <c r="J25" s="60">
        <f>+SELECCIONADO!V30</f>
        <v>-0.431251</v>
      </c>
      <c r="K25" s="15">
        <f t="shared" si="0"/>
        <v>-0.86250199999999999</v>
      </c>
      <c r="L25" s="14">
        <f t="shared" si="1"/>
        <v>0</v>
      </c>
      <c r="M25" s="14">
        <f t="shared" si="2"/>
        <v>0</v>
      </c>
      <c r="N25" s="26">
        <f>+SELECCIONADO!W30</f>
        <v>3</v>
      </c>
      <c r="O25" s="60">
        <f>+SELECCIONADO!X30</f>
        <v>-0.21254899999999999</v>
      </c>
      <c r="P25" s="13">
        <f t="shared" si="3"/>
        <v>-0.63764699999999996</v>
      </c>
      <c r="Q25" s="14">
        <f t="shared" si="4"/>
        <v>0.27400517550487224</v>
      </c>
      <c r="R25" s="14">
        <f t="shared" si="5"/>
        <v>0.1249907315288504</v>
      </c>
      <c r="S25" s="26">
        <f>+SELECCIONADO!Y30</f>
        <v>3</v>
      </c>
      <c r="T25" s="60">
        <f>+SELECCIONADO!Z30</f>
        <v>0.248617</v>
      </c>
      <c r="U25" s="12">
        <f t="shared" si="6"/>
        <v>0.74585100000000004</v>
      </c>
      <c r="V25" s="14">
        <f t="shared" si="7"/>
        <v>0.55320744068398353</v>
      </c>
      <c r="W25" s="14">
        <f t="shared" si="8"/>
        <v>3.5671220109487832E-2</v>
      </c>
      <c r="X25" s="19">
        <f t="shared" si="9"/>
        <v>0.82721261618885578</v>
      </c>
      <c r="Y25" s="19">
        <f t="shared" si="10"/>
        <v>0.16066195163833824</v>
      </c>
      <c r="Z25" s="77" t="str">
        <f>+SELECCIONADO!AA30</f>
        <v>-</v>
      </c>
      <c r="AA25" s="19"/>
    </row>
    <row r="26" spans="1:27" x14ac:dyDescent="0.25">
      <c r="A26" s="28" t="str">
        <f>+SELECCIONADO!C31</f>
        <v>Rio de Janeiro</v>
      </c>
      <c r="B26" s="64" t="str">
        <f>+SELECCIONADO!D31</f>
        <v>Mega city</v>
      </c>
      <c r="C26" s="64" t="str">
        <f>+SELECCIONADO!A31</f>
        <v>Brazil</v>
      </c>
      <c r="D26" s="67">
        <f>+SELECCIONADO!E31</f>
        <v>12156624</v>
      </c>
      <c r="E26" s="67">
        <f>+SELECCIONADO!F31</f>
        <v>900</v>
      </c>
      <c r="F26" s="68">
        <f>+SELECCIONADO!G31</f>
        <v>13507.36</v>
      </c>
      <c r="G26" s="69">
        <f>+SELECCIONADO!K31</f>
        <v>20.598400000000002</v>
      </c>
      <c r="H26" s="70">
        <f>+SELECCIONADO!L31</f>
        <v>2.2887111111111111</v>
      </c>
      <c r="I26" s="27">
        <f>+SELECCIONADO!U31</f>
        <v>1</v>
      </c>
      <c r="J26" s="60">
        <f>+SELECCIONADO!V31</f>
        <v>-0.130935</v>
      </c>
      <c r="K26" s="15">
        <f t="shared" si="0"/>
        <v>-0.130935</v>
      </c>
      <c r="L26" s="14">
        <f t="shared" si="1"/>
        <v>0.11417807276324336</v>
      </c>
      <c r="M26" s="14">
        <f t="shared" si="2"/>
        <v>5.4732096377452327E-2</v>
      </c>
      <c r="N26" s="26">
        <f>+SELECCIONADO!W31</f>
        <v>3</v>
      </c>
      <c r="O26" s="60">
        <f>+SELECCIONADO!X31</f>
        <v>-0.21254899999999999</v>
      </c>
      <c r="P26" s="13">
        <f t="shared" si="3"/>
        <v>-0.63764699999999996</v>
      </c>
      <c r="Q26" s="14">
        <f t="shared" si="4"/>
        <v>0.27400517550487224</v>
      </c>
      <c r="R26" s="14">
        <f t="shared" si="5"/>
        <v>0.1249907315288504</v>
      </c>
      <c r="S26" s="26">
        <f>+SELECCIONADO!Y31</f>
        <v>3</v>
      </c>
      <c r="T26" s="60">
        <f>+SELECCIONADO!Z31</f>
        <v>0.248617</v>
      </c>
      <c r="U26" s="12">
        <f t="shared" si="6"/>
        <v>0.74585100000000004</v>
      </c>
      <c r="V26" s="14">
        <f t="shared" si="7"/>
        <v>0.55320744068398353</v>
      </c>
      <c r="W26" s="14">
        <f t="shared" si="8"/>
        <v>3.5671220109487832E-2</v>
      </c>
      <c r="X26" s="19">
        <f t="shared" si="9"/>
        <v>0.9413906889520991</v>
      </c>
      <c r="Y26" s="19">
        <f t="shared" si="10"/>
        <v>0.21539404801579057</v>
      </c>
      <c r="Z26" s="77" t="str">
        <f>+SELECCIONADO!AA31</f>
        <v>-</v>
      </c>
      <c r="AA26" s="19"/>
    </row>
    <row r="27" spans="1:27" x14ac:dyDescent="0.25">
      <c r="A27" s="28" t="str">
        <f>+SELECCIONADO!C11</f>
        <v>Tianjin</v>
      </c>
      <c r="B27" s="64" t="str">
        <f>+SELECCIONADO!D11</f>
        <v>Mega city</v>
      </c>
      <c r="C27" s="64" t="str">
        <f>+SELECCIONADO!A11</f>
        <v>China</v>
      </c>
      <c r="D27" s="67">
        <f>+SELECCIONADO!E11</f>
        <v>14390000</v>
      </c>
      <c r="E27" s="67">
        <f>+SELECCIONADO!F11</f>
        <v>11917</v>
      </c>
      <c r="F27" s="68">
        <f>+SELECCIONADO!G11</f>
        <v>1207.5186708064109</v>
      </c>
      <c r="G27" s="69">
        <f>+SELECCIONADO!K11</f>
        <v>109.5232</v>
      </c>
      <c r="H27" s="70">
        <f>+SELECCIONADO!L11</f>
        <v>0.91905009650079716</v>
      </c>
      <c r="I27" s="27">
        <f>+SELECCIONADO!U11</f>
        <v>1</v>
      </c>
      <c r="J27" s="60">
        <f>+SELECCIONADO!V11</f>
        <v>-0.130935</v>
      </c>
      <c r="K27" s="15">
        <f t="shared" si="0"/>
        <v>-0.130935</v>
      </c>
      <c r="L27" s="14">
        <f t="shared" si="1"/>
        <v>0.11417807276324336</v>
      </c>
      <c r="M27" s="14">
        <f t="shared" si="2"/>
        <v>5.4732096377452327E-2</v>
      </c>
      <c r="N27" s="26">
        <f>+SELECCIONADO!W11</f>
        <v>2</v>
      </c>
      <c r="O27" s="60">
        <f>+SELECCIONADO!X11</f>
        <v>-0.77105999999999997</v>
      </c>
      <c r="P27" s="13">
        <f t="shared" si="3"/>
        <v>-1.5421199999999999</v>
      </c>
      <c r="Q27" s="14">
        <f t="shared" si="4"/>
        <v>0</v>
      </c>
      <c r="R27" s="14">
        <f t="shared" si="5"/>
        <v>0</v>
      </c>
      <c r="S27" s="26">
        <f>+SELECCIONADO!Y11</f>
        <v>2</v>
      </c>
      <c r="T27" s="60">
        <f>+SELECCIONADO!Z11</f>
        <v>-0.65237699999999998</v>
      </c>
      <c r="U27" s="12">
        <f t="shared" si="6"/>
        <v>-1.304754</v>
      </c>
      <c r="V27" s="14">
        <f t="shared" si="7"/>
        <v>0</v>
      </c>
      <c r="W27" s="14">
        <f t="shared" si="8"/>
        <v>0</v>
      </c>
      <c r="X27" s="19">
        <f t="shared" si="9"/>
        <v>0.11417807276324336</v>
      </c>
      <c r="Y27" s="19">
        <f t="shared" si="10"/>
        <v>5.4732096377452327E-2</v>
      </c>
      <c r="Z27" s="77">
        <f>+SELECCIONADO!AA11</f>
        <v>17</v>
      </c>
      <c r="AA27" s="19"/>
    </row>
    <row r="28" spans="1:27" x14ac:dyDescent="0.25">
      <c r="A28" s="28" t="str">
        <f>+SELECCIONADO!C12</f>
        <v>Chengdu</v>
      </c>
      <c r="B28" s="64" t="str">
        <f>+SELECCIONADO!D12</f>
        <v>Mega city</v>
      </c>
      <c r="C28" s="64" t="str">
        <f>+SELECCIONADO!A12</f>
        <v>China</v>
      </c>
      <c r="D28" s="67">
        <f>+SELECCIONADO!E12</f>
        <v>14657500</v>
      </c>
      <c r="E28" s="67">
        <f>+SELECCIONADO!F12</f>
        <v>12121</v>
      </c>
      <c r="F28" s="68">
        <f>+SELECCIONADO!G12</f>
        <v>1209.2649121359623</v>
      </c>
      <c r="G28" s="69">
        <f>+SELECCIONADO!K12</f>
        <v>187.39519999999999</v>
      </c>
      <c r="H28" s="70">
        <f>+SELECCIONADO!L12</f>
        <v>1.5460374556554739</v>
      </c>
      <c r="I28" s="27">
        <f>+SELECCIONADO!U12</f>
        <v>1</v>
      </c>
      <c r="J28" s="60">
        <f>+SELECCIONADO!V12</f>
        <v>-0.130935</v>
      </c>
      <c r="K28" s="15">
        <f t="shared" si="0"/>
        <v>-0.130935</v>
      </c>
      <c r="L28" s="14">
        <f t="shared" si="1"/>
        <v>0.11417807276324336</v>
      </c>
      <c r="M28" s="14">
        <f t="shared" si="2"/>
        <v>5.4732096377452327E-2</v>
      </c>
      <c r="N28" s="26">
        <f>+SELECCIONADO!W12</f>
        <v>2</v>
      </c>
      <c r="O28" s="60">
        <f>+SELECCIONADO!X12</f>
        <v>-0.77105999999999997</v>
      </c>
      <c r="P28" s="13">
        <f t="shared" si="3"/>
        <v>-1.5421199999999999</v>
      </c>
      <c r="Q28" s="14">
        <f t="shared" si="4"/>
        <v>0</v>
      </c>
      <c r="R28" s="14">
        <f t="shared" si="5"/>
        <v>0</v>
      </c>
      <c r="S28" s="26">
        <f>+SELECCIONADO!Y12</f>
        <v>2</v>
      </c>
      <c r="T28" s="60">
        <f>+SELECCIONADO!Z12</f>
        <v>-0.65237699999999998</v>
      </c>
      <c r="U28" s="12">
        <f t="shared" si="6"/>
        <v>-1.304754</v>
      </c>
      <c r="V28" s="14">
        <f t="shared" si="7"/>
        <v>0</v>
      </c>
      <c r="W28" s="14">
        <f t="shared" si="8"/>
        <v>0</v>
      </c>
      <c r="X28" s="19">
        <f t="shared" si="9"/>
        <v>0.11417807276324336</v>
      </c>
      <c r="Y28" s="19">
        <f t="shared" si="10"/>
        <v>5.4732096377452327E-2</v>
      </c>
      <c r="Z28" s="77">
        <f>+SELECCIONADO!AA12</f>
        <v>14</v>
      </c>
      <c r="AA28" s="19"/>
    </row>
    <row r="29" spans="1:27" x14ac:dyDescent="0.25">
      <c r="A29" s="28" t="str">
        <f>+SELECCIONADO!C17</f>
        <v>Buenos Aires</v>
      </c>
      <c r="B29" s="64" t="str">
        <f>+SELECCIONADO!D17</f>
        <v>Mega city</v>
      </c>
      <c r="C29" s="64" t="str">
        <f>+SELECCIONADO!A17</f>
        <v>Argentina</v>
      </c>
      <c r="D29" s="67">
        <f>+SELECCIONADO!E17</f>
        <v>15769937.907311</v>
      </c>
      <c r="E29" s="67">
        <f>+SELECCIONADO!F17</f>
        <v>3883</v>
      </c>
      <c r="F29" s="68">
        <f>+SELECCIONADO!G17</f>
        <v>4061.2768239276334</v>
      </c>
      <c r="G29" s="69">
        <f>+SELECCIONADO!K17</f>
        <v>54.2592</v>
      </c>
      <c r="H29" s="70">
        <f>+SELECCIONADO!L17</f>
        <v>1.3973525624517127</v>
      </c>
      <c r="I29" s="27">
        <f>+SELECCIONADO!U17</f>
        <v>1</v>
      </c>
      <c r="J29" s="60">
        <f>+SELECCIONADO!V17</f>
        <v>-0.130935</v>
      </c>
      <c r="K29" s="15">
        <f t="shared" si="0"/>
        <v>-0.130935</v>
      </c>
      <c r="L29" s="14">
        <f t="shared" si="1"/>
        <v>0.11417807276324336</v>
      </c>
      <c r="M29" s="14">
        <f t="shared" si="2"/>
        <v>5.4732096377452327E-2</v>
      </c>
      <c r="N29" s="26">
        <f>+SELECCIONADO!W17</f>
        <v>3</v>
      </c>
      <c r="O29" s="60">
        <f>+SELECCIONADO!X17</f>
        <v>-0.21254899999999999</v>
      </c>
      <c r="P29" s="13">
        <f t="shared" si="3"/>
        <v>-0.63764699999999996</v>
      </c>
      <c r="Q29" s="14">
        <f t="shared" si="4"/>
        <v>0.27400517550487224</v>
      </c>
      <c r="R29" s="14">
        <f t="shared" si="5"/>
        <v>0.1249907315288504</v>
      </c>
      <c r="S29" s="26">
        <f>+SELECCIONADO!Y17</f>
        <v>2</v>
      </c>
      <c r="T29" s="60">
        <f>+SELECCIONADO!Z17</f>
        <v>-0.65237699999999998</v>
      </c>
      <c r="U29" s="12">
        <f t="shared" si="6"/>
        <v>-1.304754</v>
      </c>
      <c r="V29" s="14">
        <f t="shared" si="7"/>
        <v>0</v>
      </c>
      <c r="W29" s="14">
        <f t="shared" si="8"/>
        <v>0</v>
      </c>
      <c r="X29" s="19">
        <f t="shared" si="9"/>
        <v>0.38818324826811562</v>
      </c>
      <c r="Y29" s="19">
        <f t="shared" si="10"/>
        <v>0.17972282790630273</v>
      </c>
      <c r="Z29" s="77" t="str">
        <f>+SELECCIONADO!AA17</f>
        <v>-</v>
      </c>
      <c r="AA29" s="19"/>
    </row>
    <row r="30" spans="1:27" x14ac:dyDescent="0.25">
      <c r="A30" s="28" t="str">
        <f>+SELECCIONADO!C22</f>
        <v>Ciudad de Mexico</v>
      </c>
      <c r="B30" s="64" t="str">
        <f>+SELECCIONADO!D22</f>
        <v>Mega city</v>
      </c>
      <c r="C30" s="64" t="str">
        <f>+SELECCIONADO!A22</f>
        <v>México</v>
      </c>
      <c r="D30" s="67">
        <f>+SELECCIONADO!E22</f>
        <v>20392950</v>
      </c>
      <c r="E30" s="67">
        <f>+SELECCIONADO!F22</f>
        <v>2608.5744249999998</v>
      </c>
      <c r="F30" s="68">
        <f>+SELECCIONADO!G22</f>
        <v>7817.6607899542687</v>
      </c>
      <c r="G30" s="69">
        <f>+SELECCIONADO!K22</f>
        <v>97.968000000000004</v>
      </c>
      <c r="H30" s="70">
        <f>+SELECCIONADO!L22</f>
        <v>3.7556145249718154</v>
      </c>
      <c r="I30" s="27">
        <f>+SELECCIONADO!U22</f>
        <v>1</v>
      </c>
      <c r="J30" s="60">
        <f>+SELECCIONADO!V22</f>
        <v>-0.130935</v>
      </c>
      <c r="K30" s="15">
        <f t="shared" si="0"/>
        <v>-0.130935</v>
      </c>
      <c r="L30" s="14">
        <f t="shared" si="1"/>
        <v>0.11417807276324336</v>
      </c>
      <c r="M30" s="14">
        <f t="shared" si="2"/>
        <v>5.4732096377452327E-2</v>
      </c>
      <c r="N30" s="26">
        <f>+SELECCIONADO!W22</f>
        <v>3</v>
      </c>
      <c r="O30" s="60">
        <f>+SELECCIONADO!X22</f>
        <v>-0.21254899999999999</v>
      </c>
      <c r="P30" s="13">
        <f t="shared" si="3"/>
        <v>-0.63764699999999996</v>
      </c>
      <c r="Q30" s="14">
        <f t="shared" si="4"/>
        <v>0.27400517550487224</v>
      </c>
      <c r="R30" s="14">
        <f t="shared" si="5"/>
        <v>0.1249907315288504</v>
      </c>
      <c r="S30" s="26">
        <f>+SELECCIONADO!Y22</f>
        <v>3</v>
      </c>
      <c r="T30" s="60">
        <f>+SELECCIONADO!Z22</f>
        <v>0.248617</v>
      </c>
      <c r="U30" s="12">
        <f t="shared" si="6"/>
        <v>0.74585100000000004</v>
      </c>
      <c r="V30" s="14">
        <f t="shared" si="7"/>
        <v>0.55320744068398353</v>
      </c>
      <c r="W30" s="14">
        <f t="shared" si="8"/>
        <v>3.5671220109487832E-2</v>
      </c>
      <c r="X30" s="19">
        <f t="shared" si="9"/>
        <v>0.9413906889520991</v>
      </c>
      <c r="Y30" s="19">
        <f t="shared" si="10"/>
        <v>0.21539404801579057</v>
      </c>
      <c r="Z30" s="77" t="str">
        <f>+SELECCIONADO!AA22</f>
        <v>-</v>
      </c>
      <c r="AA30" s="19"/>
    </row>
    <row r="31" spans="1:27" x14ac:dyDescent="0.25">
      <c r="A31" s="28" t="str">
        <f>+SELECCIONADO!C25</f>
        <v>Sao Paulo</v>
      </c>
      <c r="B31" s="64" t="str">
        <f>+SELECCIONADO!D25</f>
        <v>Mega city</v>
      </c>
      <c r="C31" s="64" t="str">
        <f>+SELECCIONADO!A25</f>
        <v>Brazil</v>
      </c>
      <c r="D31" s="67">
        <f>+SELECCIONADO!E25</f>
        <v>20935204</v>
      </c>
      <c r="E31" s="67">
        <f>+SELECCIONADO!F25</f>
        <v>2209</v>
      </c>
      <c r="F31" s="68">
        <f>+SELECCIONADO!G25</f>
        <v>9477.2313263920332</v>
      </c>
      <c r="G31" s="69">
        <f>+SELECCIONADO!K25</f>
        <v>44.7136</v>
      </c>
      <c r="H31" s="70">
        <f>+SELECCIONADO!L25</f>
        <v>2.02415572657311</v>
      </c>
      <c r="I31" s="27">
        <f>+SELECCIONADO!U25</f>
        <v>1</v>
      </c>
      <c r="J31" s="60">
        <f>+SELECCIONADO!V25</f>
        <v>-0.130935</v>
      </c>
      <c r="K31" s="15">
        <f t="shared" si="0"/>
        <v>-0.130935</v>
      </c>
      <c r="L31" s="14">
        <f t="shared" si="1"/>
        <v>0.11417807276324336</v>
      </c>
      <c r="M31" s="14">
        <f t="shared" si="2"/>
        <v>5.4732096377452327E-2</v>
      </c>
      <c r="N31" s="26">
        <f>+SELECCIONADO!W25</f>
        <v>3</v>
      </c>
      <c r="O31" s="60">
        <f>+SELECCIONADO!X25</f>
        <v>-0.21254899999999999</v>
      </c>
      <c r="P31" s="13">
        <f t="shared" si="3"/>
        <v>-0.63764699999999996</v>
      </c>
      <c r="Q31" s="14">
        <f t="shared" si="4"/>
        <v>0.27400517550487224</v>
      </c>
      <c r="R31" s="14">
        <f t="shared" si="5"/>
        <v>0.1249907315288504</v>
      </c>
      <c r="S31" s="26">
        <f>+SELECCIONADO!Y25</f>
        <v>3</v>
      </c>
      <c r="T31" s="60">
        <f>+SELECCIONADO!Z25</f>
        <v>0.248617</v>
      </c>
      <c r="U31" s="12">
        <f t="shared" si="6"/>
        <v>0.74585100000000004</v>
      </c>
      <c r="V31" s="14">
        <f t="shared" si="7"/>
        <v>0.55320744068398353</v>
      </c>
      <c r="W31" s="14">
        <f t="shared" si="8"/>
        <v>3.5671220109487832E-2</v>
      </c>
      <c r="X31" s="19">
        <f t="shared" si="9"/>
        <v>0.9413906889520991</v>
      </c>
      <c r="Y31" s="19">
        <f t="shared" si="10"/>
        <v>0.21539404801579057</v>
      </c>
      <c r="Z31" s="77" t="str">
        <f>+SELECCIONADO!AA25</f>
        <v>-</v>
      </c>
      <c r="AA31" s="19"/>
    </row>
    <row r="32" spans="1:27" x14ac:dyDescent="0.25">
      <c r="A32" s="28" t="str">
        <f>+SELECCIONADO!C14</f>
        <v>Beijing</v>
      </c>
      <c r="B32" s="64" t="str">
        <f>+SELECCIONADO!D14</f>
        <v>Mega city</v>
      </c>
      <c r="C32" s="64" t="str">
        <f>+SELECCIONADO!A14</f>
        <v>China</v>
      </c>
      <c r="D32" s="67">
        <f>+SELECCIONADO!E14</f>
        <v>21883000</v>
      </c>
      <c r="E32" s="67">
        <f>+SELECCIONADO!F14</f>
        <v>16410</v>
      </c>
      <c r="F32" s="68">
        <f>+SELECCIONADO!G14</f>
        <v>1333.5161486898232</v>
      </c>
      <c r="G32" s="69">
        <f>+SELECCIONADO!K14</f>
        <v>246.17599999999999</v>
      </c>
      <c r="H32" s="70">
        <f>+SELECCIONADO!L14</f>
        <v>1.5001584399756245</v>
      </c>
      <c r="I32" s="27">
        <f>+SELECCIONADO!U14</f>
        <v>1</v>
      </c>
      <c r="J32" s="60">
        <f>+SELECCIONADO!V14</f>
        <v>-0.130935</v>
      </c>
      <c r="K32" s="15">
        <f t="shared" si="0"/>
        <v>-0.130935</v>
      </c>
      <c r="L32" s="14">
        <f t="shared" si="1"/>
        <v>0.11417807276324336</v>
      </c>
      <c r="M32" s="14">
        <f t="shared" si="2"/>
        <v>5.4732096377452327E-2</v>
      </c>
      <c r="N32" s="26">
        <f>+SELECCIONADO!W14</f>
        <v>2</v>
      </c>
      <c r="O32" s="60">
        <f>+SELECCIONADO!X14</f>
        <v>-0.77105999999999997</v>
      </c>
      <c r="P32" s="13">
        <f t="shared" si="3"/>
        <v>-1.5421199999999999</v>
      </c>
      <c r="Q32" s="14">
        <f t="shared" si="4"/>
        <v>0</v>
      </c>
      <c r="R32" s="14">
        <f t="shared" si="5"/>
        <v>0</v>
      </c>
      <c r="S32" s="26">
        <f>+SELECCIONADO!Y14</f>
        <v>2</v>
      </c>
      <c r="T32" s="60">
        <f>+SELECCIONADO!Z14</f>
        <v>-0.65237699999999998</v>
      </c>
      <c r="U32" s="12">
        <f t="shared" si="6"/>
        <v>-1.304754</v>
      </c>
      <c r="V32" s="14">
        <f t="shared" si="7"/>
        <v>0</v>
      </c>
      <c r="W32" s="14">
        <f t="shared" si="8"/>
        <v>0</v>
      </c>
      <c r="X32" s="19">
        <f t="shared" si="9"/>
        <v>0.11417807276324336</v>
      </c>
      <c r="Y32" s="19">
        <f t="shared" si="10"/>
        <v>5.4732096377452327E-2</v>
      </c>
      <c r="Z32" s="77">
        <f>+SELECCIONADO!AA14</f>
        <v>30</v>
      </c>
      <c r="AA32" s="19"/>
    </row>
    <row r="33" spans="1:30" x14ac:dyDescent="0.25">
      <c r="A33" s="28" t="str">
        <f>+SELECCIONADO!C16</f>
        <v>Shanghai</v>
      </c>
      <c r="B33" s="64" t="str">
        <f>+SELECCIONADO!D16</f>
        <v>Mega city</v>
      </c>
      <c r="C33" s="64" t="str">
        <f>+SELECCIONADO!A16</f>
        <v>China</v>
      </c>
      <c r="D33" s="67">
        <f>+SELECCIONADO!E16</f>
        <v>24152700</v>
      </c>
      <c r="E33" s="67">
        <f>+SELECCIONADO!F16</f>
        <v>6341</v>
      </c>
      <c r="F33" s="68">
        <f>+SELECCIONADO!G16</f>
        <v>3808.9733480523578</v>
      </c>
      <c r="G33" s="69">
        <f>+SELECCIONADO!K16</f>
        <v>254.21440000000001</v>
      </c>
      <c r="H33" s="70">
        <f>+SELECCIONADO!L16</f>
        <v>4.0090585081217478</v>
      </c>
      <c r="I33" s="27">
        <f>+SELECCIONADO!U16</f>
        <v>1</v>
      </c>
      <c r="J33" s="60">
        <f>+SELECCIONADO!V16</f>
        <v>-0.130935</v>
      </c>
      <c r="K33" s="15">
        <f t="shared" si="0"/>
        <v>-0.130935</v>
      </c>
      <c r="L33" s="14">
        <f t="shared" si="1"/>
        <v>0.11417807276324336</v>
      </c>
      <c r="M33" s="14">
        <f t="shared" si="2"/>
        <v>5.4732096377452327E-2</v>
      </c>
      <c r="N33" s="26">
        <f>+SELECCIONADO!W16</f>
        <v>1</v>
      </c>
      <c r="O33" s="60">
        <f>+SELECCIONADO!X16</f>
        <v>1.7588140000000001</v>
      </c>
      <c r="P33" s="13">
        <f t="shared" si="3"/>
        <v>1.7588140000000001</v>
      </c>
      <c r="Q33" s="14">
        <f t="shared" si="4"/>
        <v>1</v>
      </c>
      <c r="R33" s="14">
        <f t="shared" si="5"/>
        <v>0.45616193671724231</v>
      </c>
      <c r="S33" s="26">
        <f>+SELECCIONADO!Y16</f>
        <v>3</v>
      </c>
      <c r="T33" s="60">
        <f>+SELECCIONADO!Z16</f>
        <v>0.248617</v>
      </c>
      <c r="U33" s="12">
        <f t="shared" si="6"/>
        <v>0.74585100000000004</v>
      </c>
      <c r="V33" s="14">
        <f t="shared" si="7"/>
        <v>0.55320744068398353</v>
      </c>
      <c r="W33" s="14">
        <f t="shared" si="8"/>
        <v>3.5671220109487832E-2</v>
      </c>
      <c r="X33" s="19">
        <f t="shared" si="9"/>
        <v>1.6673855134472269</v>
      </c>
      <c r="Y33" s="19">
        <f t="shared" si="10"/>
        <v>0.54656525320418248</v>
      </c>
      <c r="Z33" s="77">
        <f>+SELECCIONADO!AA16</f>
        <v>18</v>
      </c>
      <c r="AA33" s="19"/>
    </row>
    <row r="34" spans="1:30" x14ac:dyDescent="0.25">
      <c r="K34" s="20"/>
      <c r="L34" s="61">
        <f>+MAX(K2:K33)</f>
        <v>5.5447439999999997</v>
      </c>
      <c r="M34" s="16"/>
      <c r="P34" s="20"/>
      <c r="Q34" s="16">
        <f>+MAX(P2:P33)</f>
        <v>1.7588140000000001</v>
      </c>
      <c r="R34" s="14"/>
      <c r="U34" s="20"/>
      <c r="V34" s="16">
        <f>+MAX(U2:U33)</f>
        <v>2.402002</v>
      </c>
      <c r="W34" s="16"/>
    </row>
    <row r="35" spans="1:30" x14ac:dyDescent="0.25">
      <c r="G35" s="70"/>
      <c r="L35" s="61">
        <f>+MIN(K2:K33)</f>
        <v>-0.86250199999999999</v>
      </c>
      <c r="M35" s="16"/>
      <c r="Q35" s="16">
        <f>+MIN(P2:P33)</f>
        <v>-1.5421199999999999</v>
      </c>
      <c r="R35" s="16"/>
      <c r="V35" s="16">
        <f>+MIN(U2:U33)</f>
        <v>-1.304754</v>
      </c>
      <c r="W35" s="16"/>
    </row>
    <row r="36" spans="1:30" x14ac:dyDescent="0.25">
      <c r="G36" s="70"/>
    </row>
    <row r="37" spans="1:30" x14ac:dyDescent="0.25">
      <c r="G37" s="70"/>
      <c r="AB37" s="9"/>
      <c r="AC37" s="9"/>
      <c r="AD37" s="9"/>
    </row>
    <row r="38" spans="1:30" x14ac:dyDescent="0.25">
      <c r="G38" s="70"/>
      <c r="AB38" s="23" t="s">
        <v>130</v>
      </c>
      <c r="AC38" s="23" t="s">
        <v>129</v>
      </c>
      <c r="AD38" s="24" t="s">
        <v>45</v>
      </c>
    </row>
    <row r="39" spans="1:30" x14ac:dyDescent="0.25">
      <c r="G39" s="70"/>
      <c r="AB39" s="21" t="s">
        <v>119</v>
      </c>
      <c r="AC39" s="22">
        <f>+J2</f>
        <v>1.8482479999999999</v>
      </c>
      <c r="AD39" s="25">
        <f>+AC39/SUM($AC$39:$AC$41)</f>
        <v>0.47935733239203782</v>
      </c>
    </row>
    <row r="40" spans="1:30" x14ac:dyDescent="0.25">
      <c r="G40" s="70"/>
      <c r="AB40" s="21" t="s">
        <v>120</v>
      </c>
      <c r="AC40" s="62">
        <f>+O2</f>
        <v>1.7588140000000001</v>
      </c>
      <c r="AD40" s="25">
        <f>+AC40/SUM($AC$39:$AC$41)</f>
        <v>0.45616193671724231</v>
      </c>
    </row>
    <row r="41" spans="1:30" x14ac:dyDescent="0.25">
      <c r="G41" s="70"/>
      <c r="AB41" s="21" t="s">
        <v>121</v>
      </c>
      <c r="AC41" s="63">
        <f>+T2</f>
        <v>0.248617</v>
      </c>
      <c r="AD41" s="25">
        <f>+AC41/SUM($AC$39:$AC$41)</f>
        <v>6.4480730890719901E-2</v>
      </c>
    </row>
    <row r="42" spans="1:30" x14ac:dyDescent="0.25">
      <c r="G42" s="70"/>
    </row>
    <row r="43" spans="1:30" x14ac:dyDescent="0.25">
      <c r="G43" s="70"/>
    </row>
    <row r="44" spans="1:30" x14ac:dyDescent="0.25">
      <c r="G44" s="70"/>
    </row>
    <row r="45" spans="1:30" x14ac:dyDescent="0.25">
      <c r="G45" s="70"/>
    </row>
    <row r="46" spans="1:30" x14ac:dyDescent="0.25">
      <c r="G46" s="70"/>
    </row>
    <row r="47" spans="1:30" x14ac:dyDescent="0.25">
      <c r="G47" s="70"/>
    </row>
    <row r="48" spans="1:30" x14ac:dyDescent="0.25">
      <c r="G48" s="70"/>
    </row>
    <row r="49" spans="7:9" x14ac:dyDescent="0.25">
      <c r="G49" s="70"/>
    </row>
    <row r="50" spans="7:9" x14ac:dyDescent="0.25">
      <c r="G50" s="70"/>
    </row>
    <row r="51" spans="7:9" x14ac:dyDescent="0.25">
      <c r="G51" s="70"/>
    </row>
    <row r="52" spans="7:9" x14ac:dyDescent="0.25">
      <c r="G52" s="70"/>
    </row>
    <row r="53" spans="7:9" x14ac:dyDescent="0.25">
      <c r="G53" s="70"/>
    </row>
    <row r="54" spans="7:9" x14ac:dyDescent="0.25">
      <c r="G54" s="70"/>
    </row>
    <row r="55" spans="7:9" x14ac:dyDescent="0.25">
      <c r="G55" s="70"/>
    </row>
    <row r="56" spans="7:9" x14ac:dyDescent="0.25">
      <c r="G56" s="70"/>
    </row>
    <row r="57" spans="7:9" x14ac:dyDescent="0.25">
      <c r="G57" s="70"/>
    </row>
    <row r="58" spans="7:9" x14ac:dyDescent="0.25">
      <c r="G58" s="70"/>
    </row>
    <row r="59" spans="7:9" x14ac:dyDescent="0.25">
      <c r="G59" s="70"/>
    </row>
    <row r="60" spans="7:9" x14ac:dyDescent="0.25">
      <c r="G60" s="70"/>
    </row>
    <row r="61" spans="7:9" x14ac:dyDescent="0.25">
      <c r="G61" s="70"/>
    </row>
    <row r="62" spans="7:9" x14ac:dyDescent="0.25">
      <c r="G62" s="70"/>
      <c r="I62" s="1">
        <f>19*100/32</f>
        <v>59.375</v>
      </c>
    </row>
    <row r="63" spans="7:9" x14ac:dyDescent="0.25">
      <c r="G63" s="70"/>
    </row>
    <row r="64" spans="7:9" x14ac:dyDescent="0.25">
      <c r="G64" s="70"/>
    </row>
    <row r="65" spans="7:7" x14ac:dyDescent="0.25">
      <c r="G65" s="70"/>
    </row>
  </sheetData>
  <autoFilter ref="A1:Z33" xr:uid="{6AC118EB-8157-4FAD-A1F1-6520401FF323}">
    <sortState xmlns:xlrd2="http://schemas.microsoft.com/office/spreadsheetml/2017/richdata2" ref="A2:Z52">
      <sortCondition descending="1" ref="Z1:Z33"/>
    </sortState>
  </autoFilter>
  <sortState xmlns:xlrd2="http://schemas.microsoft.com/office/spreadsheetml/2017/richdata2" ref="A2:Z65">
    <sortCondition ref="D1:D65"/>
  </sortState>
  <conditionalFormatting sqref="J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top10" dxfId="8" priority="208" bottom="1" rank="3"/>
    <cfRule type="top10" dxfId="7" priority="209" rank="3"/>
  </conditionalFormatting>
  <conditionalFormatting sqref="O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3">
    <cfRule type="top10" dxfId="6" priority="212" bottom="1" rank="3"/>
    <cfRule type="top10" dxfId="5" priority="213" rank="3"/>
  </conditionalFormatting>
  <conditionalFormatting sqref="P2:P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3">
    <cfRule type="top10" dxfId="4" priority="216" bottom="1" rank="3"/>
    <cfRule type="top10" dxfId="3" priority="217" rank="3"/>
  </conditionalFormatting>
  <conditionalFormatting sqref="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Y1048576 X1:X3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" priority="224" rank="9"/>
  </conditionalFormatting>
  <conditionalFormatting sqref="Y2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3" rank="9"/>
  </conditionalFormatting>
  <conditionalFormatting sqref="Z2:Z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3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21" rank="9"/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2665-37B8-48B5-9EAE-B4BE080001E0}">
  <dimension ref="A1:R33"/>
  <sheetViews>
    <sheetView tabSelected="1" workbookViewId="0">
      <selection activeCell="C17" sqref="C17"/>
    </sheetView>
  </sheetViews>
  <sheetFormatPr defaultRowHeight="13.2" x14ac:dyDescent="0.25"/>
  <cols>
    <col min="1" max="1" width="7.6640625" style="81" bestFit="1" customWidth="1"/>
    <col min="2" max="3" width="22.21875" customWidth="1"/>
    <col min="4" max="4" width="15.6640625" customWidth="1"/>
    <col min="5" max="5" width="10.44140625" bestFit="1" customWidth="1"/>
    <col min="7" max="7" width="7.6640625" bestFit="1" customWidth="1"/>
    <col min="8" max="9" width="22.33203125" customWidth="1"/>
    <col min="10" max="10" width="15.77734375" customWidth="1"/>
    <col min="11" max="11" width="13.21875" customWidth="1"/>
    <col min="15" max="15" width="11" bestFit="1" customWidth="1"/>
    <col min="16" max="16" width="16.33203125" customWidth="1"/>
  </cols>
  <sheetData>
    <row r="1" spans="1:17" x14ac:dyDescent="0.25">
      <c r="A1" s="87" t="s">
        <v>135</v>
      </c>
      <c r="B1" s="87" t="s">
        <v>134</v>
      </c>
      <c r="C1" s="87" t="s">
        <v>69</v>
      </c>
      <c r="D1" s="87" t="s">
        <v>119</v>
      </c>
      <c r="E1" s="87" t="s">
        <v>136</v>
      </c>
      <c r="G1" s="87" t="s">
        <v>135</v>
      </c>
      <c r="H1" s="87" t="s">
        <v>134</v>
      </c>
      <c r="I1" s="87" t="s">
        <v>69</v>
      </c>
      <c r="J1" s="87" t="s">
        <v>138</v>
      </c>
      <c r="K1" s="87" t="s">
        <v>136</v>
      </c>
      <c r="M1" s="87" t="s">
        <v>135</v>
      </c>
      <c r="N1" s="87" t="s">
        <v>134</v>
      </c>
      <c r="O1" s="87" t="s">
        <v>69</v>
      </c>
      <c r="P1" s="87" t="s">
        <v>121</v>
      </c>
      <c r="Q1" s="87" t="s">
        <v>136</v>
      </c>
    </row>
    <row r="2" spans="1:17" x14ac:dyDescent="0.25">
      <c r="A2" s="82">
        <v>1</v>
      </c>
      <c r="B2" t="s">
        <v>34</v>
      </c>
      <c r="C2" s="89" t="s">
        <v>70</v>
      </c>
      <c r="D2" s="94">
        <v>1771384</v>
      </c>
      <c r="E2" s="83">
        <v>0.47935733239203782</v>
      </c>
      <c r="G2" s="82">
        <v>1</v>
      </c>
      <c r="H2" t="s">
        <v>104</v>
      </c>
      <c r="I2" t="s">
        <v>70</v>
      </c>
      <c r="J2" s="89">
        <v>172.65299999999999</v>
      </c>
      <c r="K2" s="100">
        <v>0.29269350434610114</v>
      </c>
      <c r="M2" s="80">
        <v>1</v>
      </c>
      <c r="N2" s="84" t="s">
        <v>60</v>
      </c>
      <c r="O2" s="84" t="s">
        <v>70</v>
      </c>
      <c r="P2" s="90">
        <v>193.52335364084712</v>
      </c>
      <c r="Q2" s="101">
        <v>0</v>
      </c>
    </row>
    <row r="3" spans="1:17" x14ac:dyDescent="0.25">
      <c r="A3" s="88">
        <v>2</v>
      </c>
      <c r="B3" s="84" t="s">
        <v>59</v>
      </c>
      <c r="C3" s="89" t="s">
        <v>70</v>
      </c>
      <c r="D3" s="94">
        <v>1950100</v>
      </c>
      <c r="E3" s="85">
        <v>0</v>
      </c>
      <c r="G3" s="82">
        <v>2</v>
      </c>
      <c r="H3" t="s">
        <v>32</v>
      </c>
      <c r="I3" t="s">
        <v>70</v>
      </c>
      <c r="J3" s="89">
        <v>251.01</v>
      </c>
      <c r="K3" s="100">
        <v>0.29269350434610114</v>
      </c>
      <c r="M3" s="80">
        <v>2</v>
      </c>
      <c r="N3" s="84" t="s">
        <v>55</v>
      </c>
      <c r="O3" s="84" t="s">
        <v>70</v>
      </c>
      <c r="P3" s="90">
        <v>212.39427629129207</v>
      </c>
      <c r="Q3" s="101">
        <v>0</v>
      </c>
    </row>
    <row r="4" spans="1:17" x14ac:dyDescent="0.25">
      <c r="A4" s="88">
        <v>3</v>
      </c>
      <c r="B4" s="84" t="s">
        <v>52</v>
      </c>
      <c r="C4" s="89" t="s">
        <v>70</v>
      </c>
      <c r="D4" s="94">
        <v>2111500</v>
      </c>
      <c r="E4" s="85">
        <v>0</v>
      </c>
      <c r="G4" s="82">
        <v>3</v>
      </c>
      <c r="H4" t="s">
        <v>31</v>
      </c>
      <c r="I4" t="s">
        <v>70</v>
      </c>
      <c r="J4" s="89">
        <v>260.63</v>
      </c>
      <c r="K4" s="100">
        <v>0.29269350434610114</v>
      </c>
      <c r="M4" s="80">
        <v>3</v>
      </c>
      <c r="N4" s="84" t="s">
        <v>54</v>
      </c>
      <c r="O4" s="84" t="s">
        <v>70</v>
      </c>
      <c r="P4" s="90">
        <v>535.22164512622294</v>
      </c>
      <c r="Q4" s="101">
        <v>0</v>
      </c>
    </row>
    <row r="5" spans="1:17" x14ac:dyDescent="0.25">
      <c r="A5" s="88">
        <v>4</v>
      </c>
      <c r="B5" s="84" t="s">
        <v>33</v>
      </c>
      <c r="C5" s="89" t="s">
        <v>70</v>
      </c>
      <c r="D5" s="94">
        <v>2239191</v>
      </c>
      <c r="E5" s="85">
        <v>0</v>
      </c>
      <c r="G5" s="82">
        <v>4</v>
      </c>
      <c r="H5" t="s">
        <v>34</v>
      </c>
      <c r="I5" t="s">
        <v>70</v>
      </c>
      <c r="J5" s="89">
        <v>287</v>
      </c>
      <c r="K5" s="100">
        <v>0.29269350434610114</v>
      </c>
      <c r="M5" s="80">
        <v>4</v>
      </c>
      <c r="N5" s="84" t="s">
        <v>57</v>
      </c>
      <c r="O5" s="84" t="s">
        <v>71</v>
      </c>
      <c r="P5" s="90">
        <v>628.96073121191591</v>
      </c>
      <c r="Q5" s="101">
        <v>0</v>
      </c>
    </row>
    <row r="6" spans="1:17" x14ac:dyDescent="0.25">
      <c r="A6" s="88">
        <v>5</v>
      </c>
      <c r="B6" s="84" t="s">
        <v>60</v>
      </c>
      <c r="C6" s="89" t="s">
        <v>70</v>
      </c>
      <c r="D6" s="94">
        <v>2668300</v>
      </c>
      <c r="E6" s="85">
        <v>0</v>
      </c>
      <c r="G6" s="82">
        <v>5</v>
      </c>
      <c r="H6" t="s">
        <v>56</v>
      </c>
      <c r="I6" t="s">
        <v>70</v>
      </c>
      <c r="J6" s="89">
        <v>332.14</v>
      </c>
      <c r="K6" s="83">
        <v>8.0199535027489527E-2</v>
      </c>
      <c r="M6" s="80">
        <v>5</v>
      </c>
      <c r="N6" s="84" t="s">
        <v>53</v>
      </c>
      <c r="O6" s="84" t="s">
        <v>71</v>
      </c>
      <c r="P6" s="90">
        <v>782.35808952238062</v>
      </c>
      <c r="Q6" s="101">
        <v>0</v>
      </c>
    </row>
    <row r="7" spans="1:17" x14ac:dyDescent="0.25">
      <c r="A7" s="82">
        <v>6</v>
      </c>
      <c r="B7" t="s">
        <v>32</v>
      </c>
      <c r="C7" s="89" t="s">
        <v>70</v>
      </c>
      <c r="D7" s="94">
        <v>2852372</v>
      </c>
      <c r="E7" s="83">
        <v>0.47935733239203782</v>
      </c>
      <c r="G7" s="82">
        <v>6</v>
      </c>
      <c r="H7" t="s">
        <v>33</v>
      </c>
      <c r="I7" t="s">
        <v>70</v>
      </c>
      <c r="J7" s="89">
        <v>372.39</v>
      </c>
      <c r="K7" s="83">
        <v>8.0199535027489527E-2</v>
      </c>
      <c r="M7" s="80">
        <v>6</v>
      </c>
      <c r="N7" s="84" t="s">
        <v>59</v>
      </c>
      <c r="O7" s="84" t="s">
        <v>70</v>
      </c>
      <c r="P7" s="90">
        <v>792.72357723577238</v>
      </c>
      <c r="Q7" s="101">
        <v>0</v>
      </c>
    </row>
    <row r="8" spans="1:17" x14ac:dyDescent="0.25">
      <c r="A8" s="82">
        <v>7</v>
      </c>
      <c r="B8" t="s">
        <v>104</v>
      </c>
      <c r="C8" s="89" t="s">
        <v>70</v>
      </c>
      <c r="D8" s="94">
        <v>3383258</v>
      </c>
      <c r="E8" s="83">
        <v>0.47935733239203782</v>
      </c>
      <c r="G8" s="82">
        <v>7</v>
      </c>
      <c r="H8" t="s">
        <v>30</v>
      </c>
      <c r="I8" t="s">
        <v>70</v>
      </c>
      <c r="J8" s="89">
        <v>384.43686323588486</v>
      </c>
      <c r="K8" s="83">
        <v>8.0199535027489527E-2</v>
      </c>
      <c r="M8" s="80">
        <v>7</v>
      </c>
      <c r="N8" s="84" t="s">
        <v>48</v>
      </c>
      <c r="O8" s="84" t="s">
        <v>71</v>
      </c>
      <c r="P8" s="90">
        <v>807.82410617014955</v>
      </c>
      <c r="Q8" s="101">
        <v>0</v>
      </c>
    </row>
    <row r="9" spans="1:17" x14ac:dyDescent="0.25">
      <c r="A9" s="82">
        <v>8</v>
      </c>
      <c r="B9" t="s">
        <v>31</v>
      </c>
      <c r="C9" s="89" t="s">
        <v>70</v>
      </c>
      <c r="D9" s="94">
        <v>3611087</v>
      </c>
      <c r="E9" s="83">
        <v>0.47935733239203782</v>
      </c>
      <c r="G9" s="82">
        <v>8</v>
      </c>
      <c r="H9" t="s">
        <v>105</v>
      </c>
      <c r="I9" t="s">
        <v>70</v>
      </c>
      <c r="J9" s="89">
        <v>433.98</v>
      </c>
      <c r="K9" s="83">
        <v>8.0199535027489527E-2</v>
      </c>
      <c r="M9" s="80">
        <v>8</v>
      </c>
      <c r="N9" s="84" t="s">
        <v>51</v>
      </c>
      <c r="O9" s="84" t="s">
        <v>70</v>
      </c>
      <c r="P9" s="90">
        <v>848.23879231473006</v>
      </c>
      <c r="Q9" s="86">
        <v>0</v>
      </c>
    </row>
    <row r="10" spans="1:17" x14ac:dyDescent="0.25">
      <c r="A10" s="88">
        <v>9</v>
      </c>
      <c r="B10" s="84" t="s">
        <v>56</v>
      </c>
      <c r="C10" s="89" t="s">
        <v>70</v>
      </c>
      <c r="D10" s="94">
        <v>3693100</v>
      </c>
      <c r="E10" s="85">
        <v>0</v>
      </c>
      <c r="G10" s="82">
        <v>9</v>
      </c>
      <c r="H10" t="s">
        <v>28</v>
      </c>
      <c r="I10" t="s">
        <v>71</v>
      </c>
      <c r="J10" s="89">
        <v>603</v>
      </c>
      <c r="K10" s="83">
        <v>8.0199535027489527E-2</v>
      </c>
      <c r="M10" s="80">
        <v>9</v>
      </c>
      <c r="N10" s="84" t="s">
        <v>58</v>
      </c>
      <c r="O10" s="84" t="s">
        <v>70</v>
      </c>
      <c r="P10" s="91">
        <v>1023.6703528172723</v>
      </c>
      <c r="Q10" s="86">
        <v>0</v>
      </c>
    </row>
    <row r="11" spans="1:17" x14ac:dyDescent="0.25">
      <c r="A11" s="88">
        <v>10</v>
      </c>
      <c r="B11" s="84" t="s">
        <v>51</v>
      </c>
      <c r="C11" s="89" t="s">
        <v>70</v>
      </c>
      <c r="D11" s="94">
        <v>3708500</v>
      </c>
      <c r="E11" s="85">
        <v>0</v>
      </c>
      <c r="G11" s="82">
        <v>10</v>
      </c>
      <c r="H11" t="s">
        <v>27</v>
      </c>
      <c r="I11" t="s">
        <v>71</v>
      </c>
      <c r="J11" s="89">
        <v>662</v>
      </c>
      <c r="K11" s="100">
        <v>0.29269350434610114</v>
      </c>
      <c r="M11" s="80">
        <v>10</v>
      </c>
      <c r="N11" s="84" t="s">
        <v>50</v>
      </c>
      <c r="O11" s="84" t="s">
        <v>72</v>
      </c>
      <c r="P11" s="91">
        <v>1207.5186708064109</v>
      </c>
      <c r="Q11" s="86">
        <v>0</v>
      </c>
    </row>
    <row r="12" spans="1:17" x14ac:dyDescent="0.25">
      <c r="A12" s="88">
        <v>11</v>
      </c>
      <c r="B12" s="84" t="s">
        <v>0</v>
      </c>
      <c r="C12" s="89" t="s">
        <v>70</v>
      </c>
      <c r="D12" s="94">
        <v>3887261</v>
      </c>
      <c r="E12" s="85">
        <v>0</v>
      </c>
      <c r="G12" s="82">
        <v>11</v>
      </c>
      <c r="H12" t="s">
        <v>29</v>
      </c>
      <c r="I12" t="s">
        <v>70</v>
      </c>
      <c r="J12" s="89">
        <v>692.524</v>
      </c>
      <c r="K12" s="83">
        <v>8.0199535027489527E-2</v>
      </c>
      <c r="M12" s="80">
        <v>11</v>
      </c>
      <c r="N12" s="84" t="s">
        <v>49</v>
      </c>
      <c r="O12" s="84" t="s">
        <v>72</v>
      </c>
      <c r="P12" s="91">
        <v>1209.2649121359623</v>
      </c>
      <c r="Q12" s="86">
        <v>0</v>
      </c>
    </row>
    <row r="13" spans="1:17" x14ac:dyDescent="0.25">
      <c r="A13" s="88">
        <v>12</v>
      </c>
      <c r="B13" s="84" t="s">
        <v>58</v>
      </c>
      <c r="C13" s="89" t="s">
        <v>70</v>
      </c>
      <c r="D13" s="94">
        <v>3887900</v>
      </c>
      <c r="E13" s="85">
        <v>0</v>
      </c>
      <c r="G13" s="82">
        <v>12</v>
      </c>
      <c r="H13" t="s">
        <v>26</v>
      </c>
      <c r="I13" t="s">
        <v>71</v>
      </c>
      <c r="J13" s="89">
        <v>798.6</v>
      </c>
      <c r="K13" s="83">
        <v>8.0199535027489527E-2</v>
      </c>
      <c r="M13" s="80">
        <v>12</v>
      </c>
      <c r="N13" s="84" t="s">
        <v>52</v>
      </c>
      <c r="O13" s="84" t="s">
        <v>70</v>
      </c>
      <c r="P13" s="91">
        <v>1242.789876397881</v>
      </c>
      <c r="Q13" s="86">
        <v>0</v>
      </c>
    </row>
    <row r="14" spans="1:17" x14ac:dyDescent="0.25">
      <c r="A14" s="88">
        <v>13</v>
      </c>
      <c r="B14" s="84" t="s">
        <v>55</v>
      </c>
      <c r="C14" s="89" t="s">
        <v>70</v>
      </c>
      <c r="D14" s="94">
        <v>3992799.9999999995</v>
      </c>
      <c r="E14" s="85">
        <v>0</v>
      </c>
      <c r="G14" s="82">
        <v>13</v>
      </c>
      <c r="H14" t="s">
        <v>0</v>
      </c>
      <c r="I14" t="s">
        <v>70</v>
      </c>
      <c r="J14" s="89">
        <v>841.23999999996545</v>
      </c>
      <c r="K14" s="83">
        <v>8.0199535027489527E-2</v>
      </c>
      <c r="M14" s="80">
        <v>13</v>
      </c>
      <c r="N14" s="84" t="s">
        <v>35</v>
      </c>
      <c r="O14" s="84" t="s">
        <v>72</v>
      </c>
      <c r="P14" s="91">
        <v>1333.5161486898232</v>
      </c>
      <c r="Q14" s="86">
        <v>0</v>
      </c>
    </row>
    <row r="15" spans="1:17" x14ac:dyDescent="0.25">
      <c r="A15" s="88">
        <v>14</v>
      </c>
      <c r="B15" s="84" t="s">
        <v>30</v>
      </c>
      <c r="C15" s="89" t="s">
        <v>70</v>
      </c>
      <c r="D15" s="94">
        <v>4016371</v>
      </c>
      <c r="E15" s="85">
        <v>0</v>
      </c>
      <c r="G15" s="82">
        <v>14</v>
      </c>
      <c r="H15" t="s">
        <v>25</v>
      </c>
      <c r="I15" t="s">
        <v>72</v>
      </c>
      <c r="J15" s="89">
        <v>900</v>
      </c>
      <c r="K15" s="83">
        <v>8.0199535027489527E-2</v>
      </c>
      <c r="M15" s="80">
        <v>14</v>
      </c>
      <c r="N15" s="84" t="s">
        <v>36</v>
      </c>
      <c r="O15" s="84" t="s">
        <v>70</v>
      </c>
      <c r="P15" s="91">
        <v>3757.560975609756</v>
      </c>
      <c r="Q15" s="86">
        <v>0</v>
      </c>
    </row>
    <row r="16" spans="1:17" x14ac:dyDescent="0.25">
      <c r="A16" s="88">
        <v>15</v>
      </c>
      <c r="B16" s="84" t="s">
        <v>105</v>
      </c>
      <c r="C16" s="89" t="s">
        <v>70</v>
      </c>
      <c r="D16" s="94">
        <v>4161237</v>
      </c>
      <c r="E16" s="85">
        <v>0</v>
      </c>
      <c r="G16" s="82">
        <v>15</v>
      </c>
      <c r="H16" t="s">
        <v>36</v>
      </c>
      <c r="I16" t="s">
        <v>70</v>
      </c>
      <c r="J16" s="98">
        <v>1230</v>
      </c>
      <c r="K16" s="83">
        <v>8.0199535027489527E-2</v>
      </c>
      <c r="M16" s="80">
        <v>15</v>
      </c>
      <c r="N16" t="s">
        <v>47</v>
      </c>
      <c r="O16" t="s">
        <v>72</v>
      </c>
      <c r="P16" s="91">
        <v>3808.9733480523578</v>
      </c>
      <c r="Q16" s="86">
        <v>0.19458788245305686</v>
      </c>
    </row>
    <row r="17" spans="1:18" x14ac:dyDescent="0.25">
      <c r="A17" s="88">
        <v>16</v>
      </c>
      <c r="B17" s="84" t="s">
        <v>54</v>
      </c>
      <c r="C17" s="89" t="s">
        <v>70</v>
      </c>
      <c r="D17" s="94">
        <v>4431100</v>
      </c>
      <c r="E17" s="85">
        <v>0</v>
      </c>
      <c r="G17" s="82">
        <v>16</v>
      </c>
      <c r="H17" t="s">
        <v>52</v>
      </c>
      <c r="I17" t="s">
        <v>70</v>
      </c>
      <c r="J17" s="98">
        <v>1699</v>
      </c>
      <c r="K17" s="83">
        <v>8.0199535027489527E-2</v>
      </c>
      <c r="M17" s="80">
        <v>16</v>
      </c>
      <c r="N17" s="84" t="s">
        <v>24</v>
      </c>
      <c r="O17" s="84" t="s">
        <v>72</v>
      </c>
      <c r="P17" s="91">
        <v>4061.2768239276334</v>
      </c>
      <c r="Q17" s="86">
        <v>0</v>
      </c>
    </row>
    <row r="18" spans="1:18" x14ac:dyDescent="0.25">
      <c r="A18" s="88">
        <v>17</v>
      </c>
      <c r="B18" s="84" t="s">
        <v>29</v>
      </c>
      <c r="C18" s="89" t="s">
        <v>70</v>
      </c>
      <c r="D18" s="94">
        <v>4515531</v>
      </c>
      <c r="E18" s="85">
        <v>0</v>
      </c>
      <c r="G18" s="82">
        <v>17</v>
      </c>
      <c r="H18" t="s">
        <v>23</v>
      </c>
      <c r="I18" t="s">
        <v>72</v>
      </c>
      <c r="J18" s="98">
        <v>2209</v>
      </c>
      <c r="K18" s="83">
        <v>8.0199535027489527E-2</v>
      </c>
      <c r="M18" s="80">
        <v>17</v>
      </c>
      <c r="N18" s="84" t="s">
        <v>0</v>
      </c>
      <c r="O18" s="84" t="s">
        <v>70</v>
      </c>
      <c r="P18" s="91">
        <v>4620.8703818175072</v>
      </c>
      <c r="Q18" s="86">
        <v>0</v>
      </c>
    </row>
    <row r="19" spans="1:18" x14ac:dyDescent="0.25">
      <c r="A19" s="88">
        <v>18</v>
      </c>
      <c r="B19" s="84" t="s">
        <v>36</v>
      </c>
      <c r="C19" s="89" t="s">
        <v>70</v>
      </c>
      <c r="D19" s="94">
        <v>4621800</v>
      </c>
      <c r="E19" s="85">
        <v>0</v>
      </c>
      <c r="G19" s="82">
        <v>18</v>
      </c>
      <c r="H19" t="s">
        <v>59</v>
      </c>
      <c r="I19" t="s">
        <v>70</v>
      </c>
      <c r="J19" s="98">
        <v>2460</v>
      </c>
      <c r="K19" s="83">
        <v>8.0199535027489527E-2</v>
      </c>
      <c r="M19" s="80">
        <v>18</v>
      </c>
      <c r="N19" t="s">
        <v>33</v>
      </c>
      <c r="O19" t="s">
        <v>70</v>
      </c>
      <c r="P19" s="97">
        <v>6013.0266655925243</v>
      </c>
      <c r="Q19" s="86">
        <v>0.19458788245305686</v>
      </c>
    </row>
    <row r="20" spans="1:18" x14ac:dyDescent="0.25">
      <c r="A20" s="88">
        <v>19</v>
      </c>
      <c r="B20" s="84" t="s">
        <v>28</v>
      </c>
      <c r="C20" s="92" t="s">
        <v>71</v>
      </c>
      <c r="D20" s="95">
        <v>5609654</v>
      </c>
      <c r="E20" s="85">
        <v>0</v>
      </c>
      <c r="G20" s="82">
        <v>19</v>
      </c>
      <c r="H20" t="s">
        <v>22</v>
      </c>
      <c r="I20" t="s">
        <v>72</v>
      </c>
      <c r="J20" s="98">
        <v>2608.5744249999998</v>
      </c>
      <c r="K20" s="83">
        <v>8.0199535027489527E-2</v>
      </c>
      <c r="M20" s="80">
        <v>19</v>
      </c>
      <c r="N20" t="s">
        <v>34</v>
      </c>
      <c r="O20" t="s">
        <v>70</v>
      </c>
      <c r="P20" s="97">
        <v>6172.0696864111496</v>
      </c>
      <c r="Q20" s="86">
        <v>0.19458788245305686</v>
      </c>
    </row>
    <row r="21" spans="1:18" x14ac:dyDescent="0.25">
      <c r="A21" s="82">
        <v>20</v>
      </c>
      <c r="B21" t="s">
        <v>27</v>
      </c>
      <c r="C21" s="92" t="s">
        <v>71</v>
      </c>
      <c r="D21" s="95">
        <v>5842259</v>
      </c>
      <c r="E21" s="83">
        <v>0.47935733239203782</v>
      </c>
      <c r="G21" s="82">
        <v>20</v>
      </c>
      <c r="H21" t="s">
        <v>58</v>
      </c>
      <c r="I21" t="s">
        <v>70</v>
      </c>
      <c r="J21" s="98">
        <v>3798</v>
      </c>
      <c r="K21" s="83">
        <v>8.0199535027489527E-2</v>
      </c>
      <c r="M21" s="80">
        <v>20</v>
      </c>
      <c r="N21" t="s">
        <v>29</v>
      </c>
      <c r="O21" t="s">
        <v>70</v>
      </c>
      <c r="P21" s="97">
        <v>6520.3964050343384</v>
      </c>
      <c r="Q21" s="86">
        <v>0.19458788245305686</v>
      </c>
    </row>
    <row r="22" spans="1:18" x14ac:dyDescent="0.25">
      <c r="A22" s="88">
        <v>21</v>
      </c>
      <c r="B22" s="84" t="s">
        <v>53</v>
      </c>
      <c r="C22" s="92" t="s">
        <v>71</v>
      </c>
      <c r="D22" s="95">
        <v>6257300</v>
      </c>
      <c r="E22" s="85">
        <v>0</v>
      </c>
      <c r="G22" s="82">
        <v>21</v>
      </c>
      <c r="H22" t="s">
        <v>24</v>
      </c>
      <c r="I22" t="s">
        <v>72</v>
      </c>
      <c r="J22" s="98">
        <v>3883</v>
      </c>
      <c r="K22" s="83">
        <v>8.0199535027489527E-2</v>
      </c>
      <c r="M22" s="80">
        <v>21</v>
      </c>
      <c r="N22" t="s">
        <v>22</v>
      </c>
      <c r="O22" t="s">
        <v>72</v>
      </c>
      <c r="P22" s="97">
        <v>7817.6607899542687</v>
      </c>
      <c r="Q22" s="86">
        <v>0.19458788245305686</v>
      </c>
    </row>
    <row r="23" spans="1:18" x14ac:dyDescent="0.25">
      <c r="A23" s="88">
        <v>22</v>
      </c>
      <c r="B23" s="84" t="s">
        <v>57</v>
      </c>
      <c r="C23" s="92" t="s">
        <v>71</v>
      </c>
      <c r="D23" s="95">
        <v>7431799.9999999991</v>
      </c>
      <c r="E23" s="85">
        <v>0</v>
      </c>
      <c r="G23" s="82">
        <v>22</v>
      </c>
      <c r="H23" t="s">
        <v>51</v>
      </c>
      <c r="I23" t="s">
        <v>70</v>
      </c>
      <c r="J23" s="98">
        <v>4372</v>
      </c>
      <c r="K23" s="83">
        <v>8.0199535027489527E-2</v>
      </c>
      <c r="M23" s="80">
        <v>22</v>
      </c>
      <c r="N23" t="s">
        <v>27</v>
      </c>
      <c r="O23" t="s">
        <v>71</v>
      </c>
      <c r="P23" s="97">
        <v>8825</v>
      </c>
      <c r="Q23" s="86">
        <v>0.35174487568798635</v>
      </c>
    </row>
    <row r="24" spans="1:18" x14ac:dyDescent="0.25">
      <c r="A24" s="88">
        <v>23</v>
      </c>
      <c r="B24" s="84" t="s">
        <v>48</v>
      </c>
      <c r="C24" s="92" t="s">
        <v>71</v>
      </c>
      <c r="D24" s="95">
        <v>8156600</v>
      </c>
      <c r="E24" s="85">
        <v>0</v>
      </c>
      <c r="G24" s="82">
        <v>23</v>
      </c>
      <c r="H24" t="s">
        <v>47</v>
      </c>
      <c r="I24" t="s">
        <v>72</v>
      </c>
      <c r="J24" s="93">
        <v>6341</v>
      </c>
      <c r="K24" s="100">
        <v>0.29269350434610114</v>
      </c>
      <c r="M24" s="80">
        <v>23</v>
      </c>
      <c r="N24" t="s">
        <v>28</v>
      </c>
      <c r="O24" t="s">
        <v>71</v>
      </c>
      <c r="P24" s="97">
        <v>9302.9087893864016</v>
      </c>
      <c r="Q24" s="86">
        <v>0.19458788245305686</v>
      </c>
      <c r="R24" s="86"/>
    </row>
    <row r="25" spans="1:18" x14ac:dyDescent="0.25">
      <c r="A25" s="88">
        <v>24</v>
      </c>
      <c r="B25" s="84" t="s">
        <v>26</v>
      </c>
      <c r="C25" s="92" t="s">
        <v>71</v>
      </c>
      <c r="D25" s="95">
        <v>9752000</v>
      </c>
      <c r="E25" s="85">
        <v>0</v>
      </c>
      <c r="G25" s="82">
        <v>24</v>
      </c>
      <c r="H25" s="84" t="s">
        <v>53</v>
      </c>
      <c r="I25" s="84" t="s">
        <v>71</v>
      </c>
      <c r="J25" s="93">
        <v>7998</v>
      </c>
      <c r="K25" s="85">
        <v>0</v>
      </c>
      <c r="M25" s="80">
        <v>24</v>
      </c>
      <c r="N25" t="s">
        <v>23</v>
      </c>
      <c r="O25" t="s">
        <v>72</v>
      </c>
      <c r="P25" s="97">
        <v>9477.2313263920332</v>
      </c>
      <c r="Q25" s="86">
        <v>0.19458788245305686</v>
      </c>
    </row>
    <row r="26" spans="1:18" x14ac:dyDescent="0.25">
      <c r="A26" s="82">
        <v>25</v>
      </c>
      <c r="B26" t="s">
        <v>25</v>
      </c>
      <c r="C26" s="93" t="s">
        <v>72</v>
      </c>
      <c r="D26" s="96">
        <v>12156624</v>
      </c>
      <c r="E26" s="83">
        <v>5.4732096377452327E-2</v>
      </c>
      <c r="G26" s="82">
        <v>25</v>
      </c>
      <c r="H26" s="84" t="s">
        <v>54</v>
      </c>
      <c r="I26" s="84" t="s">
        <v>70</v>
      </c>
      <c r="J26" s="93">
        <v>8279</v>
      </c>
      <c r="K26" s="85">
        <v>0</v>
      </c>
      <c r="M26" s="80">
        <v>25</v>
      </c>
      <c r="N26" t="s">
        <v>105</v>
      </c>
      <c r="O26" t="s">
        <v>70</v>
      </c>
      <c r="P26" s="97">
        <v>9588.5455550947045</v>
      </c>
      <c r="Q26" s="86">
        <v>0.19458788245305686</v>
      </c>
    </row>
    <row r="27" spans="1:18" x14ac:dyDescent="0.25">
      <c r="A27" s="82">
        <v>26</v>
      </c>
      <c r="B27" t="s">
        <v>50</v>
      </c>
      <c r="C27" s="93" t="s">
        <v>72</v>
      </c>
      <c r="D27" s="96">
        <v>14390000</v>
      </c>
      <c r="E27" s="83">
        <v>5.4732096377452327E-2</v>
      </c>
      <c r="G27" s="82">
        <v>26</v>
      </c>
      <c r="H27" s="84" t="s">
        <v>48</v>
      </c>
      <c r="I27" s="84" t="s">
        <v>71</v>
      </c>
      <c r="J27" s="93">
        <v>10097</v>
      </c>
      <c r="K27" s="85">
        <v>0</v>
      </c>
      <c r="M27" s="80">
        <v>26</v>
      </c>
      <c r="N27" t="s">
        <v>30</v>
      </c>
      <c r="O27" t="s">
        <v>70</v>
      </c>
      <c r="P27" s="97">
        <v>10447.413825493662</v>
      </c>
      <c r="Q27" s="86">
        <v>0.19458788245305686</v>
      </c>
    </row>
    <row r="28" spans="1:18" x14ac:dyDescent="0.25">
      <c r="A28" s="82">
        <v>27</v>
      </c>
      <c r="B28" t="s">
        <v>49</v>
      </c>
      <c r="C28" s="93" t="s">
        <v>72</v>
      </c>
      <c r="D28" s="96">
        <v>14657500</v>
      </c>
      <c r="E28" s="83">
        <v>5.4732096377452327E-2</v>
      </c>
      <c r="G28" s="82">
        <v>27</v>
      </c>
      <c r="H28" s="84" t="s">
        <v>57</v>
      </c>
      <c r="I28" s="84" t="s">
        <v>71</v>
      </c>
      <c r="J28" s="93">
        <v>11816</v>
      </c>
      <c r="K28" s="85">
        <v>0</v>
      </c>
      <c r="M28" s="80">
        <v>27</v>
      </c>
      <c r="N28" t="s">
        <v>56</v>
      </c>
      <c r="O28" t="s">
        <v>70</v>
      </c>
      <c r="P28" s="97">
        <v>11119.106400915278</v>
      </c>
      <c r="Q28" s="86">
        <v>0.19458788245305686</v>
      </c>
    </row>
    <row r="29" spans="1:18" x14ac:dyDescent="0.25">
      <c r="A29" s="82">
        <v>28</v>
      </c>
      <c r="B29" t="s">
        <v>24</v>
      </c>
      <c r="C29" s="93" t="s">
        <v>72</v>
      </c>
      <c r="D29" s="96">
        <v>15769937.907311</v>
      </c>
      <c r="E29" s="83">
        <v>5.4732096377452327E-2</v>
      </c>
      <c r="G29" s="82">
        <v>28</v>
      </c>
      <c r="H29" s="84" t="s">
        <v>50</v>
      </c>
      <c r="I29" s="84" t="s">
        <v>72</v>
      </c>
      <c r="J29" s="93">
        <v>11917</v>
      </c>
      <c r="K29" s="85">
        <v>0</v>
      </c>
      <c r="M29" s="80">
        <v>28</v>
      </c>
      <c r="N29" t="s">
        <v>32</v>
      </c>
      <c r="O29" t="s">
        <v>70</v>
      </c>
      <c r="P29" s="97">
        <v>11363.579140273296</v>
      </c>
      <c r="Q29" s="86">
        <v>0.19458788245305686</v>
      </c>
    </row>
    <row r="30" spans="1:18" x14ac:dyDescent="0.25">
      <c r="A30" s="82">
        <v>29</v>
      </c>
      <c r="B30" t="s">
        <v>22</v>
      </c>
      <c r="C30" s="93" t="s">
        <v>72</v>
      </c>
      <c r="D30" s="96">
        <v>20392950</v>
      </c>
      <c r="E30" s="83">
        <v>5.4732096377452327E-2</v>
      </c>
      <c r="G30" s="82">
        <v>29</v>
      </c>
      <c r="H30" s="84" t="s">
        <v>49</v>
      </c>
      <c r="I30" s="84" t="s">
        <v>72</v>
      </c>
      <c r="J30" s="93">
        <v>12121</v>
      </c>
      <c r="K30" s="85">
        <v>0</v>
      </c>
      <c r="M30" s="80">
        <v>29</v>
      </c>
      <c r="N30" t="s">
        <v>26</v>
      </c>
      <c r="O30" t="s">
        <v>71</v>
      </c>
      <c r="P30" s="97">
        <v>12211</v>
      </c>
      <c r="Q30" s="86">
        <v>0.19458788245305686</v>
      </c>
    </row>
    <row r="31" spans="1:18" x14ac:dyDescent="0.25">
      <c r="A31" s="82">
        <v>30</v>
      </c>
      <c r="B31" t="s">
        <v>23</v>
      </c>
      <c r="C31" s="93" t="s">
        <v>72</v>
      </c>
      <c r="D31" s="96">
        <v>20935204</v>
      </c>
      <c r="E31" s="83">
        <v>5.4732096377452327E-2</v>
      </c>
      <c r="G31" s="82">
        <v>30</v>
      </c>
      <c r="H31" s="84" t="s">
        <v>60</v>
      </c>
      <c r="I31" s="84" t="s">
        <v>70</v>
      </c>
      <c r="J31" s="93">
        <v>13788</v>
      </c>
      <c r="K31" s="85">
        <v>0</v>
      </c>
      <c r="M31" s="80">
        <v>30</v>
      </c>
      <c r="N31" t="s">
        <v>25</v>
      </c>
      <c r="O31" t="s">
        <v>72</v>
      </c>
      <c r="P31" s="97">
        <v>13507.36</v>
      </c>
      <c r="Q31" s="86">
        <v>0.19458788245305686</v>
      </c>
    </row>
    <row r="32" spans="1:18" x14ac:dyDescent="0.25">
      <c r="A32" s="82">
        <v>31</v>
      </c>
      <c r="B32" t="s">
        <v>35</v>
      </c>
      <c r="C32" s="93" t="s">
        <v>72</v>
      </c>
      <c r="D32" s="96">
        <v>21883000</v>
      </c>
      <c r="E32" s="83">
        <v>5.4732096377452327E-2</v>
      </c>
      <c r="G32" s="82">
        <v>31</v>
      </c>
      <c r="H32" s="84" t="s">
        <v>35</v>
      </c>
      <c r="I32" s="84" t="s">
        <v>72</v>
      </c>
      <c r="J32" s="99">
        <v>16410</v>
      </c>
      <c r="K32" s="85">
        <v>0</v>
      </c>
      <c r="M32" s="80">
        <v>31</v>
      </c>
      <c r="N32" t="s">
        <v>31</v>
      </c>
      <c r="O32" t="s">
        <v>70</v>
      </c>
      <c r="P32" s="97">
        <v>13855</v>
      </c>
      <c r="Q32" s="86">
        <v>0.35174487568798635</v>
      </c>
    </row>
    <row r="33" spans="1:17" x14ac:dyDescent="0.25">
      <c r="A33" s="82">
        <v>32</v>
      </c>
      <c r="B33" t="s">
        <v>47</v>
      </c>
      <c r="C33" s="93" t="s">
        <v>72</v>
      </c>
      <c r="D33" s="96">
        <v>24152700</v>
      </c>
      <c r="E33" s="83">
        <v>5.4732096377452327E-2</v>
      </c>
      <c r="G33" s="82">
        <v>32</v>
      </c>
      <c r="H33" s="84" t="s">
        <v>55</v>
      </c>
      <c r="I33" s="84" t="s">
        <v>70</v>
      </c>
      <c r="J33" s="99">
        <v>18799</v>
      </c>
      <c r="K33" s="85">
        <v>0</v>
      </c>
      <c r="M33" s="80">
        <v>32</v>
      </c>
      <c r="N33" t="s">
        <v>104</v>
      </c>
      <c r="O33" t="s">
        <v>70</v>
      </c>
      <c r="P33" s="97">
        <v>19595.709312899286</v>
      </c>
      <c r="Q33" s="86">
        <v>0.35174487568798635</v>
      </c>
    </row>
  </sheetData>
  <conditionalFormatting sqref="E2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A 4 3 1 A 9 D - 2 8 B 4 - 4 E 0 C - 8 4 2 2 - A C 1 E D 5 C 2 4 A C C } "   T o u r I d = " 8 f f a 5 3 f 6 - 9 e c 8 - 4 a 7 c - b 6 b d - f 3 d 6 3 d 0 8 3 5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e d 9 7 e 7 - 2 a b d - 4 e 7 a - 9 3 f 5 - 3 8 5 2 4 1 b 7 2 c 5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Q 6 S U R B V H h e 7 X 0 J l 1 N H l u b V n p J y X 0 l I 9 h 2 D D R i w w c Y F Z V O u q q 6 l q 2 e 6 e 6 a m p v v 0 6 T 5 z 5 p / N n O 5 z 5 v S p 7 u k p 7 6 4 q l 8 t s B h s v 7 C Q J Z J L 7 q t Q u z f 1 u R O i F l E + 5 k c C T k i / z K p b 3 J D 2 9 i C / u v b E 9 3 7 9 / d r F I L 7 A o G s J h e v v Y A R o f G 6 P 5 Y h M 1 B e d p Z G S Y 7 t y 5 S 6 d P v 0 n F o n M L 7 b g r + L h 9 R q F Q o E e P B q m v b 5 O k f T 6 f h N W Q z W a p y O 8 J R y I 6 R y G V T F J D N C r x z z / / M x 0 7 9 q p c S 0 N D g + R l 8 0 S / v 6 P i B n 7 + q n C Q K J 1 T 3 2 m + G 2 H A 7 0 e E A o E A R S I B S o 5 e k m M v s D i Y U J d e E K o K U K l + f P I V y m V S l M / n 6 f Y I U U 9 0 V i o p K u v s 7 B z F 4 7 E l S e B G M u S N T 0 x Q O B S i 5 u Z m n V u O Z H K e o t G Y T q n 3 z E x P U S w e p 1 A o T H O z M 9 T Y V P 7 e G z d u M A m C d D e 7 l 8 7 s y V M 4 U K T J e T 9 d f h h e c J 2 x c J G i I b 6 O B J O H f O C P I B T w U a 6 g i O X n e w B R x P L T / M h l d d I L u M L 3 f / / 0 g l B u e P 3 g H m q N h U Q j J L n 1 D w a 5 K d d A x Y Z m M R X 0 w o W L d O L E c T k 3 n y / Q + P i 4 y L Z t 2 6 i x M U 6 Z T I a m p 2 f k e F d X p 1 R O S C W g Z f j T W d M 4 J A L w X a j U b s C 1 X b 3 6 F W s b P 2 1 i L d f R 0 0 d / u l e u v d z h o 5 P b 0 t Q Y U c U / k / L T 1 U d h y r A m M 7 / L D g 2 x c B 8 a w k l K j H 4 v x 1 6 g H C 8 I V Y F Q M E D n j r 9 E y V S G f M U 8 X b 9 + k 3 b v 3 i k k M p r G h A a F Q p 6 l 6 E q S 5 S C d T n H r 3 0 C z M 9 O i c f B 5 u V y O K 7 K f w m x u J r m W X 3 g Q F 7 P t z K 4 U B Z l b Q x M p m h z u p / 3 7 9 p Y q f i b v o z / e j f D 1 S X J J R F l D p b J s 1 v H 7 8 y 7 v q S Q W C I V r C v I 9 C o c D l B 5 / o a 0 q 8 Y J Q F s 4 c P U g B Y l u n m K P B w U H q 7 u 4 u I x K 0 h 1 1 Z C 2 w G + p l E O J 7 J p L m S R Y Q M f v 9 C Y u E c U z G B 5 P w 8 R d h 0 t D X P 1 O Q E t b a 1 S x x a 6 d M 7 S l M x V w V N k Q L N p s s 1 1 V k m W I C z Y N Z 9 y W b d S g v z n T 0 p + o x J m G I / y r 4 + G z a x j K D x g L Z q a v L R 1 M M X x D J g Q l 1 e 9 4 S C r / T u a w c p y 6 S Y S h Q o N z 9 O T d q v M W R y S E W U Z + 0 R 4 M p k 5 x n M s J Y B G V p b 2 y g x x z 5 W Y y N l 0 m k 5 Z j o S 8 D 6 I T S a 7 U w G A e e h j Y q b y A f q i P 0 I x 9 n W S X O n t r 0 w n p q i z M U 8 9 L S H a 2 M q f z 9 r s k 1 s N r t q m G g 7 1 Z q m n K U 8 f 3 n Q 6 L J g y e C m D T T a b V B B 0 W q T G v t R H 1 z d Y h / P r O p a O 1 i b 6 0 f H 9 N D o y T B 9 8 N U O D 9 6 8 L m U y l N 2 K Q S M y V t B K A i m 8 j l 8 1 R c 3 O L k C o Y C s n 5 I B I q u w E q I 8 w 7 G 9 B W A D o / g B C / N 8 i q p 5 H N M m i R U 9 v T 1 N u s j h l E 4 q 0 0 W + y g m V y 8 9 P l n d 6 e k s 2 G 5 a I + x R m Z Y f I E e L v v N g H 0 f T B z X C t M 0 m c x S q O 0 o h e M d Z f d 2 P Y r v P z 5 f v x r q 9 O E D l E v O c A s b 4 Y q f o C h r C K f i I F T n A a g 8 t k Z Z D G N M z s 7 u H o l P j o 9 R C 5 t x p l X P 5 b J s K o V o n o k W i z f K O Q C + E 8 c n J 8 a p r Z 0 r p g X 0 w l 1 5 5 B D S D Q c 3 Z G h D s y L H h D b / D N D T B / / K A C T d 1 5 O l 1 q g 6 H / j 8 X o T m 2 Z 9 y A 6 6 r H P g t J h 8 d F q r T A o 1 A P M a N x e P 1 q 6 3 W L a G O 7 9 5 E j x 4 8 o K 1 b t 0 h l R m V Q R F K V 2 0 a x i I r n X t k q Y d 5 r K i E 6 H O D I 4 / N h + h l N B A 0 G U l V 2 e 8 / N z v I 5 E S F d Y m 6 W t V s D f f G g q Y w Q b j i + O U M D U w G a T f k X E G N 7 R 5 a 2 t L I p y z 8 j y 5 8 T D h a p g c X G 9 8 M h e j S 9 e K d K J b F M G i H E m I D R h g A l 1 6 k J y I T 6 c t 0 R 6 u i 2 T n r 8 + L F 0 O m A M C C R w I x M q P S S V n G d f q E n n V g f e W 1 n p q g G m k t 0 V b 5 C T r v c c k y p K 0 1 N T 1 N L K z h G j f y J I t 8 c W n r 8 Y o J m 6 m g o 0 p I m y v S N H d / g z f s h m 4 d e D Y T b 3 8 p w O i c 8 F k m X 0 A O 9 i W I p U 0 F T i V 4 W D l J m 8 I s f W E 9 a V D + V j 0 + Q n r x + S M a J 0 O r M o m Y A s + 0 O o H N X I Z P t P 6 F Q A + Q C Y j + Z Y 5 W d O T U 7 K e c l k Q u c 4 k P f z d Y J M Q H N L i / Q G A t v a 0 Y 0 u 0 W U h w g R 5 a 2 e a 9 n d n p Z f w a F + G 7 k 8 o Y p 2 / H 6 E x N i N v j i o y A c s h E y C / x / p J 5 v 4 Z w W + A e Z z O c I P R e q T s / q 8 H w e w T t / y 6 l B 8 d P 0 A 3 r l + n j o 5 2 2 r t 3 T 1 l F M J 0 B g M k L h a p r h H k m D c i W z W Q k H Q q H J Q 3 E 4 3 F p q V G 5 0 G q b S g a B + Y h j T U 0 t c i 4 g R G I g P 5 t x S I r 3 R m P O I O 9 L 7 C c 1 B H I 6 5 Q 4 p U A a m E 3 3 7 O C R x Z F 1 6 E G a T T x 1 M Z P R J q w T f H b k / N s w 9 g 5 j f m + H f E m g + v K A c 6 l m W 5 2 X X O F A x 9 / c 0 0 U B / P w 0 P D 7 O 5 l a e B g Q E p e F M x U J k B u 6 J g 6 g / O M R X e h j + g Z g 6 A S I A h k w H S 5 j M R z s / N S V 5 l h w N g z g M M Q W 2 M D D 9 m j c c a 1 T 9 D z V E U W 3 W Y M S t g a C Z A n / d H b I W y p r D v F e A Q y i E V t L y v 8 W V 9 R v 3 D 9 / / + f O V p 3 W / P 4 M 2 D 2 y n A 9 R B m G C r 1 3 F y C p t g / 6 e 3 d o M 9 Q q K w g l c A U I g z c N m i T b G n g 8 7 S G Y p 8 J N h s 6 J w x B b S I Z z M 3 N y r h Y N B a X t B n L A v L 8 t m t D Y T H X v A T 2 n v B S A h o w E + I 3 4 p 5 j 8 J k S 3 0 p + P a P u f a g z h 3 e z w x 2 g i Y k J S q Z S U p k x d a a c T A t N G D d g r G e 5 Z F K a B h e h i I M x K U x s N W m I + U 5 c 0 7 z 2 l R r Z X y u R i c 1 K Q y Z g c C Z I k 0 n 1 m U u h J c r m p o 4 / b f D d 4 9 + i E w z z u 5 S 2 Y g 3 P L Q E a g 2 J 0 / 4 L y q T f x V l O 3 x j i 2 s 4 9 / Y F G W R 7 S w g x + L R q W A B w Y e 6 D M U l s E l g U 0 6 d G k v B h 8 T B g Q S z c Q A w d o 7 O i V u Y F p y f G 7 M 8 p U c l F 9 Y Z x x z B t V 7 l s J 0 k o t 2 e a e u E R Y h F f u N Q q w i a + v I P s m v V 9 R t p 8 T R 3 V u o p S n K Z H p E 3 d 1 d 9 K / / + l v O J b p 7 9 x 7 t 3 L l D 4 q g B N k n c g O M P H j w U u f z l F Z q e V l O L M F 6 E r m 8 b 8 H P S 6 T S N s s 8 D N L e 0 y h Q l o H L 9 k g 1 D L A O p h P w d 8 X g j D Q 8 N 0 s T 4 O A 2 O z s o s 8 s W v 1 k F 3 I z p A d O K Z Y Q l N x S F 6 F Q v h H a 5 l V g + i m 7 H 6 k v b m J u p g M q E D A m N N k + w v / f K X P 5 e C 3 b S p l 9 5 / 7 w P 6 8 + d f s B m y s L P B V A L g 2 j f f S W X H 4 r 9 H g 4 N i l m G 5 B C b O 9 v R u l I V + B h j A D f g D l G N S Y d J s 5 R g T 3 l t J H A N j 7 h m g C 9 7 4 V / i e 4 V w P f T f Z J e n l Y m R u 8 U H a p 4 e F p D I C U g G 5 Q p C K f g x o L y y 7 W p e 6 8 6 F 8 X A + P 7 e m j 6 z d u U H t 7 O 6 X Y b 2 r R 4 0 3 A 1 N Q 0 / e j d c 3 T g p f 2 y s n W O n X 5 0 N v T 3 9 9 P 1 6 z f o G y b R / / r f / 0 z 9 9 w f o 0 M E D r N H 6 R R N l U m m Z p 9 f T 0 0 P z y Z R 8 F n r 4 J i c n J J 7 m 7 8 k x k a C h e j a q 1 b c 2 M K 0 J s 8 m n p i Z l Y a C N B G s 7 A 7 z f 7 i o H s A h w u Y i v Y B 7 f 0 8 N i p O I D 3 L C k i R s I l / K r d f H 9 7 v x V L 5 T A m u H t I 3 t p + P E Q t b W 1 K T O D B Y o B B T w 2 N i a m 2 / 4 D + y m o u 7 l B M C y 9 u H r l K z r 1 x k k h I N Z A H T 1 6 W F b m Q i O B U C A n M D I y Q k 1 N T U I Q A 1 Q U o 3 3 w f U a 7 m H z 0 1 G G V r T k H Y 1 h I q 9 k S A c q k M 0 J O H L c / C / j D n Y i M H 6 E e N g T Z D I x g h e 3 z 0 j 4 r g 1 v v n w j H M R 5 X L O Q o 5 r u v D t Y J 6 o p Q R 3 b 2 U V O D M r X M Q K r d m w b M s H a 4 8 u V X X L B s T v V 0 0 + x c g h 4 O P K S d u 3 b K Q k J M l D X A + y 5 d u k z H j x + T 9 O P H w / x 5 P j E j q y G V M u a a r 2 y G u Q 2 Y e B g 0 x j J 2 Y J q 1 F m a 4 Y 8 4 f K t z 0 9 B Q l q I P u j A d L + z 3 A 2 c W U I Q z W Y n y p V m A 3 D i a u Q t Z Y + R z f p Q J F f Q O S X w / w v X f + q 7 o g V D Q S p k O b O 5 g Q Y d E y 0 B S o 0 D a Z 7 D i A V j L P X v K F C x e o o b F N T C u M 7 m / f v k 2 m J d 2 9 e 5 f j 2 6 U C w E c a Y k J t Y J P P b H z i B o x T o b u 7 q W L S q w 0 s 3 W h q d m Z K V O K 7 h 2 k a n G + R d U r D s 4 o 8 b + 1 I y 3 w 7 e 9 1 S r a C S V C Z d 5 H t V Y F L F A 9 x Q 0 c I B 7 V p E 3 f h Q B z e 3 s x n W I P 4 Q N M R S Z A K g E Y a G B u n w 4 Z d p 3 7 5 9 I i A i u r A x 3 w 9 m o y n 8 h w + H p L P h 1 u 3 b k n Y D B o 5 / 9 7 v 3 m d B p 8 c 2 q w Y w z 2 c A S j Y f T Q b o 5 G h Q y A Y Z M w C P W S v Y s i F p C Z T m U 0 r i 3 L H P Z + l l H 5 X v v Q u 1 r q B 8 e P U D F X E q m u Y B Q G J k v I x A K U U c r M T g 0 R M 1 t 3 R S L B O j 8 + f M 0 P j Z O R 4 6 8 I h o K v p I N m J A f f f Q J + 1 q n q D E e E / / q 9 u 0 7 M v N i c n K S N v f 1 S W d H M p m i i x c v 0 d m z P 5 D 3 4 V J Q d 3 B N 8 K c a + X N x P d g Y 5 f I D m H 0 Y q 0 G J 1 D O g m X S U Y W u p f C 7 D R / P U H B 6 W v F q G 8 p 5 r G D H 2 e c Z H h m R + H k w t k K k S i 7 U Y w 0 O P 2 d F X C / I w L 7 W 1 t U X G j i r J B K A S Q A u l 2 U + C H 3 T + w k W 6 c / c e H T r 0 E v 3 0 p z + m Q y 8 f l O + P x a K 0 o b e H L l 2 + T A + H p + n u B G u e w a w Q K u 1 v o Y / Y b M N S 9 Y s D Y d E 6 9 U 8 m o F o p 8 G 9 n S w E z K f K F 5 e z W 5 G 2 w r 1 v b f 2 8 c 3 M E k a J X K O j I 6 K j / K 1 k 5 l m s o F Q 8 O j Q p S p p J 8 2 7 z 9 F 9 + 7 2 U 0 + 3 + 5 g P T M l 3 3 z 1 H l y 9 f o X / 5 l / 9 D o W C I T h x / V X w 2 m I j o t T P n 7 d m z j 6 a a 3 q C b M z 1 0 D 5 0 L v p h s u o K V t 7 i i 1 Z p v A d 8 q 3 + g B u J U L Z p T A 9 E b b P p N q s k q 2 R v / e v / B 1 z Z Z Q N N 5 K v W 0 d d G v U T 7 G J P 7 G m U B r C Y C k y w c H 3 Z a a p G F Y + y / y j S / T 2 i e 2 y / K I a s E f E 1 a v X 6 N S p 1 4 W I + A 5 M Z c L 4 E S a + o k M D K 2 M / v V 3 e e Y B e u s Z I Q c y 8 9 Q 2 u d B W m H z o m 8 r m s S G N k j h q C a p y v F l H T n R I p / 2 b 6 f j h I 8 1 M j d P T o E d c V s G 4 A z U x v m S E T 0 L H 1 C I U a n M m o N u A v f f T x J z T L P h A q A c x L A P E N G z b Q 8 P C I d I Q 8 n g k s I N O W t p x 0 e e / p W n w t 0 / p A e S M n j R 4 Y B i 3 F 4 W y S 7 1 1 F O d e S 1 G x z G W n e w v 4 M 5 q s V y R / r l N D W S H a 8 E v B d 3 J D M B W Q g t R L o Y E C v 3 d k z P 6 D u r m 7 a v H l T W S / e 7 O w M j Y 6 O s d / V S N / o R X 0 G u M + 7 O x W R r j 4 q P 7 Z S t E S r / 6 Z a Q m X Z i K k k p G K N z / G p R H U L w e t A s 8 B B 7 U m m 0 C K 9 b u j m f m d P k j X D 8 t o G E G Y x s w u m W d L a 5 G R + P i F t a l d X l / h G E G y 3 3 N j Y K F r q x o 2 b 9 N X X 1 + j c u b P 0 2 W e f U 2 + s f F o R 3 v v x r Q b R i G b F 7 G q A / S F e 7 U v T k U 2 Z s t 2 K a h Y V b Q M I J b 4 U h + k s y s c p 6 1 o S 1 B + X b G / L 0 T 3 b R D u B T G j t s H k J t h U 2 q K a d U L G X 2 j 0 I n Q X 2 3 D k M 9 G 7 a u F G n F D D f 7 8 s r V z n 8 l j q 7 O u m N U y f p k 0 / + S K d P v 0 F D 1 z / j 7 y / f P 8 / 9 a l Y G f A Y K q y N e o E 0 t 5 Z 9 f i y g b y J C C F T 0 l x I K W G p + J q u w a k 5 r 0 o R L Z q G g n Q x z 0 o j W z w y + o Q i Z o i N X 0 r K H 7 / A q T B 9 9 n c P r 0 K X r r 9 J v 0 2 m s n q K O 9 X W Z O o K s c 5 5 4 4 c Y x 2 R 2 7 p M 9 c O G 6 x N L r E B S z 3 A K S o U L A K n k N P Y W s N J 1 o w s z 0 7 y E P q 6 2 u n b Q T U J F Y Q y Y u B W 1 T 5 i z b R c N G j t h D l 0 D 6 c C 9 G A 6 T A c P v i R L 5 g 2 w W N E G v h / m C g Z 3 Q S r 0 + G 2 h a y v a w X U x w N z b q z s 0 7 k 8 G y j a x r G 2 U 3 x / b 7 M O R m c T y O p m 8 B F w 9 B 7 U j E 7 m e E p k M s E V W N Y B M 1 q l L 4 r U t a d l 5 F R v o X x 8 J s T / l l 9 n o 9 u z y S q A i Q G v 9 4 Q + f S X r T p j 4 a H H p M J 7 e u T f e v b a Z i H 7 1 6 g l O O + j c K q V R Z T 8 8 5 5 V 4 r U l M + V N D v p 5 l 5 t e m J 0 U w Q 7 J 8 A 2 C Q D Z B B 1 B W Q C 8 J Q / + y k W u W y a B g c f V 1 m i r r 4 T 1 y P P T d L L P T A j f X Z m R i r G r k 5 n W 7 A n w V f 8 W 7 C z 6 + 6 u t f k 8 r 0 G R y I D j n I Y v Z Z d / L U h N + V B d 3 d s W a C c A O x p V A r 1 5 6 s l 8 T 4 Z 5 V n 6 t b W r 3 1 k r c v H m L P v j g I 5 n f h y X 2 W 7 Z s l k H e C x c v i S 8 F t K 1 R V / c o / x Z 0 l s R Z 0 M v 3 5 v a 0 4 z f W O F C e y t y z R A q d T d z H H O r y r w W p K R 9 q a F Z t s o I C U K I P M G y S / Z G 1 z F K 9 e c t F a 2 N Y F g F W z h 6 / d e s 2 d X R 0 0 I 9 + 9 A 6 d O / c 2 / d V f / S X 1 b u y l b d u 2 0 q t H j 9 D k l H q 6 h t G e T 4 q A X + 3 H 8 C V r K n T 7 Q 4 s e 2 V w f S x 4 A V X 5 W z W R S I e T i r i n U j A 8 V C I Q o l 1 M r c B 3 y W I y y k F 7 D X u U H U 0 H q Z O J g 7 A k 9 h Y N 6 n 3 C M P 7 W 3 t 8 p E V 4 P W l h Y x + 7 B X B X Z Y A r A 5 / 1 o g X / B R I u O X z V f Q W 4 k H A s D P 2 9 G e X b D x f y 1 C y t T c K g n 5 h U m F X 6 Z 2 H F D 1 w O t S M x r K 1 7 i n r K v c h l v e S o B e t M U Q a V D r o 4 D v h k N 0 8 U G I 9 u z d I + u e 3 t 6 T K n u m L X o D v 7 n 2 L T W 3 q N n q Q 9 a a p i c B N o q 8 P R o s 2 3 y l p 7 F A d y d C 0 i n z g 5 2 1 O / + t D K i X 6 q U U D o 3 U z p Q t P z R r L Q j 2 j T T E Q W j i f O i J s Z R 5 i P 0 f 7 j 6 c 1 C n s e R e g a y N t l N W z y / H w Z 2 j O 9 9 / / k O 7 f f 8 D + 0 6 u s r Z T f d W 9 8 b Q i F 5 Q 0 G e 7 u z 1 N J Q o E G 9 F P 7 P / Z H S U v l a h b p 6 5 T m J l H 6 O 2 k + j s j 5 4 V W p G Q 8 H k s o l k E K r Q L h j k X W t c / / 4 7 S r c e 1 i m F p o 5 e i s a U F s K C w m v X v p F N Y P b t 2 0 N 4 1 i 6 A S b J P a v K 5 v R s a F W N c e E w o f K s t 7 T n 6 4 n 6 N r y V C b R Q D z / x i 1 T m B s L y E v Q 3 f R 1 9 + 5 / n r 9 c e 2 0 H w 6 I u u N 7 E 4 J A L M G 3 t z u m D t m F v l a o a E w Q c 2 + K R r x 6 c 0 x K 5 D P J C g 3 8 C G 9 d f o N M U k T 1 E 7 3 J 4 N V n w a 4 U h z e l K G r L k 8 v x B Q k j H m k s u i J 9 F M j a y z Z L b a G I U / T 5 3 u I Z R w B y t B 8 K s d l n p G 9 D v 3 F L O 3 e 7 j 5 0 4 S X U R A n k K b 6 A S A b p p 2 x e P 7 p 5 m a Z D W 3 V q I Q L h O M X 2 / E J m m m O 1 7 / c j o T U j 0 4 a m v C u Z A E y S x b B A N / t R M I l A J m w x t l a Q A U o G u u q b m a z P B N b l V 5 r h 2 E y n F l A T P h R u p k 2 k S l I Z G J 9 i L f H T c 2 9 w 4 S 7 + u d v a 8 q w l V K + b j S e p i A d 7 M / R 4 k Q 4 N a G K Y e 9 h q D H c D m v p Y X 8 Z 1 T G 4 1 M H c Y Z H 0 e i y K d I l Y / y C T d 6 o e X x P M a K t i A J 6 o r Q i 0 g E i f t r L t P w X 9 q i v r p 7 d 3 V e 9 D Q k u N 7 8 R y m V E X H w G o q I v y j j l i e v h l a e r 7 e V i Z y k L / i 1 c 0 Z O r 0 j L f 4 k t h p 7 U q D D w 9 z X x T o 7 5 B E 1 a w g u Y V X O O m 0 D 1 z M 1 7 f 1 x N 7 4 l u G H e F X 9 0 o 5 h 7 b r B v P V r s r s Y 8 t c f W z j w x Z A G O 9 K U l r A R a c L c K g K t f D W D q j M 8 v r h G x X 9 + h 3 i z 7 U X n x s d q s w e P F 5 j V W Q 2 X H z r R L Q + C 2 H b T d 8 / i k M I 2 l T + + Z g d a + E i N j a N i c u u F F W e M 2 Z u 2 B 7 n J 7 M N e 0 n D a y e i B 3 S 2 u e Z e V O V b X l E C A L C A V z r i P m f k 4 1 r O z s l Q H P 2 7 0 2 F J J n 5 e J R n w Z Y Z G l 8 n + U C Z F p O T 6 S 9 6 P J p w p Q v Q h V 1 X j O m o D 0 M z 8 / l w z I k h 0 w I V d w G J r Q C a E U 7 2 U l f K Z Y a w z l / P 0 x 3 7 9 2 j P R 0 J 1 5 b 6 S W G b T n u 7 s t I Z s R j Q i 2 h g z 5 L A o K 9 5 r u 5 y s V Y z O W z Y v w f x p e 6 Z l K t h k q D C v N d R y b L q h h d F G j Q v i + n d K b v B i 8 D N X H l S Z H M F m k o 3 0 p X P / o N 2 R A c o M a W e / 7 Q W g I Y w p h M 2 c d n M f t F B N u f g x 1 T C N B b Y C M Y A f t v n 9 y I 0 k f B T U 0 N R l p 4 8 C 6 B s q s E 2 B R F f j n Y T 8 5 3 L G M V c K m p J y L 8 K O W 3 X D S 8 K 3 3 2 3 b O 8 I b q I b m V y y p B P A N o F W i m o T W f 2 B A G 3 c u E F 2 k 8 2 k U / T z Y 9 X 3 L V 8 p M E c P J u 2 e r o z s j m R w b E u G j r P A T w J A v L E 5 d 7 K g m x 6 T Z u + M L b 9 T x v g o q + 0 V d L n 9 K w K 2 V D P Y z K Z 6 i T j y a s S 8 I h T K U T K J e 1 R e R 7 w k z 6 Y 5 W y U C o Y g r m R Q W 5 l 8 Y W P n 6 J x u 4 G e / s S c k Y z 6 H e c u f + 4 X S A z p x 5 i 7 Z u 3 S o b t b y x 3 b 2 T w g 3 V e s O y m T T N z 0 3 T 4 y / / m c L Z U R k Y x u A 1 Z I o 1 z d e D o d K j a 9 b S N I u F n V 6 8 5 z W 8 M 5 d 2 b g r 2 d J f 6 y B c l 1 8 W C U J W 9 T g A c T k w m V d y j 8 L Q P 5 Y 9 v k 5 t a n V R r i 8 m k X / w p z E L o a S q U 9 R h i Z 1 k 1 F U Z h K b / A 7 h y A 2 R P 0 L z x f z L 2 B D 6 i 7 P U a j w 0 P 0 6 a d / o I 8 / / p R + 9 9 7 H d P 5 W m j J L + H b V Y P f 6 u Q E z K 7 w D T R j 1 L 2 m l i 1 Q K g c R 0 O D o 2 5 1 p X v C K e 1 l A 5 q 0 P i W Q G D s + j d A w 5 u K F 8 d a 1 / K b B p 3 s D r M Z x h U b i E G r f X 2 P q J 3 3 3 2 H 3 n 7 7 L A 0 O D o k G x P q q z Y d / Q s G o e q D A a o C G o R p W 2 g v 4 t K G 5 x I K I b j x 1 W G p M E e r j m N P p Z f D 9 9 e 5 f w e r s e l b E w r d g u z F 8 H Q Z J Y Q I a k 8 3 0 J g J N q 5 z m g w q 9 u T V H b + 5 I i x + D 9 V O z s 7 N i R p p t p E P V b M Q 1 Q C X R v Q F 1 U a q M Q S K T p Y h k y I T j e P C 1 X U e 8 9 u d p D Y X x 3 D I i W d G n D X v W x Z m d i l T w N 0 a t 9 U h L r a M C s M G L A T Q e t m T e 2 5 2 j k D Y B 4 T f h 4 Q P H j h 2 V N H C A z 8 N M 8 i c F d n B y 0 0 h P k a + r A / 9 U h 0 w 6 l L g 6 B i l F v d k i l O B p H 8 r m E o C b / K x w b y J I N 0 Y U q a B J 3 t q R k h 2 R v h r E g G p Y y G X P c q + G R P + n l M 2 o 8 z D D A T 1 6 0 9 P T N D M z U 4 r H 4 z F 5 u J u N t Z h g C 1 / K r f 5 5 z W q S c u X C F j J J V K U l z / x Z a b e 6 4 h X x t I Z 6 3 s D y d w O 0 6 o 1 s 5 m F x 3 2 z a T + 9 / S / T e + x 9 S N q 0 e G u A G d A 2 f e / M V i o 3 / k Y 7 1 j N C D B w / o 6 t W v m E Q z 9 P t P / 0 i / / e 2 / 0 7 1 7 / X T 4 8 C v 6 H Q 4 w N w / L 3 W 3 A B H V b 7 o 6 Z H p W 7 y T b x d w d 9 x Q V + o B c B s r g K y M O h E Z P v Z f h + / / V N z 1 5 h O r i b 0 u k M 4 W F q 8 t R w 6 2 Y + 7 R v b G S / I 8 o h 9 P d k F l f X 6 c E g 9 o p O b f 2 w Z V u 1 S t r b l a H d X T p b P P x 4 e o Q 0 9 2 B 8 9 y N p I P c 8 q n 8 d T 4 N 1 n N m C v C m h G o 2 F 2 d u Z o G 3 8 e x t q a W f P M c h g N F 2 g m y b 4 X k 7 1 y / A 3 E O 9 K X k Z k T z 2 O 2 e D W g B 9 X e j Q r l K m u g W O S x N j r M 4 f E 2 + j E 3 W A + l J E 1 5 l j d O 7 t T v 9 h 5 q h F A 5 q Y D P k l A G I S 7 7 0 + x D 2 b 7 I N 0 M h q e A w / R Z 7 A I C f N c Q P d y 9 / v M p g L u O n L / o d g u C 7 V + s 6 g F h 4 q 1 e X y J t F h Q j z X M 5 5 S T O h s i 6 E y i l C v X l y l 3 6 3 9 + C d p s u D g I b I s r 9 R + b w n T A 2 C H 7 L U o z x x f D X + y u h s e b H E q + y / t 9 h S j S 3 t e X m M D q Y m G T K h c Y B 5 i M 6 K v t b 8 g v V a q 6 X c a j s 5 T C N Z E m 3 i o e N B r k 3 y z c J S D j k f c S / D 2 5 N j n z O M V o J 2 G K m Y 9 g N / 6 t j m j J B u M X z C Z F w u q T A b Y m A y I I s G b e x j s 9 H s a o T p S c c 2 p + m V j Z l F Z 0 8 M T A T o l j U V C T 2 S a B z w m 7 B J 5 j 7 2 B U 9 s y c i u T R h 0 h j Z F V V 0 N O V b V y S E k c R M m D v 9 N z + M U i 0 w c M q P 4 n 7 8 M P 9 u j w r f P J d c z Y m D H n x 1 Q U f Z z x Q O u u S z 4 Q y u K y g h S L b b 8 H M s / l g N 8 1 s 3 R c p 8 K F R x z D E M B Y l K l a W d H j v o n Q v T V Y L h 0 V 3 B O k A l j m 6 V + / i x 7 d o Z Z U o 6 J q i A 5 6 i e A X A i 0 q f w W r s z 4 P Z i c a x 6 c s F w 0 N y z / f D l T S G K T y Q g I Z M j k C M a g E D p X 7 T 2 R M v C s 4 M U K n w e w R w S 2 P p Z y d A F 6 4 z Y 2 5 6 l T T 2 J 1 w 4 0 K k l Q D N E g l o D k M M F U J 8 9 7 G t F N v j o H 4 O S a M 7 W c V 2 L e r 5 t / h / P 6 J o D x t 8 d M 7 E c p r 0 x X n Q 1 7 u V R N z o c k w s I 3 O F Q x k p + Z n 5 b x q m E l V L y j 7 S C V R c H N B I K W B O K 5 N O y W G W P o 4 C z 7 L q 7 I K B f 8 8 g U t + 9 k C r j p Y H + 9 9 V A v n 7 e 7 L U z q S D G Q V U 7 j k O P w b j S h g U R v 2 p h u + H F 2 p B V G o A j 9 b B D A 5 U 7 j 3 d a l a 6 G 2 H Q A 2 i A 6 9 j e n p O u f p D R B r R e V 7 x A Z 1 j r Y b A 5 H i 6 K f 3 V q W 5 q 6 K t a U o a f y t a 1 p a p r 9 U r X A K w D m P E L K v t 0 Q B X 9 l p K k S Z z M P o d J Q 5 d f m N X j e h 7 I n p D 4 v T Q W n H q 1 / g k 2 3 8 w P u + 9 8 F 2 S T D 4 2 + A G W s m N Z B i M m H N E g a F 8 X z f P 9 + P y J J 9 E B T P e 3 K w k G 1 T u s s b l b 0 t p r Q g N G I 1 7 G A C g S C 4 V / s 3 Z M V s G 5 g M U o w v 7 S 3 W p g b Y G x 0 k M 8 8 b B m E w c L 3 Y M 6 1 8 x Y x 8 N r T W 2 V 1 p I e F S Q G N k 7 7 V h y M I v Q o 4 y A p U 0 k 8 4 X b W X O Q R p a i t + L j / O o c G m 5 5 H p E 8 G p Q n n p + m G W z B h u y V M L 2 V x Y D y J b Q E 2 t B 0 F t s D u J R N R h 3 G t N L N W x c 4 Y q P x 9 g M z Q R k K Q c e f 4 r d j q r t Z 4 5 t x 8 x c R C y R / 3 4 Y z 7 j y 0 T R f 9 x 8 q d m X C w D U W Z O J 8 m J G h 8 r 6 Q B c B 4 o A G u A T v m L m c Z C z Q U N K U B 0 4 Q C P k U Y P z l k K R H H E M y O W 8 c r 6 4 m X x N M + V B k W Z D w / o J M B G g a V 1 i C 8 k A v L B h 5 V g 4 + y P 8 8 G O i S M n w P S Y S H h U l 3 2 y 8 G o 7 r m E 9 v 1 6 U J E a h M 1 V s a p Q s S s B s k B b V Q N 6 F 3 s a 8 z K V S 9 4 v g h 5 N 9 X l B v 0 0 g I 5 x X o Z n M M e x 7 Z + q H F 8 X T P h Q q k n l e k B c h T 0 f U 8 U o f Z S 2 B V b t m f 5 I 5 1 m 4 w 4 d Z i 8 0 m 3 u 4 r O C o y 7 w R z l + l u G a u U A b Y W p T g B O w Z 4 Y 0 E i 7 O n N 0 i j U Y 9 s A A G Q D s T M X U 0 A Q p s P Z U x C q R B 3 E m U I H j s n 2 c j j c E c h z P U 1 t b X D 7 H q / D 2 A s P s H Y 5 4 G x 9 z q 4 5 u a J h N T 4 v 3 v + f P x / x B A 2 i U t X i Y n F 9 / B K Z Z V Q L m q L 0 Z D G B I 4 Y b X t q p e Q Z w C L Z r U H T E g Z x 7 E 0 K T Z 0 J R V 5 p 4 h E B 8 z u 1 q B Q C Z e I h b S L I m 0 O t b V 1 e p a V 7 w i f E t d c j 0 k 1 S q p V 3 w q X B + 6 o e F D Y U N M O O y Q y k d 3 r n Y 2 A Q A C o a L a q F 6 1 l w 8 z I L u j w 3 0 C r T 3 A n M v l Z E + N x W A 6 W G A y Y i M Z 8 y w t g S b J 1 Y c h y u b Q 8 2 e I g 1 C R p i x e S q N 3 z 8 l v 7 8 A 1 O P X D a / L k z d z T B t 9 Q Z W p A L F Q k n x d Q 2 Q E M n N r P i c K u r o Z c x 7 e k Z a a D S W N n W G x Q + d J z m g l e u d b q Q p W e S 7 7 1 s v Q f w O L H T L Z 8 n w 0 Q c t i a Q b L U 0 n q b Q N A 4 z B C J 4 4 s M Y S C G Q B K y m S d 5 Q r A 8 R a P u 1 + o V e H t g l 0 V u O O J I e B x m F g J 6 5 L B 5 P 1 p s j D 1 h U N Q e v z n S l 5 X e u J X u o b c c Q B P u 6 K i + 2 W d j u L D s t V b o I s + U O v a K 1 B h v 1 H E F / F Z s G X 2 F t Q 6 A 2 e 1 2 O d n f w p R x i M N h L I g J s U j j 3 o A 4 K l 4 i l R W q u C K W 1 z s l f J 9 9 d 6 e 8 u f I Y p j M b u a X y y 7 R + 1 c I p A U x Y C 8 B U n h g T C 4 v + s H U X t E Q T 5 0 0 n f Z T I + q m f z S u 2 h L j S Y M a E r z T x t d p G L X g v x s c i g S J t b C n I c 7 G g M S p 3 M c L 3 2 A R C h V / N b X t 9 S 5 I G 7 l 6 n A w f 2 i 7 m J 7 n j b p H u V y d Q W K 4 i v h 7 E t + E 0 G o m 0 0 K R R B 9 A x z F h / l y F / M s c Y q y M x y z D B n o 5 A S 8 i g b M 9 M 8 L V L M Z + i n f 3 F S f 6 o 3 w Y S 6 u 4 r b + + y Q L r S y g x y V S i C F U k Y o e Z V 4 L Q P a C / U P X d D Q M K 9 v T V P / R E D 2 O M e Y F T o P s J c 5 S I k u d v g n 0 I A Y M E X v 4 s z s H E X z o 3 T q Y C 8 V f H 6 6 / C C 8 p t u O C Q p Z a s o / o E j r N t r F / i H G u G x i g q j m o Q r 3 + d p v j g R K J e M Q S Z P J E I r D j m i G H k + z n 8 T p f J 4 J h S U c e v k G n g 2 V Z 0 J l N a E 6 2 2 L 0 2 s l D + l O 9 C c 8 T C h i f 7 + E r 9 U u B 2 I Q C a k l L r Q Z 9 L T n R b L d H Q y V / z U Z 4 + h r 5 0 6 N 0 b y R L v Q f f 1 b n P B 1 g 8 i E W Q 0 F Q f X A + L D w Q 4 p p s m E + J M G k O q d i b V C J M K j 1 g 1 p I J m M m u h Q K h 8 N k V n z x 6 h e F w 9 D N y r W N y L 9 A g c P 2 q N W 9 0 a A C b D D s 8 G 6 M w u N Z 3 I B j T b i c O 7 q W v 3 m 9 S z / x 2 d + / y A r v z L D 8 N q 0 F v n q Q a Q y 4 9 F / C f 4 S m g Y t c 8 E c o 3 M o I M D e X k K k C K Z I q G O M / G Q 9 j q Z g N p 4 a L U U h P K O 4 Z K u N 2 L B v D P T i S r x 2 b 0 G e j A d l u 2 i l w v c v s o J s A Z L b Z K J w V q g 6 p w / I R A f Y 8 H 8 D 0 c 7 o Q x Z i o o c y q 8 y x D H k K V A m q 8 4 z Z D K C 8 i + r E x 4 V 1 l D 8 6 n E J B 7 N y U w X I s v C 0 y I X R f 6 / D z Q S s B q z 6 x W R W + G H N b E J W e z L M Y p t k Y q x t g 5 6 Y W 7 n G y 2 g i f t X x I u V E C 4 E 8 a i x J E c f E N Z l 0 f o l E + p g 6 F / m I 5 6 i 3 t 5 2 / x a k T X p W a M P m a o 7 N S M C V S P Q N g E / 9 6 Q k L P t M B k W E y U 3 d S a p 7 d 2 p t V 6 r h a n 9 V 9 s S h O e 5 4 t J u f C V 3 G C I p E h k S K J C E S t f Z k j g X J 1 v z o M 1 o s j E h J O O C q W d X j 1 + U H + L t 1 E T h B L g B p c R q r 4 q / N M G H h 3 a E l W D z d i 1 t r c p L x N X 0 U t 4 o E d t w H l i S 5 q S 2 e p V A g s t g Z c 3 u j 0 l E W a e J h X I o o l i t F N Z v i E M i 5 B H d 0 4 g j h n t J o 3 e P u m 8 4 H j g S a a a P E P U h g / F I l 3 L c t M x d q H y H J Q l 1 i 3 s w e N K g D w H e p T / Y y / 9 M O 9 B g K 7 w x R 4 S i N 4 7 A D 5 d G Z g s i k / Q T h B N J i G P N u 1 K J O I Q W g h i 5 U F 8 u k N C R J P K V 8 x R S 3 N s Q X 3 w q t S M h u p u n Z P C w Y 1 G w d n A D 1 k v q P Z b s Z C Q F Q D 7 S e X m G M g D M m H W 9 2 L A / L u l l A D G y Q D 4 Y j s 7 s p o 8 y n R z t J A i i j H j S m Y d i C N 5 i i j q P I t g H M 9 C O y F t N B Z r J + S d P L V w I 1 C v g m 8 h S s j 7 I h U J h S Y 3 + t n 5 U l 4 D 1 0 + 5 I 5 X A q m A s 8 z i 5 L V O a L y j 5 O R + b a E v P G f z u c U h m W l S D / Z 1 Y P b y 1 L U u b m t V + i X J R J e I 4 Z D J a S m k i n a f F J p U i k D 5 H m 3 i F n B q n Q n n H G 7 F k w 6 k L X p a a 0 V B A S 1 z 1 9 h m x s Z 6 6 0 p W e K O + 6 h t Z 4 S Z t 0 A O Y L 9 j a z 7 5 G d p K n k 0 v f G m H P V g I 6 L S m A O n h D J I p A x 5 R w i K c 1 k z j H a y B w r a S O c V 9 B k Y l L l J Z 6 j T R s 7 9 L f V B r y 9 p 0 S F N H E L L D c d h Y D W C y 1 j h f m 3 n m C 6 r j F z / W h f p m z j S + y 0 h C 3 H f r A / Q t v a l 9 b o e C w n N v A E C d 1 g P 3 x O 3 X e 1 j 2 A Z m R A a A Y l 0 X J F E x 7 U 2 s u O G R E j L b r E 6 j r x T b x 1 z r Q t e F f F J a 0 t Q A K o l g z l g 8 2 m 9 D f h C Q 0 G w H B 5 m m A 0 8 T R 5 + F a b x L B d Y a Y s l J X v i 9 3 W O B h O o u 9 H Z D h u C 8 a T d n W k h h E 2 m U p o J J G T R x w p F k A d l p t I g D e L G h F d k M n E 1 B Q n H F p a / t 6 V m f C g j W 3 t N I e h W D I W E F l M X 9 H r B 2 d 0 p 0 V C Y S F v 5 l A 4 b w a V 2 X n F B T 2 e L + G H o 0 D B 7 R p S T S Z H G i K R B l F K a y 8 U c L 2 k m d Z 7 S R o Z Y m k Q 6 N N 3 k Q j a W / / Q 3 P + a r c a 8 H X p W a 8 q F K 0 K 2 d M g 9 U 4 X B R 4 8 C 6 0 F I v b 8 Q y c r V e a b G u c s D n W 3 k R z y f U I 3 o w X o V d j b A L L a A I A a I o U q W z m l z I B 3 n k O M r G h C w l z a T T W u S h A C x Y v g E t K l a H R S q Y 9 q F V N A b P G z X l Q x n p 2 4 D H h e p C M O a f t J 5 8 v M 4 B r W F 2 a F 2 K T L g n q 0 E s v n A j F P N Z C P G c W 5 A m 5 M 9 T a w N M w X I y S Q M n a R b R Q J V x D j m e Y 9 n U D L P R a C i 1 H g p l + 9 b Z E 6 5 l 7 3 W p Q R + K K I I F o m j 5 5 O a b V g 1 m j z J J 6 l l L Y c d X M 0 F 1 K W A f i N U g E s F E X N v E M y F 8 H 7 7 v Y t Y p O b Q h R T s 7 F C m Q L t N S O L e U z n P r z S H y J B 9 h j h J J 5 U / J 4 k J o K u k u z 1 F f 3 w b X s v e 6 1 J w P Z W T n 5 p A U D F o 1 F E C Z + c c F X i / A r 8 U W X f B l M I c O C w 2 X C / M Q 7 J V A C C M k s K U i j z U U t B S W X C D d E 8 9 S J J C n Y G m m A 4 h l 4 i y a Q G E / k 6 W U p x p B L C 4 U I k k a Z Z i h n / z s D F / J w j K v B a l N H 4 o h d U W 0 l F M 4 E k q B q Z a y V o F 5 d z A d s L 0 X Z j h g i y 7 4 M k c 2 u c 2 h q 4 5 E Y v H N / S s B L Z R M z p c 0 k 9 F K C 0 X d Y 4 g h Y D J T p H R O 5 X F B l B o 3 Q y a E M 6 K N E F e N H x r B j C a T 0 V L o j O j o a N V X V H u o S R / K y L 5 d b J q w D 6 W 0 k 6 O p U H i m Q t Q a M P s b i w n R 4 Y D x J T P d Z z W Y m 5 n R s a V h 7 l V q 3 i G U E A a k Q C j E Q K j S h i T q n D x t b k m X C A T f C H E p C y G f N s v l P S g j E 5 a T q c B l + N e / / p l r W d e K 1 K y G M s D e 2 C g U u 4 B E u P B g d n i d V F i f h L L A T G 5 0 V V e O J z 0 J o r G Y j l W H I Y 8 h U H N r W y k u w p W / k l Q q D i K p E C b g x q a M P q 7 O U Q Q q f x 9 M u x K J t L + k f C c l m E v Y 0 O D t b c K W A l s W t f 2 3 f 3 e j a C m b V G g x T W h a S C 8 T S z 2 V c G X m 3 H L A n o 2 O u c M m k h H A E K g k l r 8 E K R F L t B U I h / u d p 5 d 6 U j r f k I n P k 3 L R o a R Z g 2 l i i W h S Q T v 9 + u 9 + Z Z V s b f 7 V v I Y C t m + O c e G o L l e n g L g A J a 4 L V E j l P b 8 K T 2 j H 8 5 e e B i K + 6 p / r k K m c U I o Q S i s 5 G g l E U K R C X i k U 4 X h O h f F Q j o X v f Y l I f P / l H I R G H N N c n v S O n Y 0 4 T 3 r 1 6 q B 3 t q Z 9 K C O N j U H l C B s i l Q o R F Q I t o z M u o j o r o K 2 8 o b E w B + 9 p o a n F f e v k E n F w P z C G p I k 1 P T X J 9 0 w f 0 6 E h k N E u D r m Q j / u s 8 h D P 8 T 2 f n t f v N 8 d 0 e f C L N G 4 i a P y E T G g E s 3 L s n R + f d i 3 b W p O 6 0 F D A K w f b x f Q z h a Q 0 E w i G g k W e q h D K D E Q l 4 j f J y / M D V s s O z q y 8 a 3 t 5 w G / D 5 F X H R 4 I o A p h K r 0 S R K E + h U F h C Y 9 7 Z 5 B J i C Z F U 3 M n T + a y l Z p M 4 F 2 n d m F l h J o s y Q F r t u a c I p b Y K + / t / + m t 1 y X W A m v e h 7 L 9 t f Y 1 c e L q w d O E h L i 2 r k E q b I U I 2 F j 1 A a V p p f t G 3 5 d k A C / + w b T O 2 c F 4 r G O K Y w V g n r Y k A g i D O k p y f p 5 n p a Z q d n a a h R w 9 p L j F L W a 7 s y f k E p d P w h z R Z Q B L 9 f m X e K d K Y B g q a C X k D 4 z 4 n X / L U f Y Z p J / d b N J Q u G y F T h o 4 e P c i V E I Z S f f z V j Y Y C 2 t s a Z G c e V X A o M F W o q h B V S y n k k o q C t O r e V X v E K V J B n h U S G b / M F r + h H y W 6 V j C / w S a T L a J 5 W I K h k P Q E N j T E q L N 7 A z U 2 t f C 7 f B Q M h m m e y e a Q S d 0 r p d 3 V v V P H W L T / h P G r s T l 8 v r n P O Y o G H T K h H G Q n W J Q F h 9 j A M h w K 0 p F j t b H 5 y n L h u 3 D n 4 b N t l p 8 B L l 4 e 5 F 8 W J F 8 g S A E W 7 F n n 9 7 N w 6 P P 7 V R y t I s c l j T g 7 x D K R V E I l z w o / 3 J U q P a t p J X A j v y H R 3 O w M x e K N p b S b K C 3 G J E D a x N H A c B p m m e z W q / N K w u R R p F Q E g 5 b D P c Z D B S 4 P B B S Z h H R o y B S x h E y y E 6 w i F b Z V 5 l a P / v F / / l p f d f 2 g r j S U w b G j v V y o a B l V a + h o K q 2 h k J a W V L W m q s V F B c E s Z 9 U K Q 0 z F e 9 r 4 / H 7 1 7 m 1 z D d X E r u z G 9 4 F M T U 6 U H b P F a B 5 V 8 Q v 0 c N K n 4 7 g H + j g T b G 5 u l u Y T c 0 w C E A L b I i t N r 8 7 D v Y O W w 5 b L R S Y T H u i g 7 7 O + 1 y Z e S a Y C a 6 m / + 8 f 6 8 Z t s o E n m o L 4 E m u b V I x u l 4 K R g j a l h + V d C K o S o W A i l g q j K o v K U q N 5 B j n M o 5 q F t G k L W A N g P 4 v H s 8 j o n b C L Z c R F c P 4 c g h J h s J l / n G T G / R x 3 P 0 4 Z G v j / 6 v S A J f C r + Z I p E I k I Y u Q f 4 H h a c h 5 k Q J V + K 7 + M V T S a 5 j 8 i T T g f c d 7 U 3 u U O m j J T J b / 7 h P 0 s H i F v Z 1 b r 4 L t 5 5 V H c m n 8 H Y e I J u 3 B 5 j c 8 o y / 2 D u w c y D + e c z J i B M P h M a k 6 / C / E O I D 0 U c N 0 4 l 8 K J f N a z 8 l Q I z J S o B w s h j a 4 K K P F J Y C F n M c U c 4 j T M 4 g s q O 6 0 Y + i I A 8 p 6 N C E c Q x 8 5 w 8 E A 1 m X D g c k b i Y f E J C J c q P U n n 4 j s E p o v 5 x d M W r B s g Q C 6 E Q C g 2 Y E C t N E X + a j p 0 6 S f s P 7 J Z r r 0 f U p c l n 0 N k R p 2 g Y r S e b f 6 X W U m k o M 1 q v W l W r E q B S c O V Q m 4 S g 8 m j h f F S k k p a y 4 1 J J b X H L q 5 T y c 7 h K a o 2 x U L D u C N c l a a m 0 K i 7 X a v J F 1 H U i D x + p N J L J 0 8 d Z J C 7 v c / L l X N Y 6 I A q 0 h 3 w 2 8 k u 9 e r o 3 D 2 k W 3 D / M F O 8 f Z x K a + 6 f J o w j E G q k U T 3 O Y o b b W 1 r o m E + C 7 e L d + N Z T B l a s D N J f I i Z a C t s K y B p 9 o K t 1 R Y b Q T t B X H p b M C G k m k Q l O J d o L g k / k F c Y n q E F A H B S b X u c k u t 1 t n Y T 9 1 P D o U U C R T M H E h n 4 o I Y f B G Q 0 i k S 3 G c x S F W 1 C Y y a n t l p Y 0 g T C A O s 3 w s 4 A e Z d B 6 H 0 E b w m b A e S t I l o o L s i m w S Z 3 J d f o B H h C p S K s J a j V I W o U M s k G n v t n Y 6 8 7 O / w E X X N Z h Q g 6 q 0 6 h z n z 9 9 h X 6 U g h F J E U q E Q K 2 C I p M x B I U y J V C o E S S Q N g u g 4 o E K k J Y W X s n g Z T F b V O 1 6 U n Y e 6 s L u T J N W J I I I J T T 6 y J C X x I o 3 N + W k 8 4 Z P V v H P o R N P 5 8 t 5 S v E D 7 u 1 l T R K H B F I n u j P l p W x t r c E 6 D d C A O Q p t M i l A c i t Y q a M 2 E V d N a y 7 G 2 w o w U I Z P 2 n U A o Y x F s 3 9 R K 7 / 7 q F / I b 6 h 2 + S + u E U M A X 5 2 9 T M s 2 + B U g l X e k m h I Y y / h Q 0 F g g C g h l S 6 b S O g x k q 4 B A s k V C l J Z A 8 i W q U J S p g 3 X 6 O v r J J V X h J y i E m g k 6 U 0 h w i d 5 6 J c 2 E g z G l k I A f H d N y k m R x y N o e G V K e 2 p S S 8 c D 8 k B G v A 8 2 6 F Y E y W R w + p v a t b f o M i k q O Z R k c e k y / a S T e H M Y C L v A r N Z J E J T x 5 E f N e W N j r 3 y / V B J m B d E Q q 4 e O k 2 z S a y X P c 1 m Y R Q l g k I E g m R l B i N B b I 4 5 A J B d I g 0 P l h C p J G Q o y Z i X h a B K o K m c I G O m l n n k g U C Y P Z 3 U R 5 m h q d m g B S Y Y Y F j d 8 a w i Y k i C k 6 U A G + U O M T x 0 + y 8 l 3 r S d G 0 w S N F Q n h J M y t e 2 q F n i 6 C Z v a I g K u d B F L t O F m C T y a / g + Z N n E + / I h x p p s z Q T C w S e F n w p i K c 1 U L G S p v a O D / u a / / h w / Z N 3 A d + n e + i I U M D 4 + K 3 6 V 4 0 f B / A O R E L d 8 K t F S X J k 0 u c o I Z e I g i 4 Q M 5 E t g E c j k y W t 1 S C F w h c e a o O O b 0 6 p X j 7 P O 9 4 f Z V N X H Q R c h h 8 T k f B U i q o 8 h x 8 Q l r O w g 0 W k m U G O Y C c X 8 P b w x 5 T x G R k J 0 N I A 0 y t S D z z Q 5 M U a 3 p j s 1 g Y x m U q H y l 3 T I J G w I 5 u j 1 t 9 6 k f Q d 2 y V W v J z C h h l A K 6 w 7 D w 1 P 0 9 b X 7 X N / R p W 6 0 E 0 Q T S 0 J N J A 7 h Y 4 E c N q k U c X S I N D 5 Y 8 i Q X L x J z X h m l C M O 6 8 0 4 U R D A x E 5 c Y B 1 b I I v k S I F / n 6 W O O F K w 8 R S b j L 0 m a C X N s c 0 r m 7 4 W l M 4 I J p c k E G Z k t 0 j 3 2 s 9 Q 2 X 8 h z M f O Q x j g T a 6 l G a N l T b 9 B L h / b g S t c d 1 i 2 h A F S Y D z / 8 i u 8 C S K N M Q C E T p 4 2 m M m R y N J U T 8 o t K g y W S B F s U Y 1 R c Q 8 5 Z G q o g Q A q J M F D p y 0 P 1 j x d 5 V a H E V V h K a 2 H G W G m H S G o c C s d A u A K 1 R P L U 3 J C j h k C O v h k K S D i X Q u e E M u 9 K Z h 5 C I R T i 0 E w s Q q g s 9 T Q X 6 R f / 7 b + v a n P N e o H v 8 j o m l M F 7 7 1 2 i A o E 0 0 E y s s b S G U r 6 V Z f 6 B G B J X J E I c B B L y a N K Y O C A 5 K s o o R c x h r s h l A c O K S d S c w J W / F H J M / v H C r z h R p 9 1 J B L H S Q i K V h w Z F k Q w E 0 y H y J C w n k j H v J E S P H v w n T a a g L 8 s k a q B / + B / 1 N z d v p X h B K I 1 v v r l H 9 x + M c W V n M p U 0 F e I g k C K W I Z R o L E 0 c R 2 v h U x A i 4 q Q V j z i N w E A d t K B I Y a C i J g + V v z L U Z y A E O U w e 4 m V i y G P F S y Q y p p 9 K K y L l a U d 7 h g m S o 4 A v T 1 c e B B x S M X F U j x / I p L U S a y h o t t 7 t e + m H 5 9 6 U a 1 r v 8 F 3 u f 6 x K 5 w U o n c r Q B x 9 e 5 p g m k G g q p a 0 Q B 3 m U t m K C I B T C K B I Z k b T J x 4 c i T 0 O R b X G g 0 j s A E V S o / u 0 Q x x D T e Z K 2 / S V b Q B o d C o H U O J N J l 7 R S M S 8 b V 8 J X u v K Q / S a t n Y x m c v w m t S Q j H A 7 R f / n N r 6 i 5 p U m u 9 g W 4 j F 8 Q a i E + / u g S z S X S T B o 2 / 6 C B N L F E O w m h L F I h N B o L V J K 0 I o 4 J O a L I p V 9 N s A C l k u D K r w I r r g 6 C D J K H E P 8 g S i m t Q o d A F X F N I l c y i W D A l w m E K U j Q R k Y j G T J p I u F n d X R 0 0 N / + 5 p d y T S / g 4 A W h q g A m 0 b / 9 2 2 d c V U E Q b Q K C Q E I i x w R 0 e v 8 M u b i 2 m Z B R C s E i i a r 0 4 l B F w h x Q c f k 3 e U g g p U N 9 r J S / g E A 6 b g i k w x K x N J G U c F x r J U c j I V Q m H k x C z E D / + 3 / 6 W 9 Z O m C 3 + A u U g + v + k R E n l v s v d m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 G u i d = " 5 c c 3 b 4 c 9 - 9 3 5 2 - 4 1 9 f - a 8 5 d - 6 4 4 1 6 b 7 b f 9 2 9 "   R e v = " 1 "   R e v G u i d = " 8 b b a 8 6 1 9 - 8 0 6 b - 4 3 e c - a 7 1 7 - 9 2 7 5 4 f 2 0 f 6 a 0 " 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F1CA914-7589-4960-8EAB-76714E6440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A431A9D-28B4-4E0C-8422-AC1ED5C24AC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SELECCIONADO</vt:lpstr>
      <vt:lpstr>FIGURE</vt:lpstr>
      <vt:lpstr>ANALYSIS</vt:lpstr>
      <vt:lpstr>TABLES</vt:lpstr>
      <vt:lpstr>ANALYSIS!_Hlk173620855</vt:lpstr>
      <vt:lpstr>ANALYSIS!Print_Area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Liendro</dc:creator>
  <cp:lastModifiedBy>Franklin Liendro</cp:lastModifiedBy>
  <cp:lastPrinted>2024-08-08T11:00:08Z</cp:lastPrinted>
  <dcterms:created xsi:type="dcterms:W3CDTF">2024-06-07T09:20:44Z</dcterms:created>
  <dcterms:modified xsi:type="dcterms:W3CDTF">2024-11-29T14:40:53Z</dcterms:modified>
</cp:coreProperties>
</file>