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1F5AA85-166E-443C-85EA-070DA6F79E81}" xr6:coauthVersionLast="47" xr6:coauthVersionMax="47" xr10:uidLastSave="{00000000-0000-0000-0000-000000000000}"/>
  <bookViews>
    <workbookView xWindow="-120" yWindow="-120" windowWidth="21840" windowHeight="13740" tabRatio="765" activeTab="6" xr2:uid="{98A4EE3A-C793-407F-919A-646A538D571E}"/>
  </bookViews>
  <sheets>
    <sheet name="Taux" sheetId="1" r:id="rId1"/>
    <sheet name="Data" sheetId="2" r:id="rId2"/>
    <sheet name="RACAP PAR PROVINCE" sheetId="3" r:id="rId3"/>
    <sheet name="RECAP PAR PROJET" sheetId="4" r:id="rId4"/>
    <sheet name="Bulletin de Paie Cat 4" sheetId="5" r:id="rId5"/>
    <sheet name="Bulletin de Paie Cat 3" sheetId="6" r:id="rId6"/>
    <sheet name="Feuil2" sheetId="7" r:id="rId7"/>
  </sheets>
  <externalReferences>
    <externalReference r:id="rId8"/>
    <externalReference r:id="rId9"/>
    <externalReference r:id="rId10"/>
  </externalReferences>
  <definedNames>
    <definedName name="ListeA02">[1]Cheklist!$A$5:$O$55</definedName>
    <definedName name="MatrFiche">[1]Fiche_Impôt!$G$11</definedName>
    <definedName name="Mois">[1]Pointage!$D$4</definedName>
    <definedName name="MoisConsul">[1]Fiche_Impôt!$F$5</definedName>
    <definedName name="Projet">[1]Pointage!$T$3</definedName>
    <definedName name="TauxCDF">[1]Pointage!$T$7</definedName>
    <definedName name="TX_INPP">[1]Pointage!$Z$3</definedName>
    <definedName name="TypeContrat">[2]Personnel!$AJ$1:$AJ$4</definedName>
    <definedName name="Year">[1]Pointage!$W$3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7" l="1"/>
  <c r="J18" i="7"/>
  <c r="C6" i="7"/>
  <c r="C5" i="7"/>
  <c r="C4" i="7"/>
  <c r="B13" i="7"/>
  <c r="B12" i="7"/>
  <c r="B21" i="7"/>
  <c r="B20" i="7"/>
  <c r="B19" i="7"/>
  <c r="D36" i="7" s="1"/>
  <c r="B15" i="7"/>
  <c r="E11" i="7" s="1"/>
  <c r="B14" i="7"/>
  <c r="H31" i="7"/>
  <c r="B35" i="7"/>
  <c r="A35" i="7"/>
  <c r="A34" i="7"/>
  <c r="A28" i="7"/>
  <c r="A27" i="7"/>
  <c r="A26" i="7"/>
  <c r="A25" i="7"/>
  <c r="L9" i="7"/>
  <c r="L8" i="7"/>
  <c r="L7" i="7"/>
  <c r="L6" i="7"/>
  <c r="L5" i="7"/>
  <c r="L4" i="7"/>
  <c r="L3" i="7"/>
  <c r="D36" i="6"/>
  <c r="J27" i="6"/>
  <c r="E11" i="6"/>
  <c r="E14" i="6" s="1"/>
  <c r="B25" i="6" s="1"/>
  <c r="L9" i="6"/>
  <c r="L8" i="6"/>
  <c r="L7" i="6"/>
  <c r="L6" i="6"/>
  <c r="L5" i="6"/>
  <c r="L4" i="6"/>
  <c r="L3" i="6"/>
  <c r="B35" i="6"/>
  <c r="A26" i="6"/>
  <c r="A28" i="6"/>
  <c r="A27" i="6"/>
  <c r="A35" i="6"/>
  <c r="A34" i="6"/>
  <c r="A25" i="6"/>
  <c r="B30" i="5"/>
  <c r="D24" i="5"/>
  <c r="D32" i="5"/>
  <c r="B31" i="5"/>
  <c r="D31" i="5" s="1"/>
  <c r="D22" i="5"/>
  <c r="D23" i="5"/>
  <c r="D21" i="5"/>
  <c r="D25" i="5" s="1"/>
  <c r="D26" i="5" s="1"/>
  <c r="D52" i="5" s="1"/>
  <c r="E12" i="7" l="1"/>
  <c r="E14" i="7" s="1"/>
  <c r="B25" i="7" s="1"/>
  <c r="B28" i="7" s="1"/>
  <c r="D28" i="7" s="1"/>
  <c r="B16" i="7"/>
  <c r="D35" i="7"/>
  <c r="D25" i="6"/>
  <c r="B26" i="6"/>
  <c r="D26" i="6" s="1"/>
  <c r="D35" i="6"/>
  <c r="B27" i="6"/>
  <c r="D27" i="6" s="1"/>
  <c r="E27" i="5"/>
  <c r="D30" i="5"/>
  <c r="B27" i="7" l="1"/>
  <c r="D27" i="7" s="1"/>
  <c r="B26" i="7"/>
  <c r="D26" i="7" s="1"/>
  <c r="D25" i="7"/>
  <c r="B34" i="7" s="1"/>
  <c r="D34" i="7" s="1"/>
  <c r="B28" i="6"/>
  <c r="D28" i="6" s="1"/>
  <c r="B34" i="6"/>
  <c r="D34" i="6" s="1"/>
  <c r="G31" i="5"/>
  <c r="H31" i="5" s="1"/>
  <c r="I31" i="5" s="1"/>
  <c r="J31" i="5" s="1"/>
  <c r="K31" i="5" s="1"/>
  <c r="G30" i="5"/>
  <c r="H30" i="5" s="1"/>
  <c r="I30" i="5" s="1"/>
  <c r="J30" i="5" s="1"/>
  <c r="K30" i="5" s="1"/>
  <c r="G27" i="5"/>
  <c r="H27" i="5" s="1"/>
  <c r="I27" i="5" s="1"/>
  <c r="J27" i="5" s="1"/>
  <c r="K27" i="5" s="1"/>
  <c r="D28" i="5" s="1"/>
  <c r="G28" i="5"/>
  <c r="H28" i="5" s="1"/>
  <c r="I28" i="5" s="1"/>
  <c r="J28" i="5" s="1"/>
  <c r="K28" i="5" s="1"/>
  <c r="G29" i="5"/>
  <c r="H29" i="5" s="1"/>
  <c r="I29" i="5" s="1"/>
  <c r="J29" i="5" s="1"/>
  <c r="K29" i="5" s="1"/>
  <c r="B52" i="5"/>
  <c r="D29" i="7" l="1"/>
  <c r="D30" i="7" s="1"/>
  <c r="D29" i="6"/>
  <c r="D29" i="5"/>
  <c r="D33" i="5" s="1"/>
  <c r="E48" i="5" s="1"/>
  <c r="C52" i="5"/>
  <c r="D46" i="7" l="1"/>
  <c r="D31" i="7"/>
  <c r="I31" i="7" s="1"/>
  <c r="D30" i="6"/>
  <c r="D31" i="6" s="1"/>
  <c r="L12" i="3"/>
  <c r="D10" i="3"/>
  <c r="M8" i="3"/>
  <c r="G35" i="3" s="1"/>
  <c r="N10" i="4"/>
  <c r="D8" i="4"/>
  <c r="O6" i="4"/>
  <c r="D4" i="4"/>
  <c r="D3" i="4"/>
  <c r="D2" i="4"/>
  <c r="J31" i="7" l="1"/>
  <c r="L31" i="7" s="1"/>
  <c r="M31" i="7" s="1"/>
  <c r="E32" i="7" s="1"/>
  <c r="D46" i="6"/>
  <c r="I33" i="6"/>
  <c r="J33" i="6" s="1"/>
  <c r="K33" i="6" s="1"/>
  <c r="L33" i="6" s="1"/>
  <c r="M33" i="6" s="1"/>
  <c r="I35" i="6"/>
  <c r="J26" i="6" s="1"/>
  <c r="I32" i="6"/>
  <c r="J32" i="6" s="1"/>
  <c r="K32" i="6" s="1"/>
  <c r="L32" i="6" s="1"/>
  <c r="M32" i="6" s="1"/>
  <c r="I34" i="6"/>
  <c r="J25" i="6" s="1"/>
  <c r="I31" i="6"/>
  <c r="A8" i="3"/>
  <c r="A8" i="4"/>
  <c r="A6" i="4"/>
  <c r="B8" i="4"/>
  <c r="J34" i="6" l="1"/>
  <c r="K34" i="6" s="1"/>
  <c r="L34" i="6" s="1"/>
  <c r="M34" i="6" s="1"/>
  <c r="J35" i="6"/>
  <c r="K35" i="6" s="1"/>
  <c r="L35" i="6" s="1"/>
  <c r="M35" i="6" s="1"/>
  <c r="J23" i="6"/>
  <c r="J31" i="6"/>
  <c r="K31" i="6" s="1"/>
  <c r="L31" i="6" s="1"/>
  <c r="M31" i="6" s="1"/>
  <c r="D32" i="6" s="1"/>
  <c r="J24" i="6"/>
  <c r="J22" i="6"/>
  <c r="C42" i="4"/>
  <c r="F42" i="4"/>
  <c r="D33" i="6" l="1"/>
  <c r="D37" i="6" s="1"/>
  <c r="C46" i="6"/>
  <c r="B46" i="6" s="1"/>
  <c r="N42" i="4"/>
  <c r="J42" i="4"/>
  <c r="K42" i="4"/>
  <c r="D42" i="4"/>
  <c r="M42" i="4"/>
  <c r="G42" i="4"/>
  <c r="E42" i="4"/>
  <c r="I42" i="4"/>
  <c r="L42" i="4"/>
  <c r="H42" i="4"/>
  <c r="D33" i="7" l="1"/>
  <c r="D37" i="7" s="1"/>
  <c r="E42" i="7" s="1"/>
  <c r="C46" i="7"/>
  <c r="B46" i="7" s="1"/>
  <c r="O42" i="4"/>
  <c r="E4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benoit.nlandu</author>
    <author>Nicole AWOYI</author>
  </authors>
  <commentList>
    <comment ref="A3" authorId="0" shapeId="0" xr:uid="{7FFAC297-C517-4976-AF33-41B134C87F12}">
      <text>
        <r>
          <rPr>
            <b/>
            <sz val="8"/>
            <color indexed="81"/>
            <rFont val="Tahoma"/>
            <family val="2"/>
          </rPr>
          <t>benoit.nlandu:</t>
        </r>
        <r>
          <rPr>
            <sz val="8"/>
            <color indexed="81"/>
            <rFont val="Tahoma"/>
            <family val="2"/>
          </rPr>
          <t xml:space="preserve">
Evitez de supprimier ou d'ajouter des lignes-colonnes sur cette feuille</t>
        </r>
      </text>
    </comment>
    <comment ref="CU6" authorId="1" shapeId="0" xr:uid="{4AEC76B1-3A2B-428E-A015-1BC2DEB9482F}">
      <text>
        <r>
          <rPr>
            <b/>
            <sz val="9"/>
            <color indexed="81"/>
            <rFont val="Tahoma"/>
            <family val="2"/>
          </rPr>
          <t>Nicole AWOYI:</t>
        </r>
        <r>
          <rPr>
            <sz val="9"/>
            <color indexed="81"/>
            <rFont val="Tahoma"/>
            <family val="2"/>
          </rPr>
          <t xml:space="preserve">
Date d'édition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Nicole AWOYI</author>
  </authors>
  <commentList>
    <comment ref="C10" authorId="0" shapeId="0" xr:uid="{80BF9D73-E462-4285-B517-467A1BEABD7B}">
      <text>
        <r>
          <rPr>
            <b/>
            <sz val="9"/>
            <color indexed="81"/>
            <rFont val="Tahoma"/>
            <family val="2"/>
          </rPr>
          <t>Nicole AWOYI:</t>
        </r>
        <r>
          <rPr>
            <sz val="9"/>
            <color indexed="81"/>
            <rFont val="Tahoma"/>
            <family val="2"/>
          </rPr>
          <t xml:space="preserve">
Il s'agit de l'éffectif enregisté dans la liste des agents Enabel</t>
        </r>
      </text>
    </comment>
    <comment ref="D10" authorId="0" shapeId="0" xr:uid="{B881E815-8F0A-405E-B7F1-D35E99C44D62}">
      <text>
        <r>
          <rPr>
            <b/>
            <sz val="9"/>
            <color indexed="81"/>
            <rFont val="Tahoma"/>
            <family val="2"/>
          </rPr>
          <t>Nicole AWOYI:</t>
        </r>
        <r>
          <rPr>
            <sz val="9"/>
            <color indexed="81"/>
            <rFont val="Tahoma"/>
            <family val="2"/>
          </rPr>
          <t xml:space="preserve">
Effectif déjà payé</t>
        </r>
      </text>
    </comment>
  </commentList>
</comments>
</file>

<file path=xl/sharedStrings.xml><?xml version="1.0" encoding="utf-8"?>
<sst xmlns="http://schemas.openxmlformats.org/spreadsheetml/2006/main" count="492" uniqueCount="264">
  <si>
    <t>Matricule</t>
  </si>
  <si>
    <t>mois</t>
  </si>
  <si>
    <t>Nom &amp; Postnom</t>
  </si>
  <si>
    <t>Prénom</t>
  </si>
  <si>
    <t>Date congé D</t>
  </si>
  <si>
    <t>Date congé R</t>
  </si>
  <si>
    <t>HrsSupp130</t>
  </si>
  <si>
    <t>HrsSupp160</t>
  </si>
  <si>
    <t>HrsSupp200</t>
  </si>
  <si>
    <t>Log</t>
  </si>
  <si>
    <t>Trans</t>
  </si>
  <si>
    <t>Autres avantages</t>
  </si>
  <si>
    <t>AllFam</t>
  </si>
  <si>
    <t>Brut</t>
  </si>
  <si>
    <t>Pécule congé</t>
  </si>
  <si>
    <t>Ipr</t>
  </si>
  <si>
    <t>Inss</t>
  </si>
  <si>
    <t>Qzaine</t>
  </si>
  <si>
    <t>Retenues</t>
  </si>
  <si>
    <t>Net</t>
  </si>
  <si>
    <t>Taux</t>
  </si>
  <si>
    <t>Devise</t>
  </si>
  <si>
    <t>Tauxusd</t>
  </si>
  <si>
    <t>Tauxcdf</t>
  </si>
  <si>
    <t>Février</t>
  </si>
  <si>
    <t>Mars</t>
  </si>
  <si>
    <t>Avril</t>
  </si>
  <si>
    <t>Mais</t>
  </si>
  <si>
    <t>Juin</t>
  </si>
  <si>
    <t>Juillet</t>
  </si>
  <si>
    <t>Août</t>
  </si>
  <si>
    <t>Janvier</t>
  </si>
  <si>
    <t>Mois</t>
  </si>
  <si>
    <t>Taux cdf</t>
  </si>
  <si>
    <t>Clôture de</t>
  </si>
  <si>
    <t>Annuel</t>
  </si>
  <si>
    <t>Charges patronales</t>
  </si>
  <si>
    <t>Retenues Employées</t>
  </si>
  <si>
    <t>Mensuel</t>
  </si>
  <si>
    <t>Cumul payé</t>
  </si>
  <si>
    <t>Type RECAP :</t>
  </si>
  <si>
    <t>TAUX CDF</t>
  </si>
  <si>
    <t>CDF</t>
  </si>
  <si>
    <t>Effectif
DOP</t>
  </si>
  <si>
    <t>Effectif
Data</t>
  </si>
  <si>
    <t>Bases de Calculs (Assiètes)</t>
  </si>
  <si>
    <t>Total INSS</t>
  </si>
  <si>
    <t>Total IPR</t>
  </si>
  <si>
    <t>ONEM</t>
  </si>
  <si>
    <t>TOTAL</t>
  </si>
  <si>
    <t>INSS</t>
  </si>
  <si>
    <t>IPR</t>
  </si>
  <si>
    <t>INPP</t>
  </si>
  <si>
    <t>INSSqpo</t>
  </si>
  <si>
    <t>INSSqpp</t>
  </si>
  <si>
    <t xml:space="preserve">Code Projet débiteur </t>
  </si>
  <si>
    <t>Acronyme ou nom du projet</t>
  </si>
  <si>
    <t>Effectif</t>
  </si>
  <si>
    <t xml:space="preserve"> Province </t>
  </si>
  <si>
    <t>DATA PAIE</t>
  </si>
  <si>
    <t>Annnee</t>
  </si>
  <si>
    <t>NBRE</t>
  </si>
  <si>
    <t>Catégorie</t>
  </si>
  <si>
    <t>Régul IPR</t>
  </si>
  <si>
    <t>Province</t>
  </si>
  <si>
    <t>Centre_Projet_Mois</t>
  </si>
  <si>
    <t>Province_Mois</t>
  </si>
  <si>
    <t>Centre_Impôt</t>
  </si>
  <si>
    <t>Dataengagement</t>
  </si>
  <si>
    <t>Fonction</t>
  </si>
  <si>
    <t>N°Téléphone</t>
  </si>
  <si>
    <t>MatriculeStatu</t>
  </si>
  <si>
    <t>Quater</t>
  </si>
  <si>
    <t>ONEM/CDF</t>
  </si>
  <si>
    <t>INPP/CDF</t>
  </si>
  <si>
    <t>Base imposable Préavis CDF</t>
  </si>
  <si>
    <t>Base Barémique</t>
  </si>
  <si>
    <t>Jour Congé</t>
  </si>
  <si>
    <t>Solde réconcil</t>
  </si>
  <si>
    <t>Congé Compensat</t>
  </si>
  <si>
    <t>13è Mois Preavis Temporis</t>
  </si>
  <si>
    <t>Prime d'ajustement</t>
  </si>
  <si>
    <t>Prime de fin Carrière</t>
  </si>
  <si>
    <t>Base de calcul Taux de Rattrapage</t>
  </si>
  <si>
    <t>NOP</t>
  </si>
  <si>
    <t>CNSS qpp</t>
  </si>
  <si>
    <t>Edité</t>
  </si>
  <si>
    <t>An/ Matricule /Mois</t>
  </si>
  <si>
    <t>Resno ou numéro GO4HR</t>
  </si>
  <si>
    <t>A02 ou Code Projet</t>
  </si>
  <si>
    <t>A03 ou Ligne Budgetaire</t>
  </si>
  <si>
    <t>Jours prestés</t>
  </si>
  <si>
    <t>Jours preavis</t>
  </si>
  <si>
    <t>Jours conge</t>
  </si>
  <si>
    <t>Jours CC</t>
  </si>
  <si>
    <t>Jours Malade</t>
  </si>
  <si>
    <t>Jours Feriés</t>
  </si>
  <si>
    <t>Jours non-prestés</t>
  </si>
  <si>
    <t>Jours Intérim</t>
  </si>
  <si>
    <t>Ancienneté Enabel</t>
  </si>
  <si>
    <t>Base Mois</t>
  </si>
  <si>
    <t>Base Maladie</t>
  </si>
  <si>
    <t>Base Congé de Circonstance</t>
  </si>
  <si>
    <t>Ancienneté Poste</t>
  </si>
  <si>
    <t>Base Congé</t>
  </si>
  <si>
    <t>Prime Rentree Scolaire</t>
  </si>
  <si>
    <t>Netarrondi USD</t>
  </si>
  <si>
    <t>Report Arrondi</t>
  </si>
  <si>
    <t>Base imposable IPR</t>
  </si>
  <si>
    <t>Base imposable CNSS</t>
  </si>
  <si>
    <t>Base IPR cdf</t>
  </si>
  <si>
    <t>Base CNSS cdf</t>
  </si>
  <si>
    <t>IPR cdf</t>
  </si>
  <si>
    <t>CNSS qpocdf</t>
  </si>
  <si>
    <t>CNSS qppcdf</t>
  </si>
  <si>
    <t>Année congé</t>
  </si>
  <si>
    <t>N° CNSS</t>
  </si>
  <si>
    <t>Type Contrat</t>
  </si>
  <si>
    <t>ONEM/USD</t>
  </si>
  <si>
    <t>INPP/ USD</t>
  </si>
  <si>
    <t>Base imposable Préavis USD</t>
  </si>
  <si>
    <t>Droit congé</t>
  </si>
  <si>
    <t>Année Encours</t>
  </si>
  <si>
    <t>Pécule Preavis Temporis</t>
  </si>
  <si>
    <t>Base Preavis</t>
  </si>
  <si>
    <t>Réf SDTC</t>
  </si>
  <si>
    <t>Log Preavis</t>
  </si>
  <si>
    <t>Trans Preavis</t>
  </si>
  <si>
    <t>All Preavis</t>
  </si>
  <si>
    <t>Statu MatrMois</t>
  </si>
  <si>
    <t>Projet/Année/Mois</t>
  </si>
  <si>
    <t>Etat Arrondis</t>
  </si>
  <si>
    <t>BULLETIN DE PAIE</t>
  </si>
  <si>
    <t>PROJET</t>
  </si>
  <si>
    <t>PROVINCE</t>
  </si>
  <si>
    <t xml:space="preserve">CODE NAVISION </t>
  </si>
  <si>
    <t>PERIODE</t>
  </si>
  <si>
    <t>Nom/Postnom/Prénom:</t>
  </si>
  <si>
    <t>Salaire de Base:</t>
  </si>
  <si>
    <t>$935,00</t>
  </si>
  <si>
    <t>ID GO4HR:</t>
  </si>
  <si>
    <t>Ancienneté Poste:</t>
  </si>
  <si>
    <t>$105,00</t>
  </si>
  <si>
    <t>Fonction:</t>
  </si>
  <si>
    <t>Ancienneté Enabel:</t>
  </si>
  <si>
    <t>$0,00</t>
  </si>
  <si>
    <t>Categorie:</t>
  </si>
  <si>
    <t>Salaire de Base Total:</t>
  </si>
  <si>
    <t>$1 040,00</t>
  </si>
  <si>
    <t>Categorie légale:</t>
  </si>
  <si>
    <t>Nbre d'enfants:</t>
  </si>
  <si>
    <t>N°CNSS:</t>
  </si>
  <si>
    <t>Date d'embauche:</t>
  </si>
  <si>
    <t>N°Impôt:</t>
  </si>
  <si>
    <t>Type de contrat:</t>
  </si>
  <si>
    <t xml:space="preserve">Temps </t>
  </si>
  <si>
    <t>Libellé</t>
  </si>
  <si>
    <t>Gains</t>
  </si>
  <si>
    <t>salaire de base total</t>
  </si>
  <si>
    <t>Jours Fériés (si prestés)</t>
  </si>
  <si>
    <t xml:space="preserve">Jours Maladies </t>
  </si>
  <si>
    <t>Heures Supp</t>
  </si>
  <si>
    <t>BRUT TOTAL</t>
  </si>
  <si>
    <t>CNSS</t>
  </si>
  <si>
    <t>BRUT IMPOSABLE</t>
  </si>
  <si>
    <t>NET</t>
  </si>
  <si>
    <t>Logement</t>
  </si>
  <si>
    <t xml:space="preserve">Transport </t>
  </si>
  <si>
    <t>Allocations Familliales</t>
  </si>
  <si>
    <t>NET TOTAL</t>
  </si>
  <si>
    <t>Net à Payer en $</t>
  </si>
  <si>
    <t xml:space="preserve">Calcul des retennues: </t>
  </si>
  <si>
    <t>Imposable</t>
  </si>
  <si>
    <t>Impot (IPR)</t>
  </si>
  <si>
    <t>Pour Acquit</t>
  </si>
  <si>
    <t>ISAMENE UMBA Wizani</t>
  </si>
  <si>
    <t>Cadres de collaboration ech 1-2 (cat VII)</t>
  </si>
  <si>
    <t>COD</t>
  </si>
  <si>
    <t>Comptable</t>
  </si>
  <si>
    <t>AVRIL</t>
  </si>
  <si>
    <t>MAI</t>
  </si>
  <si>
    <t>JUIN</t>
  </si>
  <si>
    <t>JUILLET</t>
  </si>
  <si>
    <t>AOUT</t>
  </si>
  <si>
    <t>BI * TAUX BCC</t>
  </si>
  <si>
    <t>Brut imposable CDF - Revenus par tranche en CDF de la tranche audessus</t>
  </si>
  <si>
    <t>Taux * Hi</t>
  </si>
  <si>
    <t>Ii - Impôt cumulé au dessus</t>
  </si>
  <si>
    <t>IPR = Ji / TAUX BCC</t>
  </si>
  <si>
    <t>NLENDA KASEKA</t>
  </si>
  <si>
    <t>Secrétaire-caissière</t>
  </si>
  <si>
    <t>Trav semi qualifié et qualifié (cat III-IV)</t>
  </si>
  <si>
    <t>Tranche</t>
  </si>
  <si>
    <t>Revenus par tranche en CDF</t>
  </si>
  <si>
    <t>Impôts par tranche</t>
  </si>
  <si>
    <t>Impôt cumulé</t>
  </si>
  <si>
    <t>Montant à Deduire</t>
  </si>
  <si>
    <t>Transport</t>
  </si>
  <si>
    <t>All/famiale</t>
  </si>
  <si>
    <t>1A</t>
  </si>
  <si>
    <t>1B</t>
  </si>
  <si>
    <t>Nbre Jour Fixé :</t>
  </si>
  <si>
    <t>Nbre Jour Présté :</t>
  </si>
  <si>
    <t>Nbre Jour Maladies :</t>
  </si>
  <si>
    <t>Heure Supplementaire :</t>
  </si>
  <si>
    <t>Heures Supplementaire</t>
  </si>
  <si>
    <t>Nbre Jour Férié :</t>
  </si>
  <si>
    <t>Jours</t>
  </si>
  <si>
    <t>Heures</t>
  </si>
  <si>
    <t>Salaire minimum</t>
  </si>
  <si>
    <t>Echelon annuel</t>
  </si>
  <si>
    <t>Anciennété Poste</t>
  </si>
  <si>
    <t>Sal de Total de base</t>
  </si>
  <si>
    <t>Catégorie légale</t>
  </si>
  <si>
    <t>Manœuvre et trav spec (cat I-II)</t>
  </si>
  <si>
    <t>Trav Hautement qualifié (cat V)</t>
  </si>
  <si>
    <t>Agent de Maîtrise (cat VI)</t>
  </si>
  <si>
    <t>Cadres de collaboration VII ech 3-4 (cat VII)</t>
  </si>
  <si>
    <t>Cadre de direction</t>
  </si>
  <si>
    <t>Brut imposable CDF - Revenus par tranche en CDF de la tranche au dessus</t>
  </si>
  <si>
    <t>BIEYA MBAKI</t>
  </si>
  <si>
    <t>BIEYA MBAKI Samuel</t>
  </si>
  <si>
    <t>Responsable Administratif et Financier</t>
  </si>
  <si>
    <t>Années</t>
  </si>
  <si>
    <t>Nom/Postnom</t>
  </si>
  <si>
    <t>Prénom:</t>
  </si>
  <si>
    <t>Samuel</t>
  </si>
  <si>
    <t>Queen-Anaya</t>
  </si>
  <si>
    <t>NZOIMBENGENE BADIKA</t>
  </si>
  <si>
    <t>David-Alexandre</t>
  </si>
  <si>
    <t>Coordinateur formation et développement des compétances</t>
  </si>
  <si>
    <t>ISAMENE UMBA</t>
  </si>
  <si>
    <t>Wizani</t>
  </si>
  <si>
    <t>KASONGO ELONGA</t>
  </si>
  <si>
    <t>Albert</t>
  </si>
  <si>
    <t>Chauffeur</t>
  </si>
  <si>
    <t>MASHALA ATANDJO</t>
  </si>
  <si>
    <t>Claude</t>
  </si>
  <si>
    <t>Nettoyeur</t>
  </si>
  <si>
    <t>EBELEZA BATUBI</t>
  </si>
  <si>
    <t>Roger</t>
  </si>
  <si>
    <t>Chauffeur protocole</t>
  </si>
  <si>
    <t>Date Entrée</t>
  </si>
  <si>
    <t>Grade Recru</t>
  </si>
  <si>
    <t>Enfants à charge</t>
  </si>
  <si>
    <t>CDI</t>
  </si>
  <si>
    <t>Anciennété poste accordée</t>
  </si>
  <si>
    <t>ID GO4HR</t>
  </si>
  <si>
    <t>Acronyme Projet</t>
  </si>
  <si>
    <t>KORLOM</t>
  </si>
  <si>
    <t>REPRESENTATION EN RDC</t>
  </si>
  <si>
    <t>COORDINATION HAUT-KAT-LUALABA</t>
  </si>
  <si>
    <t>Province
 de localisation</t>
  </si>
  <si>
    <t>KASAÏ ORIENTAL</t>
  </si>
  <si>
    <t>P ORIENTALE</t>
  </si>
  <si>
    <t>KINSHASA</t>
  </si>
  <si>
    <t>HAUT KATANGA</t>
  </si>
  <si>
    <t>A02 -  Code Navision réellement débiteur</t>
  </si>
  <si>
    <t>COD2299211SH2</t>
  </si>
  <si>
    <t>2180COD</t>
  </si>
  <si>
    <t>COD2299411SH4</t>
  </si>
  <si>
    <t xml:space="preserve">PROJET : </t>
  </si>
  <si>
    <t xml:space="preserve">PROVINCE : </t>
  </si>
  <si>
    <t xml:space="preserve">CODE NAVISION 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</si>
</sst>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_-* #,##0.0000_-;\-* #,##0.0000_-;_-* &quot;-&quot;??_-;_-@_-"/>
    <numFmt numFmtId="165" formatCode="00"/>
    <numFmt numFmtId="166" formatCode="dd\ \-\ mmm\ \-\ yyyy"/>
    <numFmt numFmtId="167" formatCode="#,##0.0000"/>
    <numFmt numFmtId="168" formatCode="#,##0.00\ _F"/>
    <numFmt numFmtId="169" formatCode="#,##0\ _F"/>
    <numFmt numFmtId="170" formatCode="#,##0.00_ ;\-#,##0.00\ "/>
    <numFmt numFmtId="171" formatCode="#,##0_ ;\-#,##0\ "/>
    <numFmt numFmtId="172" formatCode="_-* #,##0.00\ [$€-40C]_-;\-* #,##0.00\ [$€-40C]_-;_-* &quot;-&quot;??\ [$€-40C]_-;_-@_-"/>
    <numFmt numFmtId="173" formatCode="dd/mm/yy;@"/>
    <numFmt numFmtId="174" formatCode="_-[$$-409]* #,##0.00_ ;_-[$$-409]* \-#,##0.00\ ;_-[$$-409]* &quot;-&quot;??_ ;_-@_ "/>
    <numFmt numFmtId="175" formatCode="_-* #,##0.00\ _€_-;\-* #,##0.00\ _€_-;_-* &quot;-&quot;??\ _€_-;_-@_-"/>
    <numFmt numFmtId="176" formatCode="0.000000000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Garamond"/>
      <family val="1"/>
    </font>
    <font>
      <sz val="8"/>
      <name val="Garamond"/>
      <family val="1"/>
    </font>
    <font>
      <b/>
      <sz val="8"/>
      <color theme="9" tint="-0.499984740745262"/>
      <name val="Garamond"/>
      <family val="1"/>
    </font>
    <font>
      <b/>
      <sz val="10"/>
      <name val="Garamond"/>
      <family val="1"/>
    </font>
    <font>
      <sz val="8"/>
      <color indexed="9"/>
      <name val="Garamond"/>
      <family val="1"/>
    </font>
    <font>
      <sz val="6"/>
      <color rgb="FF0070C0"/>
      <name val="Garamond"/>
      <family val="1"/>
    </font>
    <font>
      <sz val="6"/>
      <color rgb="FFC00000"/>
      <name val="Garamond"/>
      <family val="1"/>
    </font>
    <font>
      <b/>
      <u/>
      <sz val="11"/>
      <name val="Garamond"/>
      <family val="1"/>
    </font>
    <font>
      <sz val="8"/>
      <color theme="0" tint="-4.9989318521683403E-2"/>
      <name val="Garamond"/>
      <family val="1"/>
    </font>
    <font>
      <b/>
      <sz val="9"/>
      <name val="Garamond"/>
      <family val="1"/>
    </font>
    <font>
      <b/>
      <sz val="8"/>
      <name val="Garamond"/>
      <family val="1"/>
    </font>
    <font>
      <b/>
      <sz val="9"/>
      <color rgb="FFC00000"/>
      <name val="Garamond"/>
      <family val="1"/>
    </font>
    <font>
      <b/>
      <sz val="9"/>
      <color rgb="FF0070C0"/>
      <name val="Garamond"/>
      <family val="1"/>
    </font>
    <font>
      <sz val="8"/>
      <color indexed="8"/>
      <name val="Garamond"/>
      <family val="1"/>
    </font>
    <font>
      <sz val="8"/>
      <color rgb="FF0070C0"/>
      <name val="Garamond"/>
      <family val="1"/>
    </font>
    <font>
      <sz val="8"/>
      <color rgb="FFC00000"/>
      <name val="Garamond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Garamond"/>
      <family val="1"/>
    </font>
    <font>
      <sz val="8"/>
      <color indexed="17"/>
      <name val="Garamond"/>
      <family val="1"/>
    </font>
    <font>
      <sz val="12"/>
      <name val="Garamond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theme="0"/>
      <name val="Garamond"/>
      <family val="1"/>
    </font>
    <font>
      <sz val="14"/>
      <color theme="0"/>
      <name val="Garamond"/>
      <family val="1"/>
    </font>
    <font>
      <sz val="14"/>
      <color indexed="18"/>
      <name val="Garamond"/>
      <family val="1"/>
    </font>
    <font>
      <sz val="11"/>
      <color rgb="FF000000"/>
      <name val="Calibri"/>
      <family val="2"/>
      <scheme val="minor"/>
    </font>
    <font>
      <b/>
      <u/>
      <sz val="14"/>
      <color rgb="FF000000"/>
      <name val="Arial"/>
      <family val="2"/>
    </font>
    <font>
      <b/>
      <u/>
      <sz val="12"/>
      <color rgb="FF000000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Garamond"/>
      <family val="1"/>
    </font>
    <font>
      <sz val="11"/>
      <color indexed="8"/>
      <name val="Garamond"/>
      <family val="1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  <font>
      <b/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2"/>
      <color rgb="FF00B0F0"/>
      <name val="Arial"/>
      <family val="2"/>
    </font>
    <font>
      <b/>
      <sz val="11"/>
      <color rgb="FF00B0F0"/>
      <name val="Arial"/>
      <family val="2"/>
    </font>
    <font>
      <b/>
      <sz val="11"/>
      <color rgb="FFFFC000"/>
      <name val="Arial"/>
      <family val="2"/>
    </font>
    <font>
      <b/>
      <sz val="11"/>
      <color rgb="FFFFC000"/>
      <name val="Calibri"/>
      <family val="2"/>
    </font>
    <font>
      <sz val="11"/>
      <color rgb="FFFFC000"/>
      <name val="Arial"/>
      <family val="2"/>
    </font>
    <font>
      <b/>
      <sz val="11"/>
      <color rgb="FFC00000"/>
      <name val="Arial"/>
      <family val="2"/>
    </font>
    <font>
      <b/>
      <sz val="12"/>
      <color theme="0"/>
      <name val="Garamond"/>
      <family val="1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72" fontId="37" fillId="0" borderId="0"/>
    <xf numFmtId="172" fontId="43" fillId="0" borderId="0"/>
    <xf numFmtId="172" fontId="1" fillId="0" borderId="0"/>
    <xf numFmtId="175" fontId="37" fillId="0" borderId="0" applyFont="0" applyFill="0" applyBorder="0" applyAlignment="0" applyProtection="0"/>
  </cellStyleXfs>
  <cellXfs count="276">
    <xf numFmtId="0" fontId="0" fillId="0" borderId="0" xfId="0"/>
    <xf numFmtId="0" fontId="2" fillId="4" borderId="1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left" vertical="center" indent="1"/>
      <protection hidden="1"/>
    </xf>
    <xf numFmtId="165" fontId="5" fillId="5" borderId="1" xfId="0" applyNumberFormat="1" applyFont="1" applyFill="1" applyBorder="1" applyAlignment="1" applyProtection="1">
      <alignment horizontal="center" vertical="center"/>
      <protection hidden="1"/>
    </xf>
    <xf numFmtId="166" fontId="3" fillId="0" borderId="1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horizontal="left" vertical="center" indent="1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10" fillId="0" borderId="0" xfId="0" applyFont="1" applyAlignment="1" applyProtection="1">
      <alignment vertical="center"/>
      <protection hidden="1"/>
    </xf>
    <xf numFmtId="165" fontId="5" fillId="5" borderId="1" xfId="0" applyNumberFormat="1" applyFont="1" applyFill="1" applyBorder="1" applyAlignment="1" applyProtection="1">
      <alignment horizontal="center" vertical="center" shrinkToFit="1"/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12" fillId="5" borderId="3" xfId="0" applyFont="1" applyFill="1" applyBorder="1" applyAlignment="1" applyProtection="1">
      <alignment horizontal="center" vertical="center" shrinkToFit="1"/>
      <protection hidden="1"/>
    </xf>
    <xf numFmtId="0" fontId="5" fillId="0" borderId="0" xfId="0" applyFont="1" applyAlignment="1" applyProtection="1">
      <alignment horizontal="right" vertical="center"/>
      <protection hidden="1"/>
    </xf>
    <xf numFmtId="167" fontId="5" fillId="0" borderId="0" xfId="0" applyNumberFormat="1" applyFont="1" applyAlignment="1" applyProtection="1">
      <alignment vertical="center"/>
      <protection hidden="1"/>
    </xf>
    <xf numFmtId="0" fontId="11" fillId="6" borderId="1" xfId="0" applyFont="1" applyFill="1" applyBorder="1" applyAlignment="1" applyProtection="1">
      <alignment horizontal="center" vertical="center"/>
      <protection hidden="1"/>
    </xf>
    <xf numFmtId="0" fontId="13" fillId="6" borderId="1" xfId="0" applyFont="1" applyFill="1" applyBorder="1" applyAlignment="1" applyProtection="1">
      <alignment horizontal="center" vertical="center"/>
      <protection hidden="1"/>
    </xf>
    <xf numFmtId="0" fontId="14" fillId="6" borderId="1" xfId="0" applyFont="1" applyFill="1" applyBorder="1" applyAlignment="1" applyProtection="1">
      <alignment horizontal="center" vertical="center"/>
      <protection hidden="1"/>
    </xf>
    <xf numFmtId="4" fontId="3" fillId="5" borderId="6" xfId="0" applyNumberFormat="1" applyFont="1" applyFill="1" applyBorder="1" applyAlignment="1" applyProtection="1">
      <alignment vertical="center" shrinkToFit="1"/>
      <protection hidden="1"/>
    </xf>
    <xf numFmtId="168" fontId="15" fillId="5" borderId="7" xfId="0" applyNumberFormat="1" applyFont="1" applyFill="1" applyBorder="1" applyAlignment="1" applyProtection="1">
      <alignment horizontal="left" vertical="center" shrinkToFit="1"/>
      <protection hidden="1"/>
    </xf>
    <xf numFmtId="169" fontId="4" fillId="5" borderId="8" xfId="0" applyNumberFormat="1" applyFont="1" applyFill="1" applyBorder="1" applyAlignment="1" applyProtection="1">
      <alignment horizontal="center" vertical="center" shrinkToFit="1"/>
      <protection hidden="1"/>
    </xf>
    <xf numFmtId="170" fontId="16" fillId="0" borderId="8" xfId="0" applyNumberFormat="1" applyFont="1" applyBorder="1" applyAlignment="1" applyProtection="1">
      <alignment vertical="center" shrinkToFit="1"/>
      <protection hidden="1"/>
    </xf>
    <xf numFmtId="170" fontId="17" fillId="0" borderId="8" xfId="0" applyNumberFormat="1" applyFont="1" applyBorder="1" applyAlignment="1" applyProtection="1">
      <alignment vertical="center" shrinkToFit="1"/>
      <protection hidden="1"/>
    </xf>
    <xf numFmtId="170" fontId="3" fillId="0" borderId="9" xfId="0" applyNumberFormat="1" applyFont="1" applyBorder="1" applyAlignment="1" applyProtection="1">
      <alignment vertical="center" shrinkToFit="1"/>
      <protection hidden="1"/>
    </xf>
    <xf numFmtId="4" fontId="15" fillId="5" borderId="10" xfId="0" applyNumberFormat="1" applyFont="1" applyFill="1" applyBorder="1" applyAlignment="1" applyProtection="1">
      <alignment horizontal="right" vertical="center" shrinkToFit="1"/>
      <protection hidden="1"/>
    </xf>
    <xf numFmtId="4" fontId="15" fillId="5" borderId="9" xfId="0" applyNumberFormat="1" applyFont="1" applyFill="1" applyBorder="1" applyAlignment="1" applyProtection="1">
      <alignment horizontal="right" vertical="center" shrinkToFit="1"/>
      <protection hidden="1"/>
    </xf>
    <xf numFmtId="169" fontId="4" fillId="0" borderId="0" xfId="0" applyNumberFormat="1" applyFont="1" applyAlignment="1" applyProtection="1">
      <alignment vertical="center"/>
      <protection hidden="1"/>
    </xf>
    <xf numFmtId="0" fontId="3" fillId="0" borderId="0" xfId="0" applyFont="1" applyAlignment="1" applyProtection="1">
      <alignment vertical="center" shrinkToFit="1"/>
      <protection hidden="1"/>
    </xf>
    <xf numFmtId="169" fontId="4" fillId="5" borderId="1" xfId="0" applyNumberFormat="1" applyFont="1" applyFill="1" applyBorder="1" applyAlignment="1" applyProtection="1">
      <alignment horizontal="center" vertical="center" shrinkToFit="1"/>
      <protection hidden="1"/>
    </xf>
    <xf numFmtId="170" fontId="3" fillId="0" borderId="1" xfId="0" applyNumberFormat="1" applyFont="1" applyBorder="1" applyAlignment="1" applyProtection="1">
      <alignment vertical="center" shrinkToFit="1"/>
      <protection hidden="1"/>
    </xf>
    <xf numFmtId="0" fontId="12" fillId="5" borderId="2" xfId="0" applyFont="1" applyFill="1" applyBorder="1" applyAlignment="1" applyProtection="1">
      <alignment horizontal="center" vertical="center" shrinkToFit="1"/>
      <protection hidden="1"/>
    </xf>
    <xf numFmtId="0" fontId="20" fillId="0" borderId="0" xfId="0" applyFont="1" applyAlignment="1" applyProtection="1">
      <alignment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170" fontId="3" fillId="0" borderId="8" xfId="0" applyNumberFormat="1" applyFont="1" applyBorder="1" applyAlignment="1" applyProtection="1">
      <alignment vertical="center" shrinkToFit="1"/>
      <protection hidden="1"/>
    </xf>
    <xf numFmtId="0" fontId="3" fillId="5" borderId="11" xfId="0" applyFont="1" applyFill="1" applyBorder="1" applyAlignment="1" applyProtection="1">
      <alignment vertical="center" shrinkToFit="1"/>
      <protection hidden="1"/>
    </xf>
    <xf numFmtId="168" fontId="4" fillId="5" borderId="12" xfId="0" applyNumberFormat="1" applyFont="1" applyFill="1" applyBorder="1" applyAlignment="1" applyProtection="1">
      <alignment horizontal="left" vertical="center" shrinkToFit="1"/>
      <protection hidden="1"/>
    </xf>
    <xf numFmtId="170" fontId="3" fillId="0" borderId="12" xfId="0" applyNumberFormat="1" applyFont="1" applyBorder="1" applyAlignment="1" applyProtection="1">
      <alignment vertical="center" shrinkToFit="1"/>
      <protection hidden="1"/>
    </xf>
    <xf numFmtId="170" fontId="17" fillId="0" borderId="13" xfId="0" applyNumberFormat="1" applyFont="1" applyBorder="1" applyAlignment="1" applyProtection="1">
      <alignment vertical="center" shrinkToFit="1"/>
      <protection hidden="1"/>
    </xf>
    <xf numFmtId="170" fontId="17" fillId="0" borderId="12" xfId="0" applyNumberFormat="1" applyFont="1" applyBorder="1" applyAlignment="1" applyProtection="1">
      <alignment vertical="center" shrinkToFit="1"/>
      <protection hidden="1"/>
    </xf>
    <xf numFmtId="170" fontId="16" fillId="0" borderId="12" xfId="0" applyNumberFormat="1" applyFont="1" applyBorder="1" applyAlignment="1" applyProtection="1">
      <alignment vertical="center" shrinkToFit="1"/>
      <protection hidden="1"/>
    </xf>
    <xf numFmtId="170" fontId="3" fillId="0" borderId="13" xfId="0" applyNumberFormat="1" applyFont="1" applyBorder="1" applyAlignment="1" applyProtection="1">
      <alignment vertical="center" shrinkToFit="1"/>
      <protection hidden="1"/>
    </xf>
    <xf numFmtId="170" fontId="16" fillId="0" borderId="14" xfId="0" applyNumberFormat="1" applyFont="1" applyBorder="1" applyAlignment="1" applyProtection="1">
      <alignment vertical="center" shrinkToFit="1"/>
      <protection hidden="1"/>
    </xf>
    <xf numFmtId="4" fontId="15" fillId="5" borderId="13" xfId="0" applyNumberFormat="1" applyFont="1" applyFill="1" applyBorder="1" applyAlignment="1" applyProtection="1">
      <alignment horizontal="right" vertical="center" shrinkToFit="1"/>
      <protection hidden="1"/>
    </xf>
    <xf numFmtId="171" fontId="3" fillId="0" borderId="1" xfId="0" applyNumberFormat="1" applyFont="1" applyBorder="1" applyAlignment="1" applyProtection="1">
      <alignment horizontal="center" vertical="center" shrinkToFit="1"/>
      <protection hidden="1"/>
    </xf>
    <xf numFmtId="170" fontId="4" fillId="0" borderId="0" xfId="0" applyNumberFormat="1" applyFont="1" applyAlignment="1" applyProtection="1">
      <alignment vertical="center"/>
      <protection hidden="1"/>
    </xf>
    <xf numFmtId="170" fontId="3" fillId="0" borderId="0" xfId="0" applyNumberFormat="1" applyFont="1" applyAlignment="1" applyProtection="1">
      <alignment vertical="center"/>
      <protection hidden="1"/>
    </xf>
    <xf numFmtId="170" fontId="12" fillId="0" borderId="0" xfId="0" applyNumberFormat="1" applyFont="1" applyAlignment="1" applyProtection="1">
      <alignment horizontal="right" vertical="center"/>
      <protection hidden="1"/>
    </xf>
    <xf numFmtId="170" fontId="21" fillId="6" borderId="15" xfId="0" applyNumberFormat="1" applyFont="1" applyFill="1" applyBorder="1" applyAlignment="1" applyProtection="1">
      <alignment vertical="center" shrinkToFit="1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164" fontId="22" fillId="0" borderId="1" xfId="1" applyNumberFormat="1" applyFont="1" applyBorder="1" applyAlignment="1" applyProtection="1">
      <alignment vertical="center"/>
      <protection hidden="1"/>
    </xf>
    <xf numFmtId="0" fontId="26" fillId="0" borderId="0" xfId="0" applyFont="1" applyAlignment="1" applyProtection="1">
      <alignment horizontal="center" shrinkToFit="1"/>
      <protection hidden="1"/>
    </xf>
    <xf numFmtId="1" fontId="26" fillId="0" borderId="0" xfId="0" applyNumberFormat="1" applyFont="1" applyAlignment="1" applyProtection="1">
      <alignment horizontal="center" shrinkToFit="1"/>
      <protection hidden="1"/>
    </xf>
    <xf numFmtId="0" fontId="26" fillId="0" borderId="0" xfId="0" applyFont="1" applyAlignment="1" applyProtection="1">
      <alignment shrinkToFit="1"/>
      <protection hidden="1"/>
    </xf>
    <xf numFmtId="0" fontId="26" fillId="0" borderId="0" xfId="0" applyFont="1" applyAlignment="1" applyProtection="1">
      <alignment horizontal="left" shrinkToFit="1"/>
      <protection hidden="1"/>
    </xf>
    <xf numFmtId="1" fontId="26" fillId="0" borderId="0" xfId="0" applyNumberFormat="1" applyFont="1" applyAlignment="1" applyProtection="1">
      <alignment shrinkToFit="1"/>
      <protection hidden="1"/>
    </xf>
    <xf numFmtId="4" fontId="27" fillId="0" borderId="0" xfId="0" applyNumberFormat="1" applyFont="1" applyAlignment="1" applyProtection="1">
      <alignment horizontal="center" vertical="center"/>
      <protection locked="0"/>
    </xf>
    <xf numFmtId="2" fontId="27" fillId="0" borderId="0" xfId="0" applyNumberFormat="1" applyFont="1" applyProtection="1">
      <protection hidden="1"/>
    </xf>
    <xf numFmtId="14" fontId="27" fillId="0" borderId="0" xfId="0" applyNumberFormat="1" applyFont="1" applyProtection="1">
      <protection hidden="1"/>
    </xf>
    <xf numFmtId="0" fontId="26" fillId="0" borderId="0" xfId="0" applyFont="1" applyProtection="1">
      <protection hidden="1"/>
    </xf>
    <xf numFmtId="0" fontId="26" fillId="9" borderId="0" xfId="0" applyFont="1" applyFill="1" applyAlignment="1" applyProtection="1">
      <alignment shrinkToFit="1"/>
      <protection hidden="1"/>
    </xf>
    <xf numFmtId="1" fontId="26" fillId="9" borderId="0" xfId="0" applyNumberFormat="1" applyFont="1" applyFill="1" applyAlignment="1" applyProtection="1">
      <alignment horizontal="center"/>
      <protection hidden="1"/>
    </xf>
    <xf numFmtId="0" fontId="26" fillId="9" borderId="0" xfId="0" applyFont="1" applyFill="1" applyAlignment="1" applyProtection="1">
      <alignment horizontal="center"/>
      <protection hidden="1"/>
    </xf>
    <xf numFmtId="1" fontId="26" fillId="9" borderId="0" xfId="0" applyNumberFormat="1" applyFont="1" applyFill="1" applyAlignment="1" applyProtection="1">
      <alignment horizontal="center" shrinkToFit="1"/>
      <protection hidden="1"/>
    </xf>
    <xf numFmtId="0" fontId="26" fillId="9" borderId="0" xfId="0" applyFont="1" applyFill="1" applyAlignment="1" applyProtection="1">
      <alignment horizontal="left" shrinkToFit="1"/>
      <protection hidden="1"/>
    </xf>
    <xf numFmtId="1" fontId="26" fillId="0" borderId="0" xfId="0" applyNumberFormat="1" applyFont="1" applyAlignment="1" applyProtection="1">
      <alignment horizontal="center"/>
      <protection hidden="1"/>
    </xf>
    <xf numFmtId="0" fontId="26" fillId="0" borderId="0" xfId="0" applyFont="1" applyAlignment="1" applyProtection="1">
      <alignment horizontal="center"/>
      <protection hidden="1"/>
    </xf>
    <xf numFmtId="0" fontId="26" fillId="7" borderId="0" xfId="0" applyFont="1" applyFill="1" applyAlignment="1" applyProtection="1">
      <alignment horizontal="center" shrinkToFit="1"/>
      <protection hidden="1"/>
    </xf>
    <xf numFmtId="0" fontId="27" fillId="2" borderId="1" xfId="0" applyFont="1" applyFill="1" applyBorder="1" applyAlignment="1" applyProtection="1">
      <alignment horizontal="center" vertical="center" wrapText="1"/>
      <protection hidden="1"/>
    </xf>
    <xf numFmtId="1" fontId="27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1" xfId="0" applyFont="1" applyFill="1" applyBorder="1" applyAlignment="1" applyProtection="1">
      <alignment horizontal="center" vertical="center" wrapText="1"/>
      <protection hidden="1"/>
    </xf>
    <xf numFmtId="0" fontId="27" fillId="10" borderId="1" xfId="0" applyFont="1" applyFill="1" applyBorder="1" applyAlignment="1" applyProtection="1">
      <alignment horizontal="center" vertical="center" wrapText="1"/>
      <protection hidden="1"/>
    </xf>
    <xf numFmtId="4" fontId="27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7" fillId="11" borderId="1" xfId="0" applyFont="1" applyFill="1" applyBorder="1" applyAlignment="1" applyProtection="1">
      <alignment horizontal="center" vertical="center" wrapText="1"/>
      <protection hidden="1"/>
    </xf>
    <xf numFmtId="0" fontId="27" fillId="0" borderId="0" xfId="0" applyFont="1" applyAlignment="1" applyProtection="1">
      <alignment horizontal="center" vertical="center" wrapText="1"/>
      <protection hidden="1"/>
    </xf>
    <xf numFmtId="4" fontId="27" fillId="0" borderId="0" xfId="0" applyNumberFormat="1" applyFont="1" applyAlignment="1" applyProtection="1">
      <alignment horizontal="center" vertical="center" wrapText="1"/>
      <protection locked="0"/>
    </xf>
    <xf numFmtId="0" fontId="28" fillId="0" borderId="0" xfId="0" applyFont="1"/>
    <xf numFmtId="0" fontId="30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3" fillId="0" borderId="0" xfId="0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right"/>
    </xf>
    <xf numFmtId="0" fontId="34" fillId="12" borderId="19" xfId="0" applyFont="1" applyFill="1" applyBorder="1" applyAlignment="1">
      <alignment horizontal="center" vertical="center"/>
    </xf>
    <xf numFmtId="0" fontId="34" fillId="12" borderId="20" xfId="0" applyFont="1" applyFill="1" applyBorder="1" applyAlignment="1">
      <alignment horizontal="center" vertical="center"/>
    </xf>
    <xf numFmtId="0" fontId="34" fillId="12" borderId="21" xfId="0" applyFont="1" applyFill="1" applyBorder="1" applyAlignment="1">
      <alignment horizontal="center" vertical="center"/>
    </xf>
    <xf numFmtId="0" fontId="33" fillId="0" borderId="22" xfId="0" applyFont="1" applyBorder="1" applyAlignment="1">
      <alignment horizontal="center"/>
    </xf>
    <xf numFmtId="0" fontId="33" fillId="0" borderId="4" xfId="0" applyFont="1" applyBorder="1"/>
    <xf numFmtId="0" fontId="33" fillId="0" borderId="23" xfId="0" applyFont="1" applyBorder="1"/>
    <xf numFmtId="0" fontId="33" fillId="0" borderId="24" xfId="0" applyFont="1" applyBorder="1" applyAlignment="1">
      <alignment horizontal="center"/>
    </xf>
    <xf numFmtId="0" fontId="33" fillId="0" borderId="25" xfId="0" applyFont="1" applyBorder="1" applyAlignment="1">
      <alignment horizontal="center"/>
    </xf>
    <xf numFmtId="0" fontId="33" fillId="0" borderId="25" xfId="0" applyFont="1" applyBorder="1"/>
    <xf numFmtId="0" fontId="33" fillId="0" borderId="25" xfId="0" applyFont="1" applyBorder="1" applyAlignment="1">
      <alignment horizontal="center" vertical="center"/>
    </xf>
    <xf numFmtId="0" fontId="33" fillId="0" borderId="26" xfId="0" applyFont="1" applyBorder="1"/>
    <xf numFmtId="0" fontId="31" fillId="0" borderId="25" xfId="0" applyFont="1" applyBorder="1" applyAlignment="1">
      <alignment horizontal="right"/>
    </xf>
    <xf numFmtId="0" fontId="33" fillId="0" borderId="27" xfId="0" applyFont="1" applyBorder="1" applyAlignment="1">
      <alignment horizontal="center" vertical="center"/>
    </xf>
    <xf numFmtId="0" fontId="33" fillId="0" borderId="15" xfId="0" applyFont="1" applyBorder="1"/>
    <xf numFmtId="0" fontId="31" fillId="0" borderId="0" xfId="0" applyFont="1"/>
    <xf numFmtId="0" fontId="33" fillId="0" borderId="28" xfId="0" applyFont="1" applyBorder="1" applyAlignment="1">
      <alignment horizontal="center"/>
    </xf>
    <xf numFmtId="0" fontId="33" fillId="0" borderId="29" xfId="0" applyFont="1" applyBorder="1" applyAlignment="1">
      <alignment horizontal="center"/>
    </xf>
    <xf numFmtId="0" fontId="33" fillId="0" borderId="29" xfId="0" applyFont="1" applyBorder="1"/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/>
    <xf numFmtId="0" fontId="28" fillId="0" borderId="31" xfId="0" applyFont="1" applyBorder="1"/>
    <xf numFmtId="0" fontId="34" fillId="0" borderId="0" xfId="0" applyFont="1" applyAlignment="1">
      <alignment horizontal="center"/>
    </xf>
    <xf numFmtId="0" fontId="33" fillId="0" borderId="32" xfId="0" applyFont="1" applyBorder="1"/>
    <xf numFmtId="0" fontId="35" fillId="12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4" fontId="38" fillId="7" borderId="1" xfId="2" applyNumberFormat="1" applyFont="1" applyFill="1" applyBorder="1" applyAlignment="1" applyProtection="1">
      <alignment horizontal="left" vertical="center" shrinkToFit="1"/>
      <protection locked="0"/>
    </xf>
    <xf numFmtId="4" fontId="39" fillId="7" borderId="1" xfId="2" applyNumberFormat="1" applyFont="1" applyFill="1" applyBorder="1" applyAlignment="1" applyProtection="1">
      <alignment horizontal="left" vertical="center" shrinkToFit="1"/>
      <protection locked="0"/>
    </xf>
    <xf numFmtId="173" fontId="38" fillId="7" borderId="1" xfId="2" applyNumberFormat="1" applyFont="1" applyFill="1" applyBorder="1" applyAlignment="1" applyProtection="1">
      <alignment horizontal="center" vertical="center" shrinkToFit="1"/>
      <protection locked="0"/>
    </xf>
    <xf numFmtId="0" fontId="40" fillId="7" borderId="1" xfId="0" applyFont="1" applyFill="1" applyBorder="1" applyAlignment="1" applyProtection="1">
      <alignment horizontal="center" shrinkToFit="1"/>
      <protection hidden="1"/>
    </xf>
    <xf numFmtId="2" fontId="33" fillId="0" borderId="0" xfId="0" applyNumberFormat="1" applyFont="1" applyAlignment="1">
      <alignment horizontal="center" vertical="center"/>
    </xf>
    <xf numFmtId="1" fontId="33" fillId="0" borderId="4" xfId="0" applyNumberFormat="1" applyFont="1" applyBorder="1" applyAlignment="1">
      <alignment horizontal="center" vertical="center"/>
    </xf>
    <xf numFmtId="1" fontId="33" fillId="0" borderId="27" xfId="0" applyNumberFormat="1" applyFont="1" applyBorder="1" applyAlignment="1">
      <alignment horizontal="center" vertical="center"/>
    </xf>
    <xf numFmtId="1" fontId="33" fillId="0" borderId="15" xfId="0" applyNumberFormat="1" applyFont="1" applyBorder="1"/>
    <xf numFmtId="1" fontId="33" fillId="0" borderId="25" xfId="0" applyNumberFormat="1" applyFont="1" applyBorder="1" applyAlignment="1">
      <alignment horizontal="center" vertical="center"/>
    </xf>
    <xf numFmtId="43" fontId="0" fillId="0" borderId="0" xfId="1" applyFont="1"/>
    <xf numFmtId="4" fontId="0" fillId="0" borderId="0" xfId="0" applyNumberFormat="1"/>
    <xf numFmtId="1" fontId="31" fillId="0" borderId="15" xfId="0" applyNumberFormat="1" applyFont="1" applyBorder="1" applyAlignment="1">
      <alignment horizontal="center" vertical="center"/>
    </xf>
    <xf numFmtId="1" fontId="33" fillId="0" borderId="1" xfId="0" applyNumberFormat="1" applyFont="1" applyBorder="1"/>
    <xf numFmtId="0" fontId="29" fillId="0" borderId="0" xfId="0" applyFont="1" applyAlignment="1">
      <alignment horizontal="center" vertical="center"/>
    </xf>
    <xf numFmtId="173" fontId="38" fillId="7" borderId="0" xfId="2" applyNumberFormat="1" applyFont="1" applyFill="1" applyAlignment="1" applyProtection="1">
      <alignment horizontal="center" vertical="center" shrinkToFit="1"/>
      <protection locked="0"/>
    </xf>
    <xf numFmtId="0" fontId="34" fillId="12" borderId="0" xfId="0" applyFont="1" applyFill="1" applyAlignment="1">
      <alignment horizontal="center" vertical="center"/>
    </xf>
    <xf numFmtId="1" fontId="31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36" fillId="0" borderId="0" xfId="0" applyFont="1" applyAlignment="1">
      <alignment wrapText="1"/>
    </xf>
    <xf numFmtId="0" fontId="44" fillId="13" borderId="1" xfId="0" applyFont="1" applyFill="1" applyBorder="1" applyAlignment="1">
      <alignment horizontal="center" vertical="center"/>
    </xf>
    <xf numFmtId="175" fontId="0" fillId="0" borderId="0" xfId="0" applyNumberFormat="1"/>
    <xf numFmtId="172" fontId="43" fillId="0" borderId="1" xfId="3" applyBorder="1" applyAlignment="1" applyProtection="1">
      <alignment horizontal="center" vertical="center"/>
      <protection hidden="1"/>
    </xf>
    <xf numFmtId="174" fontId="43" fillId="0" borderId="1" xfId="3" applyNumberFormat="1" applyBorder="1" applyAlignment="1" applyProtection="1">
      <alignment vertical="center"/>
      <protection hidden="1"/>
    </xf>
    <xf numFmtId="0" fontId="43" fillId="0" borderId="1" xfId="3" applyNumberFormat="1" applyBorder="1" applyAlignment="1" applyProtection="1">
      <alignment horizontal="center" vertical="center"/>
      <protection hidden="1"/>
    </xf>
    <xf numFmtId="43" fontId="0" fillId="0" borderId="1" xfId="1" applyFont="1" applyBorder="1"/>
    <xf numFmtId="174" fontId="31" fillId="0" borderId="0" xfId="0" applyNumberFormat="1" applyFont="1" applyAlignment="1">
      <alignment horizontal="center" vertical="center"/>
    </xf>
    <xf numFmtId="174" fontId="0" fillId="0" borderId="0" xfId="0" applyNumberFormat="1"/>
    <xf numFmtId="0" fontId="46" fillId="0" borderId="0" xfId="0" applyFont="1"/>
    <xf numFmtId="172" fontId="45" fillId="15" borderId="1" xfId="3" applyFont="1" applyFill="1" applyBorder="1" applyAlignment="1" applyProtection="1">
      <alignment horizontal="center" vertical="center" wrapText="1"/>
      <protection hidden="1"/>
    </xf>
    <xf numFmtId="172" fontId="43" fillId="0" borderId="1" xfId="3" applyBorder="1" applyAlignment="1" applyProtection="1">
      <alignment horizontal="center"/>
      <protection hidden="1"/>
    </xf>
    <xf numFmtId="174" fontId="43" fillId="0" borderId="1" xfId="3" applyNumberFormat="1" applyBorder="1" applyProtection="1">
      <protection hidden="1"/>
    </xf>
    <xf numFmtId="0" fontId="43" fillId="0" borderId="1" xfId="3" applyNumberFormat="1" applyBorder="1" applyAlignment="1" applyProtection="1">
      <alignment horizontal="center"/>
      <protection hidden="1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0" fillId="0" borderId="1" xfId="0" applyBorder="1"/>
    <xf numFmtId="172" fontId="45" fillId="10" borderId="1" xfId="3" applyFont="1" applyFill="1" applyBorder="1" applyAlignment="1" applyProtection="1">
      <alignment horizontal="center" vertical="center" wrapText="1"/>
      <protection hidden="1"/>
    </xf>
    <xf numFmtId="0" fontId="36" fillId="16" borderId="1" xfId="0" applyFont="1" applyFill="1" applyBorder="1"/>
    <xf numFmtId="1" fontId="33" fillId="0" borderId="0" xfId="0" applyNumberFormat="1" applyFont="1"/>
    <xf numFmtId="1" fontId="33" fillId="0" borderId="0" xfId="0" applyNumberFormat="1" applyFont="1" applyAlignment="1">
      <alignment horizontal="center" vertical="center"/>
    </xf>
    <xf numFmtId="0" fontId="41" fillId="17" borderId="1" xfId="0" applyFont="1" applyFill="1" applyBorder="1"/>
    <xf numFmtId="0" fontId="41" fillId="17" borderId="1" xfId="0" applyFont="1" applyFill="1" applyBorder="1" applyAlignment="1">
      <alignment wrapText="1"/>
    </xf>
    <xf numFmtId="173" fontId="38" fillId="0" borderId="0" xfId="2" applyNumberFormat="1" applyFont="1" applyAlignment="1" applyProtection="1">
      <alignment horizontal="center" vertical="center" shrinkToFit="1"/>
      <protection locked="0"/>
    </xf>
    <xf numFmtId="0" fontId="43" fillId="18" borderId="1" xfId="3" applyNumberFormat="1" applyFill="1" applyBorder="1" applyAlignment="1" applyProtection="1">
      <alignment horizontal="center"/>
      <protection hidden="1"/>
    </xf>
    <xf numFmtId="174" fontId="43" fillId="18" borderId="1" xfId="3" applyNumberFormat="1" applyFill="1" applyBorder="1" applyProtection="1">
      <protection hidden="1"/>
    </xf>
    <xf numFmtId="0" fontId="42" fillId="19" borderId="35" xfId="0" applyFont="1" applyFill="1" applyBorder="1"/>
    <xf numFmtId="0" fontId="28" fillId="19" borderId="35" xfId="0" applyFont="1" applyFill="1" applyBorder="1"/>
    <xf numFmtId="0" fontId="30" fillId="20" borderId="34" xfId="0" applyFont="1" applyFill="1" applyBorder="1" applyAlignment="1">
      <alignment horizontal="center"/>
    </xf>
    <xf numFmtId="0" fontId="30" fillId="20" borderId="0" xfId="0" applyFont="1" applyFill="1" applyAlignment="1">
      <alignment horizontal="center"/>
    </xf>
    <xf numFmtId="0" fontId="30" fillId="20" borderId="33" xfId="0" applyFont="1" applyFill="1" applyBorder="1" applyAlignment="1">
      <alignment horizontal="center"/>
    </xf>
    <xf numFmtId="0" fontId="28" fillId="20" borderId="34" xfId="0" applyFont="1" applyFill="1" applyBorder="1"/>
    <xf numFmtId="0" fontId="28" fillId="20" borderId="0" xfId="0" applyFont="1" applyFill="1"/>
    <xf numFmtId="0" fontId="32" fillId="20" borderId="0" xfId="0" applyFont="1" applyFill="1" applyAlignment="1">
      <alignment horizontal="left"/>
    </xf>
    <xf numFmtId="0" fontId="28" fillId="20" borderId="33" xfId="0" applyFont="1" applyFill="1" applyBorder="1"/>
    <xf numFmtId="0" fontId="33" fillId="20" borderId="0" xfId="0" applyFont="1" applyFill="1"/>
    <xf numFmtId="0" fontId="33" fillId="20" borderId="1" xfId="0" applyFont="1" applyFill="1" applyBorder="1"/>
    <xf numFmtId="0" fontId="33" fillId="20" borderId="0" xfId="0" applyFont="1" applyFill="1" applyAlignment="1">
      <alignment horizontal="left"/>
    </xf>
    <xf numFmtId="0" fontId="31" fillId="20" borderId="1" xfId="0" applyFont="1" applyFill="1" applyBorder="1"/>
    <xf numFmtId="0" fontId="33" fillId="20" borderId="35" xfId="0" applyFont="1" applyFill="1" applyBorder="1" applyAlignment="1">
      <alignment horizontal="right"/>
    </xf>
    <xf numFmtId="174" fontId="31" fillId="20" borderId="35" xfId="0" applyNumberFormat="1" applyFont="1" applyFill="1" applyBorder="1" applyAlignment="1">
      <alignment horizontal="right"/>
    </xf>
    <xf numFmtId="0" fontId="33" fillId="20" borderId="35" xfId="0" applyFont="1" applyFill="1" applyBorder="1"/>
    <xf numFmtId="14" fontId="33" fillId="20" borderId="35" xfId="0" applyNumberFormat="1" applyFont="1" applyFill="1" applyBorder="1"/>
    <xf numFmtId="0" fontId="42" fillId="20" borderId="35" xfId="0" applyFont="1" applyFill="1" applyBorder="1"/>
    <xf numFmtId="0" fontId="28" fillId="20" borderId="35" xfId="0" applyFont="1" applyFill="1" applyBorder="1"/>
    <xf numFmtId="0" fontId="34" fillId="21" borderId="36" xfId="0" applyFont="1" applyFill="1" applyBorder="1" applyAlignment="1">
      <alignment horizontal="center" vertical="center"/>
    </xf>
    <xf numFmtId="0" fontId="34" fillId="21" borderId="1" xfId="0" applyFont="1" applyFill="1" applyBorder="1" applyAlignment="1">
      <alignment horizontal="center" vertical="center"/>
    </xf>
    <xf numFmtId="0" fontId="34" fillId="21" borderId="35" xfId="0" applyFont="1" applyFill="1" applyBorder="1" applyAlignment="1">
      <alignment horizontal="center" vertical="center"/>
    </xf>
    <xf numFmtId="0" fontId="33" fillId="20" borderId="36" xfId="0" applyFont="1" applyFill="1" applyBorder="1" applyAlignment="1">
      <alignment horizontal="center"/>
    </xf>
    <xf numFmtId="2" fontId="33" fillId="20" borderId="1" xfId="0" applyNumberFormat="1" applyFont="1" applyFill="1" applyBorder="1" applyAlignment="1">
      <alignment horizontal="center" vertical="center"/>
    </xf>
    <xf numFmtId="0" fontId="33" fillId="20" borderId="1" xfId="0" applyFont="1" applyFill="1" applyBorder="1" applyAlignment="1">
      <alignment horizontal="center"/>
    </xf>
    <xf numFmtId="0" fontId="31" fillId="20" borderId="1" xfId="0" applyFont="1" applyFill="1" applyBorder="1" applyAlignment="1">
      <alignment horizontal="right"/>
    </xf>
    <xf numFmtId="1" fontId="31" fillId="20" borderId="1" xfId="0" applyNumberFormat="1" applyFont="1" applyFill="1" applyBorder="1" applyAlignment="1">
      <alignment horizontal="center" vertical="center"/>
    </xf>
    <xf numFmtId="1" fontId="33" fillId="20" borderId="35" xfId="0" applyNumberFormat="1" applyFont="1" applyFill="1" applyBorder="1"/>
    <xf numFmtId="1" fontId="33" fillId="20" borderId="35" xfId="0" applyNumberFormat="1" applyFont="1" applyFill="1" applyBorder="1" applyAlignment="1">
      <alignment horizontal="right" vertical="center"/>
    </xf>
    <xf numFmtId="176" fontId="33" fillId="20" borderId="1" xfId="0" applyNumberFormat="1" applyFont="1" applyFill="1" applyBorder="1" applyAlignment="1">
      <alignment horizontal="center"/>
    </xf>
    <xf numFmtId="0" fontId="28" fillId="20" borderId="1" xfId="0" applyFont="1" applyFill="1" applyBorder="1"/>
    <xf numFmtId="0" fontId="33" fillId="20" borderId="1" xfId="0" applyFont="1" applyFill="1" applyBorder="1" applyAlignment="1">
      <alignment horizontal="center" vertical="center"/>
    </xf>
    <xf numFmtId="0" fontId="28" fillId="20" borderId="36" xfId="0" applyFont="1" applyFill="1" applyBorder="1"/>
    <xf numFmtId="0" fontId="34" fillId="20" borderId="1" xfId="0" applyFont="1" applyFill="1" applyBorder="1" applyAlignment="1">
      <alignment horizontal="center"/>
    </xf>
    <xf numFmtId="0" fontId="33" fillId="20" borderId="33" xfId="0" applyFont="1" applyFill="1" applyBorder="1"/>
    <xf numFmtId="0" fontId="31" fillId="20" borderId="34" xfId="0" applyFont="1" applyFill="1" applyBorder="1"/>
    <xf numFmtId="0" fontId="33" fillId="20" borderId="36" xfId="0" applyFont="1" applyFill="1" applyBorder="1"/>
    <xf numFmtId="0" fontId="28" fillId="20" borderId="37" xfId="0" applyFont="1" applyFill="1" applyBorder="1"/>
    <xf numFmtId="0" fontId="28" fillId="20" borderId="38" xfId="0" applyFont="1" applyFill="1" applyBorder="1"/>
    <xf numFmtId="0" fontId="34" fillId="20" borderId="39" xfId="0" applyFont="1" applyFill="1" applyBorder="1" applyAlignment="1">
      <alignment horizontal="center"/>
    </xf>
    <xf numFmtId="0" fontId="0" fillId="20" borderId="1" xfId="0" applyFill="1" applyBorder="1"/>
    <xf numFmtId="0" fontId="31" fillId="20" borderId="36" xfId="0" applyFont="1" applyFill="1" applyBorder="1" applyAlignment="1">
      <alignment horizontal="center" vertical="center"/>
    </xf>
    <xf numFmtId="1" fontId="47" fillId="20" borderId="1" xfId="0" applyNumberFormat="1" applyFont="1" applyFill="1" applyBorder="1" applyAlignment="1">
      <alignment horizontal="center" vertical="center"/>
    </xf>
    <xf numFmtId="1" fontId="48" fillId="20" borderId="1" xfId="0" applyNumberFormat="1" applyFont="1" applyFill="1" applyBorder="1" applyAlignment="1">
      <alignment horizontal="center" vertical="center"/>
    </xf>
    <xf numFmtId="1" fontId="48" fillId="20" borderId="1" xfId="0" applyNumberFormat="1" applyFont="1" applyFill="1" applyBorder="1"/>
    <xf numFmtId="1" fontId="49" fillId="20" borderId="35" xfId="0" applyNumberFormat="1" applyFont="1" applyFill="1" applyBorder="1" applyAlignment="1">
      <alignment horizontal="center" vertical="center"/>
    </xf>
    <xf numFmtId="1" fontId="50" fillId="20" borderId="1" xfId="0" applyNumberFormat="1" applyFont="1" applyFill="1" applyBorder="1"/>
    <xf numFmtId="1" fontId="50" fillId="20" borderId="1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174" fontId="50" fillId="20" borderId="35" xfId="0" applyNumberFormat="1" applyFont="1" applyFill="1" applyBorder="1" applyAlignment="1">
      <alignment horizontal="right"/>
    </xf>
    <xf numFmtId="0" fontId="51" fillId="20" borderId="1" xfId="0" applyFont="1" applyFill="1" applyBorder="1"/>
    <xf numFmtId="0" fontId="52" fillId="0" borderId="1" xfId="3" applyNumberFormat="1" applyFont="1" applyBorder="1" applyAlignment="1" applyProtection="1">
      <alignment horizontal="right"/>
      <protection hidden="1"/>
    </xf>
    <xf numFmtId="0" fontId="53" fillId="20" borderId="1" xfId="0" applyFont="1" applyFill="1" applyBorder="1"/>
    <xf numFmtId="0" fontId="54" fillId="20" borderId="36" xfId="0" applyFont="1" applyFill="1" applyBorder="1"/>
    <xf numFmtId="0" fontId="0" fillId="20" borderId="35" xfId="0" applyFill="1" applyBorder="1"/>
    <xf numFmtId="172" fontId="55" fillId="15" borderId="4" xfId="2" applyFont="1" applyFill="1" applyBorder="1" applyAlignment="1" applyProtection="1">
      <alignment horizontal="center" vertical="center" wrapText="1" shrinkToFit="1"/>
      <protection hidden="1"/>
    </xf>
    <xf numFmtId="172" fontId="55" fillId="15" borderId="43" xfId="2" applyFont="1" applyFill="1" applyBorder="1" applyAlignment="1" applyProtection="1">
      <alignment horizontal="center" vertical="center" wrapText="1" shrinkToFit="1"/>
      <protection hidden="1"/>
    </xf>
    <xf numFmtId="0" fontId="55" fillId="15" borderId="4" xfId="4" applyNumberFormat="1" applyFont="1" applyFill="1" applyBorder="1" applyAlignment="1" applyProtection="1">
      <alignment horizontal="center" vertical="center" textRotation="90" wrapText="1" shrinkToFit="1"/>
      <protection hidden="1"/>
    </xf>
    <xf numFmtId="172" fontId="55" fillId="15" borderId="4" xfId="4" applyFont="1" applyFill="1" applyBorder="1" applyAlignment="1" applyProtection="1">
      <alignment horizontal="center" vertical="center" textRotation="90" wrapText="1" shrinkToFit="1"/>
      <protection hidden="1"/>
    </xf>
    <xf numFmtId="172" fontId="55" fillId="15" borderId="0" xfId="4" applyFont="1" applyFill="1" applyAlignment="1" applyProtection="1">
      <alignment horizontal="center" vertical="center" textRotation="90" wrapText="1" shrinkToFit="1"/>
      <protection hidden="1"/>
    </xf>
    <xf numFmtId="172" fontId="55" fillId="15" borderId="43" xfId="4" applyFont="1" applyFill="1" applyBorder="1" applyAlignment="1" applyProtection="1">
      <alignment horizontal="center" vertical="center" wrapText="1" shrinkToFit="1"/>
      <protection hidden="1"/>
    </xf>
    <xf numFmtId="4" fontId="39" fillId="14" borderId="1" xfId="2" applyNumberFormat="1" applyFont="1" applyFill="1" applyBorder="1" applyAlignment="1" applyProtection="1">
      <alignment horizontal="left" vertical="center" shrinkToFit="1"/>
      <protection locked="0"/>
    </xf>
    <xf numFmtId="173" fontId="39" fillId="14" borderId="1" xfId="2" applyNumberFormat="1" applyFont="1" applyFill="1" applyBorder="1" applyAlignment="1" applyProtection="1">
      <alignment horizontal="center" vertical="center" shrinkToFit="1"/>
      <protection locked="0"/>
    </xf>
    <xf numFmtId="0" fontId="39" fillId="14" borderId="1" xfId="2" applyNumberFormat="1" applyFont="1" applyFill="1" applyBorder="1" applyAlignment="1" applyProtection="1">
      <alignment horizontal="center" vertical="center" shrinkToFit="1"/>
      <protection locked="0"/>
    </xf>
    <xf numFmtId="0" fontId="39" fillId="14" borderId="1" xfId="2" quotePrefix="1" applyNumberFormat="1" applyFont="1" applyFill="1" applyBorder="1" applyAlignment="1" applyProtection="1">
      <alignment horizontal="center" vertical="center" shrinkToFit="1"/>
      <protection locked="0"/>
    </xf>
    <xf numFmtId="0" fontId="56" fillId="14" borderId="1" xfId="0" applyFont="1" applyFill="1" applyBorder="1" applyAlignment="1" applyProtection="1">
      <alignment horizontal="center" shrinkToFit="1"/>
      <protection hidden="1"/>
    </xf>
    <xf numFmtId="0" fontId="31" fillId="0" borderId="36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0" borderId="1" xfId="0" applyFont="1" applyBorder="1"/>
    <xf numFmtId="1" fontId="48" fillId="0" borderId="1" xfId="0" applyNumberFormat="1" applyFont="1" applyBorder="1" applyAlignment="1">
      <alignment horizontal="center" vertical="center"/>
    </xf>
    <xf numFmtId="0" fontId="31" fillId="0" borderId="35" xfId="0" applyFont="1" applyBorder="1"/>
    <xf numFmtId="172" fontId="43" fillId="0" borderId="1" xfId="3" applyBorder="1" applyProtection="1">
      <protection hidden="1"/>
    </xf>
    <xf numFmtId="172" fontId="43" fillId="13" borderId="1" xfId="3" applyFill="1" applyBorder="1" applyProtection="1">
      <protection hidden="1"/>
    </xf>
    <xf numFmtId="172" fontId="43" fillId="7" borderId="1" xfId="3" applyFill="1" applyBorder="1" applyProtection="1">
      <protection hidden="1"/>
    </xf>
    <xf numFmtId="172" fontId="45" fillId="15" borderId="1" xfId="3" applyFont="1" applyFill="1" applyBorder="1" applyAlignment="1" applyProtection="1">
      <alignment vertical="center" wrapText="1"/>
      <protection hidden="1"/>
    </xf>
    <xf numFmtId="0" fontId="34" fillId="20" borderId="34" xfId="0" applyFont="1" applyFill="1" applyBorder="1"/>
    <xf numFmtId="0" fontId="25" fillId="8" borderId="16" xfId="0" applyFont="1" applyFill="1" applyBorder="1" applyAlignment="1" applyProtection="1">
      <alignment horizontal="center" vertical="center" shrinkToFit="1"/>
      <protection hidden="1"/>
    </xf>
    <xf numFmtId="0" fontId="25" fillId="8" borderId="17" xfId="0" applyFont="1" applyFill="1" applyBorder="1" applyAlignment="1" applyProtection="1">
      <alignment horizontal="center" vertical="center" shrinkToFit="1"/>
      <protection hidden="1"/>
    </xf>
    <xf numFmtId="0" fontId="25" fillId="8" borderId="18" xfId="0" applyFont="1" applyFill="1" applyBorder="1" applyAlignment="1" applyProtection="1">
      <alignment horizontal="center" vertical="center" shrinkToFit="1"/>
      <protection hidden="1"/>
    </xf>
    <xf numFmtId="0" fontId="11" fillId="6" borderId="1" xfId="0" applyFont="1" applyFill="1" applyBorder="1" applyAlignment="1" applyProtection="1">
      <alignment horizontal="center" vertical="center"/>
      <protection hidden="1"/>
    </xf>
    <xf numFmtId="0" fontId="12" fillId="5" borderId="1" xfId="0" applyFont="1" applyFill="1" applyBorder="1" applyAlignment="1" applyProtection="1">
      <alignment horizontal="center" vertical="center" shrinkToFit="1"/>
      <protection hidden="1"/>
    </xf>
    <xf numFmtId="0" fontId="11" fillId="6" borderId="1" xfId="0" applyFont="1" applyFill="1" applyBorder="1" applyAlignment="1" applyProtection="1">
      <alignment horizontal="center" vertical="center" wrapText="1"/>
      <protection hidden="1"/>
    </xf>
    <xf numFmtId="0" fontId="13" fillId="6" borderId="1" xfId="0" applyFont="1" applyFill="1" applyBorder="1" applyAlignment="1" applyProtection="1">
      <alignment horizontal="center" vertical="center"/>
      <protection hidden="1"/>
    </xf>
    <xf numFmtId="0" fontId="14" fillId="6" borderId="1" xfId="0" applyFont="1" applyFill="1" applyBorder="1" applyAlignment="1" applyProtection="1">
      <alignment horizontal="center" vertical="center"/>
      <protection hidden="1"/>
    </xf>
    <xf numFmtId="0" fontId="14" fillId="6" borderId="4" xfId="0" applyFont="1" applyFill="1" applyBorder="1" applyAlignment="1" applyProtection="1">
      <alignment horizontal="center" vertical="center"/>
      <protection hidden="1"/>
    </xf>
    <xf numFmtId="0" fontId="14" fillId="6" borderId="5" xfId="0" applyFont="1" applyFill="1" applyBorder="1" applyAlignment="1" applyProtection="1">
      <alignment horizontal="center" vertical="center"/>
      <protection hidden="1"/>
    </xf>
    <xf numFmtId="0" fontId="11" fillId="6" borderId="1" xfId="0" applyFont="1" applyFill="1" applyBorder="1" applyAlignment="1" applyProtection="1">
      <alignment horizontal="center" vertical="center" textRotation="90" wrapText="1"/>
      <protection hidden="1"/>
    </xf>
    <xf numFmtId="0" fontId="11" fillId="6" borderId="1" xfId="0" applyFont="1" applyFill="1" applyBorder="1" applyAlignment="1" applyProtection="1">
      <alignment horizontal="center" vertical="center" textRotation="90"/>
      <protection hidden="1"/>
    </xf>
    <xf numFmtId="0" fontId="29" fillId="0" borderId="16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74" fontId="43" fillId="0" borderId="2" xfId="3" applyNumberFormat="1" applyBorder="1" applyAlignment="1" applyProtection="1">
      <alignment horizontal="right"/>
      <protection hidden="1"/>
    </xf>
    <xf numFmtId="174" fontId="43" fillId="0" borderId="3" xfId="3" applyNumberFormat="1" applyBorder="1" applyAlignment="1" applyProtection="1">
      <alignment horizontal="right"/>
      <protection hidden="1"/>
    </xf>
    <xf numFmtId="172" fontId="43" fillId="0" borderId="1" xfId="3" applyBorder="1" applyAlignment="1" applyProtection="1">
      <alignment horizontal="left"/>
      <protection hidden="1"/>
    </xf>
    <xf numFmtId="174" fontId="43" fillId="18" borderId="2" xfId="3" applyNumberFormat="1" applyFill="1" applyBorder="1" applyAlignment="1" applyProtection="1">
      <alignment horizontal="right"/>
      <protection hidden="1"/>
    </xf>
    <xf numFmtId="174" fontId="43" fillId="18" borderId="3" xfId="3" applyNumberFormat="1" applyFill="1" applyBorder="1" applyAlignment="1" applyProtection="1">
      <alignment horizontal="right"/>
      <protection hidden="1"/>
    </xf>
    <xf numFmtId="172" fontId="43" fillId="18" borderId="1" xfId="3" applyFill="1" applyBorder="1" applyAlignment="1" applyProtection="1">
      <alignment horizontal="left"/>
      <protection hidden="1"/>
    </xf>
    <xf numFmtId="172" fontId="45" fillId="15" borderId="2" xfId="3" applyFont="1" applyFill="1" applyBorder="1" applyAlignment="1" applyProtection="1">
      <alignment horizontal="center" vertical="center" wrapText="1"/>
      <protection hidden="1"/>
    </xf>
    <xf numFmtId="172" fontId="45" fillId="15" borderId="3" xfId="3" applyFont="1" applyFill="1" applyBorder="1" applyAlignment="1" applyProtection="1">
      <alignment horizontal="center" vertical="center" wrapText="1"/>
      <protection hidden="1"/>
    </xf>
    <xf numFmtId="172" fontId="45" fillId="15" borderId="1" xfId="3" applyFont="1" applyFill="1" applyBorder="1" applyAlignment="1" applyProtection="1">
      <alignment horizontal="center" vertical="center" wrapText="1"/>
      <protection hidden="1"/>
    </xf>
    <xf numFmtId="0" fontId="29" fillId="20" borderId="40" xfId="0" applyFont="1" applyFill="1" applyBorder="1" applyAlignment="1">
      <alignment horizontal="center" vertical="center"/>
    </xf>
    <xf numFmtId="0" fontId="29" fillId="20" borderId="41" xfId="0" applyFont="1" applyFill="1" applyBorder="1" applyAlignment="1">
      <alignment horizontal="center" vertical="center"/>
    </xf>
    <xf numFmtId="0" fontId="29" fillId="20" borderId="42" xfId="0" applyFont="1" applyFill="1" applyBorder="1" applyAlignment="1">
      <alignment horizontal="center" vertical="center"/>
    </xf>
    <xf numFmtId="0" fontId="31" fillId="20" borderId="34" xfId="0" applyFont="1" applyFill="1" applyBorder="1" applyAlignment="1">
      <alignment horizontal="center" vertical="center"/>
    </xf>
    <xf numFmtId="0" fontId="31" fillId="20" borderId="0" xfId="0" applyFont="1" applyFill="1" applyAlignment="1">
      <alignment horizontal="center" vertical="center"/>
    </xf>
    <xf numFmtId="0" fontId="31" fillId="20" borderId="33" xfId="0" applyFont="1" applyFill="1" applyBorder="1" applyAlignment="1">
      <alignment horizontal="center" vertical="center"/>
    </xf>
    <xf numFmtId="0" fontId="57" fillId="0" borderId="36" xfId="0" applyFont="1" applyFill="1" applyBorder="1"/>
    <xf numFmtId="0" fontId="46" fillId="0" borderId="1" xfId="0" applyFont="1" applyFill="1" applyBorder="1"/>
    <xf numFmtId="0" fontId="58" fillId="0" borderId="1" xfId="3" applyNumberFormat="1" applyFont="1" applyFill="1" applyBorder="1" applyAlignment="1" applyProtection="1">
      <alignment horizontal="right"/>
      <protection hidden="1"/>
    </xf>
    <xf numFmtId="0" fontId="46" fillId="0" borderId="35" xfId="0" applyFont="1" applyFill="1" applyBorder="1"/>
    <xf numFmtId="14" fontId="46" fillId="0" borderId="35" xfId="0" applyNumberFormat="1" applyFont="1" applyFill="1" applyBorder="1"/>
    <xf numFmtId="0" fontId="31" fillId="20" borderId="34" xfId="0" applyFont="1" applyFill="1" applyBorder="1" applyAlignment="1">
      <alignment vertical="center"/>
    </xf>
    <xf numFmtId="0" fontId="31" fillId="20" borderId="0" xfId="0" applyFont="1" applyFill="1" applyAlignment="1">
      <alignment vertical="center"/>
    </xf>
    <xf numFmtId="0" fontId="31" fillId="20" borderId="33" xfId="0" applyFont="1" applyFill="1" applyBorder="1" applyAlignment="1">
      <alignment vertical="center"/>
    </xf>
    <xf numFmtId="0" fontId="31" fillId="20" borderId="0" xfId="0" applyFont="1" applyFill="1" applyAlignment="1">
      <alignment horizontal="right" vertical="center"/>
    </xf>
    <xf numFmtId="0" fontId="33" fillId="20" borderId="0" xfId="0" applyFont="1" applyFill="1" applyAlignment="1">
      <alignment vertical="center"/>
    </xf>
  </cellXfs>
  <cellStyles count="6">
    <cellStyle name="Milliers" xfId="1" builtinId="3"/>
    <cellStyle name="Milliers 3" xfId="5" xr:uid="{3732333A-5438-4196-B8D6-37FDBC7DB0B5}"/>
    <cellStyle name="Normal" xfId="0" builtinId="0"/>
    <cellStyle name="Normal 2 2" xfId="2" xr:uid="{8EACBAF1-93B1-40EF-BDEC-BF747C11AEE6}"/>
    <cellStyle name="Normal 4 2" xfId="4" xr:uid="{D8F1DBF3-EF64-47F8-8AF8-0DDC4D1F7902}"/>
    <cellStyle name="Normal_Reformes+algraphiques-20080815" xfId="3" xr:uid="{DAD34827-1A15-4A08-9698-35C05AD5A485}"/>
  </cellStyles>
  <dxfs count="20"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92D05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92D05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 patternType="none">
          <bgColor indexed="65"/>
        </patternFill>
      </fill>
      <border>
        <left/>
        <right style="thin">
          <color indexed="64"/>
        </right>
        <top/>
        <bottom/>
      </border>
    </dxf>
    <dxf>
      <font>
        <condense val="0"/>
        <extend val="0"/>
        <color indexed="9"/>
      </font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 patternType="none">
          <bgColor indexed="65"/>
        </patternFill>
      </fill>
      <border>
        <left/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57150</xdr:rowOff>
    </xdr:from>
    <xdr:to>
      <xdr:col>2</xdr:col>
      <xdr:colOff>596900</xdr:colOff>
      <xdr:row>6</xdr:row>
      <xdr:rowOff>120650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D425A35-93B8-4EB6-B3CD-812F6D1C1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2139950" cy="83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136525</xdr:colOff>
      <xdr:row>0</xdr:row>
      <xdr:rowOff>82550</xdr:rowOff>
    </xdr:from>
    <xdr:to>
      <xdr:col>2</xdr:col>
      <xdr:colOff>28575</xdr:colOff>
      <xdr:row>5</xdr:row>
      <xdr:rowOff>20304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65F19D7-4335-4CD9-A6DA-23C0164C0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25" y="82550"/>
          <a:ext cx="2768600" cy="709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1</xdr:col>
      <xdr:colOff>624906</xdr:colOff>
      <xdr:row>8</xdr:row>
      <xdr:rowOff>139700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18F79C5-AA5C-4F0A-8A98-E54B7A66D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675"/>
          <a:ext cx="2158431" cy="128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1</xdr:col>
      <xdr:colOff>624906</xdr:colOff>
      <xdr:row>8</xdr:row>
      <xdr:rowOff>139700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4F2F0E-B4DD-4E70-AEE6-56464085A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"/>
          <a:ext cx="2006031" cy="128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107675</xdr:colOff>
      <xdr:row>1</xdr:row>
      <xdr:rowOff>170858</xdr:rowOff>
    </xdr:from>
    <xdr:to>
      <xdr:col>1</xdr:col>
      <xdr:colOff>422414</xdr:colOff>
      <xdr:row>6</xdr:row>
      <xdr:rowOff>164549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A4DF7A-575A-427D-AA8B-A98AF9DD5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75" y="369641"/>
          <a:ext cx="2153478" cy="112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%20AWOYI/Desktop/Paie_2023_Mai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nabelbe-my.sharepoint.com/Users/Nicole%20AWOYI/Desktop/Paie_2023_Mai_Impot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T%20NTAMBWE\Documents\Soci&#233;t&#233;s\CLIENT\ENABEL\PARAMETRAGE%20&amp;%20REALISATION\Fichier%20logiciel%20Paie%20FH%2004%2009%2023.xlsx" TargetMode="External"/><Relationship Id="rId1" Type="http://schemas.openxmlformats.org/officeDocument/2006/relationships/externalLinkPath" Target="/Users/PAT%20NTAMBWE/Documents/Soci&#233;t&#233;s/CLIENT/ENABEL/PARAMETRAGE%20&amp;%20REALISATION/Fichier%20logiciel%20Paie%20FH%2004%2009%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5zaine-Liste"/>
      <sheetName val="Infos SDTC"/>
      <sheetName val="Grades-Promo"/>
      <sheetName val="Export POINTAGE"/>
      <sheetName val="Promu"/>
      <sheetName val="Promo"/>
      <sheetName val="DOP - out"/>
      <sheetName val="DOP"/>
      <sheetName val="Hrs Supp"/>
      <sheetName val="15zaine"/>
      <sheetName val="Cheklist"/>
      <sheetName val="Personnel"/>
      <sheetName val="SuiviAllF"/>
      <sheetName val="SDTC"/>
      <sheetName val="Fiche"/>
      <sheetName val="Fincontrat"/>
      <sheetName val="Pointage"/>
      <sheetName val="Bulletin Dcpte"/>
      <sheetName val="Paie"/>
      <sheetName val="barème"/>
      <sheetName val="Pivotpaie"/>
      <sheetName val="Feuil1"/>
      <sheetName val="15zaine-Fiche"/>
      <sheetName val="DataPaie"/>
      <sheetName val="Impôt-Contribuables"/>
      <sheetName val="Impôt-Redevables"/>
      <sheetName val="Impôt-Provinces"/>
      <sheetName val="Fiche_Impôt"/>
      <sheetName val="Lire valeur"/>
      <sheetName val="Calendar"/>
      <sheetName val="Barème-CTB"/>
      <sheetName val="Feuil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A5" t="str">
            <v>A02</v>
          </cell>
          <cell r="B5" t="str">
            <v>Acronyme</v>
          </cell>
          <cell r="C5" t="str">
            <v>Province</v>
          </cell>
          <cell r="D5" t="str">
            <v>Jan</v>
          </cell>
          <cell r="E5" t="str">
            <v>Févr</v>
          </cell>
          <cell r="F5" t="str">
            <v>Mars</v>
          </cell>
          <cell r="G5" t="str">
            <v>Avr.</v>
          </cell>
          <cell r="H5" t="str">
            <v>Mai</v>
          </cell>
          <cell r="I5" t="str">
            <v>Juin</v>
          </cell>
          <cell r="J5" t="str">
            <v>Juil.</v>
          </cell>
          <cell r="K5" t="str">
            <v>Août</v>
          </cell>
          <cell r="L5" t="str">
            <v>Sept.</v>
          </cell>
          <cell r="M5" t="str">
            <v>Oct.</v>
          </cell>
          <cell r="N5" t="str">
            <v>Nov.</v>
          </cell>
          <cell r="O5" t="str">
            <v>Déc.</v>
          </cell>
        </row>
        <row r="6">
          <cell r="A6" t="str">
            <v>COD2201511</v>
          </cell>
          <cell r="B6" t="str">
            <v>AGRI KORLOM</v>
          </cell>
          <cell r="C6" t="str">
            <v>KASAÏ ORIENTAL</v>
          </cell>
          <cell r="D6" t="str">
            <v>OK</v>
          </cell>
        </row>
        <row r="7">
          <cell r="A7" t="str">
            <v>COD2200411</v>
          </cell>
          <cell r="B7" t="str">
            <v>AGRI SUD-UBANGI</v>
          </cell>
          <cell r="C7" t="str">
            <v>EQUATEUR</v>
          </cell>
          <cell r="D7" t="str">
            <v>OK</v>
          </cell>
        </row>
        <row r="8">
          <cell r="A8" t="str">
            <v>COD2202111</v>
          </cell>
          <cell r="B8" t="str">
            <v>AGRI/SUD-KIVU</v>
          </cell>
          <cell r="C8" t="str">
            <v>SUD-KIVU</v>
          </cell>
          <cell r="D8" t="str">
            <v>OK</v>
          </cell>
        </row>
        <row r="9">
          <cell r="A9" t="str">
            <v>BEL1901011SP2</v>
          </cell>
          <cell r="B9" t="str">
            <v>VET Toolbox 2</v>
          </cell>
          <cell r="C9" t="str">
            <v>HAUT KATANGA</v>
          </cell>
          <cell r="D9" t="str">
            <v>OK</v>
          </cell>
        </row>
        <row r="10">
          <cell r="A10" t="str">
            <v>COD2200411</v>
          </cell>
          <cell r="B10" t="str">
            <v>COD22004</v>
          </cell>
          <cell r="C10" t="str">
            <v>EQUATEUR</v>
          </cell>
          <cell r="D10" t="str">
            <v>OK</v>
          </cell>
        </row>
        <row r="11">
          <cell r="A11" t="str">
            <v>COD2299411SH4</v>
          </cell>
          <cell r="B11" t="str">
            <v>COORDINATION HAUT-KAT-LUALABA</v>
          </cell>
          <cell r="C11" t="str">
            <v>HAUT KATANGA</v>
          </cell>
          <cell r="D11" t="str">
            <v>OK</v>
          </cell>
        </row>
        <row r="12">
          <cell r="A12" t="str">
            <v>COD2299511SH5</v>
          </cell>
          <cell r="B12" t="str">
            <v>COORDINATION KIN</v>
          </cell>
          <cell r="C12" t="str">
            <v>KINSHASA</v>
          </cell>
          <cell r="D12" t="str">
            <v>OK</v>
          </cell>
        </row>
        <row r="13">
          <cell r="A13" t="str">
            <v>COD2299611SH6</v>
          </cell>
          <cell r="B13" t="str">
            <v>COORDINATION NAT</v>
          </cell>
          <cell r="C13" t="str">
            <v>KINSHASA</v>
          </cell>
          <cell r="D13" t="str">
            <v>OK</v>
          </cell>
        </row>
        <row r="14">
          <cell r="A14" t="str">
            <v>COD2299311SH3</v>
          </cell>
          <cell r="B14" t="str">
            <v>COORDINATION SUD UBANGI</v>
          </cell>
          <cell r="C14" t="str">
            <v>EQUATEUR</v>
          </cell>
          <cell r="D14" t="str">
            <v>OK</v>
          </cell>
        </row>
        <row r="15">
          <cell r="A15" t="str">
            <v>COD2299111SH1</v>
          </cell>
          <cell r="B15" t="str">
            <v>COORDINATION TSHOPO</v>
          </cell>
          <cell r="C15" t="str">
            <v>P ORIENTALE</v>
          </cell>
          <cell r="D15" t="str">
            <v>OK</v>
          </cell>
        </row>
        <row r="16">
          <cell r="A16" t="str">
            <v>COD2000611</v>
          </cell>
          <cell r="B16" t="str">
            <v>DESIRA</v>
          </cell>
          <cell r="C16" t="str">
            <v>SANKURU</v>
          </cell>
          <cell r="D16" t="str">
            <v>OK</v>
          </cell>
        </row>
        <row r="17">
          <cell r="A17" t="str">
            <v>COD2201811</v>
          </cell>
          <cell r="B17" t="str">
            <v>EDUBASE</v>
          </cell>
          <cell r="C17" t="str">
            <v>HAUT KATANGA</v>
          </cell>
          <cell r="D17" t="str">
            <v>OK</v>
          </cell>
        </row>
        <row r="18">
          <cell r="A18" t="str">
            <v>COD2201711</v>
          </cell>
          <cell r="B18" t="str">
            <v>FEE</v>
          </cell>
          <cell r="C18" t="str">
            <v>HAUT KATANGA</v>
          </cell>
          <cell r="D18" t="str">
            <v>OK</v>
          </cell>
        </row>
        <row r="19">
          <cell r="A19" t="str">
            <v>COD2201211</v>
          </cell>
          <cell r="B19" t="str">
            <v>FEE KOR</v>
          </cell>
          <cell r="C19" t="str">
            <v>KASAÏ ORIENTAL</v>
          </cell>
          <cell r="D19" t="str">
            <v>OK</v>
          </cell>
        </row>
        <row r="20">
          <cell r="A20" t="str">
            <v>COD2100311</v>
          </cell>
          <cell r="B20" t="str">
            <v>GIFT</v>
          </cell>
          <cell r="C20" t="str">
            <v>P ORIENTALE</v>
          </cell>
          <cell r="D20" t="str">
            <v>OK</v>
          </cell>
        </row>
        <row r="21">
          <cell r="A21" t="str">
            <v>COD2000211</v>
          </cell>
          <cell r="B21" t="str">
            <v>Hôpital St Joseph</v>
          </cell>
          <cell r="C21" t="str">
            <v>KINSHASA</v>
          </cell>
        </row>
        <row r="22">
          <cell r="A22" t="str">
            <v>COD2000111</v>
          </cell>
          <cell r="B22" t="str">
            <v>KIN EMPLOI</v>
          </cell>
          <cell r="C22" t="str">
            <v>KINSHASA</v>
          </cell>
          <cell r="D22" t="str">
            <v>OK</v>
          </cell>
        </row>
        <row r="23">
          <cell r="A23" t="str">
            <v>COD2299211SH2</v>
          </cell>
          <cell r="B23" t="str">
            <v>KORLOM</v>
          </cell>
          <cell r="C23" t="str">
            <v>KASAÏ ORIENTAL</v>
          </cell>
          <cell r="D23" t="str">
            <v>OK</v>
          </cell>
        </row>
        <row r="24">
          <cell r="A24" t="str">
            <v>COD2100211</v>
          </cell>
          <cell r="B24" t="str">
            <v xml:space="preserve">PARP III </v>
          </cell>
          <cell r="C24" t="str">
            <v>KINSHASA</v>
          </cell>
          <cell r="D24" t="str">
            <v>OK</v>
          </cell>
        </row>
        <row r="25">
          <cell r="A25" t="str">
            <v>RDC182081T</v>
          </cell>
          <cell r="B25" t="str">
            <v>PIREDD</v>
          </cell>
          <cell r="C25" t="str">
            <v>EQUATEUR</v>
          </cell>
          <cell r="D25" t="str">
            <v>OK</v>
          </cell>
        </row>
        <row r="26">
          <cell r="A26" t="str">
            <v>RDC1419111</v>
          </cell>
          <cell r="B26" t="str">
            <v>PLVS</v>
          </cell>
          <cell r="C26" t="str">
            <v>EQUATEUR</v>
          </cell>
          <cell r="D26" t="str">
            <v>OK</v>
          </cell>
        </row>
        <row r="27">
          <cell r="A27" t="str">
            <v>COD2201011</v>
          </cell>
          <cell r="B27" t="str">
            <v>PROJET AGRI</v>
          </cell>
          <cell r="C27" t="str">
            <v>P ORIENTALE</v>
          </cell>
          <cell r="D27" t="str">
            <v>OK</v>
          </cell>
        </row>
        <row r="28">
          <cell r="A28" t="str">
            <v>COD2202411</v>
          </cell>
          <cell r="B28" t="str">
            <v>PROJET SANTE KINSHASA</v>
          </cell>
          <cell r="C28" t="str">
            <v>EQUATEUR</v>
          </cell>
          <cell r="D28" t="str">
            <v>OK</v>
          </cell>
        </row>
        <row r="29">
          <cell r="A29" t="str">
            <v>COD2100511SP1</v>
          </cell>
          <cell r="B29" t="str">
            <v>PROTECTION SOCIALE</v>
          </cell>
          <cell r="C29" t="str">
            <v>LUALABA</v>
          </cell>
          <cell r="D29" t="str">
            <v>OK</v>
          </cell>
        </row>
        <row r="30">
          <cell r="A30" t="str">
            <v>2180COD</v>
          </cell>
          <cell r="B30" t="str">
            <v>REPRESENTATION EN RDC</v>
          </cell>
          <cell r="C30" t="str">
            <v>KINSHASA</v>
          </cell>
          <cell r="D30" t="str">
            <v>OK</v>
          </cell>
        </row>
        <row r="31">
          <cell r="A31" t="str">
            <v>COD2202811</v>
          </cell>
          <cell r="B31" t="str">
            <v>SORTIE EAU</v>
          </cell>
          <cell r="C31" t="str">
            <v>KINSHASA</v>
          </cell>
          <cell r="D31" t="str">
            <v>OK</v>
          </cell>
        </row>
        <row r="32">
          <cell r="A32" t="str">
            <v>COD2200111</v>
          </cell>
          <cell r="B32" t="str">
            <v>UPS UNI POUR LA PAIX</v>
          </cell>
          <cell r="C32" t="str">
            <v>KINSHASA</v>
          </cell>
          <cell r="D32" t="str">
            <v>OK</v>
          </cell>
        </row>
        <row r="33">
          <cell r="A33" t="str">
            <v>COD2100411</v>
          </cell>
          <cell r="B33" t="str">
            <v xml:space="preserve">UE GENRE </v>
          </cell>
          <cell r="C33" t="str">
            <v>ITURI</v>
          </cell>
          <cell r="D33" t="str">
            <v>OK</v>
          </cell>
        </row>
      </sheetData>
      <sheetData sheetId="11"/>
      <sheetData sheetId="12"/>
      <sheetData sheetId="13"/>
      <sheetData sheetId="14"/>
      <sheetData sheetId="15"/>
      <sheetData sheetId="16">
        <row r="3">
          <cell r="T3" t="str">
            <v>21306REPRDC</v>
          </cell>
          <cell r="W3">
            <v>2023</v>
          </cell>
          <cell r="Z3">
            <v>0.01</v>
          </cell>
        </row>
        <row r="4">
          <cell r="D4">
            <v>3</v>
          </cell>
          <cell r="T4" t="str">
            <v>REPRESENTATION EN RDC</v>
          </cell>
        </row>
        <row r="5">
          <cell r="D5" t="str">
            <v>MARS</v>
          </cell>
          <cell r="T5" t="str">
            <v>KINSHASA</v>
          </cell>
        </row>
        <row r="7">
          <cell r="T7">
            <v>2476.0947000000001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5zaine-Liste"/>
      <sheetName val="Infos SDTC"/>
      <sheetName val="Grades-Promo"/>
      <sheetName val="Export POINTAGE"/>
      <sheetName val="Promu"/>
      <sheetName val="Promo"/>
      <sheetName val="DOP - out"/>
      <sheetName val="DOP"/>
      <sheetName val="Hrs Supp"/>
      <sheetName val="15zaine"/>
      <sheetName val="Cheklist"/>
      <sheetName val="Personnel"/>
      <sheetName val="SuiviAllF"/>
      <sheetName val="Fiche"/>
      <sheetName val="SDTC"/>
      <sheetName val="Fincontrat"/>
      <sheetName val="Pointage"/>
      <sheetName val="Bulletin Dcpte"/>
      <sheetName val="Paie"/>
      <sheetName val="barème"/>
      <sheetName val="Pivotpaie"/>
      <sheetName val="Feuil1"/>
      <sheetName val="15zaine-Fiche"/>
      <sheetName val="DataPaie"/>
      <sheetName val="Impôt-Contribuables"/>
      <sheetName val="Impôt-Redevables"/>
      <sheetName val="Impôt-Provinces"/>
      <sheetName val="Fiche_Impôt"/>
      <sheetName val="Lire valeur"/>
      <sheetName val="Calendar"/>
      <sheetName val="Barème-CTB"/>
      <sheetName val="Feuil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>
        <row r="1">
          <cell r="V1" t="str">
            <v>C</v>
          </cell>
          <cell r="AJ1" t="str">
            <v>CDI</v>
          </cell>
        </row>
        <row r="2">
          <cell r="AJ2" t="str">
            <v>CDD</v>
          </cell>
        </row>
        <row r="3">
          <cell r="AJ3" t="str">
            <v>COD</v>
          </cell>
        </row>
        <row r="4">
          <cell r="AJ4" t="str">
            <v>CDR</v>
          </cell>
        </row>
      </sheetData>
      <sheetData sheetId="12">
        <row r="1">
          <cell r="I1" t="str">
            <v>OK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tion administrative"/>
      <sheetName val="Element de l'organisation "/>
      <sheetName val="Elément de congé"/>
      <sheetName val="Barème salarial et avantage"/>
      <sheetName val="Impôt"/>
      <sheetName val="Elements du pointage"/>
      <sheetName val="Elements de la paie"/>
      <sheetName val="ROI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J5">
            <v>162000</v>
          </cell>
          <cell r="L5">
            <v>4860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CD5-840E-4ED8-BAC9-572DB3C9C3F4}">
  <dimension ref="B4:C12"/>
  <sheetViews>
    <sheetView workbookViewId="0">
      <selection activeCell="C16" sqref="C16"/>
    </sheetView>
  </sheetViews>
  <sheetFormatPr baseColWidth="10" defaultRowHeight="15" x14ac:dyDescent="0.25"/>
  <cols>
    <col min="1" max="1" width="5.5703125" customWidth="1"/>
    <col min="3" max="3" width="20.42578125" customWidth="1"/>
  </cols>
  <sheetData>
    <row r="4" spans="2:3" ht="36.75" customHeight="1" x14ac:dyDescent="0.25">
      <c r="B4" s="1" t="s">
        <v>32</v>
      </c>
      <c r="C4" s="1" t="s">
        <v>33</v>
      </c>
    </row>
    <row r="5" spans="2:3" ht="26.25" customHeight="1" x14ac:dyDescent="0.25">
      <c r="B5" s="53" t="s">
        <v>31</v>
      </c>
      <c r="C5" s="54">
        <v>2016.5737999999999</v>
      </c>
    </row>
    <row r="6" spans="2:3" ht="23.25" customHeight="1" x14ac:dyDescent="0.25">
      <c r="B6" s="53" t="s">
        <v>24</v>
      </c>
      <c r="C6" s="54">
        <v>2035.7546</v>
      </c>
    </row>
    <row r="7" spans="2:3" ht="23.25" customHeight="1" x14ac:dyDescent="0.25">
      <c r="B7" s="53" t="s">
        <v>25</v>
      </c>
      <c r="C7" s="54">
        <v>2037.8545999999999</v>
      </c>
    </row>
    <row r="8" spans="2:3" ht="21.75" customHeight="1" x14ac:dyDescent="0.25">
      <c r="B8" s="53" t="s">
        <v>26</v>
      </c>
      <c r="C8" s="54">
        <v>2037.7763</v>
      </c>
    </row>
    <row r="9" spans="2:3" ht="21" customHeight="1" x14ac:dyDescent="0.25">
      <c r="B9" s="53" t="s">
        <v>27</v>
      </c>
      <c r="C9" s="54">
        <v>2298.0652</v>
      </c>
    </row>
    <row r="10" spans="2:3" ht="21.75" customHeight="1" x14ac:dyDescent="0.25">
      <c r="B10" s="53" t="s">
        <v>28</v>
      </c>
      <c r="C10" s="54">
        <v>2358.5945000000002</v>
      </c>
    </row>
    <row r="11" spans="2:3" ht="19.5" customHeight="1" x14ac:dyDescent="0.25">
      <c r="B11" s="53" t="s">
        <v>29</v>
      </c>
      <c r="C11" s="54">
        <v>2462.5174000000002</v>
      </c>
    </row>
    <row r="12" spans="2:3" ht="21.75" customHeight="1" x14ac:dyDescent="0.25">
      <c r="B12" s="53" t="s">
        <v>30</v>
      </c>
      <c r="C12" s="54">
        <v>2476.0947000000001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3E90-584A-46F9-B04D-8ED20923B82A}">
  <dimension ref="A2:CU6"/>
  <sheetViews>
    <sheetView workbookViewId="0">
      <selection activeCell="J27" sqref="J27"/>
    </sheetView>
  </sheetViews>
  <sheetFormatPr baseColWidth="10" defaultRowHeight="15" x14ac:dyDescent="0.25"/>
  <cols>
    <col min="1" max="1" width="21.5703125" customWidth="1"/>
    <col min="5" max="5" width="17.85546875" customWidth="1"/>
    <col min="6" max="6" width="18.140625" customWidth="1"/>
    <col min="9" max="9" width="16.28515625" customWidth="1"/>
    <col min="10" max="10" width="16.7109375" customWidth="1"/>
    <col min="16" max="16" width="14.28515625" customWidth="1"/>
    <col min="20" max="20" width="14.5703125" customWidth="1"/>
    <col min="21" max="21" width="16.140625" customWidth="1"/>
    <col min="24" max="24" width="20.5703125" customWidth="1"/>
    <col min="31" max="31" width="13.28515625" customWidth="1"/>
    <col min="41" max="41" width="14" customWidth="1"/>
    <col min="42" max="42" width="16.140625" customWidth="1"/>
    <col min="43" max="43" width="16" customWidth="1"/>
    <col min="74" max="74" width="16.5703125" customWidth="1"/>
    <col min="75" max="75" width="15.5703125" customWidth="1"/>
    <col min="78" max="78" width="14.28515625" customWidth="1"/>
    <col min="83" max="83" width="16.85546875" customWidth="1"/>
    <col min="90" max="90" width="14.85546875" customWidth="1"/>
    <col min="92" max="92" width="19" customWidth="1"/>
    <col min="93" max="93" width="13.42578125" customWidth="1"/>
  </cols>
  <sheetData>
    <row r="2" spans="1:99" ht="15.75" thickBot="1" x14ac:dyDescent="0.3"/>
    <row r="3" spans="1:99" s="63" customFormat="1" ht="19.149999999999999" customHeight="1" thickBot="1" x14ac:dyDescent="0.35">
      <c r="A3" s="235" t="s">
        <v>59</v>
      </c>
      <c r="B3" s="236"/>
      <c r="C3" s="237"/>
      <c r="D3" s="55"/>
      <c r="E3" s="56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8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9"/>
      <c r="BY3" s="59"/>
      <c r="BZ3" s="60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61"/>
      <c r="CS3" s="61"/>
      <c r="CT3" s="61"/>
      <c r="CU3" s="62"/>
    </row>
    <row r="4" spans="1:99" s="63" customFormat="1" ht="18.75" x14ac:dyDescent="0.3">
      <c r="A4" s="64">
        <v>1</v>
      </c>
      <c r="B4" s="65">
        <v>2</v>
      </c>
      <c r="C4" s="64">
        <v>3</v>
      </c>
      <c r="D4" s="66">
        <v>4</v>
      </c>
      <c r="E4" s="67">
        <v>5</v>
      </c>
      <c r="F4" s="66">
        <v>6</v>
      </c>
      <c r="G4" s="64">
        <v>7</v>
      </c>
      <c r="H4" s="66">
        <v>8</v>
      </c>
      <c r="I4" s="64">
        <v>9</v>
      </c>
      <c r="J4" s="66">
        <v>10</v>
      </c>
      <c r="K4" s="64">
        <v>11</v>
      </c>
      <c r="L4" s="66">
        <v>12</v>
      </c>
      <c r="M4" s="64">
        <v>13</v>
      </c>
      <c r="N4" s="66">
        <v>14</v>
      </c>
      <c r="O4" s="64">
        <v>15</v>
      </c>
      <c r="P4" s="66">
        <v>16</v>
      </c>
      <c r="Q4" s="64">
        <v>17</v>
      </c>
      <c r="R4" s="66">
        <v>18</v>
      </c>
      <c r="S4" s="64">
        <v>19</v>
      </c>
      <c r="T4" s="66">
        <v>20</v>
      </c>
      <c r="U4" s="64">
        <v>21</v>
      </c>
      <c r="V4" s="66">
        <v>22</v>
      </c>
      <c r="W4" s="64">
        <v>23</v>
      </c>
      <c r="X4" s="66">
        <v>24</v>
      </c>
      <c r="Y4" s="64">
        <v>25</v>
      </c>
      <c r="Z4" s="66">
        <v>26</v>
      </c>
      <c r="AA4" s="64">
        <v>27</v>
      </c>
      <c r="AB4" s="66">
        <v>28</v>
      </c>
      <c r="AC4" s="64">
        <v>29</v>
      </c>
      <c r="AD4" s="66">
        <v>30</v>
      </c>
      <c r="AE4" s="64">
        <v>31</v>
      </c>
      <c r="AF4" s="66">
        <v>32</v>
      </c>
      <c r="AG4" s="64">
        <v>33</v>
      </c>
      <c r="AH4" s="66">
        <v>34</v>
      </c>
      <c r="AI4" s="64">
        <v>35</v>
      </c>
      <c r="AJ4" s="66">
        <v>36</v>
      </c>
      <c r="AK4" s="64">
        <v>37</v>
      </c>
      <c r="AL4" s="66">
        <v>38</v>
      </c>
      <c r="AM4" s="64">
        <v>39</v>
      </c>
      <c r="AN4" s="66">
        <v>40</v>
      </c>
      <c r="AO4" s="64">
        <v>41</v>
      </c>
      <c r="AP4" s="66">
        <v>42</v>
      </c>
      <c r="AQ4" s="64">
        <v>43</v>
      </c>
      <c r="AR4" s="66">
        <v>44</v>
      </c>
      <c r="AS4" s="64">
        <v>45</v>
      </c>
      <c r="AT4" s="66">
        <v>46</v>
      </c>
      <c r="AU4" s="64">
        <v>47</v>
      </c>
      <c r="AV4" s="66">
        <v>48</v>
      </c>
      <c r="AW4" s="64">
        <v>49</v>
      </c>
      <c r="AX4" s="66">
        <v>50</v>
      </c>
      <c r="AY4" s="64">
        <v>51</v>
      </c>
      <c r="AZ4" s="66">
        <v>52</v>
      </c>
      <c r="BA4" s="64">
        <v>53</v>
      </c>
      <c r="BB4" s="66">
        <v>54</v>
      </c>
      <c r="BC4" s="64">
        <v>55</v>
      </c>
      <c r="BD4" s="66">
        <v>56</v>
      </c>
      <c r="BE4" s="64">
        <v>57</v>
      </c>
      <c r="BF4" s="66">
        <v>58</v>
      </c>
      <c r="BG4" s="64">
        <v>59</v>
      </c>
      <c r="BH4" s="66">
        <v>60</v>
      </c>
      <c r="BI4" s="64">
        <v>61</v>
      </c>
      <c r="BJ4" s="66">
        <v>62</v>
      </c>
      <c r="BK4" s="68">
        <v>63</v>
      </c>
      <c r="BL4" s="66">
        <v>64</v>
      </c>
      <c r="BM4" s="64">
        <v>65</v>
      </c>
      <c r="BN4" s="66">
        <v>66</v>
      </c>
      <c r="BO4" s="64">
        <v>67</v>
      </c>
      <c r="BP4" s="66">
        <v>68</v>
      </c>
      <c r="BQ4" s="64">
        <v>69</v>
      </c>
      <c r="BR4" s="66">
        <v>70</v>
      </c>
      <c r="BS4" s="64">
        <v>71</v>
      </c>
      <c r="BT4" s="66">
        <v>72</v>
      </c>
      <c r="BU4" s="64">
        <v>73</v>
      </c>
      <c r="BV4" s="66">
        <v>74</v>
      </c>
      <c r="BW4" s="64">
        <v>75</v>
      </c>
      <c r="BX4" s="65">
        <v>76</v>
      </c>
      <c r="BY4" s="64">
        <v>77</v>
      </c>
      <c r="BZ4" s="66">
        <v>78</v>
      </c>
      <c r="CA4" s="64">
        <v>79</v>
      </c>
      <c r="CB4" s="66">
        <v>80</v>
      </c>
      <c r="CC4" s="64">
        <v>81</v>
      </c>
      <c r="CD4" s="66">
        <v>82</v>
      </c>
      <c r="CE4" s="64">
        <v>83</v>
      </c>
      <c r="CF4" s="66">
        <v>84</v>
      </c>
      <c r="CG4" s="64">
        <v>85</v>
      </c>
      <c r="CH4" s="66">
        <v>86</v>
      </c>
      <c r="CI4" s="64">
        <v>87</v>
      </c>
      <c r="CJ4" s="66">
        <v>88</v>
      </c>
      <c r="CK4" s="64">
        <v>89</v>
      </c>
      <c r="CL4" s="66">
        <v>90</v>
      </c>
      <c r="CM4" s="64">
        <v>91</v>
      </c>
      <c r="CN4" s="66">
        <v>92</v>
      </c>
      <c r="CO4" s="64">
        <v>93</v>
      </c>
      <c r="CP4" s="66">
        <v>94</v>
      </c>
      <c r="CQ4" s="64">
        <v>95</v>
      </c>
      <c r="CR4" s="66">
        <v>96</v>
      </c>
      <c r="CS4" s="64">
        <v>97</v>
      </c>
      <c r="CT4" s="66">
        <v>98</v>
      </c>
      <c r="CU4" s="64">
        <v>99</v>
      </c>
    </row>
    <row r="5" spans="1:99" s="63" customFormat="1" ht="18.75" x14ac:dyDescent="0.3">
      <c r="A5" s="55">
        <v>1</v>
      </c>
      <c r="B5" s="69">
        <v>2</v>
      </c>
      <c r="C5" s="55">
        <v>3</v>
      </c>
      <c r="D5" s="70">
        <v>4</v>
      </c>
      <c r="E5" s="56">
        <v>5</v>
      </c>
      <c r="F5" s="70">
        <v>6</v>
      </c>
      <c r="G5" s="58">
        <v>7</v>
      </c>
      <c r="H5" s="70">
        <v>8</v>
      </c>
      <c r="I5" s="55">
        <v>9</v>
      </c>
      <c r="J5" s="70">
        <v>10</v>
      </c>
      <c r="K5" s="55">
        <v>11</v>
      </c>
      <c r="L5" s="70">
        <v>12</v>
      </c>
      <c r="M5" s="55">
        <v>13</v>
      </c>
      <c r="N5" s="70">
        <v>14</v>
      </c>
      <c r="O5" s="55">
        <v>15</v>
      </c>
      <c r="P5" s="70">
        <v>16</v>
      </c>
      <c r="Q5" s="55">
        <v>17</v>
      </c>
      <c r="R5" s="70">
        <v>18</v>
      </c>
      <c r="S5" s="55">
        <v>19</v>
      </c>
      <c r="T5" s="70">
        <v>20</v>
      </c>
      <c r="U5" s="55">
        <v>21</v>
      </c>
      <c r="V5" s="70">
        <v>22</v>
      </c>
      <c r="W5" s="55">
        <v>23</v>
      </c>
      <c r="X5" s="70">
        <v>24</v>
      </c>
      <c r="Y5" s="55">
        <v>25</v>
      </c>
      <c r="Z5" s="70">
        <v>26</v>
      </c>
      <c r="AA5" s="55">
        <v>27</v>
      </c>
      <c r="AB5" s="70">
        <v>28</v>
      </c>
      <c r="AC5" s="55">
        <v>29</v>
      </c>
      <c r="AD5" s="70">
        <v>30</v>
      </c>
      <c r="AE5" s="55">
        <v>31</v>
      </c>
      <c r="AF5" s="70">
        <v>32</v>
      </c>
      <c r="AG5" s="55">
        <v>33</v>
      </c>
      <c r="AH5" s="70">
        <v>34</v>
      </c>
      <c r="AI5" s="55">
        <v>35</v>
      </c>
      <c r="AJ5" s="70">
        <v>36</v>
      </c>
      <c r="AK5" s="55">
        <v>37</v>
      </c>
      <c r="AL5" s="70">
        <v>38</v>
      </c>
      <c r="AM5" s="55">
        <v>39</v>
      </c>
      <c r="AN5" s="70">
        <v>40</v>
      </c>
      <c r="AO5" s="55">
        <v>41</v>
      </c>
      <c r="AP5" s="70">
        <v>42</v>
      </c>
      <c r="AQ5" s="55">
        <v>43</v>
      </c>
      <c r="AR5" s="70">
        <v>44</v>
      </c>
      <c r="AS5" s="55">
        <v>45</v>
      </c>
      <c r="AT5" s="70">
        <v>46</v>
      </c>
      <c r="AU5" s="55">
        <v>47</v>
      </c>
      <c r="AV5" s="70">
        <v>48</v>
      </c>
      <c r="AW5" s="55">
        <v>49</v>
      </c>
      <c r="AX5" s="70">
        <v>50</v>
      </c>
      <c r="AY5" s="55">
        <v>51</v>
      </c>
      <c r="AZ5" s="70">
        <v>52</v>
      </c>
      <c r="BA5" s="55">
        <v>53</v>
      </c>
      <c r="BB5" s="70">
        <v>54</v>
      </c>
      <c r="BC5" s="55">
        <v>55</v>
      </c>
      <c r="BD5" s="70">
        <v>56</v>
      </c>
      <c r="BE5" s="55">
        <v>57</v>
      </c>
      <c r="BF5" s="70">
        <v>58</v>
      </c>
      <c r="BG5" s="55">
        <v>59</v>
      </c>
      <c r="BH5" s="70">
        <v>60</v>
      </c>
      <c r="BI5" s="55">
        <v>61</v>
      </c>
      <c r="BJ5" s="70">
        <v>62</v>
      </c>
      <c r="BK5" s="58">
        <v>63</v>
      </c>
      <c r="BL5" s="70">
        <v>64</v>
      </c>
      <c r="BM5" s="55">
        <v>65</v>
      </c>
      <c r="BN5" s="70">
        <v>66</v>
      </c>
      <c r="BO5" s="55">
        <v>67</v>
      </c>
      <c r="BP5" s="70">
        <v>68</v>
      </c>
      <c r="BQ5" s="55">
        <v>69</v>
      </c>
      <c r="BR5" s="70">
        <v>70</v>
      </c>
      <c r="BS5" s="55">
        <v>71</v>
      </c>
      <c r="BT5" s="70">
        <v>72</v>
      </c>
      <c r="BU5" s="55">
        <v>73</v>
      </c>
      <c r="BV5" s="71"/>
      <c r="BW5" s="71"/>
      <c r="BX5" s="69">
        <v>74</v>
      </c>
      <c r="BY5" s="56">
        <v>75</v>
      </c>
      <c r="BZ5" s="56">
        <v>76</v>
      </c>
      <c r="CA5" s="55">
        <v>77</v>
      </c>
      <c r="CB5" s="70">
        <v>78</v>
      </c>
      <c r="CC5" s="55">
        <v>79</v>
      </c>
      <c r="CD5" s="70">
        <v>80</v>
      </c>
      <c r="CE5" s="55">
        <v>81</v>
      </c>
      <c r="CF5" s="70">
        <v>82</v>
      </c>
      <c r="CG5" s="55">
        <v>83</v>
      </c>
      <c r="CH5" s="70">
        <v>84</v>
      </c>
      <c r="CI5" s="55">
        <v>85</v>
      </c>
      <c r="CJ5" s="70">
        <v>86</v>
      </c>
      <c r="CK5" s="55">
        <v>87</v>
      </c>
      <c r="CL5" s="70">
        <v>88</v>
      </c>
      <c r="CM5" s="70"/>
      <c r="CN5" s="70"/>
      <c r="CO5" s="55">
        <v>89</v>
      </c>
      <c r="CP5" s="70">
        <v>90</v>
      </c>
      <c r="CQ5" s="55">
        <v>91</v>
      </c>
      <c r="CR5" s="55">
        <v>92</v>
      </c>
      <c r="CS5" s="61"/>
      <c r="CT5" s="61"/>
      <c r="CU5" s="62"/>
    </row>
    <row r="6" spans="1:99" s="78" customFormat="1" ht="65.25" customHeight="1" x14ac:dyDescent="0.25">
      <c r="A6" s="72" t="s">
        <v>87</v>
      </c>
      <c r="B6" s="73" t="s">
        <v>60</v>
      </c>
      <c r="C6" s="72" t="s">
        <v>0</v>
      </c>
      <c r="D6" s="72" t="s">
        <v>1</v>
      </c>
      <c r="E6" s="73" t="s">
        <v>88</v>
      </c>
      <c r="F6" s="72" t="s">
        <v>2</v>
      </c>
      <c r="G6" s="72" t="s">
        <v>3</v>
      </c>
      <c r="H6" s="74" t="s">
        <v>89</v>
      </c>
      <c r="I6" s="74" t="s">
        <v>90</v>
      </c>
      <c r="J6" s="72" t="s">
        <v>91</v>
      </c>
      <c r="K6" s="72" t="s">
        <v>92</v>
      </c>
      <c r="L6" s="72" t="s">
        <v>93</v>
      </c>
      <c r="M6" s="72" t="s">
        <v>94</v>
      </c>
      <c r="N6" s="72" t="s">
        <v>95</v>
      </c>
      <c r="O6" s="72" t="s">
        <v>96</v>
      </c>
      <c r="P6" s="72" t="s">
        <v>97</v>
      </c>
      <c r="Q6" s="72" t="s">
        <v>98</v>
      </c>
      <c r="R6" s="72" t="s">
        <v>4</v>
      </c>
      <c r="S6" s="72" t="s">
        <v>5</v>
      </c>
      <c r="T6" s="72" t="s">
        <v>99</v>
      </c>
      <c r="U6" s="72" t="s">
        <v>103</v>
      </c>
      <c r="V6" s="72" t="s">
        <v>100</v>
      </c>
      <c r="W6" s="72" t="s">
        <v>101</v>
      </c>
      <c r="X6" s="72" t="s">
        <v>102</v>
      </c>
      <c r="Y6" s="72" t="s">
        <v>104</v>
      </c>
      <c r="Z6" s="72" t="s">
        <v>6</v>
      </c>
      <c r="AA6" s="72" t="s">
        <v>7</v>
      </c>
      <c r="AB6" s="72" t="s">
        <v>8</v>
      </c>
      <c r="AC6" s="72" t="s">
        <v>9</v>
      </c>
      <c r="AD6" s="72" t="s">
        <v>10</v>
      </c>
      <c r="AE6" s="72" t="s">
        <v>105</v>
      </c>
      <c r="AF6" s="72" t="s">
        <v>11</v>
      </c>
      <c r="AG6" s="72" t="s">
        <v>12</v>
      </c>
      <c r="AH6" s="72" t="s">
        <v>13</v>
      </c>
      <c r="AI6" s="72" t="s">
        <v>14</v>
      </c>
      <c r="AJ6" s="72" t="s">
        <v>15</v>
      </c>
      <c r="AK6" s="72" t="s">
        <v>16</v>
      </c>
      <c r="AL6" s="72" t="s">
        <v>17</v>
      </c>
      <c r="AM6" s="72" t="s">
        <v>18</v>
      </c>
      <c r="AN6" s="72" t="s">
        <v>19</v>
      </c>
      <c r="AO6" s="72" t="s">
        <v>106</v>
      </c>
      <c r="AP6" s="72" t="s">
        <v>107</v>
      </c>
      <c r="AQ6" s="72" t="s">
        <v>108</v>
      </c>
      <c r="AR6" s="72" t="s">
        <v>109</v>
      </c>
      <c r="AS6" s="72" t="s">
        <v>20</v>
      </c>
      <c r="AT6" s="72" t="s">
        <v>21</v>
      </c>
      <c r="AU6" s="72" t="s">
        <v>22</v>
      </c>
      <c r="AV6" s="72" t="s">
        <v>23</v>
      </c>
      <c r="AW6" s="72" t="s">
        <v>57</v>
      </c>
      <c r="AX6" s="72" t="s">
        <v>110</v>
      </c>
      <c r="AY6" s="72" t="s">
        <v>111</v>
      </c>
      <c r="AZ6" s="72" t="s">
        <v>112</v>
      </c>
      <c r="BA6" s="72" t="s">
        <v>113</v>
      </c>
      <c r="BB6" s="72" t="s">
        <v>114</v>
      </c>
      <c r="BC6" s="72" t="s">
        <v>115</v>
      </c>
      <c r="BD6" s="72" t="s">
        <v>61</v>
      </c>
      <c r="BE6" s="75" t="s">
        <v>62</v>
      </c>
      <c r="BF6" s="72" t="s">
        <v>63</v>
      </c>
      <c r="BG6" s="72" t="s">
        <v>64</v>
      </c>
      <c r="BH6" s="72" t="s">
        <v>65</v>
      </c>
      <c r="BI6" s="72" t="s">
        <v>66</v>
      </c>
      <c r="BJ6" s="72" t="s">
        <v>67</v>
      </c>
      <c r="BK6" s="72" t="s">
        <v>116</v>
      </c>
      <c r="BL6" s="72" t="s">
        <v>117</v>
      </c>
      <c r="BM6" s="72" t="s">
        <v>68</v>
      </c>
      <c r="BN6" s="72" t="s">
        <v>69</v>
      </c>
      <c r="BO6" s="72" t="s">
        <v>70</v>
      </c>
      <c r="BP6" s="72" t="s">
        <v>71</v>
      </c>
      <c r="BQ6" s="72" t="s">
        <v>72</v>
      </c>
      <c r="BR6" s="76" t="s">
        <v>118</v>
      </c>
      <c r="BS6" s="76" t="s">
        <v>73</v>
      </c>
      <c r="BT6" s="76" t="s">
        <v>119</v>
      </c>
      <c r="BU6" s="76" t="s">
        <v>74</v>
      </c>
      <c r="BV6" s="77" t="s">
        <v>120</v>
      </c>
      <c r="BW6" s="77" t="s">
        <v>75</v>
      </c>
      <c r="BX6" s="73" t="s">
        <v>121</v>
      </c>
      <c r="BY6" s="73" t="s">
        <v>122</v>
      </c>
      <c r="BZ6" s="79" t="s">
        <v>76</v>
      </c>
      <c r="CA6" s="72" t="s">
        <v>77</v>
      </c>
      <c r="CB6" s="72" t="s">
        <v>78</v>
      </c>
      <c r="CC6" s="72" t="s">
        <v>125</v>
      </c>
      <c r="CD6" s="77" t="s">
        <v>124</v>
      </c>
      <c r="CE6" s="77" t="s">
        <v>123</v>
      </c>
      <c r="CF6" s="77" t="s">
        <v>79</v>
      </c>
      <c r="CG6" s="77" t="s">
        <v>80</v>
      </c>
      <c r="CH6" s="77" t="s">
        <v>126</v>
      </c>
      <c r="CI6" s="77" t="s">
        <v>127</v>
      </c>
      <c r="CJ6" s="77" t="s">
        <v>128</v>
      </c>
      <c r="CK6" s="72" t="s">
        <v>129</v>
      </c>
      <c r="CL6" s="72" t="s">
        <v>81</v>
      </c>
      <c r="CM6" s="72" t="s">
        <v>82</v>
      </c>
      <c r="CN6" s="77" t="s">
        <v>83</v>
      </c>
      <c r="CO6" s="74" t="s">
        <v>130</v>
      </c>
      <c r="CP6" s="72" t="s">
        <v>84</v>
      </c>
      <c r="CQ6" s="74" t="s">
        <v>131</v>
      </c>
      <c r="CR6" s="72" t="s">
        <v>85</v>
      </c>
      <c r="CS6" s="72" t="s">
        <v>48</v>
      </c>
      <c r="CT6" s="72" t="s">
        <v>52</v>
      </c>
      <c r="CU6" s="72" t="s">
        <v>86</v>
      </c>
    </row>
  </sheetData>
  <mergeCells count="1">
    <mergeCell ref="A3:C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B073-12EF-4A92-80FA-E215027A3671}">
  <dimension ref="A2:M36"/>
  <sheetViews>
    <sheetView workbookViewId="0">
      <selection activeCell="H40" sqref="H40"/>
    </sheetView>
  </sheetViews>
  <sheetFormatPr baseColWidth="10" defaultRowHeight="15" x14ac:dyDescent="0.25"/>
  <sheetData>
    <row r="2" spans="1:13" s="2" customFormat="1" ht="11.25" x14ac:dyDescent="0.25">
      <c r="B2" s="3"/>
    </row>
    <row r="3" spans="1:13" s="2" customFormat="1" ht="12.75" x14ac:dyDescent="0.25">
      <c r="B3" s="4"/>
      <c r="L3" s="5" t="s">
        <v>34</v>
      </c>
      <c r="M3" s="6"/>
    </row>
    <row r="4" spans="1:13" s="2" customFormat="1" ht="12.75" x14ac:dyDescent="0.25">
      <c r="B4" s="4"/>
      <c r="H4" s="7" t="s">
        <v>35</v>
      </c>
      <c r="L4" s="8" t="s">
        <v>36</v>
      </c>
    </row>
    <row r="5" spans="1:13" s="2" customFormat="1" ht="12.75" x14ac:dyDescent="0.25">
      <c r="A5" s="9"/>
      <c r="B5" s="4"/>
      <c r="H5" s="7"/>
      <c r="L5" s="10" t="s">
        <v>37</v>
      </c>
    </row>
    <row r="6" spans="1:13" s="2" customFormat="1" ht="11.25" x14ac:dyDescent="0.25">
      <c r="B6" s="3"/>
      <c r="H6" s="7" t="s">
        <v>38</v>
      </c>
      <c r="M6" s="12" t="s">
        <v>39</v>
      </c>
    </row>
    <row r="7" spans="1:13" s="2" customFormat="1" ht="11.25" x14ac:dyDescent="0.25">
      <c r="B7" s="3"/>
      <c r="H7" s="7"/>
      <c r="M7" s="12"/>
    </row>
    <row r="8" spans="1:13" s="2" customFormat="1" x14ac:dyDescent="0.25">
      <c r="A8" s="13" t="str">
        <f>IF(M8="mensuel","REDEVANCES MENSUELLES DE L'IPR, INSS &amp; INPP","REDEVANCES ANNUELLES DE L'IPR, INSS, INPP &amp; ONEM")</f>
        <v>REDEVANCES MENSUELLES DE L'IPR, INSS &amp; INPP</v>
      </c>
      <c r="B8" s="3"/>
      <c r="H8" s="14"/>
      <c r="L8" s="15" t="s">
        <v>40</v>
      </c>
      <c r="M8" s="16" t="str">
        <f>IF(Mois="","Annuel","Mensuel")</f>
        <v>Mensuel</v>
      </c>
    </row>
    <row r="9" spans="1:13" s="2" customFormat="1" ht="11.25" x14ac:dyDescent="0.25">
      <c r="B9" s="3"/>
    </row>
    <row r="10" spans="1:13" s="2" customFormat="1" ht="18" customHeight="1" x14ac:dyDescent="0.25">
      <c r="A10" s="5" t="s">
        <v>32</v>
      </c>
      <c r="B10" s="239"/>
      <c r="C10" s="239"/>
      <c r="D10" s="5">
        <f>Year</f>
        <v>2023</v>
      </c>
      <c r="K10" s="18" t="s">
        <v>41</v>
      </c>
      <c r="L10" s="19"/>
      <c r="M10" s="5" t="s">
        <v>42</v>
      </c>
    </row>
    <row r="11" spans="1:13" s="2" customFormat="1" ht="11.25" x14ac:dyDescent="0.25"/>
    <row r="12" spans="1:13" s="36" customFormat="1" ht="16.149999999999999" customHeight="1" x14ac:dyDescent="0.25">
      <c r="A12" s="240" t="s">
        <v>58</v>
      </c>
      <c r="B12" s="238" t="s">
        <v>57</v>
      </c>
      <c r="C12" s="238" t="s">
        <v>45</v>
      </c>
      <c r="D12" s="238"/>
      <c r="E12" s="238"/>
      <c r="F12" s="238" t="s">
        <v>18</v>
      </c>
      <c r="G12" s="238"/>
      <c r="H12" s="238"/>
      <c r="I12" s="238" t="s">
        <v>46</v>
      </c>
      <c r="J12" s="241" t="s">
        <v>47</v>
      </c>
      <c r="K12" s="242" t="s">
        <v>48</v>
      </c>
      <c r="L12" s="243" t="str">
        <f>"INPP - "&amp;TEXT(TX_INPP,"0%")</f>
        <v>INPP - 1%</v>
      </c>
      <c r="M12" s="238" t="s">
        <v>49</v>
      </c>
    </row>
    <row r="13" spans="1:13" s="37" customFormat="1" ht="16.149999999999999" customHeight="1" x14ac:dyDescent="0.25">
      <c r="A13" s="240"/>
      <c r="B13" s="238"/>
      <c r="C13" s="20" t="s">
        <v>50</v>
      </c>
      <c r="D13" s="20" t="s">
        <v>51</v>
      </c>
      <c r="E13" s="20" t="s">
        <v>52</v>
      </c>
      <c r="F13" s="21" t="s">
        <v>51</v>
      </c>
      <c r="G13" s="21" t="s">
        <v>53</v>
      </c>
      <c r="H13" s="22" t="s">
        <v>54</v>
      </c>
      <c r="I13" s="238">
        <v>0</v>
      </c>
      <c r="J13" s="241">
        <v>0</v>
      </c>
      <c r="K13" s="242"/>
      <c r="L13" s="244"/>
      <c r="M13" s="238">
        <v>0</v>
      </c>
    </row>
    <row r="14" spans="1:13" s="2" customFormat="1" ht="13.9" customHeight="1" x14ac:dyDescent="0.25">
      <c r="A14" s="23"/>
      <c r="B14" s="25"/>
      <c r="C14" s="38"/>
      <c r="D14" s="38"/>
      <c r="E14" s="38"/>
      <c r="F14" s="38"/>
      <c r="G14" s="38"/>
      <c r="H14" s="26"/>
      <c r="I14" s="28"/>
      <c r="J14" s="27"/>
      <c r="K14" s="26"/>
      <c r="L14" s="26"/>
      <c r="M14" s="29"/>
    </row>
    <row r="15" spans="1:13" s="2" customFormat="1" ht="13.9" hidden="1" customHeight="1" x14ac:dyDescent="0.25">
      <c r="A15" s="23"/>
      <c r="B15" s="25"/>
      <c r="C15" s="38"/>
      <c r="D15" s="38"/>
      <c r="E15" s="38"/>
      <c r="F15" s="38"/>
      <c r="G15" s="38"/>
      <c r="H15" s="26"/>
      <c r="I15" s="28"/>
      <c r="J15" s="27"/>
      <c r="K15" s="26"/>
      <c r="L15" s="26"/>
      <c r="M15" s="30"/>
    </row>
    <row r="16" spans="1:13" s="2" customFormat="1" ht="11.25" hidden="1" x14ac:dyDescent="0.25">
      <c r="A16" s="23"/>
      <c r="B16" s="25"/>
      <c r="C16" s="38"/>
      <c r="D16" s="38"/>
      <c r="E16" s="38"/>
      <c r="F16" s="38"/>
      <c r="G16" s="38"/>
      <c r="H16" s="26"/>
      <c r="I16" s="28"/>
      <c r="J16" s="27"/>
      <c r="K16" s="26"/>
      <c r="L16" s="26"/>
      <c r="M16" s="30"/>
    </row>
    <row r="17" spans="1:13" s="2" customFormat="1" ht="13.9" customHeight="1" x14ac:dyDescent="0.25">
      <c r="A17" s="23"/>
      <c r="B17" s="25"/>
      <c r="C17" s="38"/>
      <c r="D17" s="38"/>
      <c r="E17" s="38"/>
      <c r="F17" s="38"/>
      <c r="G17" s="38"/>
      <c r="H17" s="26"/>
      <c r="I17" s="28"/>
      <c r="J17" s="27"/>
      <c r="K17" s="26"/>
      <c r="L17" s="26"/>
      <c r="M17" s="30"/>
    </row>
    <row r="18" spans="1:13" s="2" customFormat="1" ht="13.9" customHeight="1" x14ac:dyDescent="0.25">
      <c r="A18" s="23"/>
      <c r="B18" s="25"/>
      <c r="C18" s="38"/>
      <c r="D18" s="38"/>
      <c r="E18" s="38"/>
      <c r="F18" s="38"/>
      <c r="G18" s="38"/>
      <c r="H18" s="26"/>
      <c r="I18" s="28"/>
      <c r="J18" s="27"/>
      <c r="K18" s="26"/>
      <c r="L18" s="26"/>
      <c r="M18" s="30"/>
    </row>
    <row r="19" spans="1:13" s="2" customFormat="1" ht="13.9" hidden="1" customHeight="1" x14ac:dyDescent="0.25">
      <c r="A19" s="23"/>
      <c r="B19" s="25"/>
      <c r="C19" s="38"/>
      <c r="D19" s="38"/>
      <c r="E19" s="38"/>
      <c r="F19" s="38"/>
      <c r="G19" s="38"/>
      <c r="H19" s="26"/>
      <c r="I19" s="28"/>
      <c r="J19" s="27"/>
      <c r="K19" s="26"/>
      <c r="L19" s="26"/>
      <c r="M19" s="30"/>
    </row>
    <row r="20" spans="1:13" s="2" customFormat="1" ht="13.9" customHeight="1" x14ac:dyDescent="0.25">
      <c r="A20" s="23"/>
      <c r="B20" s="25"/>
      <c r="C20" s="38"/>
      <c r="D20" s="38"/>
      <c r="E20" s="38"/>
      <c r="F20" s="38"/>
      <c r="G20" s="38"/>
      <c r="H20" s="26"/>
      <c r="I20" s="28"/>
      <c r="J20" s="27"/>
      <c r="K20" s="26"/>
      <c r="L20" s="26"/>
      <c r="M20" s="30"/>
    </row>
    <row r="21" spans="1:13" s="2" customFormat="1" ht="11.25" x14ac:dyDescent="0.25">
      <c r="A21" s="23"/>
      <c r="B21" s="25"/>
      <c r="C21" s="38"/>
      <c r="D21" s="38"/>
      <c r="E21" s="38"/>
      <c r="F21" s="38"/>
      <c r="G21" s="38"/>
      <c r="H21" s="26"/>
      <c r="I21" s="28"/>
      <c r="J21" s="27"/>
      <c r="K21" s="26"/>
      <c r="L21" s="26"/>
      <c r="M21" s="30"/>
    </row>
    <row r="22" spans="1:13" s="2" customFormat="1" ht="11.25" x14ac:dyDescent="0.25">
      <c r="A22" s="23"/>
      <c r="B22" s="25"/>
      <c r="C22" s="38"/>
      <c r="D22" s="38"/>
      <c r="E22" s="38"/>
      <c r="F22" s="38"/>
      <c r="G22" s="38"/>
      <c r="H22" s="26"/>
      <c r="I22" s="28"/>
      <c r="J22" s="27"/>
      <c r="K22" s="26"/>
      <c r="L22" s="26"/>
      <c r="M22" s="30"/>
    </row>
    <row r="23" spans="1:13" s="2" customFormat="1" ht="13.9" customHeight="1" x14ac:dyDescent="0.25">
      <c r="A23" s="23"/>
      <c r="B23" s="25"/>
      <c r="C23" s="38"/>
      <c r="D23" s="38"/>
      <c r="E23" s="38"/>
      <c r="F23" s="38"/>
      <c r="G23" s="38"/>
      <c r="H23" s="26"/>
      <c r="I23" s="28"/>
      <c r="J23" s="27"/>
      <c r="K23" s="26"/>
      <c r="L23" s="26"/>
      <c r="M23" s="30"/>
    </row>
    <row r="24" spans="1:13" s="2" customFormat="1" ht="13.9" hidden="1" customHeight="1" x14ac:dyDescent="0.25">
      <c r="A24" s="23"/>
      <c r="B24" s="25"/>
      <c r="C24" s="38"/>
      <c r="D24" s="38"/>
      <c r="E24" s="38"/>
      <c r="F24" s="38"/>
      <c r="G24" s="38"/>
      <c r="H24" s="26"/>
      <c r="I24" s="28"/>
      <c r="J24" s="27"/>
      <c r="K24" s="26"/>
      <c r="L24" s="26"/>
      <c r="M24" s="30"/>
    </row>
    <row r="25" spans="1:13" s="2" customFormat="1" ht="13.9" customHeight="1" x14ac:dyDescent="0.25">
      <c r="A25" s="23"/>
      <c r="B25" s="25"/>
      <c r="C25" s="38"/>
      <c r="D25" s="38"/>
      <c r="E25" s="38"/>
      <c r="F25" s="38"/>
      <c r="G25" s="38"/>
      <c r="H25" s="26"/>
      <c r="I25" s="28"/>
      <c r="J25" s="27"/>
      <c r="K25" s="26"/>
      <c r="L25" s="26"/>
      <c r="M25" s="30"/>
    </row>
    <row r="26" spans="1:13" s="2" customFormat="1" ht="13.9" customHeight="1" x14ac:dyDescent="0.25">
      <c r="A26" s="23"/>
      <c r="B26" s="25"/>
      <c r="C26" s="38"/>
      <c r="D26" s="38"/>
      <c r="E26" s="38"/>
      <c r="F26" s="38"/>
      <c r="G26" s="38"/>
      <c r="H26" s="26"/>
      <c r="I26" s="28"/>
      <c r="J26" s="27"/>
      <c r="K26" s="26"/>
      <c r="L26" s="26"/>
      <c r="M26" s="30"/>
    </row>
    <row r="27" spans="1:13" s="2" customFormat="1" ht="11.25" x14ac:dyDescent="0.25">
      <c r="A27" s="23"/>
      <c r="B27" s="25"/>
      <c r="C27" s="38"/>
      <c r="D27" s="38"/>
      <c r="E27" s="38"/>
      <c r="F27" s="38"/>
      <c r="G27" s="38"/>
      <c r="H27" s="26"/>
      <c r="I27" s="28"/>
      <c r="J27" s="27"/>
      <c r="K27" s="26"/>
      <c r="L27" s="26"/>
      <c r="M27" s="30"/>
    </row>
    <row r="28" spans="1:13" s="2" customFormat="1" ht="11.25" x14ac:dyDescent="0.25">
      <c r="A28" s="23"/>
      <c r="B28" s="25"/>
      <c r="C28" s="38"/>
      <c r="D28" s="38"/>
      <c r="E28" s="38"/>
      <c r="F28" s="38"/>
      <c r="G28" s="38"/>
      <c r="H28" s="26"/>
      <c r="I28" s="28"/>
      <c r="J28" s="27"/>
      <c r="K28" s="26"/>
      <c r="L28" s="26"/>
      <c r="M28" s="30"/>
    </row>
    <row r="29" spans="1:13" s="2" customFormat="1" ht="11.25" x14ac:dyDescent="0.25">
      <c r="A29" s="23"/>
      <c r="B29" s="25"/>
      <c r="C29" s="38"/>
      <c r="D29" s="38"/>
      <c r="E29" s="38"/>
      <c r="F29" s="38"/>
      <c r="G29" s="38"/>
      <c r="H29" s="26"/>
      <c r="I29" s="28"/>
      <c r="J29" s="27"/>
      <c r="K29" s="26"/>
      <c r="L29" s="26"/>
      <c r="M29" s="30"/>
    </row>
    <row r="30" spans="1:13" s="2" customFormat="1" ht="11.25" x14ac:dyDescent="0.25">
      <c r="A30" s="23"/>
      <c r="B30" s="25"/>
      <c r="C30" s="38"/>
      <c r="D30" s="38"/>
      <c r="E30" s="38"/>
      <c r="F30" s="38"/>
      <c r="G30" s="38"/>
      <c r="H30" s="26"/>
      <c r="I30" s="28"/>
      <c r="J30" s="27"/>
      <c r="K30" s="26"/>
      <c r="L30" s="26"/>
      <c r="M30" s="30"/>
    </row>
    <row r="31" spans="1:13" s="2" customFormat="1" ht="11.25" x14ac:dyDescent="0.25">
      <c r="A31" s="23"/>
      <c r="B31" s="25"/>
      <c r="C31" s="38"/>
      <c r="D31" s="38"/>
      <c r="E31" s="38"/>
      <c r="F31" s="38"/>
      <c r="G31" s="38"/>
      <c r="H31" s="26"/>
      <c r="I31" s="28"/>
      <c r="J31" s="27"/>
      <c r="K31" s="26"/>
      <c r="L31" s="26"/>
      <c r="M31" s="30"/>
    </row>
    <row r="32" spans="1:13" s="2" customFormat="1" ht="13.9" customHeight="1" x14ac:dyDescent="0.25">
      <c r="A32" s="39"/>
      <c r="B32" s="40"/>
      <c r="C32" s="41"/>
      <c r="D32" s="41"/>
      <c r="E32" s="41"/>
      <c r="F32" s="42"/>
      <c r="G32" s="43"/>
      <c r="H32" s="44"/>
      <c r="I32" s="45"/>
      <c r="J32" s="43"/>
      <c r="K32" s="46"/>
      <c r="L32" s="44"/>
      <c r="M32" s="47"/>
    </row>
    <row r="33" spans="2:13" s="2" customFormat="1" ht="11.25" x14ac:dyDescent="0.25">
      <c r="B33" s="3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</row>
    <row r="34" spans="2:13" s="2" customFormat="1" ht="17.25" customHeight="1" thickBot="1" x14ac:dyDescent="0.3">
      <c r="B34" s="48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</row>
    <row r="35" spans="2:13" s="2" customFormat="1" ht="19.5" customHeight="1" thickBot="1" x14ac:dyDescent="0.3">
      <c r="B35" s="49"/>
      <c r="C35" s="50"/>
      <c r="D35" s="50"/>
      <c r="E35" s="50"/>
      <c r="F35" s="50"/>
      <c r="G35" s="51" t="str">
        <f>IF(M8="Mensuel","Montants Arrondis A PAYER VIA dans le compte FISC : RAWBANK/CDF =&gt;","Montants Arrondis payés =&gt;")</f>
        <v>Montants Arrondis A PAYER VIA dans le compte FISC : RAWBANK/CDF =&gt;</v>
      </c>
      <c r="H35" s="51"/>
      <c r="I35" s="52"/>
      <c r="J35" s="52"/>
      <c r="K35" s="52"/>
      <c r="L35" s="52"/>
      <c r="M35" s="52"/>
    </row>
    <row r="36" spans="2:13" s="2" customFormat="1" ht="11.25" x14ac:dyDescent="0.25"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</row>
  </sheetData>
  <mergeCells count="10">
    <mergeCell ref="M12:M13"/>
    <mergeCell ref="B10:C10"/>
    <mergeCell ref="A12:A13"/>
    <mergeCell ref="B12:B13"/>
    <mergeCell ref="C12:E12"/>
    <mergeCell ref="F12:H12"/>
    <mergeCell ref="I12:I13"/>
    <mergeCell ref="J12:J13"/>
    <mergeCell ref="K12:K13"/>
    <mergeCell ref="L12:L13"/>
  </mergeCells>
  <conditionalFormatting sqref="A10">
    <cfRule type="expression" dxfId="19" priority="2" stopIfTrue="1">
      <formula>$M$7="Annuel"</formula>
    </cfRule>
  </conditionalFormatting>
  <conditionalFormatting sqref="C14:L33 M33 B34:M34">
    <cfRule type="cellIs" dxfId="18" priority="4" stopIfTrue="1" operator="lessThan">
      <formula>0</formula>
    </cfRule>
  </conditionalFormatting>
  <conditionalFormatting sqref="H35">
    <cfRule type="expression" dxfId="17" priority="1" stopIfTrue="1">
      <formula>$H$34="Revoir Fiche_Impôt"</formula>
    </cfRule>
  </conditionalFormatting>
  <conditionalFormatting sqref="M6:M7">
    <cfRule type="expression" dxfId="16" priority="3" stopIfTrue="1">
      <formula>$M$7="Mensuel"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9ADC-D70B-4350-8F18-0B9A23D94FEF}">
  <dimension ref="A1:O42"/>
  <sheetViews>
    <sheetView workbookViewId="0">
      <selection activeCell="D18" sqref="D18"/>
    </sheetView>
  </sheetViews>
  <sheetFormatPr baseColWidth="10" defaultRowHeight="15" x14ac:dyDescent="0.25"/>
  <cols>
    <col min="2" max="2" width="22" customWidth="1"/>
    <col min="3" max="3" width="7.5703125" customWidth="1"/>
    <col min="4" max="4" width="8.140625" customWidth="1"/>
  </cols>
  <sheetData>
    <row r="1" spans="1:15" x14ac:dyDescent="0.25">
      <c r="A1" s="2"/>
      <c r="B1" s="2"/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2"/>
      <c r="C2" s="3"/>
      <c r="D2" s="4" t="str">
        <f>Projet</f>
        <v>21306REPRDC</v>
      </c>
      <c r="E2" s="4"/>
      <c r="F2" s="2"/>
      <c r="G2" s="2"/>
      <c r="H2" s="2"/>
      <c r="I2" s="2"/>
      <c r="J2" s="2"/>
      <c r="K2" s="2"/>
      <c r="L2" s="2"/>
      <c r="M2" s="2"/>
      <c r="N2" s="5" t="s">
        <v>34</v>
      </c>
      <c r="O2" s="6"/>
    </row>
    <row r="3" spans="1:15" x14ac:dyDescent="0.25">
      <c r="A3" s="2"/>
      <c r="B3" s="2"/>
      <c r="C3" s="3"/>
      <c r="D3" s="4" t="str">
        <f>[1]Pointage!T4</f>
        <v>REPRESENTATION EN RDC</v>
      </c>
      <c r="E3" s="4"/>
      <c r="F3" s="2"/>
      <c r="G3" s="2"/>
      <c r="H3" s="2"/>
      <c r="I3" s="2"/>
      <c r="J3" s="7" t="s">
        <v>35</v>
      </c>
      <c r="K3" s="2"/>
      <c r="L3" s="2"/>
      <c r="M3" s="2"/>
      <c r="N3" s="8" t="s">
        <v>36</v>
      </c>
      <c r="O3" s="2"/>
    </row>
    <row r="4" spans="1:15" x14ac:dyDescent="0.25">
      <c r="A4" s="9"/>
      <c r="B4" s="2"/>
      <c r="C4" s="3"/>
      <c r="D4" s="4" t="str">
        <f>[1]Pointage!T5</f>
        <v>KINSHASA</v>
      </c>
      <c r="E4" s="4"/>
      <c r="F4" s="2"/>
      <c r="G4" s="2"/>
      <c r="H4" s="2"/>
      <c r="I4" s="2"/>
      <c r="J4" s="7"/>
      <c r="K4" s="2"/>
      <c r="L4" s="2"/>
      <c r="M4" s="2"/>
      <c r="N4" s="10" t="s">
        <v>37</v>
      </c>
      <c r="O4" s="2"/>
    </row>
    <row r="5" spans="1:15" x14ac:dyDescent="0.25">
      <c r="A5" s="2"/>
      <c r="B5" s="11"/>
      <c r="C5" s="3"/>
      <c r="D5" s="3"/>
      <c r="E5" s="2"/>
      <c r="F5" s="2"/>
      <c r="G5" s="2"/>
      <c r="H5" s="2"/>
      <c r="I5" s="2"/>
      <c r="J5" s="7" t="s">
        <v>38</v>
      </c>
      <c r="K5" s="2"/>
      <c r="L5" s="2"/>
      <c r="M5" s="2"/>
      <c r="N5" s="2"/>
      <c r="O5" s="12" t="s">
        <v>39</v>
      </c>
    </row>
    <row r="6" spans="1:15" x14ac:dyDescent="0.25">
      <c r="A6" s="13" t="str">
        <f>IF(O6="mensuel","REDEVANCES MENSUELLES DE L'IPR, INSS &amp; INPP","REDEVANCES ANNUELLES DE L'IPR, INSS, INPP &amp; ONEM")</f>
        <v>REDEVANCES MENSUELLES DE L'IPR, INSS &amp; INPP</v>
      </c>
      <c r="B6" s="2"/>
      <c r="C6" s="3"/>
      <c r="D6" s="3"/>
      <c r="E6" s="2"/>
      <c r="F6" s="2"/>
      <c r="G6" s="2"/>
      <c r="H6" s="2"/>
      <c r="I6" s="2"/>
      <c r="J6" s="14"/>
      <c r="K6" s="2"/>
      <c r="L6" s="2"/>
      <c r="M6" s="2"/>
      <c r="N6" s="15" t="s">
        <v>40</v>
      </c>
      <c r="O6" s="16" t="str">
        <f>IF(Mois="","Annuel","Mensuel")</f>
        <v>Mensuel</v>
      </c>
    </row>
    <row r="7" spans="1:15" x14ac:dyDescent="0.25">
      <c r="A7" s="2"/>
      <c r="B7" s="2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5">
        <f>IF(O6="Mensuel",[1]Pointage!D4,Year)</f>
        <v>3</v>
      </c>
      <c r="B8" s="35" t="str">
        <f>IF(O6="Mensuel",[1]Pointage!D5,"Exercice")</f>
        <v>MARS</v>
      </c>
      <c r="C8" s="17"/>
      <c r="D8" s="5">
        <f>Year</f>
        <v>2023</v>
      </c>
      <c r="E8" s="2"/>
      <c r="F8" s="2"/>
      <c r="G8" s="2"/>
      <c r="H8" s="2"/>
      <c r="I8" s="2"/>
      <c r="J8" s="2"/>
      <c r="K8" s="2"/>
      <c r="L8" s="2"/>
      <c r="M8" s="18" t="s">
        <v>41</v>
      </c>
      <c r="N8" s="19"/>
      <c r="O8" s="5" t="s">
        <v>42</v>
      </c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40" t="s">
        <v>55</v>
      </c>
      <c r="B10" s="238" t="s">
        <v>56</v>
      </c>
      <c r="C10" s="245" t="s">
        <v>43</v>
      </c>
      <c r="D10" s="245" t="s">
        <v>44</v>
      </c>
      <c r="E10" s="238" t="s">
        <v>45</v>
      </c>
      <c r="F10" s="238"/>
      <c r="G10" s="238"/>
      <c r="H10" s="238" t="s">
        <v>18</v>
      </c>
      <c r="I10" s="238"/>
      <c r="J10" s="238"/>
      <c r="K10" s="238" t="s">
        <v>46</v>
      </c>
      <c r="L10" s="241" t="s">
        <v>47</v>
      </c>
      <c r="M10" s="242" t="s">
        <v>48</v>
      </c>
      <c r="N10" s="243" t="str">
        <f>"INPP - "&amp;TEXT(TX_INPP,"0%")</f>
        <v>INPP - 1%</v>
      </c>
      <c r="O10" s="238" t="s">
        <v>49</v>
      </c>
    </row>
    <row r="11" spans="1:15" ht="35.25" customHeight="1" x14ac:dyDescent="0.25">
      <c r="A11" s="240"/>
      <c r="B11" s="238"/>
      <c r="C11" s="246"/>
      <c r="D11" s="246"/>
      <c r="E11" s="20" t="s">
        <v>50</v>
      </c>
      <c r="F11" s="20" t="s">
        <v>51</v>
      </c>
      <c r="G11" s="20" t="s">
        <v>52</v>
      </c>
      <c r="H11" s="21" t="s">
        <v>51</v>
      </c>
      <c r="I11" s="21" t="s">
        <v>53</v>
      </c>
      <c r="J11" s="22" t="s">
        <v>54</v>
      </c>
      <c r="K11" s="238">
        <v>0</v>
      </c>
      <c r="L11" s="241">
        <v>0</v>
      </c>
      <c r="M11" s="242"/>
      <c r="N11" s="244"/>
      <c r="O11" s="238">
        <v>0</v>
      </c>
    </row>
    <row r="12" spans="1:15" x14ac:dyDescent="0.25">
      <c r="A12" s="23"/>
      <c r="B12" s="24"/>
      <c r="C12" s="25"/>
      <c r="D12" s="25"/>
      <c r="E12" s="26"/>
      <c r="F12" s="26"/>
      <c r="G12" s="26"/>
      <c r="H12" s="27"/>
      <c r="I12" s="27"/>
      <c r="J12" s="26"/>
      <c r="K12" s="28"/>
      <c r="L12" s="27"/>
      <c r="M12" s="26"/>
      <c r="N12" s="26"/>
      <c r="O12" s="30"/>
    </row>
    <row r="13" spans="1:15" x14ac:dyDescent="0.25">
      <c r="A13" s="23"/>
      <c r="B13" s="24"/>
      <c r="C13" s="25"/>
      <c r="D13" s="25"/>
      <c r="E13" s="26"/>
      <c r="F13" s="26"/>
      <c r="G13" s="26"/>
      <c r="H13" s="27"/>
      <c r="I13" s="27"/>
      <c r="J13" s="26"/>
      <c r="K13" s="28"/>
      <c r="L13" s="27"/>
      <c r="M13" s="26"/>
      <c r="N13" s="26"/>
      <c r="O13" s="30"/>
    </row>
    <row r="14" spans="1:15" x14ac:dyDescent="0.25">
      <c r="A14" s="23"/>
      <c r="B14" s="24"/>
      <c r="C14" s="25"/>
      <c r="D14" s="25"/>
      <c r="E14" s="26"/>
      <c r="F14" s="26"/>
      <c r="G14" s="26"/>
      <c r="H14" s="27"/>
      <c r="I14" s="27"/>
      <c r="J14" s="26"/>
      <c r="K14" s="28"/>
      <c r="L14" s="27"/>
      <c r="M14" s="26"/>
      <c r="N14" s="26"/>
      <c r="O14" s="30"/>
    </row>
    <row r="15" spans="1:15" x14ac:dyDescent="0.25">
      <c r="A15" s="23"/>
      <c r="B15" s="24"/>
      <c r="C15" s="25"/>
      <c r="D15" s="25"/>
      <c r="E15" s="26"/>
      <c r="F15" s="26"/>
      <c r="G15" s="26"/>
      <c r="H15" s="27"/>
      <c r="I15" s="27"/>
      <c r="J15" s="26"/>
      <c r="K15" s="28"/>
      <c r="L15" s="27"/>
      <c r="M15" s="26"/>
      <c r="N15" s="26"/>
      <c r="O15" s="30"/>
    </row>
    <row r="16" spans="1:15" x14ac:dyDescent="0.25">
      <c r="A16" s="23"/>
      <c r="B16" s="24"/>
      <c r="C16" s="25"/>
      <c r="D16" s="25"/>
      <c r="E16" s="26"/>
      <c r="F16" s="26"/>
      <c r="G16" s="26"/>
      <c r="H16" s="27"/>
      <c r="I16" s="27"/>
      <c r="J16" s="26"/>
      <c r="K16" s="28"/>
      <c r="L16" s="27"/>
      <c r="M16" s="26"/>
      <c r="N16" s="26"/>
      <c r="O16" s="30"/>
    </row>
    <row r="17" spans="1:15" x14ac:dyDescent="0.25">
      <c r="A17" s="23"/>
      <c r="B17" s="24"/>
      <c r="C17" s="25"/>
      <c r="D17" s="25"/>
      <c r="E17" s="26"/>
      <c r="F17" s="26"/>
      <c r="G17" s="26"/>
      <c r="H17" s="27"/>
      <c r="I17" s="27"/>
      <c r="J17" s="26"/>
      <c r="K17" s="28"/>
      <c r="L17" s="27"/>
      <c r="M17" s="26"/>
      <c r="N17" s="26"/>
      <c r="O17" s="30"/>
    </row>
    <row r="18" spans="1:15" x14ac:dyDescent="0.25">
      <c r="A18" s="23"/>
      <c r="B18" s="24"/>
      <c r="C18" s="25"/>
      <c r="D18" s="25"/>
      <c r="E18" s="26"/>
      <c r="F18" s="26"/>
      <c r="G18" s="26"/>
      <c r="H18" s="27"/>
      <c r="I18" s="27"/>
      <c r="J18" s="26"/>
      <c r="K18" s="28"/>
      <c r="L18" s="27"/>
      <c r="M18" s="26"/>
      <c r="N18" s="26"/>
      <c r="O18" s="30"/>
    </row>
    <row r="19" spans="1:15" x14ac:dyDescent="0.25">
      <c r="A19" s="23"/>
      <c r="B19" s="24"/>
      <c r="C19" s="25"/>
      <c r="D19" s="25"/>
      <c r="E19" s="26"/>
      <c r="F19" s="26"/>
      <c r="G19" s="26"/>
      <c r="H19" s="27"/>
      <c r="I19" s="27"/>
      <c r="J19" s="26"/>
      <c r="K19" s="28"/>
      <c r="L19" s="27"/>
      <c r="M19" s="26"/>
      <c r="N19" s="26"/>
      <c r="O19" s="30"/>
    </row>
    <row r="20" spans="1:15" x14ac:dyDescent="0.25">
      <c r="A20" s="23"/>
      <c r="B20" s="24"/>
      <c r="C20" s="25"/>
      <c r="D20" s="25"/>
      <c r="E20" s="26"/>
      <c r="F20" s="26"/>
      <c r="G20" s="26"/>
      <c r="H20" s="27"/>
      <c r="I20" s="27"/>
      <c r="J20" s="26"/>
      <c r="K20" s="28"/>
      <c r="L20" s="27"/>
      <c r="M20" s="26"/>
      <c r="N20" s="26"/>
      <c r="O20" s="30"/>
    </row>
    <row r="21" spans="1:15" x14ac:dyDescent="0.25">
      <c r="A21" s="23"/>
      <c r="B21" s="24"/>
      <c r="C21" s="25"/>
      <c r="D21" s="25"/>
      <c r="E21" s="26"/>
      <c r="F21" s="26"/>
      <c r="G21" s="26"/>
      <c r="H21" s="27"/>
      <c r="I21" s="27"/>
      <c r="J21" s="26"/>
      <c r="K21" s="28"/>
      <c r="L21" s="27"/>
      <c r="M21" s="26"/>
      <c r="N21" s="26"/>
      <c r="O21" s="30"/>
    </row>
    <row r="22" spans="1:15" x14ac:dyDescent="0.25">
      <c r="A22" s="23"/>
      <c r="B22" s="24"/>
      <c r="C22" s="25"/>
      <c r="D22" s="25"/>
      <c r="E22" s="26"/>
      <c r="F22" s="26"/>
      <c r="G22" s="26"/>
      <c r="H22" s="27"/>
      <c r="I22" s="27"/>
      <c r="J22" s="26"/>
      <c r="K22" s="28"/>
      <c r="L22" s="27"/>
      <c r="M22" s="26"/>
      <c r="N22" s="26"/>
      <c r="O22" s="30"/>
    </row>
    <row r="23" spans="1:15" x14ac:dyDescent="0.25">
      <c r="A23" s="23"/>
      <c r="B23" s="24"/>
      <c r="C23" s="25"/>
      <c r="D23" s="25"/>
      <c r="E23" s="26"/>
      <c r="F23" s="26"/>
      <c r="G23" s="26"/>
      <c r="H23" s="27"/>
      <c r="I23" s="27"/>
      <c r="J23" s="26"/>
      <c r="K23" s="28"/>
      <c r="L23" s="27"/>
      <c r="M23" s="26"/>
      <c r="N23" s="26"/>
      <c r="O23" s="30"/>
    </row>
    <row r="24" spans="1:15" x14ac:dyDescent="0.25">
      <c r="A24" s="23"/>
      <c r="B24" s="24"/>
      <c r="C24" s="25"/>
      <c r="D24" s="25"/>
      <c r="E24" s="26"/>
      <c r="F24" s="26"/>
      <c r="G24" s="26"/>
      <c r="H24" s="27"/>
      <c r="I24" s="27"/>
      <c r="J24" s="26"/>
      <c r="K24" s="28"/>
      <c r="L24" s="27"/>
      <c r="M24" s="26"/>
      <c r="N24" s="26"/>
      <c r="O24" s="30"/>
    </row>
    <row r="25" spans="1:15" x14ac:dyDescent="0.25">
      <c r="A25" s="23"/>
      <c r="B25" s="24"/>
      <c r="C25" s="25"/>
      <c r="D25" s="25"/>
      <c r="E25" s="26"/>
      <c r="F25" s="26"/>
      <c r="G25" s="26"/>
      <c r="H25" s="27"/>
      <c r="I25" s="27"/>
      <c r="J25" s="26"/>
      <c r="K25" s="28"/>
      <c r="L25" s="27"/>
      <c r="M25" s="26"/>
      <c r="N25" s="26"/>
      <c r="O25" s="30"/>
    </row>
    <row r="26" spans="1:15" x14ac:dyDescent="0.25">
      <c r="A26" s="23"/>
      <c r="B26" s="24"/>
      <c r="C26" s="25"/>
      <c r="D26" s="25"/>
      <c r="E26" s="26"/>
      <c r="F26" s="26"/>
      <c r="G26" s="26"/>
      <c r="H26" s="27"/>
      <c r="I26" s="27"/>
      <c r="J26" s="26"/>
      <c r="K26" s="28"/>
      <c r="L26" s="27"/>
      <c r="M26" s="26"/>
      <c r="N26" s="26"/>
      <c r="O26" s="30"/>
    </row>
    <row r="27" spans="1:15" x14ac:dyDescent="0.25">
      <c r="A27" s="23"/>
      <c r="B27" s="24"/>
      <c r="C27" s="25"/>
      <c r="D27" s="25"/>
      <c r="E27" s="26"/>
      <c r="F27" s="26"/>
      <c r="G27" s="26"/>
      <c r="H27" s="27"/>
      <c r="I27" s="27"/>
      <c r="J27" s="26"/>
      <c r="K27" s="28"/>
      <c r="L27" s="27"/>
      <c r="M27" s="26"/>
      <c r="N27" s="26"/>
      <c r="O27" s="30"/>
    </row>
    <row r="28" spans="1:15" x14ac:dyDescent="0.25">
      <c r="A28" s="23"/>
      <c r="B28" s="24"/>
      <c r="C28" s="25"/>
      <c r="D28" s="25"/>
      <c r="E28" s="26"/>
      <c r="F28" s="26"/>
      <c r="G28" s="26"/>
      <c r="H28" s="27"/>
      <c r="I28" s="27"/>
      <c r="J28" s="26"/>
      <c r="K28" s="28"/>
      <c r="L28" s="27"/>
      <c r="M28" s="26"/>
      <c r="N28" s="26"/>
      <c r="O28" s="30"/>
    </row>
    <row r="29" spans="1:15" x14ac:dyDescent="0.25">
      <c r="A29" s="23"/>
      <c r="B29" s="24"/>
      <c r="C29" s="25"/>
      <c r="D29" s="25"/>
      <c r="E29" s="26"/>
      <c r="F29" s="26"/>
      <c r="G29" s="26"/>
      <c r="H29" s="27"/>
      <c r="I29" s="27"/>
      <c r="J29" s="26"/>
      <c r="K29" s="28"/>
      <c r="L29" s="27"/>
      <c r="M29" s="26"/>
      <c r="N29" s="26"/>
      <c r="O29" s="30"/>
    </row>
    <row r="30" spans="1:15" x14ac:dyDescent="0.25">
      <c r="A30" s="23"/>
      <c r="B30" s="24"/>
      <c r="C30" s="25"/>
      <c r="D30" s="25"/>
      <c r="E30" s="26"/>
      <c r="F30" s="26"/>
      <c r="G30" s="26"/>
      <c r="H30" s="27"/>
      <c r="I30" s="27"/>
      <c r="J30" s="26"/>
      <c r="K30" s="28"/>
      <c r="L30" s="27"/>
      <c r="M30" s="26"/>
      <c r="N30" s="26"/>
      <c r="O30" s="30"/>
    </row>
    <row r="31" spans="1:15" x14ac:dyDescent="0.25">
      <c r="A31" s="23"/>
      <c r="B31" s="24"/>
      <c r="C31" s="25"/>
      <c r="D31" s="25"/>
      <c r="E31" s="26"/>
      <c r="F31" s="26"/>
      <c r="G31" s="26"/>
      <c r="H31" s="27"/>
      <c r="I31" s="27"/>
      <c r="J31" s="26"/>
      <c r="K31" s="28"/>
      <c r="L31" s="27"/>
      <c r="M31" s="26"/>
      <c r="N31" s="26"/>
      <c r="O31" s="30"/>
    </row>
    <row r="32" spans="1:15" x14ac:dyDescent="0.25">
      <c r="A32" s="23"/>
      <c r="B32" s="24"/>
      <c r="C32" s="25"/>
      <c r="D32" s="25"/>
      <c r="E32" s="26"/>
      <c r="F32" s="26"/>
      <c r="G32" s="26"/>
      <c r="H32" s="27"/>
      <c r="I32" s="27"/>
      <c r="J32" s="26"/>
      <c r="K32" s="28"/>
      <c r="L32" s="27"/>
      <c r="M32" s="26"/>
      <c r="N32" s="26"/>
      <c r="O32" s="30"/>
    </row>
    <row r="33" spans="1:15" x14ac:dyDescent="0.25">
      <c r="A33" s="23"/>
      <c r="B33" s="24"/>
      <c r="C33" s="25"/>
      <c r="D33" s="25"/>
      <c r="E33" s="26"/>
      <c r="F33" s="26"/>
      <c r="G33" s="26"/>
      <c r="H33" s="27"/>
      <c r="I33" s="27"/>
      <c r="J33" s="26"/>
      <c r="K33" s="28"/>
      <c r="L33" s="27"/>
      <c r="M33" s="26"/>
      <c r="N33" s="26"/>
      <c r="O33" s="30"/>
    </row>
    <row r="34" spans="1:15" x14ac:dyDescent="0.25">
      <c r="A34" s="23"/>
      <c r="B34" s="24"/>
      <c r="C34" s="25"/>
      <c r="D34" s="25"/>
      <c r="E34" s="26"/>
      <c r="F34" s="26"/>
      <c r="G34" s="26"/>
      <c r="H34" s="27"/>
      <c r="I34" s="27"/>
      <c r="J34" s="26"/>
      <c r="K34" s="28"/>
      <c r="L34" s="27"/>
      <c r="M34" s="26"/>
      <c r="N34" s="26"/>
      <c r="O34" s="30"/>
    </row>
    <row r="35" spans="1:15" x14ac:dyDescent="0.25">
      <c r="A35" s="23"/>
      <c r="B35" s="24"/>
      <c r="C35" s="25"/>
      <c r="D35" s="25"/>
      <c r="E35" s="26"/>
      <c r="F35" s="26"/>
      <c r="G35" s="26"/>
      <c r="H35" s="27"/>
      <c r="I35" s="27"/>
      <c r="J35" s="26"/>
      <c r="K35" s="28"/>
      <c r="L35" s="27"/>
      <c r="M35" s="26"/>
      <c r="N35" s="26"/>
      <c r="O35" s="30"/>
    </row>
    <row r="36" spans="1:15" x14ac:dyDescent="0.25">
      <c r="A36" s="23"/>
      <c r="B36" s="24"/>
      <c r="C36" s="25"/>
      <c r="D36" s="25"/>
      <c r="E36" s="26"/>
      <c r="F36" s="26"/>
      <c r="G36" s="26"/>
      <c r="H36" s="27"/>
      <c r="I36" s="27"/>
      <c r="J36" s="26"/>
      <c r="K36" s="28"/>
      <c r="L36" s="27"/>
      <c r="M36" s="26"/>
      <c r="N36" s="26"/>
      <c r="O36" s="30"/>
    </row>
    <row r="37" spans="1:15" x14ac:dyDescent="0.25">
      <c r="A37" s="23"/>
      <c r="B37" s="24"/>
      <c r="C37" s="25"/>
      <c r="D37" s="25"/>
      <c r="E37" s="26"/>
      <c r="F37" s="26"/>
      <c r="G37" s="26"/>
      <c r="H37" s="27"/>
      <c r="I37" s="27"/>
      <c r="J37" s="26"/>
      <c r="K37" s="28"/>
      <c r="L37" s="27"/>
      <c r="M37" s="26"/>
      <c r="N37" s="26"/>
      <c r="O37" s="30"/>
    </row>
    <row r="38" spans="1:15" x14ac:dyDescent="0.25">
      <c r="A38" s="23"/>
      <c r="B38" s="24"/>
      <c r="C38" s="25"/>
      <c r="D38" s="25"/>
      <c r="E38" s="26"/>
      <c r="F38" s="26"/>
      <c r="G38" s="26"/>
      <c r="H38" s="27"/>
      <c r="I38" s="27"/>
      <c r="J38" s="26"/>
      <c r="K38" s="28"/>
      <c r="L38" s="27"/>
      <c r="M38" s="26"/>
      <c r="N38" s="26"/>
      <c r="O38" s="30"/>
    </row>
    <row r="39" spans="1:15" x14ac:dyDescent="0.25">
      <c r="A39" s="2"/>
      <c r="B39" s="2"/>
      <c r="C39" s="3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</row>
    <row r="40" spans="1:15" x14ac:dyDescent="0.25">
      <c r="A40" s="2"/>
      <c r="B40" s="2"/>
      <c r="C40" s="3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1:15" x14ac:dyDescent="0.25">
      <c r="A41" s="2"/>
      <c r="B41" s="2"/>
      <c r="C41" s="3"/>
      <c r="D41" s="31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</row>
    <row r="42" spans="1:15" x14ac:dyDescent="0.25">
      <c r="A42" s="2"/>
      <c r="B42" s="2"/>
      <c r="C42" s="33">
        <f t="shared" ref="C42:O42" si="0">SUBTOTAL(9,C12:C38)</f>
        <v>0</v>
      </c>
      <c r="D42" s="33">
        <f t="shared" si="0"/>
        <v>0</v>
      </c>
      <c r="E42" s="34">
        <f t="shared" si="0"/>
        <v>0</v>
      </c>
      <c r="F42" s="34">
        <f t="shared" si="0"/>
        <v>0</v>
      </c>
      <c r="G42" s="34">
        <f t="shared" si="0"/>
        <v>0</v>
      </c>
      <c r="H42" s="34">
        <f t="shared" si="0"/>
        <v>0</v>
      </c>
      <c r="I42" s="34">
        <f t="shared" si="0"/>
        <v>0</v>
      </c>
      <c r="J42" s="34">
        <f t="shared" si="0"/>
        <v>0</v>
      </c>
      <c r="K42" s="34">
        <f t="shared" si="0"/>
        <v>0</v>
      </c>
      <c r="L42" s="34">
        <f t="shared" si="0"/>
        <v>0</v>
      </c>
      <c r="M42" s="34">
        <f t="shared" si="0"/>
        <v>0</v>
      </c>
      <c r="N42" s="34">
        <f t="shared" si="0"/>
        <v>0</v>
      </c>
      <c r="O42" s="34">
        <f t="shared" si="0"/>
        <v>0</v>
      </c>
    </row>
  </sheetData>
  <mergeCells count="11">
    <mergeCell ref="A10:A11"/>
    <mergeCell ref="B10:B11"/>
    <mergeCell ref="C10:C11"/>
    <mergeCell ref="D10:D11"/>
    <mergeCell ref="O10:O11"/>
    <mergeCell ref="E10:G10"/>
    <mergeCell ref="H10:J10"/>
    <mergeCell ref="K10:K11"/>
    <mergeCell ref="L10:L11"/>
    <mergeCell ref="M10:M11"/>
    <mergeCell ref="N10:N11"/>
  </mergeCells>
  <conditionalFormatting sqref="A8">
    <cfRule type="expression" dxfId="15" priority="5" stopIfTrue="1">
      <formula>$O$6="Annuel"</formula>
    </cfRule>
  </conditionalFormatting>
  <conditionalFormatting sqref="C12:C38">
    <cfRule type="cellIs" dxfId="14" priority="4" stopIfTrue="1" operator="notEqual">
      <formula>D12</formula>
    </cfRule>
  </conditionalFormatting>
  <conditionalFormatting sqref="C42">
    <cfRule type="cellIs" dxfId="13" priority="2" stopIfTrue="1" operator="notEqual">
      <formula>D42</formula>
    </cfRule>
  </conditionalFormatting>
  <conditionalFormatting sqref="D12:D38">
    <cfRule type="cellIs" dxfId="12" priority="3" stopIfTrue="1" operator="notEqual">
      <formula>C12</formula>
    </cfRule>
  </conditionalFormatting>
  <conditionalFormatting sqref="D42">
    <cfRule type="cellIs" dxfId="11" priority="1" stopIfTrue="1" operator="notEqual">
      <formula>C42</formula>
    </cfRule>
  </conditionalFormatting>
  <conditionalFormatting sqref="E12:N38 E39:O42">
    <cfRule type="cellIs" dxfId="10" priority="7" stopIfTrue="1" operator="lessThan">
      <formula>0</formula>
    </cfRule>
  </conditionalFormatting>
  <conditionalFormatting sqref="O5">
    <cfRule type="expression" dxfId="9" priority="6" stopIfTrue="1">
      <formula>$O$6="Mensuel"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DA5A-D2B4-48BF-803C-4057F4FF9646}">
  <dimension ref="A1:K55"/>
  <sheetViews>
    <sheetView zoomScaleNormal="100" workbookViewId="0">
      <selection activeCell="C14" sqref="C14"/>
    </sheetView>
  </sheetViews>
  <sheetFormatPr baseColWidth="10" defaultRowHeight="15" x14ac:dyDescent="0.25"/>
  <cols>
    <col min="1" max="1" width="20.7109375" customWidth="1"/>
    <col min="2" max="2" width="14.42578125" customWidth="1"/>
    <col min="3" max="3" width="34.42578125" customWidth="1"/>
    <col min="4" max="4" width="23.5703125" customWidth="1"/>
    <col min="5" max="5" width="23.42578125" customWidth="1"/>
    <col min="6" max="6" width="6.85546875" bestFit="1" customWidth="1"/>
    <col min="7" max="7" width="12.42578125" bestFit="1" customWidth="1"/>
    <col min="8" max="8" width="11.140625" bestFit="1" customWidth="1"/>
    <col min="9" max="9" width="11.85546875" bestFit="1" customWidth="1"/>
    <col min="10" max="10" width="11.140625" bestFit="1" customWidth="1"/>
    <col min="11" max="11" width="11.85546875" bestFit="1" customWidth="1"/>
  </cols>
  <sheetData>
    <row r="1" spans="1:6" ht="15.75" thickBot="1" x14ac:dyDescent="0.3">
      <c r="A1" s="80"/>
      <c r="B1" s="80"/>
      <c r="C1" s="80"/>
      <c r="D1" s="80"/>
      <c r="E1" s="80"/>
      <c r="F1" s="80"/>
    </row>
    <row r="2" spans="1:6" ht="27.75" customHeight="1" thickBot="1" x14ac:dyDescent="0.3">
      <c r="A2" s="247" t="s">
        <v>132</v>
      </c>
      <c r="B2" s="248"/>
      <c r="C2" s="248"/>
      <c r="D2" s="248"/>
      <c r="E2" s="249"/>
      <c r="F2" s="125"/>
    </row>
    <row r="3" spans="1:6" ht="15.75" x14ac:dyDescent="0.25">
      <c r="A3" s="81"/>
      <c r="B3" s="81"/>
      <c r="C3" s="81"/>
      <c r="D3" s="81"/>
      <c r="E3" s="81"/>
      <c r="F3" s="81"/>
    </row>
    <row r="4" spans="1:6" x14ac:dyDescent="0.25">
      <c r="A4" s="250" t="s">
        <v>133</v>
      </c>
      <c r="B4" s="250"/>
      <c r="C4" s="250"/>
      <c r="D4" s="250"/>
      <c r="E4" s="250"/>
      <c r="F4" s="111"/>
    </row>
    <row r="5" spans="1:6" x14ac:dyDescent="0.25">
      <c r="A5" s="250" t="s">
        <v>134</v>
      </c>
      <c r="B5" s="250"/>
      <c r="C5" s="250"/>
      <c r="D5" s="250"/>
      <c r="E5" s="250"/>
      <c r="F5" s="111"/>
    </row>
    <row r="6" spans="1:6" x14ac:dyDescent="0.25">
      <c r="A6" s="250" t="s">
        <v>135</v>
      </c>
      <c r="B6" s="250"/>
      <c r="C6" s="250"/>
      <c r="D6" s="250"/>
      <c r="E6" s="250"/>
      <c r="F6" s="111"/>
    </row>
    <row r="7" spans="1:6" x14ac:dyDescent="0.25">
      <c r="A7" s="80"/>
      <c r="B7" s="80"/>
      <c r="C7" s="82"/>
      <c r="D7" s="80"/>
      <c r="E7" s="80"/>
      <c r="F7" s="80"/>
    </row>
    <row r="8" spans="1:6" x14ac:dyDescent="0.25">
      <c r="A8" s="80"/>
      <c r="B8" s="80"/>
      <c r="C8" s="82"/>
      <c r="D8" s="83" t="s">
        <v>136</v>
      </c>
      <c r="E8" s="80"/>
      <c r="F8" s="80"/>
    </row>
    <row r="9" spans="1:6" x14ac:dyDescent="0.25">
      <c r="A9" s="80"/>
      <c r="B9" s="80"/>
      <c r="C9" s="82"/>
      <c r="D9" s="80"/>
      <c r="E9" s="80"/>
      <c r="F9" s="80"/>
    </row>
    <row r="10" spans="1:6" x14ac:dyDescent="0.25">
      <c r="A10" s="80"/>
      <c r="B10" s="80"/>
      <c r="C10" s="82"/>
      <c r="D10" s="80"/>
      <c r="E10" s="80"/>
      <c r="F10" s="80"/>
    </row>
    <row r="11" spans="1:6" x14ac:dyDescent="0.25">
      <c r="A11" s="83" t="s">
        <v>137</v>
      </c>
      <c r="B11" s="113" t="s">
        <v>175</v>
      </c>
      <c r="C11" s="84"/>
      <c r="D11" s="83" t="s">
        <v>138</v>
      </c>
      <c r="E11" s="85" t="s">
        <v>139</v>
      </c>
      <c r="F11" s="85"/>
    </row>
    <row r="12" spans="1:6" x14ac:dyDescent="0.25">
      <c r="A12" s="83" t="s">
        <v>140</v>
      </c>
      <c r="B12" s="115">
        <v>50509</v>
      </c>
      <c r="C12" s="84"/>
      <c r="D12" s="83" t="s">
        <v>141</v>
      </c>
      <c r="E12" s="85" t="s">
        <v>142</v>
      </c>
      <c r="F12" s="85"/>
    </row>
    <row r="13" spans="1:6" x14ac:dyDescent="0.25">
      <c r="A13" s="83" t="s">
        <v>143</v>
      </c>
      <c r="B13" s="112" t="s">
        <v>178</v>
      </c>
      <c r="C13" s="84"/>
      <c r="D13" s="83" t="s">
        <v>144</v>
      </c>
      <c r="E13" s="85" t="s">
        <v>145</v>
      </c>
      <c r="F13" s="85"/>
    </row>
    <row r="14" spans="1:6" x14ac:dyDescent="0.25">
      <c r="A14" s="83" t="s">
        <v>146</v>
      </c>
      <c r="B14" s="83">
        <v>4</v>
      </c>
      <c r="C14" s="84"/>
      <c r="D14" s="83" t="s">
        <v>147</v>
      </c>
      <c r="E14" s="85" t="s">
        <v>148</v>
      </c>
      <c r="F14" s="85"/>
    </row>
    <row r="15" spans="1:6" x14ac:dyDescent="0.25">
      <c r="A15" s="83" t="s">
        <v>149</v>
      </c>
      <c r="B15" s="83" t="s">
        <v>176</v>
      </c>
      <c r="C15" s="83"/>
      <c r="D15" s="83" t="s">
        <v>150</v>
      </c>
      <c r="E15" s="83">
        <v>0</v>
      </c>
      <c r="F15" s="83"/>
    </row>
    <row r="16" spans="1:6" x14ac:dyDescent="0.25">
      <c r="A16" s="83" t="s">
        <v>151</v>
      </c>
      <c r="B16" s="83"/>
      <c r="C16" s="83"/>
      <c r="D16" s="83" t="s">
        <v>152</v>
      </c>
      <c r="E16" s="114">
        <v>45019</v>
      </c>
      <c r="F16" s="126"/>
    </row>
    <row r="17" spans="1:11" x14ac:dyDescent="0.25">
      <c r="A17" s="83" t="s">
        <v>153</v>
      </c>
      <c r="B17" s="83"/>
      <c r="C17" s="83"/>
      <c r="D17" s="83" t="s">
        <v>154</v>
      </c>
      <c r="E17" s="114" t="s">
        <v>177</v>
      </c>
      <c r="F17" s="126"/>
    </row>
    <row r="18" spans="1:11" x14ac:dyDescent="0.25">
      <c r="A18" s="80"/>
      <c r="B18" s="80"/>
      <c r="C18" s="80"/>
      <c r="D18" s="80"/>
      <c r="E18" s="80"/>
      <c r="F18" s="80"/>
    </row>
    <row r="19" spans="1:11" ht="15.75" thickBot="1" x14ac:dyDescent="0.3">
      <c r="A19" s="80"/>
      <c r="B19" s="80"/>
      <c r="C19" s="80"/>
      <c r="D19" s="80"/>
      <c r="E19" s="80"/>
      <c r="F19" s="80"/>
    </row>
    <row r="20" spans="1:11" ht="15.75" x14ac:dyDescent="0.25">
      <c r="A20" s="86" t="s">
        <v>155</v>
      </c>
      <c r="B20" s="87" t="s">
        <v>20</v>
      </c>
      <c r="C20" s="87" t="s">
        <v>156</v>
      </c>
      <c r="D20" s="87" t="s">
        <v>157</v>
      </c>
      <c r="E20" s="88" t="s">
        <v>18</v>
      </c>
      <c r="F20" s="127"/>
    </row>
    <row r="21" spans="1:11" x14ac:dyDescent="0.25">
      <c r="A21" s="89">
        <v>22</v>
      </c>
      <c r="B21" s="116">
        <v>47.27</v>
      </c>
      <c r="C21" s="90" t="s">
        <v>158</v>
      </c>
      <c r="D21" s="117">
        <f>+A21*B21</f>
        <v>1039.94</v>
      </c>
      <c r="E21" s="91"/>
      <c r="F21" s="83"/>
    </row>
    <row r="22" spans="1:11" x14ac:dyDescent="0.25">
      <c r="A22" s="92">
        <v>22</v>
      </c>
      <c r="B22" s="93"/>
      <c r="C22" s="94" t="s">
        <v>159</v>
      </c>
      <c r="D22" s="117">
        <f t="shared" ref="D22:D23" si="0">+A22*B22</f>
        <v>0</v>
      </c>
      <c r="E22" s="96"/>
      <c r="F22" s="83"/>
    </row>
    <row r="23" spans="1:11" x14ac:dyDescent="0.25">
      <c r="A23" s="92">
        <v>22</v>
      </c>
      <c r="B23" s="93"/>
      <c r="C23" s="94" t="s">
        <v>160</v>
      </c>
      <c r="D23" s="117">
        <f t="shared" si="0"/>
        <v>0</v>
      </c>
      <c r="E23" s="96"/>
      <c r="F23" s="83"/>
    </row>
    <row r="24" spans="1:11" ht="15.75" thickBot="1" x14ac:dyDescent="0.3">
      <c r="A24" s="92"/>
      <c r="B24" s="93"/>
      <c r="C24" s="94" t="s">
        <v>161</v>
      </c>
      <c r="D24" s="117">
        <f>+A24*B24</f>
        <v>0</v>
      </c>
      <c r="E24" s="96"/>
      <c r="F24" s="83"/>
    </row>
    <row r="25" spans="1:11" ht="15.75" thickBot="1" x14ac:dyDescent="0.3">
      <c r="A25" s="92"/>
      <c r="B25" s="93"/>
      <c r="C25" s="97" t="s">
        <v>162</v>
      </c>
      <c r="D25" s="118">
        <f>SUM(D21:D24)</f>
        <v>1039.94</v>
      </c>
      <c r="E25" s="99"/>
      <c r="F25" s="83"/>
    </row>
    <row r="26" spans="1:11" ht="120.75" thickBot="1" x14ac:dyDescent="0.3">
      <c r="A26" s="92"/>
      <c r="B26" s="93"/>
      <c r="C26" s="94" t="s">
        <v>163</v>
      </c>
      <c r="D26" s="120">
        <f>+D25*5/100</f>
        <v>51.997000000000007</v>
      </c>
      <c r="E26" s="96"/>
      <c r="F26" s="83"/>
      <c r="G26" t="s">
        <v>184</v>
      </c>
      <c r="H26" s="129" t="s">
        <v>185</v>
      </c>
      <c r="I26" t="s">
        <v>186</v>
      </c>
      <c r="J26" s="129" t="s">
        <v>187</v>
      </c>
      <c r="K26" s="130" t="s">
        <v>188</v>
      </c>
    </row>
    <row r="27" spans="1:11" ht="15.75" thickBot="1" x14ac:dyDescent="0.3">
      <c r="A27" s="92"/>
      <c r="B27" s="93"/>
      <c r="C27" s="97" t="s">
        <v>164</v>
      </c>
      <c r="D27" s="98"/>
      <c r="E27" s="119">
        <f>+D21-D26</f>
        <v>987.9430000000001</v>
      </c>
      <c r="F27" t="s">
        <v>179</v>
      </c>
      <c r="G27" s="121">
        <f>+E27*Taux!C8</f>
        <v>2013206.8311509001</v>
      </c>
      <c r="H27" s="122">
        <f>+G27-[3]Impôt!$J$5</f>
        <v>1851206.8311509001</v>
      </c>
      <c r="I27" s="121">
        <f>+H27*15/100</f>
        <v>277681.02467263502</v>
      </c>
      <c r="J27" s="121">
        <f>+I27+[3]Impôt!$L$5</f>
        <v>282541.02467263502</v>
      </c>
      <c r="K27" s="121">
        <f>+J27/Taux!C8</f>
        <v>138.65163937407408</v>
      </c>
    </row>
    <row r="28" spans="1:11" ht="15.75" thickBot="1" x14ac:dyDescent="0.3">
      <c r="A28" s="92"/>
      <c r="B28" s="93"/>
      <c r="C28" s="94" t="s">
        <v>51</v>
      </c>
      <c r="D28" s="120">
        <f>+K27</f>
        <v>138.65163937407408</v>
      </c>
      <c r="E28" s="96"/>
      <c r="F28" t="s">
        <v>180</v>
      </c>
      <c r="G28" s="121">
        <f>+E27*Taux!C9</f>
        <v>2270357.4278836004</v>
      </c>
      <c r="H28" s="122">
        <f>+G28-[3]Impôt!$J$5</f>
        <v>2108357.4278836004</v>
      </c>
      <c r="I28" s="121">
        <f>+H28*15/100</f>
        <v>316253.61418254004</v>
      </c>
      <c r="J28" s="121">
        <f>+I28+[3]Impôt!$L$5</f>
        <v>321113.61418254004</v>
      </c>
      <c r="K28" s="121">
        <f>+J28/Taux!C9</f>
        <v>139.73215998507791</v>
      </c>
    </row>
    <row r="29" spans="1:11" ht="15.75" thickBot="1" x14ac:dyDescent="0.3">
      <c r="A29" s="92"/>
      <c r="B29" s="93"/>
      <c r="C29" s="97" t="s">
        <v>165</v>
      </c>
      <c r="D29" s="118">
        <f>+D25-D26-D28</f>
        <v>849.29136062592602</v>
      </c>
      <c r="E29" s="99"/>
      <c r="F29" t="s">
        <v>181</v>
      </c>
      <c r="G29" s="121">
        <f>+E27*Taux!C10</f>
        <v>2330156.9261135003</v>
      </c>
      <c r="H29" s="122">
        <f>+G29-[3]Impôt!$J$5</f>
        <v>2168156.9261135003</v>
      </c>
      <c r="I29" s="121">
        <f>+H29*15/100</f>
        <v>325223.53891702503</v>
      </c>
      <c r="J29" s="121">
        <f>+I29+[3]Impôt!$L$5</f>
        <v>330083.53891702503</v>
      </c>
      <c r="K29" s="121">
        <f>+J29/Taux!C10</f>
        <v>139.94925321712782</v>
      </c>
    </row>
    <row r="30" spans="1:11" x14ac:dyDescent="0.25">
      <c r="A30" s="92">
        <v>22</v>
      </c>
      <c r="B30" s="93">
        <f>+D21/A30*30/100</f>
        <v>14.181000000000001</v>
      </c>
      <c r="C30" s="94" t="s">
        <v>166</v>
      </c>
      <c r="D30" s="117">
        <f t="shared" ref="D30:D32" si="1">+A30*B30</f>
        <v>311.98200000000003</v>
      </c>
      <c r="E30" s="96"/>
      <c r="F30" t="s">
        <v>182</v>
      </c>
      <c r="G30" s="121">
        <f>+E27*Taux!C11</f>
        <v>2432826.8277082006</v>
      </c>
      <c r="H30" s="122">
        <f>+G30-[3]Impôt!$J$5</f>
        <v>2270826.8277082006</v>
      </c>
      <c r="I30" s="121">
        <f>+H30*15/100</f>
        <v>340624.02415623009</v>
      </c>
      <c r="J30" s="121">
        <f>+I30+[3]Impôt!$L$5</f>
        <v>345484.02415623009</v>
      </c>
      <c r="K30" s="121">
        <f>+J30/Taux!C11</f>
        <v>140.29708953781608</v>
      </c>
    </row>
    <row r="31" spans="1:11" x14ac:dyDescent="0.25">
      <c r="A31" s="92">
        <v>22</v>
      </c>
      <c r="B31" s="93">
        <f>195/A31</f>
        <v>8.8636363636363633</v>
      </c>
      <c r="C31" s="94" t="s">
        <v>167</v>
      </c>
      <c r="D31" s="117">
        <f>+A31*B31</f>
        <v>195</v>
      </c>
      <c r="E31" s="96"/>
      <c r="F31" t="s">
        <v>183</v>
      </c>
      <c r="G31" s="121">
        <f>+E27*Taux!C12</f>
        <v>2446240.4262021002</v>
      </c>
      <c r="H31" s="122">
        <f>+G31-[3]Impôt!$J$5</f>
        <v>2284240.4262021002</v>
      </c>
      <c r="I31" s="121">
        <f>+H31*15/100</f>
        <v>342636.06393031502</v>
      </c>
      <c r="J31" s="121">
        <f>+I31+[3]Impôt!$L$5</f>
        <v>347496.06393031502</v>
      </c>
      <c r="K31" s="121">
        <f>+J31/Taux!C12</f>
        <v>140.34037709878987</v>
      </c>
    </row>
    <row r="32" spans="1:11" ht="15.75" thickBot="1" x14ac:dyDescent="0.3">
      <c r="A32" s="92">
        <v>22</v>
      </c>
      <c r="B32" s="93">
        <v>19.5</v>
      </c>
      <c r="C32" s="94" t="s">
        <v>168</v>
      </c>
      <c r="D32" s="117">
        <f t="shared" si="1"/>
        <v>429</v>
      </c>
      <c r="E32" s="96"/>
      <c r="F32" s="83"/>
      <c r="H32" s="122"/>
      <c r="I32" s="121"/>
      <c r="J32" s="121"/>
      <c r="K32" s="121"/>
    </row>
    <row r="33" spans="1:6" ht="15.75" thickBot="1" x14ac:dyDescent="0.3">
      <c r="A33" s="92"/>
      <c r="B33" s="93"/>
      <c r="C33" s="97" t="s">
        <v>169</v>
      </c>
      <c r="D33" s="118">
        <f>+D29+D30+D31+D32</f>
        <v>1785.273360625926</v>
      </c>
      <c r="E33" s="99"/>
      <c r="F33" s="83"/>
    </row>
    <row r="34" spans="1:6" x14ac:dyDescent="0.25">
      <c r="A34" s="92"/>
      <c r="B34" s="93"/>
      <c r="C34" s="80"/>
      <c r="D34" s="95"/>
      <c r="E34" s="96"/>
      <c r="F34" s="83"/>
    </row>
    <row r="35" spans="1:6" x14ac:dyDescent="0.25">
      <c r="A35" s="92"/>
      <c r="B35" s="93"/>
      <c r="C35" s="80"/>
      <c r="D35" s="95"/>
      <c r="E35" s="96"/>
      <c r="F35" s="83"/>
    </row>
    <row r="36" spans="1:6" x14ac:dyDescent="0.25">
      <c r="A36" s="92"/>
      <c r="B36" s="93"/>
      <c r="C36" s="97"/>
      <c r="D36" s="95"/>
      <c r="E36" s="96"/>
      <c r="F36" s="83"/>
    </row>
    <row r="37" spans="1:6" x14ac:dyDescent="0.25">
      <c r="A37" s="92"/>
      <c r="B37" s="93"/>
      <c r="C37" s="80"/>
      <c r="D37" s="95"/>
      <c r="E37" s="96"/>
      <c r="F37" s="83"/>
    </row>
    <row r="38" spans="1:6" x14ac:dyDescent="0.25">
      <c r="A38" s="92"/>
      <c r="B38" s="93"/>
      <c r="C38" s="94"/>
      <c r="D38" s="95"/>
      <c r="E38" s="96"/>
      <c r="F38" s="83"/>
    </row>
    <row r="39" spans="1:6" x14ac:dyDescent="0.25">
      <c r="A39" s="92"/>
      <c r="B39" s="93"/>
      <c r="C39" s="94"/>
      <c r="D39" s="95"/>
      <c r="E39" s="96"/>
      <c r="F39" s="83"/>
    </row>
    <row r="40" spans="1:6" x14ac:dyDescent="0.25">
      <c r="A40" s="92"/>
      <c r="B40" s="93"/>
      <c r="C40" s="94"/>
      <c r="D40" s="95"/>
      <c r="E40" s="96"/>
      <c r="F40" s="83"/>
    </row>
    <row r="41" spans="1:6" x14ac:dyDescent="0.25">
      <c r="A41" s="92"/>
      <c r="B41" s="93"/>
      <c r="C41" s="94"/>
      <c r="D41" s="95"/>
      <c r="E41" s="96"/>
      <c r="F41" s="83"/>
    </row>
    <row r="42" spans="1:6" x14ac:dyDescent="0.25">
      <c r="A42" s="92"/>
      <c r="B42" s="93"/>
      <c r="C42" s="94"/>
      <c r="D42" s="95"/>
      <c r="E42" s="96"/>
      <c r="F42" s="83"/>
    </row>
    <row r="43" spans="1:6" x14ac:dyDescent="0.25">
      <c r="A43" s="92"/>
      <c r="B43" s="93"/>
      <c r="C43" s="94"/>
      <c r="D43" s="95"/>
      <c r="E43" s="96"/>
      <c r="F43" s="83"/>
    </row>
    <row r="44" spans="1:6" x14ac:dyDescent="0.25">
      <c r="A44" s="92"/>
      <c r="B44" s="93"/>
      <c r="C44" s="94"/>
      <c r="D44" s="95"/>
      <c r="E44" s="96"/>
      <c r="F44" s="83"/>
    </row>
    <row r="45" spans="1:6" ht="15.75" thickBot="1" x14ac:dyDescent="0.3">
      <c r="A45" s="101"/>
      <c r="B45" s="102"/>
      <c r="C45" s="103"/>
      <c r="D45" s="104"/>
      <c r="E45" s="105"/>
      <c r="F45" s="83"/>
    </row>
    <row r="46" spans="1:6" ht="15.75" thickBot="1" x14ac:dyDescent="0.3">
      <c r="A46" s="80"/>
      <c r="B46" s="80"/>
      <c r="C46" s="80"/>
      <c r="D46" s="106"/>
      <c r="E46" s="106"/>
      <c r="F46" s="80"/>
    </row>
    <row r="47" spans="1:6" ht="15.75" thickBot="1" x14ac:dyDescent="0.3">
      <c r="A47" s="80"/>
      <c r="B47" s="80"/>
      <c r="C47" s="80"/>
      <c r="D47" s="80"/>
      <c r="E47" s="80"/>
      <c r="F47" s="80"/>
    </row>
    <row r="48" spans="1:6" ht="16.5" thickBot="1" x14ac:dyDescent="0.3">
      <c r="A48" s="80"/>
      <c r="B48" s="80"/>
      <c r="C48" s="107" t="s">
        <v>170</v>
      </c>
      <c r="D48" s="80"/>
      <c r="E48" s="123">
        <f>+D33</f>
        <v>1785.273360625926</v>
      </c>
      <c r="F48" s="128"/>
    </row>
    <row r="49" spans="1:6" x14ac:dyDescent="0.25">
      <c r="A49" s="80"/>
      <c r="B49" s="80"/>
      <c r="C49" s="80"/>
      <c r="D49" s="80"/>
      <c r="E49" s="83"/>
      <c r="F49" s="83"/>
    </row>
    <row r="50" spans="1:6" x14ac:dyDescent="0.25">
      <c r="A50" s="100" t="s">
        <v>171</v>
      </c>
      <c r="B50" s="83"/>
      <c r="C50" s="83"/>
      <c r="D50" s="83"/>
      <c r="E50" s="80"/>
      <c r="F50" s="80"/>
    </row>
    <row r="51" spans="1:6" x14ac:dyDescent="0.25">
      <c r="A51" s="108"/>
      <c r="B51" s="109" t="s">
        <v>172</v>
      </c>
      <c r="C51" s="109" t="s">
        <v>173</v>
      </c>
      <c r="D51" s="109" t="s">
        <v>163</v>
      </c>
      <c r="E51" s="80"/>
      <c r="F51" s="80"/>
    </row>
    <row r="52" spans="1:6" x14ac:dyDescent="0.25">
      <c r="A52" s="110" t="s">
        <v>38</v>
      </c>
      <c r="B52" s="124">
        <f>+E27</f>
        <v>987.9430000000001</v>
      </c>
      <c r="C52" s="124">
        <f>+D28</f>
        <v>138.65163937407408</v>
      </c>
      <c r="D52" s="124">
        <f>+D26</f>
        <v>51.997000000000007</v>
      </c>
      <c r="E52" s="83"/>
      <c r="F52" s="83"/>
    </row>
    <row r="53" spans="1:6" x14ac:dyDescent="0.25">
      <c r="A53" s="80"/>
      <c r="B53" s="80"/>
      <c r="C53" s="80"/>
      <c r="D53" s="80"/>
      <c r="E53" s="80"/>
      <c r="F53" s="80"/>
    </row>
    <row r="54" spans="1:6" ht="15.75" x14ac:dyDescent="0.25">
      <c r="A54" s="80"/>
      <c r="B54" s="80"/>
      <c r="C54" s="80"/>
      <c r="D54" s="80"/>
      <c r="E54" s="107" t="s">
        <v>174</v>
      </c>
      <c r="F54" s="107"/>
    </row>
    <row r="55" spans="1:6" x14ac:dyDescent="0.25">
      <c r="A55" s="80"/>
      <c r="B55" s="80"/>
      <c r="C55" s="80"/>
      <c r="D55" s="80"/>
      <c r="E55" s="80"/>
      <c r="F55" s="80"/>
    </row>
  </sheetData>
  <mergeCells count="4">
    <mergeCell ref="A2:E2"/>
    <mergeCell ref="A4:E4"/>
    <mergeCell ref="A5:E5"/>
    <mergeCell ref="A6:E6"/>
  </mergeCells>
  <conditionalFormatting sqref="B12">
    <cfRule type="expression" dxfId="8" priority="1" stopIfTrue="1">
      <formula>B12="Matricule non attribué"</formula>
    </cfRule>
  </conditionalFormatting>
  <dataValidations count="2">
    <dataValidation type="date" allowBlank="1" showInputMessage="1" showErrorMessage="1" sqref="E16:F16" xr:uid="{255A942D-1358-45DA-AB9E-5BB185823D5C}">
      <formula1>36526</formula1>
      <formula2>46387</formula2>
    </dataValidation>
    <dataValidation type="list" allowBlank="1" showInputMessage="1" showErrorMessage="1" sqref="E17:F17" xr:uid="{650B4AA3-E102-4B33-924C-2A0B91E0D7E5}">
      <formula1>TypeContrat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BC3ED-9C60-4F98-9DB5-85C96C5EC575}">
  <dimension ref="A1:O49"/>
  <sheetViews>
    <sheetView zoomScale="85" zoomScaleNormal="85" workbookViewId="0">
      <selection sqref="A1:XFD1048576"/>
    </sheetView>
  </sheetViews>
  <sheetFormatPr baseColWidth="10" defaultRowHeight="15" x14ac:dyDescent="0.25"/>
  <cols>
    <col min="1" max="1" width="27.5703125" customWidth="1"/>
    <col min="2" max="2" width="41.85546875" customWidth="1"/>
    <col min="3" max="3" width="34.28515625" customWidth="1"/>
    <col min="4" max="4" width="26" customWidth="1"/>
    <col min="5" max="5" width="23.42578125" customWidth="1"/>
    <col min="6" max="6" width="8.5703125" bestFit="1" customWidth="1"/>
    <col min="7" max="7" width="12.42578125" bestFit="1" customWidth="1"/>
    <col min="8" max="8" width="11.140625" bestFit="1" customWidth="1"/>
    <col min="9" max="9" width="36.42578125" customWidth="1"/>
    <col min="10" max="10" width="70.5703125" customWidth="1"/>
    <col min="11" max="11" width="20.42578125" customWidth="1"/>
    <col min="13" max="13" width="17.140625" customWidth="1"/>
  </cols>
  <sheetData>
    <row r="1" spans="1:15" ht="15.75" thickBot="1" x14ac:dyDescent="0.3">
      <c r="A1" s="80"/>
      <c r="B1" s="80"/>
      <c r="C1" s="80"/>
      <c r="D1" s="80"/>
      <c r="E1" s="80"/>
      <c r="F1" s="80"/>
    </row>
    <row r="2" spans="1:15" ht="27.75" customHeight="1" x14ac:dyDescent="0.25">
      <c r="A2" s="260" t="s">
        <v>132</v>
      </c>
      <c r="B2" s="261"/>
      <c r="C2" s="261"/>
      <c r="D2" s="261"/>
      <c r="E2" s="262"/>
      <c r="F2" s="125"/>
      <c r="H2" s="140" t="s">
        <v>62</v>
      </c>
      <c r="I2" s="140" t="s">
        <v>209</v>
      </c>
      <c r="J2" s="140" t="s">
        <v>210</v>
      </c>
      <c r="K2" s="140" t="s">
        <v>211</v>
      </c>
      <c r="L2" s="257" t="s">
        <v>212</v>
      </c>
      <c r="M2" s="258"/>
      <c r="N2" s="259" t="s">
        <v>213</v>
      </c>
      <c r="O2" s="259"/>
    </row>
    <row r="3" spans="1:15" ht="15.75" x14ac:dyDescent="0.25">
      <c r="A3" s="161"/>
      <c r="B3" s="162"/>
      <c r="C3" s="162"/>
      <c r="D3" s="162"/>
      <c r="E3" s="163"/>
      <c r="F3" s="81"/>
      <c r="H3" s="141" t="s">
        <v>199</v>
      </c>
      <c r="I3" s="142">
        <v>221</v>
      </c>
      <c r="J3" s="142">
        <v>5</v>
      </c>
      <c r="K3" s="143">
        <v>2</v>
      </c>
      <c r="L3" s="251">
        <f>I3+(J3*K3)</f>
        <v>231</v>
      </c>
      <c r="M3" s="252"/>
      <c r="N3" s="253" t="s">
        <v>214</v>
      </c>
      <c r="O3" s="253"/>
    </row>
    <row r="4" spans="1:15" x14ac:dyDescent="0.25">
      <c r="A4" s="263" t="s">
        <v>133</v>
      </c>
      <c r="B4" s="264"/>
      <c r="C4" s="264"/>
      <c r="D4" s="264"/>
      <c r="E4" s="265"/>
      <c r="F4" s="111"/>
      <c r="H4" s="141" t="s">
        <v>200</v>
      </c>
      <c r="I4" s="142">
        <v>309</v>
      </c>
      <c r="J4" s="142">
        <v>7</v>
      </c>
      <c r="K4" s="143">
        <v>3</v>
      </c>
      <c r="L4" s="251">
        <f t="shared" ref="L4:L9" si="0">I4+(J4*K4)</f>
        <v>330</v>
      </c>
      <c r="M4" s="252"/>
      <c r="N4" s="253" t="s">
        <v>191</v>
      </c>
      <c r="O4" s="253"/>
    </row>
    <row r="5" spans="1:15" x14ac:dyDescent="0.25">
      <c r="A5" s="263" t="s">
        <v>134</v>
      </c>
      <c r="B5" s="264"/>
      <c r="C5" s="264"/>
      <c r="D5" s="264"/>
      <c r="E5" s="265"/>
      <c r="F5" s="111"/>
      <c r="H5" s="143">
        <v>2</v>
      </c>
      <c r="I5" s="142">
        <v>432</v>
      </c>
      <c r="J5" s="142">
        <v>10</v>
      </c>
      <c r="K5" s="143">
        <v>5</v>
      </c>
      <c r="L5" s="251">
        <f t="shared" si="0"/>
        <v>482</v>
      </c>
      <c r="M5" s="252"/>
      <c r="N5" s="253" t="s">
        <v>215</v>
      </c>
      <c r="O5" s="253"/>
    </row>
    <row r="6" spans="1:15" x14ac:dyDescent="0.25">
      <c r="A6" s="263" t="s">
        <v>135</v>
      </c>
      <c r="B6" s="264"/>
      <c r="C6" s="264"/>
      <c r="D6" s="264"/>
      <c r="E6" s="265"/>
      <c r="F6" s="137"/>
      <c r="H6" s="157">
        <v>3</v>
      </c>
      <c r="I6" s="158">
        <v>583</v>
      </c>
      <c r="J6" s="158">
        <v>13</v>
      </c>
      <c r="K6" s="157">
        <v>5</v>
      </c>
      <c r="L6" s="254">
        <f t="shared" si="0"/>
        <v>648</v>
      </c>
      <c r="M6" s="255"/>
      <c r="N6" s="256" t="s">
        <v>216</v>
      </c>
      <c r="O6" s="256"/>
    </row>
    <row r="7" spans="1:15" x14ac:dyDescent="0.25">
      <c r="A7" s="164"/>
      <c r="B7" s="165"/>
      <c r="C7" s="166"/>
      <c r="D7" s="165"/>
      <c r="E7" s="167"/>
      <c r="F7" s="80"/>
      <c r="H7" s="143">
        <v>4</v>
      </c>
      <c r="I7" s="142">
        <v>935</v>
      </c>
      <c r="J7" s="142">
        <v>21</v>
      </c>
      <c r="K7" s="143">
        <v>5</v>
      </c>
      <c r="L7" s="251">
        <f t="shared" si="0"/>
        <v>1040</v>
      </c>
      <c r="M7" s="252"/>
      <c r="N7" s="253" t="s">
        <v>176</v>
      </c>
      <c r="O7" s="253"/>
    </row>
    <row r="8" spans="1:15" x14ac:dyDescent="0.25">
      <c r="A8" s="164"/>
      <c r="B8" s="165"/>
      <c r="C8" s="166"/>
      <c r="D8" s="169" t="s">
        <v>136</v>
      </c>
      <c r="E8" s="199" t="s">
        <v>26</v>
      </c>
      <c r="F8" s="80"/>
      <c r="H8" s="143">
        <v>5</v>
      </c>
      <c r="I8" s="142">
        <v>1542</v>
      </c>
      <c r="J8" s="142">
        <v>34</v>
      </c>
      <c r="K8" s="143">
        <v>7</v>
      </c>
      <c r="L8" s="251">
        <f t="shared" si="0"/>
        <v>1780</v>
      </c>
      <c r="M8" s="252"/>
      <c r="N8" s="253" t="s">
        <v>217</v>
      </c>
      <c r="O8" s="253"/>
    </row>
    <row r="9" spans="1:15" x14ac:dyDescent="0.25">
      <c r="A9" s="164"/>
      <c r="B9" s="165"/>
      <c r="C9" s="166"/>
      <c r="D9" s="165"/>
      <c r="E9" s="167"/>
      <c r="F9" s="80"/>
      <c r="H9" s="143">
        <v>6</v>
      </c>
      <c r="I9" s="142">
        <v>2313</v>
      </c>
      <c r="J9" s="142">
        <v>51</v>
      </c>
      <c r="K9" s="143">
        <v>10</v>
      </c>
      <c r="L9" s="251">
        <f t="shared" si="0"/>
        <v>2823</v>
      </c>
      <c r="M9" s="252"/>
      <c r="N9" s="253" t="s">
        <v>218</v>
      </c>
      <c r="O9" s="253"/>
    </row>
    <row r="10" spans="1:15" x14ac:dyDescent="0.25">
      <c r="A10" s="164"/>
      <c r="B10" s="165"/>
      <c r="C10" s="166"/>
      <c r="D10" s="165"/>
      <c r="E10" s="167"/>
      <c r="F10" s="80"/>
    </row>
    <row r="11" spans="1:15" ht="15.75" x14ac:dyDescent="0.25">
      <c r="A11" s="212" t="s">
        <v>137</v>
      </c>
      <c r="B11" s="209" t="s">
        <v>221</v>
      </c>
      <c r="C11" s="170"/>
      <c r="D11" s="171" t="s">
        <v>138</v>
      </c>
      <c r="E11" s="208">
        <f>VLOOKUP(B14,H2:O9,2,FALSE)</f>
        <v>2313</v>
      </c>
      <c r="F11" s="85"/>
      <c r="H11" s="131" t="s">
        <v>192</v>
      </c>
      <c r="I11" s="131" t="s">
        <v>20</v>
      </c>
      <c r="J11" s="131" t="s">
        <v>193</v>
      </c>
      <c r="K11" s="131" t="s">
        <v>194</v>
      </c>
      <c r="L11" s="131" t="s">
        <v>195</v>
      </c>
      <c r="M11" s="131" t="s">
        <v>196</v>
      </c>
    </row>
    <row r="12" spans="1:15" x14ac:dyDescent="0.25">
      <c r="A12" s="212" t="s">
        <v>140</v>
      </c>
      <c r="B12" s="209">
        <v>52293</v>
      </c>
      <c r="C12" s="170"/>
      <c r="D12" s="171" t="s">
        <v>141</v>
      </c>
      <c r="E12" s="172">
        <v>0</v>
      </c>
      <c r="F12" s="85" t="s">
        <v>223</v>
      </c>
      <c r="H12" s="144">
        <v>1</v>
      </c>
      <c r="I12" s="145">
        <v>0.03</v>
      </c>
      <c r="J12" s="146">
        <v>162000</v>
      </c>
      <c r="K12" s="147">
        <v>4860</v>
      </c>
      <c r="L12" s="147">
        <v>4860</v>
      </c>
      <c r="M12" s="147">
        <v>0</v>
      </c>
    </row>
    <row r="13" spans="1:15" x14ac:dyDescent="0.25">
      <c r="A13" s="212" t="s">
        <v>143</v>
      </c>
      <c r="B13" s="209" t="s">
        <v>222</v>
      </c>
      <c r="C13" s="170"/>
      <c r="D13" s="171" t="s">
        <v>144</v>
      </c>
      <c r="E13" s="172">
        <v>0</v>
      </c>
      <c r="F13" s="85" t="s">
        <v>223</v>
      </c>
      <c r="H13" s="144">
        <v>2</v>
      </c>
      <c r="I13" s="145">
        <v>0.15</v>
      </c>
      <c r="J13" s="146">
        <v>1800000</v>
      </c>
      <c r="K13" s="147">
        <v>245700</v>
      </c>
      <c r="L13" s="147">
        <v>250560</v>
      </c>
      <c r="M13" s="147">
        <v>19440</v>
      </c>
    </row>
    <row r="14" spans="1:15" x14ac:dyDescent="0.25">
      <c r="A14" s="212" t="s">
        <v>146</v>
      </c>
      <c r="B14" s="210">
        <v>6</v>
      </c>
      <c r="C14" s="170"/>
      <c r="D14" s="171" t="s">
        <v>147</v>
      </c>
      <c r="E14" s="173">
        <f>((E12+E13)*VLOOKUP(B14,H2:O9,3,FALSE)+E11)</f>
        <v>2313</v>
      </c>
      <c r="F14" s="85"/>
      <c r="G14" s="138"/>
      <c r="H14" s="144">
        <v>3</v>
      </c>
      <c r="I14" s="145">
        <v>0.3</v>
      </c>
      <c r="J14" s="146">
        <v>3600000</v>
      </c>
      <c r="K14" s="147">
        <v>540000</v>
      </c>
      <c r="L14" s="147">
        <v>790560</v>
      </c>
      <c r="M14" s="147">
        <v>289440</v>
      </c>
    </row>
    <row r="15" spans="1:15" x14ac:dyDescent="0.25">
      <c r="A15" s="212" t="s">
        <v>149</v>
      </c>
      <c r="B15" s="209" t="s">
        <v>191</v>
      </c>
      <c r="C15" s="168"/>
      <c r="D15" s="171" t="s">
        <v>150</v>
      </c>
      <c r="E15" s="174">
        <v>7</v>
      </c>
      <c r="F15" s="83"/>
      <c r="H15" s="144">
        <v>4</v>
      </c>
      <c r="I15" s="145">
        <v>0.4</v>
      </c>
      <c r="J15" s="146">
        <v>3600000</v>
      </c>
      <c r="K15" s="148">
        <v>540000</v>
      </c>
      <c r="L15" s="148">
        <v>790560</v>
      </c>
      <c r="M15" s="148">
        <v>649440</v>
      </c>
    </row>
    <row r="16" spans="1:15" x14ac:dyDescent="0.25">
      <c r="A16" s="212" t="s">
        <v>151</v>
      </c>
      <c r="B16" s="211"/>
      <c r="C16" s="168"/>
      <c r="D16" s="171" t="s">
        <v>152</v>
      </c>
      <c r="E16" s="175">
        <v>45047</v>
      </c>
      <c r="F16" s="156"/>
    </row>
    <row r="17" spans="1:13" x14ac:dyDescent="0.25">
      <c r="A17" s="212" t="s">
        <v>153</v>
      </c>
      <c r="B17" s="211"/>
      <c r="C17" s="168"/>
      <c r="D17" s="171" t="s">
        <v>154</v>
      </c>
      <c r="E17" s="174" t="s">
        <v>177</v>
      </c>
      <c r="F17" s="156"/>
      <c r="H17" s="151" t="s">
        <v>32</v>
      </c>
      <c r="I17" s="151" t="s">
        <v>33</v>
      </c>
      <c r="K17" s="150" t="s">
        <v>62</v>
      </c>
      <c r="L17" s="150" t="s">
        <v>197</v>
      </c>
      <c r="M17" s="150" t="s">
        <v>198</v>
      </c>
    </row>
    <row r="18" spans="1:13" x14ac:dyDescent="0.25">
      <c r="A18" s="164"/>
      <c r="B18" s="165"/>
      <c r="C18" s="165"/>
      <c r="D18" s="171" t="s">
        <v>201</v>
      </c>
      <c r="E18" s="176">
        <v>22</v>
      </c>
      <c r="F18" s="80" t="s">
        <v>207</v>
      </c>
      <c r="H18" s="149" t="s">
        <v>31</v>
      </c>
      <c r="I18" s="149">
        <v>2016.5737999999999</v>
      </c>
      <c r="K18" s="133" t="s">
        <v>199</v>
      </c>
      <c r="L18" s="134">
        <v>195</v>
      </c>
      <c r="M18" s="134">
        <v>19.5</v>
      </c>
    </row>
    <row r="19" spans="1:13" x14ac:dyDescent="0.25">
      <c r="A19" s="164"/>
      <c r="B19" s="165"/>
      <c r="C19" s="165"/>
      <c r="D19" s="171" t="s">
        <v>202</v>
      </c>
      <c r="E19" s="177">
        <v>22</v>
      </c>
      <c r="F19" s="80" t="s">
        <v>207</v>
      </c>
      <c r="H19" s="149" t="s">
        <v>24</v>
      </c>
      <c r="I19" s="149">
        <v>2035.7546</v>
      </c>
      <c r="J19" s="132"/>
      <c r="K19" s="133" t="s">
        <v>200</v>
      </c>
      <c r="L19" s="134">
        <v>195</v>
      </c>
      <c r="M19" s="134">
        <v>19.5</v>
      </c>
    </row>
    <row r="20" spans="1:13" x14ac:dyDescent="0.25">
      <c r="A20" s="164"/>
      <c r="B20" s="165"/>
      <c r="C20" s="165"/>
      <c r="D20" s="171" t="s">
        <v>203</v>
      </c>
      <c r="E20" s="177">
        <v>0</v>
      </c>
      <c r="F20" s="80" t="s">
        <v>207</v>
      </c>
      <c r="H20" s="149" t="s">
        <v>25</v>
      </c>
      <c r="I20" s="149">
        <v>2037.8545999999999</v>
      </c>
      <c r="K20" s="135">
        <v>2</v>
      </c>
      <c r="L20" s="134">
        <v>195</v>
      </c>
      <c r="M20" s="134">
        <v>19.5</v>
      </c>
    </row>
    <row r="21" spans="1:13" x14ac:dyDescent="0.25">
      <c r="A21" s="164"/>
      <c r="B21" s="165"/>
      <c r="C21" s="165"/>
      <c r="D21" s="171" t="s">
        <v>206</v>
      </c>
      <c r="E21" s="177">
        <v>0</v>
      </c>
      <c r="F21" s="80" t="s">
        <v>207</v>
      </c>
      <c r="H21" s="149" t="s">
        <v>26</v>
      </c>
      <c r="I21" s="149">
        <v>2037.7763</v>
      </c>
      <c r="K21" s="135">
        <v>3</v>
      </c>
      <c r="L21" s="134">
        <v>195</v>
      </c>
      <c r="M21" s="134">
        <v>19.5</v>
      </c>
    </row>
    <row r="22" spans="1:13" x14ac:dyDescent="0.25">
      <c r="A22" s="164"/>
      <c r="B22" s="165"/>
      <c r="C22" s="165"/>
      <c r="D22" s="171" t="s">
        <v>204</v>
      </c>
      <c r="E22" s="177">
        <v>0</v>
      </c>
      <c r="F22" s="80" t="s">
        <v>208</v>
      </c>
      <c r="H22" s="149" t="s">
        <v>27</v>
      </c>
      <c r="I22" s="149">
        <v>2298.0652</v>
      </c>
      <c r="J22" s="132">
        <f>IF(I31&lt;=J12,I31,0)</f>
        <v>0</v>
      </c>
      <c r="K22" s="135">
        <v>4</v>
      </c>
      <c r="L22" s="134">
        <v>195</v>
      </c>
      <c r="M22" s="134">
        <v>19.5</v>
      </c>
    </row>
    <row r="23" spans="1:13" x14ac:dyDescent="0.25">
      <c r="A23" s="164"/>
      <c r="B23" s="165"/>
      <c r="C23" s="165"/>
      <c r="D23" s="165"/>
      <c r="E23" s="167"/>
      <c r="F23" s="80"/>
      <c r="H23" s="149" t="s">
        <v>28</v>
      </c>
      <c r="I23" s="149">
        <v>2358.5945000000002</v>
      </c>
      <c r="J23" s="132">
        <f>IF(I31&lt;=J13,I31-J12,0)</f>
        <v>0</v>
      </c>
      <c r="K23" s="135">
        <v>5</v>
      </c>
      <c r="L23" s="134">
        <v>195</v>
      </c>
      <c r="M23" s="134">
        <v>19.5</v>
      </c>
    </row>
    <row r="24" spans="1:13" ht="15.75" x14ac:dyDescent="0.25">
      <c r="A24" s="178" t="s">
        <v>155</v>
      </c>
      <c r="B24" s="179" t="s">
        <v>20</v>
      </c>
      <c r="C24" s="179" t="s">
        <v>156</v>
      </c>
      <c r="D24" s="179" t="s">
        <v>157</v>
      </c>
      <c r="E24" s="180" t="s">
        <v>18</v>
      </c>
      <c r="F24" s="207"/>
      <c r="H24" s="149" t="s">
        <v>29</v>
      </c>
      <c r="I24" s="149">
        <v>2462.5174000000002</v>
      </c>
      <c r="J24" s="132">
        <f>IF(I31&lt;=J14,I31-J13,0)</f>
        <v>0</v>
      </c>
      <c r="K24" s="135">
        <v>6</v>
      </c>
      <c r="L24" s="134">
        <v>195</v>
      </c>
      <c r="M24" s="134">
        <v>19.5</v>
      </c>
    </row>
    <row r="25" spans="1:13" x14ac:dyDescent="0.25">
      <c r="A25" s="181">
        <f>E19</f>
        <v>22</v>
      </c>
      <c r="B25" s="182">
        <f>E14/E18</f>
        <v>105.13636363636364</v>
      </c>
      <c r="C25" s="169" t="s">
        <v>158</v>
      </c>
      <c r="D25" s="201">
        <f>A25*B25</f>
        <v>2313</v>
      </c>
      <c r="E25" s="174"/>
      <c r="F25" s="83"/>
      <c r="H25" s="149" t="s">
        <v>30</v>
      </c>
      <c r="I25" s="149">
        <v>2476.0947000000001</v>
      </c>
      <c r="J25" s="132">
        <f t="shared" ref="J25:J26" si="1">IF(I34&lt;=J15,I34,0)</f>
        <v>0</v>
      </c>
    </row>
    <row r="26" spans="1:13" x14ac:dyDescent="0.25">
      <c r="A26" s="181">
        <f>E21</f>
        <v>0</v>
      </c>
      <c r="B26" s="183">
        <f>B25/7.5</f>
        <v>14.018181818181819</v>
      </c>
      <c r="C26" s="169" t="s">
        <v>159</v>
      </c>
      <c r="D26" s="201">
        <f>(A26*B26)*100/100</f>
        <v>0</v>
      </c>
      <c r="E26" s="174"/>
      <c r="F26" s="83"/>
      <c r="J26" s="132">
        <f t="shared" si="1"/>
        <v>0</v>
      </c>
    </row>
    <row r="27" spans="1:13" x14ac:dyDescent="0.25">
      <c r="A27" s="181">
        <f>E20</f>
        <v>0</v>
      </c>
      <c r="B27" s="183">
        <f>(B25*2)/3</f>
        <v>70.090909090909093</v>
      </c>
      <c r="C27" s="169" t="s">
        <v>160</v>
      </c>
      <c r="D27" s="201">
        <f t="shared" ref="D27" si="2">+A27*B27</f>
        <v>0</v>
      </c>
      <c r="E27" s="174"/>
      <c r="F27" s="83"/>
      <c r="J27" s="132">
        <f t="shared" ref="J27" si="3">I36-J18</f>
        <v>0</v>
      </c>
    </row>
    <row r="28" spans="1:13" x14ac:dyDescent="0.25">
      <c r="A28" s="181">
        <f>E22</f>
        <v>0</v>
      </c>
      <c r="B28" s="183">
        <f>B25/7.5</f>
        <v>14.018181818181819</v>
      </c>
      <c r="C28" s="169" t="s">
        <v>205</v>
      </c>
      <c r="D28" s="201">
        <f>IF(E22&lt;=6,(A28*B28)*30/100,(A28*B28)*60/100)</f>
        <v>0</v>
      </c>
      <c r="E28" s="174"/>
      <c r="F28" s="83"/>
      <c r="J28" s="132"/>
    </row>
    <row r="29" spans="1:13" x14ac:dyDescent="0.25">
      <c r="A29" s="181"/>
      <c r="B29" s="183"/>
      <c r="C29" s="184" t="s">
        <v>162</v>
      </c>
      <c r="D29" s="185">
        <f>SUM(D25:D28)</f>
        <v>2313</v>
      </c>
      <c r="E29" s="186"/>
      <c r="F29" s="139"/>
    </row>
    <row r="30" spans="1:13" ht="13.5" customHeight="1" x14ac:dyDescent="0.25">
      <c r="A30" s="181"/>
      <c r="B30" s="183"/>
      <c r="C30" s="169" t="s">
        <v>163</v>
      </c>
      <c r="D30" s="202">
        <f>+D29*5/100</f>
        <v>115.65</v>
      </c>
      <c r="E30" s="187"/>
      <c r="F30" s="153"/>
      <c r="G30" s="139"/>
      <c r="H30" s="154" t="s">
        <v>32</v>
      </c>
      <c r="I30" s="154" t="s">
        <v>184</v>
      </c>
      <c r="J30" s="155" t="s">
        <v>219</v>
      </c>
      <c r="K30" s="154" t="s">
        <v>186</v>
      </c>
      <c r="L30" s="155" t="s">
        <v>187</v>
      </c>
      <c r="M30" s="155" t="s">
        <v>188</v>
      </c>
    </row>
    <row r="31" spans="1:13" x14ac:dyDescent="0.25">
      <c r="A31" s="181"/>
      <c r="B31" s="183"/>
      <c r="C31" s="184" t="s">
        <v>164</v>
      </c>
      <c r="D31" s="185">
        <f>+D25-D30</f>
        <v>2197.35</v>
      </c>
      <c r="E31" s="186"/>
      <c r="F31" s="152"/>
      <c r="G31" s="152"/>
      <c r="H31" s="149" t="s">
        <v>26</v>
      </c>
      <c r="I31" s="136">
        <f>$D$31*VLOOKUP(H31,H17:I25,2,FALSE)</f>
        <v>4477707.7528050002</v>
      </c>
      <c r="J31" s="147">
        <f>IF(I31&lt;=J12,I31,IF(I31&lt;=J13,I31-J12,IF(I31&lt;=J14,I31-J13,IF(I31&lt;=999999999999999,I31-J14,0))))</f>
        <v>877707.75280500017</v>
      </c>
      <c r="K31" s="136">
        <f>+J31*15/100</f>
        <v>131656.16292075004</v>
      </c>
      <c r="L31" s="136">
        <f>K31+L12</f>
        <v>136516.16292075004</v>
      </c>
      <c r="M31" s="136">
        <f>+L31/I21</f>
        <v>66.992713047428239</v>
      </c>
    </row>
    <row r="32" spans="1:13" x14ac:dyDescent="0.25">
      <c r="A32" s="181"/>
      <c r="B32" s="183"/>
      <c r="C32" s="169" t="s">
        <v>51</v>
      </c>
      <c r="D32" s="202">
        <f>VLOOKUP(E8,H30:M35,6,FALSE)</f>
        <v>66.992713047428239</v>
      </c>
      <c r="E32" s="174"/>
      <c r="F32" s="83"/>
      <c r="G32" s="83"/>
      <c r="H32" s="149" t="s">
        <v>27</v>
      </c>
      <c r="I32" s="136">
        <f t="shared" ref="I32:I35" si="4">$D$31*VLOOKUP(H32,H18:I26,2,FALSE)</f>
        <v>5049653.5672199996</v>
      </c>
      <c r="J32" s="147">
        <f t="shared" ref="J32:J35" si="5">IF(I32&lt;=J13,I32,IF(I32&lt;=J14,I32-J13,IF(I32&lt;=J15,I32-J14,IF(I32&lt;=999999999999999,I32-J15,0))))</f>
        <v>1449653.5672199996</v>
      </c>
      <c r="K32" s="136">
        <f>+J32*15/100</f>
        <v>217448.03508299997</v>
      </c>
      <c r="L32" s="136">
        <f>+K32+[3]Impôt!$L$5</f>
        <v>222308.03508299997</v>
      </c>
      <c r="M32" s="136">
        <f>+L32/Taux!C9</f>
        <v>96.737044311449466</v>
      </c>
    </row>
    <row r="33" spans="1:13" x14ac:dyDescent="0.25">
      <c r="A33" s="181"/>
      <c r="B33" s="183"/>
      <c r="C33" s="184" t="s">
        <v>165</v>
      </c>
      <c r="D33" s="185">
        <f>D29-D30-D32</f>
        <v>2130.3572869525715</v>
      </c>
      <c r="E33" s="174"/>
      <c r="F33" s="83"/>
      <c r="G33" s="83"/>
      <c r="H33" s="149" t="s">
        <v>28</v>
      </c>
      <c r="I33" s="136">
        <f t="shared" si="4"/>
        <v>5182657.6245750003</v>
      </c>
      <c r="J33" s="147">
        <f t="shared" si="5"/>
        <v>5182657.6245750003</v>
      </c>
      <c r="K33" s="136">
        <f>+J33*15/100</f>
        <v>777398.64368624997</v>
      </c>
      <c r="L33" s="136">
        <f>+K33+[3]Impôt!$L$5</f>
        <v>782258.64368624997</v>
      </c>
      <c r="M33" s="136">
        <f>+L33/Taux!C10</f>
        <v>331.66304919571803</v>
      </c>
    </row>
    <row r="34" spans="1:13" x14ac:dyDescent="0.25">
      <c r="A34" s="181">
        <f>E19</f>
        <v>22</v>
      </c>
      <c r="B34" s="183">
        <f>D25/E18*30/100</f>
        <v>31.540909090909089</v>
      </c>
      <c r="C34" s="169" t="s">
        <v>166</v>
      </c>
      <c r="D34" s="185">
        <f>+A34*B34</f>
        <v>693.9</v>
      </c>
      <c r="E34" s="174"/>
      <c r="F34" s="83"/>
      <c r="G34" s="83"/>
      <c r="H34" s="149" t="s">
        <v>29</v>
      </c>
      <c r="I34" s="136">
        <f t="shared" si="4"/>
        <v>5411012.6088899998</v>
      </c>
      <c r="J34" s="147">
        <f t="shared" si="5"/>
        <v>5411012.6088899998</v>
      </c>
      <c r="K34" s="136">
        <f>+J34*15/100</f>
        <v>811651.89133350004</v>
      </c>
      <c r="L34" s="136">
        <f>+K34+[3]Impôt!$L$5</f>
        <v>816511.89133350004</v>
      </c>
      <c r="M34" s="136">
        <f>+L34/Taux!C11</f>
        <v>331.57609011554598</v>
      </c>
    </row>
    <row r="35" spans="1:13" x14ac:dyDescent="0.25">
      <c r="A35" s="181">
        <f>E19</f>
        <v>22</v>
      </c>
      <c r="B35" s="188">
        <f>L18/E18</f>
        <v>8.8636363636363633</v>
      </c>
      <c r="C35" s="169" t="s">
        <v>167</v>
      </c>
      <c r="D35" s="185">
        <f>A35*B35</f>
        <v>195</v>
      </c>
      <c r="E35" s="174"/>
      <c r="F35" s="83"/>
      <c r="G35" s="83"/>
      <c r="H35" s="149" t="s">
        <v>30</v>
      </c>
      <c r="I35" s="136">
        <f t="shared" si="4"/>
        <v>5440846.6890449999</v>
      </c>
      <c r="J35" s="147">
        <f t="shared" si="5"/>
        <v>5440846.6890449999</v>
      </c>
      <c r="K35" s="136">
        <f>+J35*15/100</f>
        <v>816127.00335675001</v>
      </c>
      <c r="L35" s="136">
        <f>+K35+[3]Impôt!$L$5</f>
        <v>820987.00335675001</v>
      </c>
      <c r="M35" s="136">
        <f>+L35/Taux!C12</f>
        <v>331.56526822530253</v>
      </c>
    </row>
    <row r="36" spans="1:13" x14ac:dyDescent="0.25">
      <c r="A36" s="181"/>
      <c r="B36" s="183">
        <v>19.5</v>
      </c>
      <c r="C36" s="169" t="s">
        <v>168</v>
      </c>
      <c r="D36" s="185">
        <f>E15*B36</f>
        <v>136.5</v>
      </c>
      <c r="E36" s="174"/>
      <c r="F36" s="139"/>
      <c r="H36" s="122"/>
      <c r="I36" s="121"/>
      <c r="J36" s="121"/>
      <c r="K36" s="121"/>
    </row>
    <row r="37" spans="1:13" x14ac:dyDescent="0.25">
      <c r="A37" s="181"/>
      <c r="B37" s="183"/>
      <c r="C37" s="184" t="s">
        <v>169</v>
      </c>
      <c r="D37" s="206">
        <f>+D33+D34+D35+D36</f>
        <v>3155.7572869525716</v>
      </c>
      <c r="E37" s="174"/>
      <c r="F37" s="139"/>
    </row>
    <row r="38" spans="1:13" x14ac:dyDescent="0.25">
      <c r="A38" s="181"/>
      <c r="B38" s="183"/>
      <c r="C38" s="189"/>
      <c r="D38" s="190"/>
      <c r="E38" s="174"/>
      <c r="F38" s="139"/>
    </row>
    <row r="39" spans="1:13" x14ac:dyDescent="0.25">
      <c r="A39" s="181"/>
      <c r="B39" s="183"/>
      <c r="C39" s="169"/>
      <c r="D39" s="190"/>
      <c r="E39" s="174"/>
      <c r="F39" s="83"/>
    </row>
    <row r="40" spans="1:13" x14ac:dyDescent="0.25">
      <c r="A40" s="191"/>
      <c r="B40" s="189"/>
      <c r="C40" s="189"/>
      <c r="D40" s="189"/>
      <c r="E40" s="177"/>
      <c r="F40" s="80"/>
    </row>
    <row r="41" spans="1:13" x14ac:dyDescent="0.25">
      <c r="A41" s="191"/>
      <c r="B41" s="189"/>
      <c r="C41" s="189"/>
      <c r="D41" s="189"/>
      <c r="E41" s="177"/>
      <c r="F41" s="80"/>
    </row>
    <row r="42" spans="1:13" ht="15.75" x14ac:dyDescent="0.25">
      <c r="A42" s="191"/>
      <c r="B42" s="189"/>
      <c r="C42" s="192" t="s">
        <v>170</v>
      </c>
      <c r="D42" s="189"/>
      <c r="E42" s="204">
        <f>+D37</f>
        <v>3155.7572869525716</v>
      </c>
      <c r="F42" s="128"/>
    </row>
    <row r="43" spans="1:13" x14ac:dyDescent="0.25">
      <c r="A43" s="164"/>
      <c r="B43" s="165"/>
      <c r="C43" s="165"/>
      <c r="D43" s="165"/>
      <c r="E43" s="193"/>
      <c r="F43" s="83"/>
    </row>
    <row r="44" spans="1:13" x14ac:dyDescent="0.25">
      <c r="A44" s="194" t="s">
        <v>171</v>
      </c>
      <c r="B44" s="168"/>
      <c r="C44" s="168"/>
      <c r="D44" s="168"/>
      <c r="E44" s="167"/>
      <c r="F44" s="80"/>
    </row>
    <row r="45" spans="1:13" ht="15.75" x14ac:dyDescent="0.25">
      <c r="A45" s="195"/>
      <c r="B45" s="179" t="s">
        <v>172</v>
      </c>
      <c r="C45" s="179" t="s">
        <v>173</v>
      </c>
      <c r="D45" s="179" t="s">
        <v>163</v>
      </c>
      <c r="E45" s="167"/>
      <c r="F45" s="80"/>
    </row>
    <row r="46" spans="1:13" x14ac:dyDescent="0.25">
      <c r="A46" s="200" t="s">
        <v>38</v>
      </c>
      <c r="B46" s="205">
        <f>D29-C46-D46+D34+D35+D36</f>
        <v>3155.7572869525716</v>
      </c>
      <c r="C46" s="203">
        <f>+D32</f>
        <v>66.992713047428239</v>
      </c>
      <c r="D46" s="203">
        <f>+D30</f>
        <v>115.65</v>
      </c>
      <c r="E46" s="193"/>
      <c r="F46" s="83"/>
    </row>
    <row r="47" spans="1:13" x14ac:dyDescent="0.25">
      <c r="A47" s="164"/>
      <c r="B47" s="165"/>
      <c r="C47" s="165"/>
      <c r="D47" s="165"/>
      <c r="E47" s="167"/>
      <c r="F47" s="80"/>
    </row>
    <row r="48" spans="1:13" ht="16.5" thickBot="1" x14ac:dyDescent="0.3">
      <c r="A48" s="196"/>
      <c r="B48" s="197"/>
      <c r="C48" s="197"/>
      <c r="D48" s="197"/>
      <c r="E48" s="198" t="s">
        <v>174</v>
      </c>
      <c r="F48" s="107"/>
    </row>
    <row r="49" spans="1:6" x14ac:dyDescent="0.25">
      <c r="A49" s="80"/>
      <c r="B49" s="80"/>
      <c r="C49" s="80"/>
      <c r="D49" s="80"/>
      <c r="E49" s="80"/>
      <c r="F49" s="80"/>
    </row>
  </sheetData>
  <mergeCells count="20">
    <mergeCell ref="A2:E2"/>
    <mergeCell ref="A4:E4"/>
    <mergeCell ref="A5:E5"/>
    <mergeCell ref="A6:E6"/>
    <mergeCell ref="L2:M2"/>
    <mergeCell ref="N2:O2"/>
    <mergeCell ref="L3:M3"/>
    <mergeCell ref="N3:O3"/>
    <mergeCell ref="L4:M4"/>
    <mergeCell ref="N4:O4"/>
    <mergeCell ref="L8:M8"/>
    <mergeCell ref="N8:O8"/>
    <mergeCell ref="L9:M9"/>
    <mergeCell ref="N9:O9"/>
    <mergeCell ref="L5:M5"/>
    <mergeCell ref="N5:O5"/>
    <mergeCell ref="L6:M6"/>
    <mergeCell ref="N6:O6"/>
    <mergeCell ref="L7:M7"/>
    <mergeCell ref="N7:O7"/>
  </mergeCells>
  <dataValidations count="2">
    <dataValidation type="list" allowBlank="1" showInputMessage="1" showErrorMessage="1" sqref="E17:F17" xr:uid="{68600B1A-40BE-4AAE-B27C-3B563A8A4068}">
      <formula1>TypeContrat</formula1>
    </dataValidation>
    <dataValidation type="date" allowBlank="1" showInputMessage="1" showErrorMessage="1" sqref="E16:F16" xr:uid="{69C5C059-A86D-4002-9BE7-4CDF2A24FAEB}">
      <formula1>36526</formula1>
      <formula2>46387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19F7-A2D1-4164-9031-583B864BD87F}">
  <dimension ref="A1:S49"/>
  <sheetViews>
    <sheetView tabSelected="1" zoomScaleNormal="100" workbookViewId="0">
      <selection activeCell="L31" sqref="L31"/>
    </sheetView>
  </sheetViews>
  <sheetFormatPr baseColWidth="10" defaultRowHeight="15" x14ac:dyDescent="0.25"/>
  <cols>
    <col min="1" max="1" width="27.5703125" customWidth="1"/>
    <col min="2" max="2" width="48" customWidth="1"/>
    <col min="3" max="3" width="34.28515625" customWidth="1"/>
    <col min="4" max="4" width="26" customWidth="1"/>
    <col min="5" max="5" width="23.42578125" customWidth="1"/>
    <col min="6" max="6" width="8.5703125" bestFit="1" customWidth="1"/>
    <col min="7" max="7" width="12.42578125" bestFit="1" customWidth="1"/>
    <col min="8" max="8" width="25" customWidth="1"/>
    <col min="9" max="9" width="36.42578125" customWidth="1"/>
    <col min="10" max="10" width="70.5703125" customWidth="1"/>
    <col min="11" max="11" width="20.42578125" customWidth="1"/>
    <col min="12" max="12" width="14.5703125" bestFit="1" customWidth="1"/>
    <col min="13" max="13" width="20.85546875" customWidth="1"/>
    <col min="14" max="14" width="43.42578125" customWidth="1"/>
    <col min="17" max="17" width="21.140625" customWidth="1"/>
  </cols>
  <sheetData>
    <row r="1" spans="1:14" ht="15.75" thickBot="1" x14ac:dyDescent="0.3">
      <c r="A1" s="80"/>
      <c r="B1" s="80"/>
      <c r="C1" s="80"/>
      <c r="D1" s="80"/>
      <c r="E1" s="80"/>
      <c r="F1" s="80"/>
    </row>
    <row r="2" spans="1:14" ht="27.75" customHeight="1" x14ac:dyDescent="0.25">
      <c r="A2" s="260" t="s">
        <v>132</v>
      </c>
      <c r="B2" s="261"/>
      <c r="C2" s="261"/>
      <c r="D2" s="261"/>
      <c r="E2" s="262"/>
      <c r="F2" s="125"/>
      <c r="H2" s="140" t="s">
        <v>62</v>
      </c>
      <c r="I2" s="140" t="s">
        <v>209</v>
      </c>
      <c r="J2" s="140" t="s">
        <v>210</v>
      </c>
      <c r="K2" s="140" t="s">
        <v>211</v>
      </c>
      <c r="L2" s="257" t="s">
        <v>212</v>
      </c>
      <c r="M2" s="258"/>
      <c r="N2" s="233" t="s">
        <v>213</v>
      </c>
    </row>
    <row r="3" spans="1:14" ht="15.75" x14ac:dyDescent="0.25">
      <c r="A3" s="161"/>
      <c r="B3" s="162"/>
      <c r="C3" s="162"/>
      <c r="D3" s="162"/>
      <c r="E3" s="163"/>
      <c r="F3" s="81"/>
      <c r="H3" s="141" t="s">
        <v>199</v>
      </c>
      <c r="I3" s="142">
        <v>221</v>
      </c>
      <c r="J3" s="142">
        <v>5</v>
      </c>
      <c r="K3" s="143">
        <v>2</v>
      </c>
      <c r="L3" s="251">
        <f>I3+(J3*K3)</f>
        <v>231</v>
      </c>
      <c r="M3" s="252"/>
      <c r="N3" s="230" t="s">
        <v>214</v>
      </c>
    </row>
    <row r="4" spans="1:14" x14ac:dyDescent="0.25">
      <c r="A4" s="271"/>
      <c r="B4" s="274" t="s">
        <v>261</v>
      </c>
      <c r="C4" s="275" t="str">
        <f>VLOOKUP(B11,H39:S46,10,FALSE)</f>
        <v>KORLOM</v>
      </c>
      <c r="D4" s="272"/>
      <c r="E4" s="273"/>
      <c r="F4" s="111"/>
      <c r="H4" s="141" t="s">
        <v>200</v>
      </c>
      <c r="I4" s="142">
        <v>309</v>
      </c>
      <c r="J4" s="142">
        <v>7</v>
      </c>
      <c r="K4" s="143">
        <v>3</v>
      </c>
      <c r="L4" s="251">
        <f t="shared" ref="L4:L9" si="0">I4+(J4*K4)</f>
        <v>330</v>
      </c>
      <c r="M4" s="252"/>
      <c r="N4" s="230" t="s">
        <v>191</v>
      </c>
    </row>
    <row r="5" spans="1:14" x14ac:dyDescent="0.25">
      <c r="A5" s="271"/>
      <c r="B5" s="274" t="s">
        <v>262</v>
      </c>
      <c r="C5" s="275" t="str">
        <f>VLOOKUP(B11,H39:S46,11,FALSE)</f>
        <v>KASAÏ ORIENTAL</v>
      </c>
      <c r="D5" s="272"/>
      <c r="E5" s="273"/>
      <c r="F5" s="111"/>
      <c r="H5" s="143">
        <v>2</v>
      </c>
      <c r="I5" s="142">
        <v>432</v>
      </c>
      <c r="J5" s="142">
        <v>10</v>
      </c>
      <c r="K5" s="143">
        <v>5</v>
      </c>
      <c r="L5" s="251">
        <f t="shared" si="0"/>
        <v>482</v>
      </c>
      <c r="M5" s="252"/>
      <c r="N5" s="230" t="s">
        <v>215</v>
      </c>
    </row>
    <row r="6" spans="1:14" x14ac:dyDescent="0.25">
      <c r="A6" s="271"/>
      <c r="B6" s="274" t="s">
        <v>263</v>
      </c>
      <c r="C6" s="275" t="str">
        <f>VLOOKUP(B11,H39:S46,12,FALSE)</f>
        <v>COD2299211SH2</v>
      </c>
      <c r="D6" s="272"/>
      <c r="E6" s="273"/>
      <c r="F6" s="137"/>
      <c r="H6" s="157">
        <v>3</v>
      </c>
      <c r="I6" s="158">
        <v>583</v>
      </c>
      <c r="J6" s="158">
        <v>13</v>
      </c>
      <c r="K6" s="157">
        <v>5</v>
      </c>
      <c r="L6" s="254">
        <f t="shared" si="0"/>
        <v>648</v>
      </c>
      <c r="M6" s="255"/>
      <c r="N6" s="231" t="s">
        <v>216</v>
      </c>
    </row>
    <row r="7" spans="1:14" x14ac:dyDescent="0.25">
      <c r="A7" s="164"/>
      <c r="B7" s="165"/>
      <c r="C7" s="166"/>
      <c r="D7" s="165"/>
      <c r="E7" s="167"/>
      <c r="F7" s="80"/>
      <c r="H7" s="143">
        <v>4</v>
      </c>
      <c r="I7" s="142">
        <v>935</v>
      </c>
      <c r="J7" s="142">
        <v>21</v>
      </c>
      <c r="K7" s="143">
        <v>5</v>
      </c>
      <c r="L7" s="251">
        <f t="shared" si="0"/>
        <v>1040</v>
      </c>
      <c r="M7" s="252"/>
      <c r="N7" s="232" t="s">
        <v>176</v>
      </c>
    </row>
    <row r="8" spans="1:14" x14ac:dyDescent="0.25">
      <c r="A8" s="164"/>
      <c r="B8" s="165"/>
      <c r="C8" s="166"/>
      <c r="D8" s="171" t="s">
        <v>136</v>
      </c>
      <c r="E8" s="213" t="s">
        <v>27</v>
      </c>
      <c r="F8" s="80"/>
      <c r="H8" s="143">
        <v>5</v>
      </c>
      <c r="I8" s="142">
        <v>1542</v>
      </c>
      <c r="J8" s="142">
        <v>34</v>
      </c>
      <c r="K8" s="143">
        <v>7</v>
      </c>
      <c r="L8" s="251">
        <f t="shared" si="0"/>
        <v>1780</v>
      </c>
      <c r="M8" s="252"/>
      <c r="N8" s="230" t="s">
        <v>217</v>
      </c>
    </row>
    <row r="9" spans="1:14" x14ac:dyDescent="0.25">
      <c r="A9" s="164"/>
      <c r="B9" s="165"/>
      <c r="C9" s="166"/>
      <c r="D9" s="165"/>
      <c r="E9" s="167"/>
      <c r="F9" s="80"/>
      <c r="H9" s="143">
        <v>6</v>
      </c>
      <c r="I9" s="142">
        <v>2313</v>
      </c>
      <c r="J9" s="142">
        <v>51</v>
      </c>
      <c r="K9" s="143">
        <v>10</v>
      </c>
      <c r="L9" s="251">
        <f t="shared" si="0"/>
        <v>2823</v>
      </c>
      <c r="M9" s="252"/>
      <c r="N9" s="230" t="s">
        <v>218</v>
      </c>
    </row>
    <row r="10" spans="1:14" x14ac:dyDescent="0.25">
      <c r="A10" s="164"/>
      <c r="B10" s="165"/>
      <c r="C10" s="166"/>
      <c r="D10" s="165"/>
      <c r="E10" s="167"/>
      <c r="F10" s="80"/>
    </row>
    <row r="11" spans="1:14" ht="15.75" x14ac:dyDescent="0.25">
      <c r="A11" s="266" t="s">
        <v>224</v>
      </c>
      <c r="B11" s="220" t="s">
        <v>220</v>
      </c>
      <c r="C11" s="170"/>
      <c r="D11" s="171" t="s">
        <v>138</v>
      </c>
      <c r="E11" s="208">
        <f>VLOOKUP(B15,H2:O9,2,FALSE)</f>
        <v>2313</v>
      </c>
      <c r="F11" s="85"/>
      <c r="H11" s="131" t="s">
        <v>192</v>
      </c>
      <c r="I11" s="131" t="s">
        <v>20</v>
      </c>
      <c r="J11" s="131" t="s">
        <v>193</v>
      </c>
      <c r="K11" s="131" t="s">
        <v>194</v>
      </c>
      <c r="L11" s="131" t="s">
        <v>195</v>
      </c>
      <c r="M11" s="131" t="s">
        <v>196</v>
      </c>
    </row>
    <row r="12" spans="1:14" x14ac:dyDescent="0.25">
      <c r="A12" s="266" t="s">
        <v>225</v>
      </c>
      <c r="B12" s="267" t="str">
        <f>VLOOKUP(B11,H39:P46,2,FALSE)</f>
        <v>Samuel</v>
      </c>
      <c r="C12" s="170"/>
      <c r="D12" s="171" t="s">
        <v>141</v>
      </c>
      <c r="E12" s="172">
        <f>VLOOKUP(B15,H2:N9,4,FALSE)</f>
        <v>10</v>
      </c>
      <c r="F12" s="85" t="s">
        <v>223</v>
      </c>
      <c r="H12" s="144">
        <v>1</v>
      </c>
      <c r="I12" s="145">
        <v>0.03</v>
      </c>
      <c r="J12" s="146">
        <v>162000</v>
      </c>
      <c r="K12" s="147">
        <v>4860</v>
      </c>
      <c r="L12" s="147">
        <v>4860</v>
      </c>
      <c r="M12" s="147">
        <v>0</v>
      </c>
    </row>
    <row r="13" spans="1:14" x14ac:dyDescent="0.25">
      <c r="A13" s="266" t="s">
        <v>140</v>
      </c>
      <c r="B13" s="267">
        <f>VLOOKUP(B11,H39:P46,9,FALSE)</f>
        <v>52293</v>
      </c>
      <c r="C13" s="170"/>
      <c r="D13" s="171" t="s">
        <v>144</v>
      </c>
      <c r="E13" s="172">
        <v>0</v>
      </c>
      <c r="F13" s="85" t="s">
        <v>223</v>
      </c>
      <c r="H13" s="144">
        <v>2</v>
      </c>
      <c r="I13" s="145">
        <v>0.15</v>
      </c>
      <c r="J13" s="146">
        <v>1800000</v>
      </c>
      <c r="K13" s="147">
        <v>245700</v>
      </c>
      <c r="L13" s="147">
        <v>250560</v>
      </c>
      <c r="M13" s="147">
        <v>19440</v>
      </c>
    </row>
    <row r="14" spans="1:14" x14ac:dyDescent="0.25">
      <c r="A14" s="266" t="s">
        <v>143</v>
      </c>
      <c r="B14" s="267" t="str">
        <f>VLOOKUP(B11,H39:P46,3,FALSE)</f>
        <v>Responsable Administratif et Financier</v>
      </c>
      <c r="C14" s="170"/>
      <c r="D14" s="171" t="s">
        <v>147</v>
      </c>
      <c r="E14" s="173">
        <f>((E12+E13)*VLOOKUP(B15,H2:O9,3,FALSE)+E11)</f>
        <v>2823</v>
      </c>
      <c r="F14" s="85"/>
      <c r="G14" s="138"/>
      <c r="H14" s="144">
        <v>3</v>
      </c>
      <c r="I14" s="145">
        <v>0.3</v>
      </c>
      <c r="J14" s="146">
        <v>3600000</v>
      </c>
      <c r="K14" s="147">
        <v>540000</v>
      </c>
      <c r="L14" s="147">
        <v>790560</v>
      </c>
      <c r="M14" s="147">
        <v>289440</v>
      </c>
    </row>
    <row r="15" spans="1:14" x14ac:dyDescent="0.25">
      <c r="A15" s="266" t="s">
        <v>146</v>
      </c>
      <c r="B15" s="268">
        <f>VLOOKUP(B11,H39:P46,5,FALSE)</f>
        <v>6</v>
      </c>
      <c r="C15" s="168"/>
      <c r="D15" s="168"/>
      <c r="E15" s="193"/>
      <c r="F15" s="83"/>
      <c r="H15" s="144">
        <v>4</v>
      </c>
      <c r="I15" s="145">
        <v>0.4</v>
      </c>
      <c r="J15" s="146">
        <v>3600000</v>
      </c>
      <c r="K15" s="148">
        <v>540000</v>
      </c>
      <c r="L15" s="148">
        <v>790560</v>
      </c>
      <c r="M15" s="148">
        <v>649440</v>
      </c>
    </row>
    <row r="16" spans="1:14" x14ac:dyDescent="0.25">
      <c r="A16" s="266" t="s">
        <v>149</v>
      </c>
      <c r="B16" s="267" t="str">
        <f>VLOOKUP(B15,H2:N9,7,TRUE)</f>
        <v>Cadre de direction</v>
      </c>
      <c r="C16" s="168"/>
      <c r="D16" s="168"/>
      <c r="E16" s="193"/>
      <c r="F16" s="156"/>
    </row>
    <row r="17" spans="1:13" x14ac:dyDescent="0.25">
      <c r="A17" s="266" t="s">
        <v>151</v>
      </c>
      <c r="B17" s="267"/>
      <c r="C17" s="168"/>
      <c r="D17" s="168"/>
      <c r="E17" s="193"/>
      <c r="F17" s="156"/>
      <c r="H17" s="151" t="s">
        <v>32</v>
      </c>
      <c r="I17" s="151" t="s">
        <v>33</v>
      </c>
      <c r="K17" s="150" t="s">
        <v>62</v>
      </c>
      <c r="L17" s="150" t="s">
        <v>197</v>
      </c>
      <c r="M17" s="150" t="s">
        <v>198</v>
      </c>
    </row>
    <row r="18" spans="1:13" x14ac:dyDescent="0.25">
      <c r="A18" s="266" t="s">
        <v>153</v>
      </c>
      <c r="B18" s="267"/>
      <c r="C18" s="165"/>
      <c r="D18" s="171" t="s">
        <v>201</v>
      </c>
      <c r="E18" s="159">
        <v>22</v>
      </c>
      <c r="F18" s="80" t="s">
        <v>207</v>
      </c>
      <c r="H18" s="149" t="s">
        <v>31</v>
      </c>
      <c r="I18" s="149">
        <v>2016.5737999999999</v>
      </c>
      <c r="J18" s="138">
        <f>L9/E18</f>
        <v>128.31818181818181</v>
      </c>
      <c r="K18" s="133" t="s">
        <v>199</v>
      </c>
      <c r="L18" s="134">
        <v>195</v>
      </c>
      <c r="M18" s="134">
        <v>19.5</v>
      </c>
    </row>
    <row r="19" spans="1:13" x14ac:dyDescent="0.25">
      <c r="A19" s="266" t="s">
        <v>150</v>
      </c>
      <c r="B19" s="269">
        <f>VLOOKUP(B11,H39:P46,6,FALSE)</f>
        <v>7</v>
      </c>
      <c r="C19" s="165"/>
      <c r="D19" s="171" t="s">
        <v>202</v>
      </c>
      <c r="E19" s="160">
        <v>22</v>
      </c>
      <c r="F19" s="80" t="s">
        <v>207</v>
      </c>
      <c r="H19" s="149" t="s">
        <v>24</v>
      </c>
      <c r="I19" s="149">
        <v>2035.7546</v>
      </c>
      <c r="J19" s="132"/>
      <c r="K19" s="133" t="s">
        <v>200</v>
      </c>
      <c r="L19" s="134">
        <v>195</v>
      </c>
      <c r="M19" s="134">
        <v>19.5</v>
      </c>
    </row>
    <row r="20" spans="1:13" x14ac:dyDescent="0.25">
      <c r="A20" s="266" t="s">
        <v>152</v>
      </c>
      <c r="B20" s="270">
        <f>VLOOKUP(B11,H39:P46,4,FALSE)</f>
        <v>45047</v>
      </c>
      <c r="C20" s="165"/>
      <c r="D20" s="171" t="s">
        <v>203</v>
      </c>
      <c r="E20" s="160">
        <v>0</v>
      </c>
      <c r="F20" s="80" t="s">
        <v>207</v>
      </c>
      <c r="H20" s="149" t="s">
        <v>25</v>
      </c>
      <c r="I20" s="149">
        <v>2037.8545999999999</v>
      </c>
      <c r="K20" s="135">
        <v>2</v>
      </c>
      <c r="L20" s="134">
        <v>195</v>
      </c>
      <c r="M20" s="134">
        <v>19.5</v>
      </c>
    </row>
    <row r="21" spans="1:13" x14ac:dyDescent="0.25">
      <c r="A21" s="266" t="s">
        <v>154</v>
      </c>
      <c r="B21" s="269" t="str">
        <f>VLOOKUP(B11,H39:P46,7,FALSE)</f>
        <v>COD</v>
      </c>
      <c r="C21" s="165"/>
      <c r="D21" s="171" t="s">
        <v>206</v>
      </c>
      <c r="E21" s="160">
        <v>0</v>
      </c>
      <c r="F21" s="80" t="s">
        <v>207</v>
      </c>
      <c r="H21" s="149" t="s">
        <v>26</v>
      </c>
      <c r="I21" s="149">
        <v>2037.7763</v>
      </c>
      <c r="K21" s="135">
        <v>3</v>
      </c>
      <c r="L21" s="134">
        <v>195</v>
      </c>
      <c r="M21" s="134">
        <v>19.5</v>
      </c>
    </row>
    <row r="22" spans="1:13" x14ac:dyDescent="0.25">
      <c r="A22" s="164"/>
      <c r="B22" s="165"/>
      <c r="C22" s="165"/>
      <c r="D22" s="171" t="s">
        <v>204</v>
      </c>
      <c r="E22" s="160">
        <v>0</v>
      </c>
      <c r="F22" s="80" t="s">
        <v>208</v>
      </c>
      <c r="H22" s="149" t="s">
        <v>27</v>
      </c>
      <c r="I22" s="149">
        <v>2298.0652</v>
      </c>
      <c r="J22" s="132"/>
      <c r="K22" s="135">
        <v>4</v>
      </c>
      <c r="L22" s="134">
        <v>195</v>
      </c>
      <c r="M22" s="134">
        <v>19.5</v>
      </c>
    </row>
    <row r="23" spans="1:13" x14ac:dyDescent="0.25">
      <c r="A23" s="164"/>
      <c r="B23" s="165"/>
      <c r="C23" s="165"/>
      <c r="D23" s="165"/>
      <c r="E23" s="167"/>
      <c r="F23" s="80"/>
      <c r="H23" s="149" t="s">
        <v>28</v>
      </c>
      <c r="I23" s="149">
        <v>2358.5945000000002</v>
      </c>
      <c r="J23" s="132"/>
      <c r="K23" s="135">
        <v>5</v>
      </c>
      <c r="L23" s="134">
        <v>195</v>
      </c>
      <c r="M23" s="134">
        <v>19.5</v>
      </c>
    </row>
    <row r="24" spans="1:13" ht="15.75" x14ac:dyDescent="0.25">
      <c r="A24" s="178" t="s">
        <v>155</v>
      </c>
      <c r="B24" s="179" t="s">
        <v>20</v>
      </c>
      <c r="C24" s="179" t="s">
        <v>156</v>
      </c>
      <c r="D24" s="179" t="s">
        <v>157</v>
      </c>
      <c r="E24" s="180" t="s">
        <v>18</v>
      </c>
      <c r="F24" s="207"/>
      <c r="H24" s="149" t="s">
        <v>29</v>
      </c>
      <c r="I24" s="149">
        <v>2462.5174000000002</v>
      </c>
      <c r="J24" s="132"/>
      <c r="K24" s="135">
        <v>6</v>
      </c>
      <c r="L24" s="134">
        <v>195</v>
      </c>
      <c r="M24" s="134">
        <v>19.5</v>
      </c>
    </row>
    <row r="25" spans="1:13" x14ac:dyDescent="0.25">
      <c r="A25" s="181">
        <f>E19</f>
        <v>22</v>
      </c>
      <c r="B25" s="182">
        <f>E14/E18</f>
        <v>128.31818181818181</v>
      </c>
      <c r="C25" s="169" t="s">
        <v>158</v>
      </c>
      <c r="D25" s="201">
        <f>A25*B25</f>
        <v>2823</v>
      </c>
      <c r="E25" s="174"/>
      <c r="F25" s="83"/>
      <c r="H25" s="149" t="s">
        <v>30</v>
      </c>
      <c r="I25" s="149">
        <v>2476.0947000000001</v>
      </c>
      <c r="J25" s="132"/>
    </row>
    <row r="26" spans="1:13" x14ac:dyDescent="0.25">
      <c r="A26" s="181">
        <f>E21</f>
        <v>0</v>
      </c>
      <c r="B26" s="183">
        <f>B25/7.5</f>
        <v>17.109090909090909</v>
      </c>
      <c r="C26" s="169" t="s">
        <v>159</v>
      </c>
      <c r="D26" s="201">
        <f>(A26*B26)*100/100</f>
        <v>0</v>
      </c>
      <c r="E26" s="174"/>
      <c r="F26" s="83"/>
      <c r="J26" s="132"/>
    </row>
    <row r="27" spans="1:13" x14ac:dyDescent="0.25">
      <c r="A27" s="181">
        <f>E20</f>
        <v>0</v>
      </c>
      <c r="B27" s="183">
        <f>(B25*2)/3</f>
        <v>85.545454545454547</v>
      </c>
      <c r="C27" s="169" t="s">
        <v>160</v>
      </c>
      <c r="D27" s="201">
        <f t="shared" ref="D27" si="1">+A27*B27</f>
        <v>0</v>
      </c>
      <c r="E27" s="174"/>
      <c r="F27" s="83"/>
      <c r="J27" s="132"/>
    </row>
    <row r="28" spans="1:13" x14ac:dyDescent="0.25">
      <c r="A28" s="181">
        <f>E22</f>
        <v>0</v>
      </c>
      <c r="B28" s="183">
        <f>B25/7.5</f>
        <v>17.109090909090909</v>
      </c>
      <c r="C28" s="169" t="s">
        <v>205</v>
      </c>
      <c r="D28" s="201">
        <f>IF(E22&lt;=6,(A28*B28)*30/100,(A28*B28)*60/100)</f>
        <v>0</v>
      </c>
      <c r="E28" s="174"/>
      <c r="F28" s="83"/>
      <c r="J28" s="132"/>
    </row>
    <row r="29" spans="1:13" x14ac:dyDescent="0.25">
      <c r="A29" s="181"/>
      <c r="B29" s="183"/>
      <c r="C29" s="184" t="s">
        <v>162</v>
      </c>
      <c r="D29" s="185">
        <f>SUM(D25:D28)</f>
        <v>2823</v>
      </c>
      <c r="E29" s="186"/>
      <c r="F29" s="139"/>
    </row>
    <row r="30" spans="1:13" ht="13.5" customHeight="1" x14ac:dyDescent="0.25">
      <c r="A30" s="181"/>
      <c r="B30" s="183"/>
      <c r="C30" s="169" t="s">
        <v>163</v>
      </c>
      <c r="D30" s="202">
        <f>+D29*5/100</f>
        <v>141.15</v>
      </c>
      <c r="E30" s="187"/>
      <c r="F30" s="153"/>
      <c r="G30" s="139"/>
      <c r="H30" s="154" t="s">
        <v>32</v>
      </c>
      <c r="I30" s="154" t="s">
        <v>184</v>
      </c>
      <c r="J30" s="155" t="s">
        <v>219</v>
      </c>
      <c r="K30" s="154" t="s">
        <v>186</v>
      </c>
      <c r="L30" s="155" t="s">
        <v>187</v>
      </c>
      <c r="M30" s="155" t="s">
        <v>188</v>
      </c>
    </row>
    <row r="31" spans="1:13" x14ac:dyDescent="0.25">
      <c r="A31" s="181"/>
      <c r="B31" s="183"/>
      <c r="C31" s="184" t="s">
        <v>164</v>
      </c>
      <c r="D31" s="185">
        <f>+D25-D30</f>
        <v>2681.85</v>
      </c>
      <c r="E31" s="186"/>
      <c r="F31" s="152"/>
      <c r="G31" s="152"/>
      <c r="H31" s="149" t="str">
        <f>E8</f>
        <v>Mais</v>
      </c>
      <c r="I31" s="136">
        <f>$D$31*VLOOKUP(E8,H17:I25,2,FALSE)</f>
        <v>6163066.1566199996</v>
      </c>
      <c r="J31" s="147">
        <f>IF(I31&lt;=J12,I31,IF(I31&lt;=J13,I31-J12,IF(I31&lt;=J14,I31-J13,IF(I31&lt;=999999999999999,I31-J14,I31-J14))))</f>
        <v>2563066.1566199996</v>
      </c>
      <c r="K31" s="136">
        <f>IF(I31&lt;=J12,J31*3/100,IF(I31&lt;=J13,J31*15/100,IF(I31&lt;=J14,J31*30/100,IF(I31&lt;=999999999999999,J31*40/100,J31*40/100))))</f>
        <v>1025226.4626479999</v>
      </c>
      <c r="L31" s="136">
        <f>K31+K14</f>
        <v>1565226.4626479999</v>
      </c>
      <c r="M31" s="136">
        <f>L31/VLOOKUP(H31,H17:I25,2,FALSE)</f>
        <v>681.10620301286485</v>
      </c>
    </row>
    <row r="32" spans="1:13" x14ac:dyDescent="0.25">
      <c r="A32" s="225"/>
      <c r="B32" s="226"/>
      <c r="C32" s="227" t="s">
        <v>51</v>
      </c>
      <c r="D32" s="228">
        <v>892.45</v>
      </c>
      <c r="E32" s="229">
        <f>VLOOKUP(E8,H30:M31,6,FALSE)</f>
        <v>681.10620301286485</v>
      </c>
      <c r="F32" s="83"/>
      <c r="G32" s="83"/>
    </row>
    <row r="33" spans="1:19" x14ac:dyDescent="0.25">
      <c r="A33" s="181"/>
      <c r="B33" s="183"/>
      <c r="C33" s="184" t="s">
        <v>165</v>
      </c>
      <c r="D33" s="185">
        <f>D29-D30-D32</f>
        <v>1789.3999999999999</v>
      </c>
      <c r="E33" s="174"/>
      <c r="F33" s="83"/>
      <c r="G33" s="83"/>
    </row>
    <row r="34" spans="1:19" x14ac:dyDescent="0.25">
      <c r="A34" s="181">
        <f>E19</f>
        <v>22</v>
      </c>
      <c r="B34" s="183">
        <f>D25/E18*30/100</f>
        <v>38.495454545454542</v>
      </c>
      <c r="C34" s="169" t="s">
        <v>166</v>
      </c>
      <c r="D34" s="185">
        <f>+A34*B34</f>
        <v>846.9</v>
      </c>
      <c r="E34" s="174"/>
      <c r="F34" s="83"/>
      <c r="G34" s="83"/>
    </row>
    <row r="35" spans="1:19" x14ac:dyDescent="0.25">
      <c r="A35" s="181">
        <f>E19</f>
        <v>22</v>
      </c>
      <c r="B35" s="188">
        <f>L18/E18</f>
        <v>8.8636363636363633</v>
      </c>
      <c r="C35" s="169" t="s">
        <v>167</v>
      </c>
      <c r="D35" s="185">
        <f>A35*B35</f>
        <v>195</v>
      </c>
      <c r="E35" s="174"/>
      <c r="F35" s="83"/>
      <c r="G35" s="83"/>
    </row>
    <row r="36" spans="1:19" x14ac:dyDescent="0.25">
      <c r="A36" s="181"/>
      <c r="B36" s="183">
        <v>19.5</v>
      </c>
      <c r="C36" s="169" t="s">
        <v>168</v>
      </c>
      <c r="D36" s="185">
        <f>B19*B36</f>
        <v>136.5</v>
      </c>
      <c r="E36" s="174"/>
      <c r="F36" s="139"/>
      <c r="H36" s="122"/>
      <c r="I36" s="121"/>
      <c r="J36" s="121"/>
      <c r="K36" s="121"/>
    </row>
    <row r="37" spans="1:19" x14ac:dyDescent="0.25">
      <c r="A37" s="181"/>
      <c r="B37" s="183"/>
      <c r="C37" s="184" t="s">
        <v>169</v>
      </c>
      <c r="D37" s="206">
        <f>+D33+D34+D35+D36</f>
        <v>2967.7999999999997</v>
      </c>
      <c r="E37" s="174"/>
      <c r="F37" s="139"/>
    </row>
    <row r="38" spans="1:19" x14ac:dyDescent="0.25">
      <c r="A38" s="181"/>
      <c r="B38" s="183"/>
      <c r="C38" s="189"/>
      <c r="D38" s="190"/>
      <c r="E38" s="174"/>
      <c r="F38" s="139"/>
    </row>
    <row r="39" spans="1:19" ht="49.5" customHeight="1" x14ac:dyDescent="0.25">
      <c r="A39" s="181"/>
      <c r="B39" s="183"/>
      <c r="C39" s="169"/>
      <c r="D39" s="190"/>
      <c r="E39" s="174"/>
      <c r="F39" s="83"/>
      <c r="H39" s="214" t="s">
        <v>2</v>
      </c>
      <c r="I39" s="214" t="s">
        <v>3</v>
      </c>
      <c r="J39" s="214" t="s">
        <v>69</v>
      </c>
      <c r="K39" s="214" t="s">
        <v>242</v>
      </c>
      <c r="L39" s="215" t="s">
        <v>243</v>
      </c>
      <c r="M39" s="216" t="s">
        <v>244</v>
      </c>
      <c r="N39" s="217" t="s">
        <v>117</v>
      </c>
      <c r="O39" s="218" t="s">
        <v>246</v>
      </c>
      <c r="P39" s="219" t="s">
        <v>247</v>
      </c>
      <c r="Q39" s="219" t="s">
        <v>248</v>
      </c>
      <c r="R39" s="219" t="s">
        <v>252</v>
      </c>
      <c r="S39" s="219" t="s">
        <v>257</v>
      </c>
    </row>
    <row r="40" spans="1:19" x14ac:dyDescent="0.25">
      <c r="A40" s="191"/>
      <c r="B40" s="189"/>
      <c r="C40" s="189"/>
      <c r="D40" s="189"/>
      <c r="E40" s="177"/>
      <c r="F40" s="80"/>
      <c r="H40" s="220" t="s">
        <v>220</v>
      </c>
      <c r="I40" s="220" t="s">
        <v>226</v>
      </c>
      <c r="J40" s="220" t="s">
        <v>222</v>
      </c>
      <c r="K40" s="221">
        <v>45047</v>
      </c>
      <c r="L40" s="222">
        <v>6</v>
      </c>
      <c r="M40" s="223">
        <v>7</v>
      </c>
      <c r="N40" s="221" t="s">
        <v>177</v>
      </c>
      <c r="O40" s="224"/>
      <c r="P40" s="224">
        <v>52293</v>
      </c>
      <c r="Q40" s="224" t="s">
        <v>249</v>
      </c>
      <c r="R40" s="224" t="s">
        <v>253</v>
      </c>
      <c r="S40" s="224" t="s">
        <v>258</v>
      </c>
    </row>
    <row r="41" spans="1:19" x14ac:dyDescent="0.25">
      <c r="A41" s="191"/>
      <c r="B41" s="189"/>
      <c r="C41" s="189"/>
      <c r="D41" s="189"/>
      <c r="E41" s="177"/>
      <c r="F41" s="80"/>
      <c r="H41" s="220" t="s">
        <v>189</v>
      </c>
      <c r="I41" s="220" t="s">
        <v>227</v>
      </c>
      <c r="J41" s="220" t="s">
        <v>190</v>
      </c>
      <c r="K41" s="221">
        <v>45017</v>
      </c>
      <c r="L41" s="222">
        <v>3</v>
      </c>
      <c r="M41" s="223">
        <v>4</v>
      </c>
      <c r="N41" s="221" t="s">
        <v>177</v>
      </c>
      <c r="O41" s="224"/>
      <c r="P41" s="224">
        <v>50623</v>
      </c>
      <c r="Q41" s="224" t="s">
        <v>249</v>
      </c>
      <c r="R41" s="224" t="s">
        <v>254</v>
      </c>
      <c r="S41" s="224" t="s">
        <v>258</v>
      </c>
    </row>
    <row r="42" spans="1:19" ht="15.75" x14ac:dyDescent="0.25">
      <c r="A42" s="191"/>
      <c r="B42" s="189"/>
      <c r="C42" s="192" t="s">
        <v>170</v>
      </c>
      <c r="D42" s="189"/>
      <c r="E42" s="204">
        <f>+D37</f>
        <v>2967.7999999999997</v>
      </c>
      <c r="F42" s="128"/>
      <c r="H42" s="220" t="s">
        <v>228</v>
      </c>
      <c r="I42" s="220" t="s">
        <v>229</v>
      </c>
      <c r="J42" s="220" t="s">
        <v>230</v>
      </c>
      <c r="K42" s="221">
        <v>44440</v>
      </c>
      <c r="L42" s="222">
        <v>5</v>
      </c>
      <c r="M42" s="223">
        <v>4</v>
      </c>
      <c r="N42" s="221" t="s">
        <v>245</v>
      </c>
      <c r="O42" s="224">
        <v>2</v>
      </c>
      <c r="P42" s="224">
        <v>52119</v>
      </c>
      <c r="Q42" s="224" t="s">
        <v>250</v>
      </c>
      <c r="R42" s="224" t="s">
        <v>255</v>
      </c>
      <c r="S42" s="224" t="s">
        <v>259</v>
      </c>
    </row>
    <row r="43" spans="1:19" x14ac:dyDescent="0.25">
      <c r="A43" s="164"/>
      <c r="B43" s="165"/>
      <c r="C43" s="165"/>
      <c r="D43" s="165"/>
      <c r="E43" s="193"/>
      <c r="F43" s="83"/>
      <c r="H43" s="220" t="s">
        <v>231</v>
      </c>
      <c r="I43" s="220" t="s">
        <v>232</v>
      </c>
      <c r="J43" s="220" t="s">
        <v>178</v>
      </c>
      <c r="K43" s="221">
        <v>45019</v>
      </c>
      <c r="L43" s="222">
        <v>4</v>
      </c>
      <c r="M43" s="223">
        <v>0</v>
      </c>
      <c r="N43" s="221" t="s">
        <v>177</v>
      </c>
      <c r="O43" s="224"/>
      <c r="P43" s="224">
        <v>50509</v>
      </c>
      <c r="Q43" s="224" t="s">
        <v>249</v>
      </c>
      <c r="R43" s="224" t="s">
        <v>253</v>
      </c>
      <c r="S43" s="224" t="s">
        <v>258</v>
      </c>
    </row>
    <row r="44" spans="1:19" ht="18" customHeight="1" x14ac:dyDescent="0.25">
      <c r="A44" s="234" t="s">
        <v>171</v>
      </c>
      <c r="B44" s="168"/>
      <c r="C44" s="168"/>
      <c r="D44" s="168"/>
      <c r="E44" s="167"/>
      <c r="F44" s="80"/>
      <c r="H44" s="220" t="s">
        <v>233</v>
      </c>
      <c r="I44" s="220" t="s">
        <v>234</v>
      </c>
      <c r="J44" s="220" t="s">
        <v>235</v>
      </c>
      <c r="K44" s="221">
        <v>44928</v>
      </c>
      <c r="L44" s="222" t="s">
        <v>200</v>
      </c>
      <c r="M44" s="223">
        <v>7</v>
      </c>
      <c r="N44" s="221" t="s">
        <v>177</v>
      </c>
      <c r="O44" s="224"/>
      <c r="P44" s="224">
        <v>40432</v>
      </c>
      <c r="Q44" s="224" t="s">
        <v>249</v>
      </c>
      <c r="R44" s="224" t="s">
        <v>253</v>
      </c>
      <c r="S44" s="224" t="s">
        <v>258</v>
      </c>
    </row>
    <row r="45" spans="1:19" ht="15.75" x14ac:dyDescent="0.25">
      <c r="A45" s="195"/>
      <c r="B45" s="179" t="s">
        <v>172</v>
      </c>
      <c r="C45" s="179" t="s">
        <v>173</v>
      </c>
      <c r="D45" s="179" t="s">
        <v>163</v>
      </c>
      <c r="E45" s="167"/>
      <c r="F45" s="80"/>
      <c r="H45" s="220" t="s">
        <v>236</v>
      </c>
      <c r="I45" s="220" t="s">
        <v>237</v>
      </c>
      <c r="J45" s="220" t="s">
        <v>238</v>
      </c>
      <c r="K45" s="221">
        <v>44928</v>
      </c>
      <c r="L45" s="222" t="s">
        <v>199</v>
      </c>
      <c r="M45" s="223">
        <v>7</v>
      </c>
      <c r="N45" s="221" t="s">
        <v>177</v>
      </c>
      <c r="O45" s="224"/>
      <c r="P45" s="224">
        <v>40405</v>
      </c>
      <c r="Q45" s="224" t="s">
        <v>251</v>
      </c>
      <c r="R45" s="224" t="s">
        <v>256</v>
      </c>
      <c r="S45" s="224" t="s">
        <v>260</v>
      </c>
    </row>
    <row r="46" spans="1:19" x14ac:dyDescent="0.25">
      <c r="A46" s="200" t="s">
        <v>38</v>
      </c>
      <c r="B46" s="205">
        <f>D29-C46-D46+D34+D35+D36</f>
        <v>2967.7999999999997</v>
      </c>
      <c r="C46" s="203">
        <f>+D32</f>
        <v>892.45</v>
      </c>
      <c r="D46" s="203">
        <f>+D30</f>
        <v>141.15</v>
      </c>
      <c r="E46" s="193"/>
      <c r="F46" s="83"/>
      <c r="H46" s="220" t="s">
        <v>239</v>
      </c>
      <c r="I46" s="220" t="s">
        <v>240</v>
      </c>
      <c r="J46" s="220" t="s">
        <v>241</v>
      </c>
      <c r="K46" s="221">
        <v>42644</v>
      </c>
      <c r="L46" s="222">
        <v>2</v>
      </c>
      <c r="M46" s="223">
        <v>5</v>
      </c>
      <c r="N46" s="221" t="s">
        <v>245</v>
      </c>
      <c r="O46" s="224">
        <v>8</v>
      </c>
      <c r="P46" s="224">
        <v>40598</v>
      </c>
      <c r="Q46" s="224" t="s">
        <v>250</v>
      </c>
      <c r="R46" s="224" t="s">
        <v>255</v>
      </c>
      <c r="S46" s="224" t="s">
        <v>259</v>
      </c>
    </row>
    <row r="47" spans="1:19" x14ac:dyDescent="0.25">
      <c r="A47" s="164"/>
      <c r="B47" s="165"/>
      <c r="C47" s="165"/>
      <c r="D47" s="165"/>
      <c r="E47" s="167"/>
      <c r="F47" s="80"/>
    </row>
    <row r="48" spans="1:19" ht="16.5" thickBot="1" x14ac:dyDescent="0.3">
      <c r="A48" s="196"/>
      <c r="B48" s="197"/>
      <c r="C48" s="197"/>
      <c r="D48" s="197"/>
      <c r="E48" s="198"/>
      <c r="F48" s="107"/>
    </row>
    <row r="49" spans="1:6" x14ac:dyDescent="0.25">
      <c r="A49" s="80"/>
      <c r="B49" s="80"/>
      <c r="C49" s="80"/>
      <c r="D49" s="80"/>
      <c r="E49" s="80"/>
      <c r="F49" s="80"/>
    </row>
  </sheetData>
  <mergeCells count="9">
    <mergeCell ref="A2:E2"/>
    <mergeCell ref="L2:M2"/>
    <mergeCell ref="L3:M3"/>
    <mergeCell ref="L4:M4"/>
    <mergeCell ref="L7:M7"/>
    <mergeCell ref="L8:M8"/>
    <mergeCell ref="L9:M9"/>
    <mergeCell ref="L5:M5"/>
    <mergeCell ref="L6:M6"/>
  </mergeCells>
  <conditionalFormatting sqref="O40:P46">
    <cfRule type="expression" dxfId="7" priority="8" stopIfTrue="1">
      <formula>O40="Matricule non attribué"</formula>
    </cfRule>
  </conditionalFormatting>
  <conditionalFormatting sqref="Q40:Q46">
    <cfRule type="expression" dxfId="4" priority="5" stopIfTrue="1">
      <formula>Q40="Matricule non attribué"</formula>
    </cfRule>
  </conditionalFormatting>
  <conditionalFormatting sqref="R40:S46">
    <cfRule type="expression" dxfId="0" priority="1" stopIfTrue="1">
      <formula>R40="Matricule non attribué"</formula>
    </cfRule>
  </conditionalFormatting>
  <dataValidations count="3">
    <dataValidation type="date" allowBlank="1" showInputMessage="1" showErrorMessage="1" sqref="B20 F16 K40:K41 K43:K44" xr:uid="{DB65D5E0-5FC4-48EB-A188-8AAD8FEBA256}">
      <formula1>36526</formula1>
      <formula2>46387</formula2>
    </dataValidation>
    <dataValidation type="list" allowBlank="1" showInputMessage="1" showErrorMessage="1" sqref="B21 F17 N40:N46" xr:uid="{B68AE2BE-271C-45F1-80C4-BA08C4C7453B}">
      <formula1>TypeContrat</formula1>
    </dataValidation>
    <dataValidation type="date" allowBlank="1" showInputMessage="1" showErrorMessage="1" sqref="K42 K45:K46" xr:uid="{C3C4F2D4-9DF8-4410-A26F-06118F37F944}">
      <formula1>36526</formula1>
      <formula2>44196</formula2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4B2A01DD-569B-4572-92E6-0958A844F95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Taux</vt:lpstr>
      <vt:lpstr>Data</vt:lpstr>
      <vt:lpstr>RACAP PAR PROVINCE</vt:lpstr>
      <vt:lpstr>RECAP PAR PROJET</vt:lpstr>
      <vt:lpstr>Bulletin de Paie Cat 4</vt:lpstr>
      <vt:lpstr>Bulletin de Paie Cat 3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AWOYI</dc:creator>
  <cp:lastModifiedBy>Dany katshemba</cp:lastModifiedBy>
  <dcterms:created xsi:type="dcterms:W3CDTF">2023-09-08T14:51:10Z</dcterms:created>
  <dcterms:modified xsi:type="dcterms:W3CDTF">2023-09-15T11:10:30Z</dcterms:modified>
</cp:coreProperties>
</file>