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Finance Department\FINANCE\11 DOF\00 SYSTEMS\ERP NEXT\"/>
    </mc:Choice>
  </mc:AlternateContent>
  <xr:revisionPtr revIDLastSave="0" documentId="13_ncr:1_{198A2897-82AF-4B87-9F35-76822DB58E1D}" xr6:coauthVersionLast="47" xr6:coauthVersionMax="47" xr10:uidLastSave="{00000000-0000-0000-0000-000000000000}"/>
  <bookViews>
    <workbookView xWindow="-120" yWindow="-120" windowWidth="38640" windowHeight="21240" xr2:uid="{E5C1DC53-DAC0-443F-8683-1466246CF961}"/>
  </bookViews>
  <sheets>
    <sheet name="PROVISION VACANCES ET TICKETS" sheetId="1" r:id="rId1"/>
    <sheet name="PROV.13E MOIS ET BONUS" sheetId="2" r:id="rId2"/>
    <sheet name="JV PROVISIONS" sheetId="3" r:id="rId3"/>
  </sheets>
  <externalReferences>
    <externalReference r:id="rId4"/>
  </externalReferences>
  <definedNames>
    <definedName name="_xlnm._FilterDatabase" localSheetId="2" hidden="1">'JV PROVISIONS'!$B$4:$U$99</definedName>
    <definedName name="_xlnm._FilterDatabase" localSheetId="0" hidden="1">'PROVISION VACANCES ET TICKETS'!$A$7:$CH$42</definedName>
    <definedName name="BG" localSheetId="2">#REF!</definedName>
    <definedName name="BG">#REF!</definedName>
    <definedName name="csDesignMode">1</definedName>
    <definedName name="DATA" localSheetId="2">#REF!</definedName>
    <definedName name="DATA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'JV PROVISIONS'!$B$2:$V$106</definedName>
    <definedName name="_xlnm.Print_Area" localSheetId="1">'PROV.13E MOIS ET BONUS'!$A$1:$BQ$57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27" i="1" l="1"/>
  <c r="CB27" i="1" s="1"/>
  <c r="BV26" i="1"/>
  <c r="CF26" i="1" s="1"/>
  <c r="BV25" i="1"/>
  <c r="CB25" i="1" s="1"/>
  <c r="BV24" i="1"/>
  <c r="BV23" i="1"/>
  <c r="CF23" i="1" s="1"/>
  <c r="BV22" i="1"/>
  <c r="BV21" i="1"/>
  <c r="BV20" i="1"/>
  <c r="CE20" i="1" s="1"/>
  <c r="BV19" i="1"/>
  <c r="BW19" i="1" s="1"/>
  <c r="BV18" i="1"/>
  <c r="CB18" i="1" s="1"/>
  <c r="BV16" i="1"/>
  <c r="BV15" i="1"/>
  <c r="CE15" i="1" s="1"/>
  <c r="BV14" i="1"/>
  <c r="BV13" i="1"/>
  <c r="BV12" i="1"/>
  <c r="CA12" i="1" s="1"/>
  <c r="BV11" i="1"/>
  <c r="CE11" i="1" s="1"/>
  <c r="BV10" i="1"/>
  <c r="CE10" i="1" s="1"/>
  <c r="BV9" i="1"/>
  <c r="CA23" i="1"/>
  <c r="CG21" i="1"/>
  <c r="CC13" i="1"/>
  <c r="BZ12" i="1"/>
  <c r="E34" i="1"/>
  <c r="BL34" i="1" s="1"/>
  <c r="E33" i="1"/>
  <c r="E32" i="1"/>
  <c r="E31" i="1"/>
  <c r="E30" i="1"/>
  <c r="E27" i="1"/>
  <c r="E26" i="1"/>
  <c r="E25" i="1"/>
  <c r="E24" i="1"/>
  <c r="BN24" i="1" s="1"/>
  <c r="E23" i="1"/>
  <c r="BL23" i="1" s="1"/>
  <c r="E22" i="1"/>
  <c r="E21" i="1"/>
  <c r="E20" i="1"/>
  <c r="E19" i="1"/>
  <c r="E18" i="1"/>
  <c r="E17" i="1"/>
  <c r="E16" i="1"/>
  <c r="BK16" i="1" s="1"/>
  <c r="E15" i="1"/>
  <c r="BP15" i="1" s="1"/>
  <c r="E14" i="1"/>
  <c r="BN14" i="1" s="1"/>
  <c r="E13" i="1"/>
  <c r="E12" i="1"/>
  <c r="E11" i="1"/>
  <c r="E10" i="1"/>
  <c r="E9" i="1"/>
  <c r="E8" i="1"/>
  <c r="I48" i="2"/>
  <c r="I36" i="2"/>
  <c r="I37" i="2" s="1"/>
  <c r="I35" i="2"/>
  <c r="K35" i="2"/>
  <c r="I34" i="2"/>
  <c r="I28" i="2"/>
  <c r="I31" i="2" s="1"/>
  <c r="I27" i="2"/>
  <c r="I26" i="2"/>
  <c r="I11" i="2"/>
  <c r="I12" i="2" s="1"/>
  <c r="I10" i="2"/>
  <c r="T95" i="3"/>
  <c r="I95" i="3" s="1"/>
  <c r="T94" i="3"/>
  <c r="I94" i="3" s="1"/>
  <c r="T90" i="3"/>
  <c r="I90" i="3" s="1"/>
  <c r="T86" i="3"/>
  <c r="I86" i="3" s="1"/>
  <c r="J86" i="3" s="1"/>
  <c r="T85" i="3"/>
  <c r="I85" i="3" s="1"/>
  <c r="T83" i="3"/>
  <c r="I83" i="3" s="1"/>
  <c r="J83" i="3" s="1"/>
  <c r="T82" i="3"/>
  <c r="I82" i="3" s="1"/>
  <c r="J82" i="3" s="1"/>
  <c r="K82" i="3" s="1"/>
  <c r="T81" i="3"/>
  <c r="I81" i="3" s="1"/>
  <c r="T79" i="3"/>
  <c r="I79" i="3" s="1"/>
  <c r="T78" i="3"/>
  <c r="I78" i="3" s="1"/>
  <c r="E78" i="3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T76" i="3"/>
  <c r="P76" i="3"/>
  <c r="G76" i="3"/>
  <c r="G77" i="3" s="1"/>
  <c r="G78" i="3" s="1"/>
  <c r="P78" i="3" s="1"/>
  <c r="T71" i="3"/>
  <c r="I71" i="3" s="1"/>
  <c r="J71" i="3" s="1"/>
  <c r="T70" i="3"/>
  <c r="I70" i="3" s="1"/>
  <c r="T66" i="3"/>
  <c r="I66" i="3" s="1"/>
  <c r="T62" i="3"/>
  <c r="I62" i="3" s="1"/>
  <c r="T61" i="3"/>
  <c r="I61" i="3" s="1"/>
  <c r="T59" i="3"/>
  <c r="I59" i="3" s="1"/>
  <c r="J59" i="3" s="1"/>
  <c r="K59" i="3" s="1"/>
  <c r="T58" i="3"/>
  <c r="I58" i="3" s="1"/>
  <c r="G55" i="3"/>
  <c r="P55" i="3" s="1"/>
  <c r="E55" i="3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G54" i="3"/>
  <c r="P54" i="3" s="1"/>
  <c r="T53" i="3"/>
  <c r="I53" i="3" s="1"/>
  <c r="J53" i="3" s="1"/>
  <c r="K53" i="3" s="1"/>
  <c r="P53" i="3"/>
  <c r="G53" i="3"/>
  <c r="T48" i="3"/>
  <c r="I48" i="3" s="1"/>
  <c r="T47" i="3"/>
  <c r="I47" i="3" s="1"/>
  <c r="T44" i="3"/>
  <c r="I44" i="3" s="1"/>
  <c r="T43" i="3"/>
  <c r="I43" i="3" s="1"/>
  <c r="T39" i="3"/>
  <c r="I39" i="3" s="1"/>
  <c r="T38" i="3"/>
  <c r="I38" i="3" s="1"/>
  <c r="T36" i="3"/>
  <c r="I36" i="3" s="1"/>
  <c r="T35" i="3"/>
  <c r="I35" i="3" s="1"/>
  <c r="T33" i="3"/>
  <c r="I33" i="3" s="1"/>
  <c r="J33" i="3" s="1"/>
  <c r="K33" i="3" s="1"/>
  <c r="T32" i="3"/>
  <c r="I32" i="3" s="1"/>
  <c r="E32" i="3"/>
  <c r="G31" i="3"/>
  <c r="E31" i="3"/>
  <c r="E30" i="3"/>
  <c r="T29" i="3"/>
  <c r="I29" i="3" s="1"/>
  <c r="P29" i="3"/>
  <c r="G29" i="3"/>
  <c r="G30" i="3" s="1"/>
  <c r="P30" i="3" s="1"/>
  <c r="T24" i="3"/>
  <c r="I24" i="3" s="1"/>
  <c r="T23" i="3"/>
  <c r="I23" i="3" s="1"/>
  <c r="T19" i="3"/>
  <c r="I19" i="3" s="1"/>
  <c r="T15" i="3"/>
  <c r="I15" i="3" s="1"/>
  <c r="T14" i="3"/>
  <c r="I14" i="3" s="1"/>
  <c r="T12" i="3"/>
  <c r="I12" i="3" s="1"/>
  <c r="J12" i="3" s="1"/>
  <c r="K12" i="3" s="1"/>
  <c r="T11" i="3"/>
  <c r="I11" i="3" s="1"/>
  <c r="T10" i="3"/>
  <c r="I10" i="3" s="1"/>
  <c r="T8" i="3"/>
  <c r="I8" i="3" s="1"/>
  <c r="D7" i="3"/>
  <c r="D9" i="3" s="1"/>
  <c r="D11" i="3" s="1"/>
  <c r="D13" i="3" s="1"/>
  <c r="D15" i="3" s="1"/>
  <c r="D17" i="3" s="1"/>
  <c r="D19" i="3" s="1"/>
  <c r="D21" i="3" s="1"/>
  <c r="D23" i="3" s="1"/>
  <c r="D25" i="3" s="1"/>
  <c r="D28" i="3" s="1"/>
  <c r="D30" i="3" s="1"/>
  <c r="D32" i="3" s="1"/>
  <c r="D34" i="3" s="1"/>
  <c r="D36" i="3" s="1"/>
  <c r="D38" i="3" s="1"/>
  <c r="D40" i="3" s="1"/>
  <c r="D42" i="3" s="1"/>
  <c r="D44" i="3" s="1"/>
  <c r="D46" i="3" s="1"/>
  <c r="D48" i="3" s="1"/>
  <c r="D6" i="3"/>
  <c r="D8" i="3" s="1"/>
  <c r="D10" i="3" s="1"/>
  <c r="D12" i="3" s="1"/>
  <c r="D14" i="3" s="1"/>
  <c r="D16" i="3" s="1"/>
  <c r="D18" i="3" s="1"/>
  <c r="D20" i="3" s="1"/>
  <c r="D22" i="3" s="1"/>
  <c r="D24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T5" i="3"/>
  <c r="I5" i="3" s="1"/>
  <c r="P5" i="3"/>
  <c r="G5" i="3"/>
  <c r="G7" i="3" s="1"/>
  <c r="AN57" i="2"/>
  <c r="BQ53" i="2"/>
  <c r="BQ52" i="2"/>
  <c r="BQ51" i="2"/>
  <c r="BP49" i="2"/>
  <c r="BO49" i="2"/>
  <c r="BN49" i="2"/>
  <c r="BM49" i="2"/>
  <c r="BL49" i="2"/>
  <c r="BK49" i="2"/>
  <c r="BJ49" i="2"/>
  <c r="BI49" i="2"/>
  <c r="BH49" i="2"/>
  <c r="BG49" i="2"/>
  <c r="BD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V49" i="2"/>
  <c r="BA48" i="2"/>
  <c r="W48" i="2"/>
  <c r="R48" i="2"/>
  <c r="O48" i="2" s="1"/>
  <c r="Q48" i="2" s="1"/>
  <c r="P48" i="2"/>
  <c r="H48" i="2"/>
  <c r="A48" i="2"/>
  <c r="BA47" i="2"/>
  <c r="BA49" i="2" s="1"/>
  <c r="R47" i="2"/>
  <c r="O47" i="2" s="1"/>
  <c r="Q47" i="2" s="1"/>
  <c r="P47" i="2"/>
  <c r="H47" i="2"/>
  <c r="A47" i="2"/>
  <c r="BD40" i="2"/>
  <c r="AN40" i="2"/>
  <c r="J40" i="2"/>
  <c r="W39" i="2"/>
  <c r="P39" i="2"/>
  <c r="H39" i="2"/>
  <c r="O39" i="2" s="1"/>
  <c r="Q39" i="2" s="1"/>
  <c r="W38" i="2"/>
  <c r="R38" i="2"/>
  <c r="O38" i="2" s="1"/>
  <c r="Q38" i="2" s="1"/>
  <c r="P38" i="2"/>
  <c r="H38" i="2"/>
  <c r="W37" i="2"/>
  <c r="P37" i="2"/>
  <c r="H37" i="2"/>
  <c r="O37" i="2" s="1"/>
  <c r="W36" i="2"/>
  <c r="R36" i="2"/>
  <c r="P36" i="2"/>
  <c r="H36" i="2"/>
  <c r="R35" i="2"/>
  <c r="P35" i="2"/>
  <c r="H35" i="2"/>
  <c r="W34" i="2"/>
  <c r="R34" i="2"/>
  <c r="O34" i="2" s="1"/>
  <c r="Q34" i="2" s="1"/>
  <c r="P34" i="2"/>
  <c r="K34" i="2"/>
  <c r="H34" i="2"/>
  <c r="BR33" i="2"/>
  <c r="BD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J31" i="2"/>
  <c r="BQ30" i="2"/>
  <c r="BA30" i="2"/>
  <c r="AL30" i="2"/>
  <c r="W30" i="2"/>
  <c r="R30" i="2"/>
  <c r="Q30" i="2"/>
  <c r="U30" i="2" s="1"/>
  <c r="P30" i="2"/>
  <c r="K30" i="2"/>
  <c r="H30" i="2"/>
  <c r="O30" i="2" s="1"/>
  <c r="BQ29" i="2"/>
  <c r="BR29" i="2" s="1"/>
  <c r="BA29" i="2"/>
  <c r="AL29" i="2"/>
  <c r="AL31" i="2" s="1"/>
  <c r="R29" i="2"/>
  <c r="P29" i="2"/>
  <c r="O29" i="2"/>
  <c r="Q29" i="2" s="1"/>
  <c r="U29" i="2" s="1"/>
  <c r="W29" i="2" s="1"/>
  <c r="K29" i="2"/>
  <c r="H29" i="2"/>
  <c r="BA28" i="2"/>
  <c r="AL28" i="2"/>
  <c r="R28" i="2"/>
  <c r="P28" i="2"/>
  <c r="H28" i="2"/>
  <c r="BA27" i="2"/>
  <c r="AL27" i="2"/>
  <c r="R27" i="2"/>
  <c r="O27" i="2" s="1"/>
  <c r="Q27" i="2" s="1"/>
  <c r="U27" i="2" s="1"/>
  <c r="W27" i="2" s="1"/>
  <c r="BN27" i="2" s="1"/>
  <c r="P27" i="2"/>
  <c r="H27" i="2"/>
  <c r="BA26" i="2"/>
  <c r="AL26" i="2"/>
  <c r="R26" i="2"/>
  <c r="P26" i="2"/>
  <c r="K26" i="2"/>
  <c r="H26" i="2"/>
  <c r="BR25" i="2"/>
  <c r="BR24" i="2"/>
  <c r="BD23" i="2"/>
  <c r="BD42" i="2" s="1"/>
  <c r="BD50" i="2" s="1"/>
  <c r="BD55" i="2" s="1"/>
  <c r="AN23" i="2"/>
  <c r="AN42" i="2" s="1"/>
  <c r="AN50" i="2" s="1"/>
  <c r="W22" i="2"/>
  <c r="Q22" i="2"/>
  <c r="P22" i="2"/>
  <c r="O22" i="2"/>
  <c r="H22" i="2"/>
  <c r="P21" i="2"/>
  <c r="H21" i="2"/>
  <c r="O21" i="2" s="1"/>
  <c r="Q21" i="2" s="1"/>
  <c r="P20" i="2"/>
  <c r="H20" i="2"/>
  <c r="O20" i="2" s="1"/>
  <c r="R19" i="2"/>
  <c r="P19" i="2"/>
  <c r="H19" i="2"/>
  <c r="W18" i="2"/>
  <c r="P18" i="2"/>
  <c r="O18" i="2"/>
  <c r="Q18" i="2" s="1"/>
  <c r="H18" i="2"/>
  <c r="W17" i="2"/>
  <c r="R17" i="2"/>
  <c r="O17" i="2" s="1"/>
  <c r="Q17" i="2" s="1"/>
  <c r="P17" i="2"/>
  <c r="H17" i="2"/>
  <c r="W16" i="2"/>
  <c r="R16" i="2"/>
  <c r="O16" i="2" s="1"/>
  <c r="Q16" i="2" s="1"/>
  <c r="P16" i="2"/>
  <c r="H16" i="2"/>
  <c r="R15" i="2"/>
  <c r="P15" i="2"/>
  <c r="H15" i="2"/>
  <c r="R14" i="2"/>
  <c r="P14" i="2"/>
  <c r="H14" i="2"/>
  <c r="O14" i="2" s="1"/>
  <c r="Q14" i="2" s="1"/>
  <c r="W13" i="2"/>
  <c r="R13" i="2"/>
  <c r="O13" i="2" s="1"/>
  <c r="Q13" i="2" s="1"/>
  <c r="P13" i="2"/>
  <c r="H13" i="2"/>
  <c r="P12" i="2"/>
  <c r="H12" i="2"/>
  <c r="O12" i="2" s="1"/>
  <c r="Q12" i="2" s="1"/>
  <c r="R11" i="2"/>
  <c r="P11" i="2"/>
  <c r="O11" i="2"/>
  <c r="Q11" i="2" s="1"/>
  <c r="U11" i="2" s="1"/>
  <c r="W11" i="2" s="1"/>
  <c r="K11" i="2"/>
  <c r="H11" i="2"/>
  <c r="W10" i="2"/>
  <c r="R10" i="2"/>
  <c r="P10" i="2"/>
  <c r="O10" i="2"/>
  <c r="Q10" i="2" s="1"/>
  <c r="K10" i="2"/>
  <c r="H10" i="2"/>
  <c r="BO9" i="2"/>
  <c r="BG9" i="2"/>
  <c r="R9" i="2"/>
  <c r="P9" i="2"/>
  <c r="O9" i="2"/>
  <c r="Q9" i="2" s="1"/>
  <c r="U9" i="2" s="1"/>
  <c r="H9" i="2"/>
  <c r="O7" i="2"/>
  <c r="N6" i="2" s="1"/>
  <c r="BQ5" i="2"/>
  <c r="BP5" i="2"/>
  <c r="BO5" i="2"/>
  <c r="BN5" i="2"/>
  <c r="BM5" i="2"/>
  <c r="BL5" i="2"/>
  <c r="BK5" i="2"/>
  <c r="BJ5" i="2"/>
  <c r="BJ11" i="2" s="1"/>
  <c r="BI5" i="2"/>
  <c r="BH5" i="2"/>
  <c r="BG5" i="2"/>
  <c r="BF5" i="2"/>
  <c r="BF36" i="2" s="1"/>
  <c r="T74" i="3" s="1"/>
  <c r="I74" i="3" s="1"/>
  <c r="BE5" i="2"/>
  <c r="BE9" i="2" s="1"/>
  <c r="AB5" i="2"/>
  <c r="AA5" i="2"/>
  <c r="AP4" i="2"/>
  <c r="AO4" i="2"/>
  <c r="AA4" i="2"/>
  <c r="AB4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U2" i="2" s="1"/>
  <c r="T2" i="2" s="1"/>
  <c r="W2" i="2" s="1"/>
  <c r="X2" i="2" s="1"/>
  <c r="AR39" i="1"/>
  <c r="BU37" i="1"/>
  <c r="BU39" i="1" s="1"/>
  <c r="AN37" i="1"/>
  <c r="AM37" i="1"/>
  <c r="AL37" i="1"/>
  <c r="AK37" i="1"/>
  <c r="AJ37" i="1"/>
  <c r="AI37" i="1"/>
  <c r="AH37" i="1"/>
  <c r="AG37" i="1"/>
  <c r="AF37" i="1"/>
  <c r="AE37" i="1"/>
  <c r="AD37" i="1"/>
  <c r="AC37" i="1"/>
  <c r="M37" i="1"/>
  <c r="BW34" i="1"/>
  <c r="CH34" i="1" s="1"/>
  <c r="BQ34" i="1"/>
  <c r="BM34" i="1"/>
  <c r="BI34" i="1"/>
  <c r="BD34" i="1"/>
  <c r="AZ34" i="1"/>
  <c r="AV34" i="1"/>
  <c r="AB34" i="1"/>
  <c r="N34" i="1"/>
  <c r="K34" i="1"/>
  <c r="L34" i="1" s="1"/>
  <c r="H34" i="1"/>
  <c r="CH33" i="1"/>
  <c r="BW33" i="1"/>
  <c r="T91" i="3" s="1"/>
  <c r="J91" i="3" s="1"/>
  <c r="K91" i="3" s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D33" i="1"/>
  <c r="BC33" i="1"/>
  <c r="BB33" i="1"/>
  <c r="BA33" i="1"/>
  <c r="AZ33" i="1"/>
  <c r="AY33" i="1"/>
  <c r="AX33" i="1"/>
  <c r="AW33" i="1"/>
  <c r="AV33" i="1"/>
  <c r="AU33" i="1"/>
  <c r="AT33" i="1"/>
  <c r="T20" i="3" s="1"/>
  <c r="I20" i="3" s="1"/>
  <c r="AS33" i="1"/>
  <c r="AB33" i="1"/>
  <c r="N33" i="1"/>
  <c r="L33" i="1"/>
  <c r="K33" i="1"/>
  <c r="H33" i="1"/>
  <c r="BW32" i="1"/>
  <c r="CH32" i="1" s="1"/>
  <c r="BQ32" i="1"/>
  <c r="BP32" i="1"/>
  <c r="BO32" i="1"/>
  <c r="BN32" i="1"/>
  <c r="BM32" i="1"/>
  <c r="BJ32" i="1"/>
  <c r="BI32" i="1"/>
  <c r="BH32" i="1"/>
  <c r="BG32" i="1"/>
  <c r="BF32" i="1"/>
  <c r="BE32" i="1" s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B32" i="1"/>
  <c r="N32" i="1"/>
  <c r="AO32" i="1" s="1"/>
  <c r="L32" i="1"/>
  <c r="K32" i="1"/>
  <c r="H32" i="1"/>
  <c r="CH31" i="1"/>
  <c r="BW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AB31" i="1"/>
  <c r="Z31" i="1"/>
  <c r="BD31" i="1" s="1"/>
  <c r="R31" i="1"/>
  <c r="AV31" i="1" s="1"/>
  <c r="K31" i="1"/>
  <c r="Y31" i="1" s="1"/>
  <c r="BC31" i="1" s="1"/>
  <c r="H31" i="1"/>
  <c r="BW30" i="1"/>
  <c r="CH30" i="1" s="1"/>
  <c r="BQ30" i="1"/>
  <c r="BP30" i="1"/>
  <c r="BO30" i="1"/>
  <c r="BN30" i="1"/>
  <c r="BM30" i="1"/>
  <c r="BL30" i="1"/>
  <c r="BK30" i="1"/>
  <c r="BJ30" i="1"/>
  <c r="BI30" i="1"/>
  <c r="BH30" i="1"/>
  <c r="BG30" i="1"/>
  <c r="BF30" i="1"/>
  <c r="AB30" i="1"/>
  <c r="W30" i="1"/>
  <c r="BA30" i="1" s="1"/>
  <c r="P30" i="1"/>
  <c r="AT30" i="1" s="1"/>
  <c r="L30" i="1"/>
  <c r="K30" i="1"/>
  <c r="H30" i="1"/>
  <c r="V30" i="1" s="1"/>
  <c r="AZ30" i="1" s="1"/>
  <c r="BQ27" i="1"/>
  <c r="BP27" i="1"/>
  <c r="BO27" i="1"/>
  <c r="BN27" i="1"/>
  <c r="BM27" i="1"/>
  <c r="BL27" i="1"/>
  <c r="BK27" i="1"/>
  <c r="BJ27" i="1"/>
  <c r="BI27" i="1"/>
  <c r="BH27" i="1"/>
  <c r="BG27" i="1"/>
  <c r="BF27" i="1"/>
  <c r="AB27" i="1"/>
  <c r="K27" i="1"/>
  <c r="H27" i="1"/>
  <c r="CG26" i="1"/>
  <c r="CA26" i="1"/>
  <c r="BZ26" i="1"/>
  <c r="BY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AB26" i="1"/>
  <c r="K26" i="1"/>
  <c r="V26" i="1" s="1"/>
  <c r="H26" i="1"/>
  <c r="CE25" i="1"/>
  <c r="CD25" i="1"/>
  <c r="CC25" i="1"/>
  <c r="CA25" i="1"/>
  <c r="BW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AB25" i="1"/>
  <c r="T25" i="1"/>
  <c r="K25" i="1"/>
  <c r="H25" i="1"/>
  <c r="CG24" i="1"/>
  <c r="CF24" i="1"/>
  <c r="CE24" i="1"/>
  <c r="CD24" i="1"/>
  <c r="CC24" i="1"/>
  <c r="CB24" i="1"/>
  <c r="CA24" i="1"/>
  <c r="BZ24" i="1"/>
  <c r="BY24" i="1"/>
  <c r="BX24" i="1"/>
  <c r="BW24" i="1"/>
  <c r="T89" i="3" s="1"/>
  <c r="I89" i="3" s="1"/>
  <c r="BO24" i="1"/>
  <c r="BK24" i="1"/>
  <c r="BG24" i="1"/>
  <c r="AB24" i="1"/>
  <c r="Z24" i="1"/>
  <c r="V24" i="1"/>
  <c r="R24" i="1"/>
  <c r="O24" i="1"/>
  <c r="K24" i="1"/>
  <c r="U24" i="1" s="1"/>
  <c r="H24" i="1"/>
  <c r="CD23" i="1"/>
  <c r="CC23" i="1"/>
  <c r="CB23" i="1"/>
  <c r="BX23" i="1"/>
  <c r="BP23" i="1"/>
  <c r="BO23" i="1"/>
  <c r="BH23" i="1"/>
  <c r="BG23" i="1"/>
  <c r="AB23" i="1"/>
  <c r="Z23" i="1"/>
  <c r="T23" i="1"/>
  <c r="K23" i="1"/>
  <c r="H23" i="1"/>
  <c r="CG22" i="1"/>
  <c r="CF22" i="1"/>
  <c r="CE22" i="1"/>
  <c r="CD22" i="1"/>
  <c r="CC22" i="1"/>
  <c r="CB22" i="1"/>
  <c r="CA22" i="1"/>
  <c r="BZ22" i="1"/>
  <c r="BY22" i="1"/>
  <c r="BX22" i="1"/>
  <c r="BW22" i="1"/>
  <c r="AB22" i="1"/>
  <c r="Z22" i="1"/>
  <c r="W22" i="1"/>
  <c r="V22" i="1"/>
  <c r="P22" i="1"/>
  <c r="O22" i="1"/>
  <c r="K22" i="1"/>
  <c r="H22" i="1"/>
  <c r="S22" i="1" s="1"/>
  <c r="CD21" i="1"/>
  <c r="CB21" i="1"/>
  <c r="CA21" i="1"/>
  <c r="BZ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AB21" i="1"/>
  <c r="Z21" i="1"/>
  <c r="BD21" i="1" s="1"/>
  <c r="K21" i="1"/>
  <c r="H21" i="1"/>
  <c r="BW20" i="1"/>
  <c r="BL20" i="1"/>
  <c r="AB20" i="1"/>
  <c r="K20" i="1"/>
  <c r="U20" i="1" s="1"/>
  <c r="H20" i="1"/>
  <c r="CA19" i="1"/>
  <c r="AB19" i="1"/>
  <c r="K19" i="1"/>
  <c r="V19" i="1" s="1"/>
  <c r="H19" i="1"/>
  <c r="CE18" i="1"/>
  <c r="CD18" i="1"/>
  <c r="CC18" i="1"/>
  <c r="CA18" i="1"/>
  <c r="BW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AB18" i="1"/>
  <c r="W18" i="1"/>
  <c r="BA18" i="1" s="1"/>
  <c r="K18" i="1"/>
  <c r="H18" i="1"/>
  <c r="V18" i="1" s="1"/>
  <c r="AZ18" i="1" s="1"/>
  <c r="BT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AB17" i="1"/>
  <c r="K17" i="1"/>
  <c r="H17" i="1"/>
  <c r="T17" i="1" s="1"/>
  <c r="AX17" i="1" s="1"/>
  <c r="CG16" i="1"/>
  <c r="CF16" i="1"/>
  <c r="CE16" i="1"/>
  <c r="CD16" i="1"/>
  <c r="CC16" i="1"/>
  <c r="CB16" i="1"/>
  <c r="CA16" i="1"/>
  <c r="BZ16" i="1"/>
  <c r="BY16" i="1"/>
  <c r="BX16" i="1"/>
  <c r="BW16" i="1"/>
  <c r="BQ16" i="1"/>
  <c r="BM16" i="1"/>
  <c r="BL16" i="1"/>
  <c r="BI16" i="1"/>
  <c r="BD16" i="1"/>
  <c r="AB16" i="1"/>
  <c r="Z16" i="1"/>
  <c r="X16" i="1"/>
  <c r="W16" i="1"/>
  <c r="S16" i="1"/>
  <c r="AW16" i="1" s="1"/>
  <c r="Q16" i="1"/>
  <c r="P16" i="1"/>
  <c r="AT16" i="1" s="1"/>
  <c r="O16" i="1"/>
  <c r="AS16" i="1" s="1"/>
  <c r="K16" i="1"/>
  <c r="H16" i="1"/>
  <c r="CF15" i="1"/>
  <c r="BZ15" i="1"/>
  <c r="BX15" i="1"/>
  <c r="BW15" i="1"/>
  <c r="BL15" i="1"/>
  <c r="BK15" i="1"/>
  <c r="AB15" i="1"/>
  <c r="L15" i="1"/>
  <c r="K15" i="1"/>
  <c r="V15" i="1" s="1"/>
  <c r="H15" i="1"/>
  <c r="CG14" i="1"/>
  <c r="CF14" i="1"/>
  <c r="CE14" i="1"/>
  <c r="CD14" i="1"/>
  <c r="CC14" i="1"/>
  <c r="CB14" i="1"/>
  <c r="CA14" i="1"/>
  <c r="BZ14" i="1"/>
  <c r="BY14" i="1"/>
  <c r="BX14" i="1"/>
  <c r="BW14" i="1"/>
  <c r="T93" i="3" s="1"/>
  <c r="I93" i="3" s="1"/>
  <c r="K93" i="3" s="1"/>
  <c r="BQ14" i="1"/>
  <c r="BI14" i="1"/>
  <c r="AB14" i="1"/>
  <c r="W14" i="1"/>
  <c r="S14" i="1"/>
  <c r="R14" i="1"/>
  <c r="Q14" i="1"/>
  <c r="K14" i="1"/>
  <c r="T14" i="1" s="1"/>
  <c r="H14" i="1"/>
  <c r="Z14" i="1" s="1"/>
  <c r="CF13" i="1"/>
  <c r="CE13" i="1"/>
  <c r="CD13" i="1"/>
  <c r="BZ13" i="1"/>
  <c r="BX13" i="1"/>
  <c r="BW13" i="1"/>
  <c r="T87" i="3" s="1"/>
  <c r="I87" i="3" s="1"/>
  <c r="K87" i="3" s="1"/>
  <c r="BQ13" i="1"/>
  <c r="BP13" i="1"/>
  <c r="BO13" i="1"/>
  <c r="BN13" i="1"/>
  <c r="BM13" i="1"/>
  <c r="BL13" i="1"/>
  <c r="BK13" i="1"/>
  <c r="BJ13" i="1"/>
  <c r="BI13" i="1"/>
  <c r="BH13" i="1"/>
  <c r="BG13" i="1"/>
  <c r="BF13" i="1"/>
  <c r="AB13" i="1"/>
  <c r="K13" i="1"/>
  <c r="T13" i="1" s="1"/>
  <c r="H13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AS12" i="1"/>
  <c r="AB12" i="1"/>
  <c r="T12" i="1"/>
  <c r="S12" i="1"/>
  <c r="Q12" i="1"/>
  <c r="P12" i="1"/>
  <c r="O12" i="1"/>
  <c r="K12" i="1"/>
  <c r="R12" i="1" s="1"/>
  <c r="H12" i="1"/>
  <c r="W12" i="1" s="1"/>
  <c r="BA12" i="1" s="1"/>
  <c r="CG11" i="1"/>
  <c r="CB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AB11" i="1"/>
  <c r="K11" i="1"/>
  <c r="U11" i="1" s="1"/>
  <c r="H11" i="1"/>
  <c r="CG10" i="1"/>
  <c r="CF10" i="1"/>
  <c r="CD10" i="1"/>
  <c r="BZ10" i="1"/>
  <c r="BY10" i="1"/>
  <c r="BX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AB10" i="1"/>
  <c r="Q10" i="1"/>
  <c r="K10" i="1"/>
  <c r="Y10" i="1" s="1"/>
  <c r="H10" i="1"/>
  <c r="P10" i="1" s="1"/>
  <c r="CG9" i="1"/>
  <c r="CD9" i="1"/>
  <c r="CC9" i="1"/>
  <c r="BQ9" i="1"/>
  <c r="BP9" i="1"/>
  <c r="BO9" i="1"/>
  <c r="BN9" i="1"/>
  <c r="BM9" i="1"/>
  <c r="BL9" i="1"/>
  <c r="BK9" i="1"/>
  <c r="BJ9" i="1"/>
  <c r="BI9" i="1"/>
  <c r="BH9" i="1"/>
  <c r="BG9" i="1"/>
  <c r="BF9" i="1"/>
  <c r="AB9" i="1"/>
  <c r="Y9" i="1"/>
  <c r="T9" i="1"/>
  <c r="AE14" i="2" s="1"/>
  <c r="L9" i="1"/>
  <c r="K9" i="1"/>
  <c r="X9" i="1" s="1"/>
  <c r="H9" i="1"/>
  <c r="CH8" i="1"/>
  <c r="BQ8" i="1"/>
  <c r="AB8" i="1"/>
  <c r="K8" i="1"/>
  <c r="U8" i="1" s="1"/>
  <c r="H8" i="1"/>
  <c r="CG6" i="1"/>
  <c r="CF6" i="1"/>
  <c r="CE6" i="1"/>
  <c r="CD6" i="1"/>
  <c r="CC6" i="1"/>
  <c r="CB6" i="1"/>
  <c r="CA6" i="1"/>
  <c r="BZ6" i="1"/>
  <c r="BY6" i="1"/>
  <c r="BX6" i="1"/>
  <c r="BW6" i="1"/>
  <c r="BV6" i="1"/>
  <c r="BQ6" i="1"/>
  <c r="BP6" i="1"/>
  <c r="BO6" i="1"/>
  <c r="BN6" i="1"/>
  <c r="BM6" i="1"/>
  <c r="BL6" i="1"/>
  <c r="BK6" i="1"/>
  <c r="BJ6" i="1"/>
  <c r="BI6" i="1"/>
  <c r="BH6" i="1"/>
  <c r="BG6" i="1"/>
  <c r="BF6" i="1"/>
  <c r="BD6" i="1"/>
  <c r="BC6" i="1"/>
  <c r="BB6" i="1"/>
  <c r="BA6" i="1"/>
  <c r="AZ6" i="1"/>
  <c r="AY6" i="1"/>
  <c r="AX6" i="1"/>
  <c r="AW6" i="1"/>
  <c r="AV6" i="1"/>
  <c r="AU6" i="1"/>
  <c r="AT6" i="1"/>
  <c r="AS6" i="1"/>
  <c r="AN6" i="1"/>
  <c r="AM6" i="1"/>
  <c r="AL6" i="1"/>
  <c r="AK6" i="1"/>
  <c r="AJ6" i="1"/>
  <c r="AI6" i="1"/>
  <c r="AH6" i="1"/>
  <c r="AG6" i="1"/>
  <c r="AF6" i="1"/>
  <c r="AE6" i="1"/>
  <c r="AD6" i="1"/>
  <c r="AC6" i="1"/>
  <c r="CG5" i="1"/>
  <c r="CF5" i="1"/>
  <c r="CE5" i="1"/>
  <c r="CD5" i="1"/>
  <c r="CC5" i="1"/>
  <c r="CB5" i="1"/>
  <c r="CA5" i="1"/>
  <c r="BZ5" i="1"/>
  <c r="BY5" i="1"/>
  <c r="BX5" i="1"/>
  <c r="BW5" i="1"/>
  <c r="BV5" i="1"/>
  <c r="BQ5" i="1"/>
  <c r="BQ20" i="1" s="1"/>
  <c r="BP5" i="1"/>
  <c r="BP19" i="1" s="1"/>
  <c r="BO5" i="1"/>
  <c r="BO19" i="1" s="1"/>
  <c r="BN5" i="1"/>
  <c r="BN22" i="1" s="1"/>
  <c r="BM5" i="1"/>
  <c r="BM8" i="1" s="1"/>
  <c r="BL5" i="1"/>
  <c r="BL19" i="1" s="1"/>
  <c r="BK5" i="1"/>
  <c r="BK4" i="1" s="1"/>
  <c r="BJ5" i="1"/>
  <c r="BI5" i="1"/>
  <c r="BI20" i="1" s="1"/>
  <c r="BH5" i="1"/>
  <c r="BH4" i="1" s="1"/>
  <c r="BG5" i="1"/>
  <c r="BG4" i="1" s="1"/>
  <c r="BF5" i="1"/>
  <c r="BF22" i="1" s="1"/>
  <c r="BD5" i="1"/>
  <c r="BC5" i="1"/>
  <c r="BB5" i="1"/>
  <c r="BA5" i="1"/>
  <c r="AZ5" i="1"/>
  <c r="AZ4" i="1" s="1"/>
  <c r="AY5" i="1"/>
  <c r="AX5" i="1"/>
  <c r="AX4" i="1" s="1"/>
  <c r="AW5" i="1"/>
  <c r="AW4" i="1" s="1"/>
  <c r="AV5" i="1"/>
  <c r="AU5" i="1"/>
  <c r="AT5" i="1"/>
  <c r="AT22" i="1" s="1"/>
  <c r="AS5" i="1"/>
  <c r="AN5" i="1"/>
  <c r="AM5" i="1"/>
  <c r="AL5" i="1"/>
  <c r="AK5" i="1"/>
  <c r="AJ5" i="1"/>
  <c r="AI5" i="1"/>
  <c r="AH5" i="1"/>
  <c r="AG5" i="1"/>
  <c r="AF5" i="1"/>
  <c r="AE5" i="1"/>
  <c r="AD5" i="1"/>
  <c r="AC5" i="1"/>
  <c r="BM4" i="1"/>
  <c r="BL4" i="1"/>
  <c r="BD4" i="1"/>
  <c r="BC4" i="1"/>
  <c r="AV4" i="1"/>
  <c r="Z4" i="1"/>
  <c r="Y4" i="1"/>
  <c r="X4" i="1"/>
  <c r="W4" i="1"/>
  <c r="V4" i="1"/>
  <c r="U4" i="1"/>
  <c r="T4" i="1"/>
  <c r="S4" i="1"/>
  <c r="R4" i="1"/>
  <c r="Q4" i="1"/>
  <c r="P4" i="1"/>
  <c r="O4" i="1"/>
  <c r="E3" i="1"/>
  <c r="F3" i="1" s="1"/>
  <c r="H3" i="1" s="1"/>
  <c r="I3" i="1" s="1"/>
  <c r="J3" i="1" s="1"/>
  <c r="G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AJ2" i="1"/>
  <c r="BA20" i="1" l="1"/>
  <c r="BB20" i="1"/>
  <c r="Y12" i="1"/>
  <c r="O15" i="1"/>
  <c r="Z13" i="2" s="1"/>
  <c r="BF16" i="1"/>
  <c r="BN16" i="1"/>
  <c r="V17" i="1"/>
  <c r="AZ17" i="1" s="1"/>
  <c r="U18" i="1"/>
  <c r="AY18" i="1" s="1"/>
  <c r="X18" i="1"/>
  <c r="BB18" i="1" s="1"/>
  <c r="BF19" i="1"/>
  <c r="O20" i="1"/>
  <c r="Z17" i="2" s="1"/>
  <c r="Z20" i="1"/>
  <c r="AK17" i="2" s="1"/>
  <c r="Q22" i="1"/>
  <c r="W24" i="1"/>
  <c r="BA24" i="1" s="1"/>
  <c r="BH24" i="1"/>
  <c r="BE24" i="1" s="1"/>
  <c r="BP24" i="1"/>
  <c r="W26" i="1"/>
  <c r="BA26" i="1" s="1"/>
  <c r="T30" i="1"/>
  <c r="AX30" i="1" s="1"/>
  <c r="X30" i="1"/>
  <c r="BB30" i="1" s="1"/>
  <c r="AW34" i="1"/>
  <c r="BF34" i="1"/>
  <c r="BN34" i="1"/>
  <c r="AB16" i="2"/>
  <c r="Y20" i="1"/>
  <c r="BC20" i="1" s="1"/>
  <c r="R26" i="1"/>
  <c r="BF8" i="1"/>
  <c r="O9" i="1"/>
  <c r="R10" i="1"/>
  <c r="AC16" i="2" s="1"/>
  <c r="BN4" i="1"/>
  <c r="BG8" i="1"/>
  <c r="P9" i="1"/>
  <c r="AX9" i="1"/>
  <c r="Z12" i="1"/>
  <c r="V16" i="1"/>
  <c r="AZ16" i="1" s="1"/>
  <c r="Y16" i="1"/>
  <c r="BC16" i="1" s="1"/>
  <c r="BG16" i="1"/>
  <c r="BE16" i="1" s="1"/>
  <c r="BO16" i="1"/>
  <c r="L17" i="1"/>
  <c r="O18" i="1"/>
  <c r="Y18" i="1"/>
  <c r="BC18" i="1" s="1"/>
  <c r="BM19" i="1"/>
  <c r="P20" i="1"/>
  <c r="AA17" i="2" s="1"/>
  <c r="R22" i="1"/>
  <c r="AV22" i="1" s="1"/>
  <c r="S24" i="1"/>
  <c r="AW24" i="1" s="1"/>
  <c r="X24" i="1"/>
  <c r="BI24" i="1"/>
  <c r="BQ24" i="1"/>
  <c r="BE25" i="1"/>
  <c r="X26" i="1"/>
  <c r="Y30" i="1"/>
  <c r="BC30" i="1" s="1"/>
  <c r="AX34" i="1"/>
  <c r="BG34" i="1"/>
  <c r="BE34" i="1" s="1"/>
  <c r="BO34" i="1"/>
  <c r="BB4" i="1"/>
  <c r="BN8" i="1"/>
  <c r="Q9" i="1"/>
  <c r="Z10" i="1"/>
  <c r="AB12" i="2"/>
  <c r="BH16" i="1"/>
  <c r="BP16" i="1"/>
  <c r="O17" i="1"/>
  <c r="P18" i="1"/>
  <c r="AT18" i="1" s="1"/>
  <c r="Z18" i="1"/>
  <c r="BD18" i="1" s="1"/>
  <c r="R19" i="1"/>
  <c r="AV19" i="1" s="1"/>
  <c r="BN19" i="1"/>
  <c r="Q20" i="1"/>
  <c r="AB17" i="2" s="1"/>
  <c r="Y24" i="1"/>
  <c r="BJ24" i="1"/>
  <c r="S26" i="1"/>
  <c r="Y26" i="1"/>
  <c r="O30" i="1"/>
  <c r="Z47" i="2" s="1"/>
  <c r="AY34" i="1"/>
  <c r="BH34" i="1"/>
  <c r="BP34" i="1"/>
  <c r="CC15" i="1"/>
  <c r="AA11" i="2"/>
  <c r="S17" i="1"/>
  <c r="AW17" i="1" s="1"/>
  <c r="R20" i="1"/>
  <c r="AB11" i="2"/>
  <c r="AX12" i="1"/>
  <c r="V13" i="1"/>
  <c r="AZ13" i="1" s="1"/>
  <c r="AU16" i="1"/>
  <c r="BA16" i="1"/>
  <c r="BJ16" i="1"/>
  <c r="R18" i="1"/>
  <c r="AV18" i="1" s="1"/>
  <c r="S19" i="1"/>
  <c r="AW19" i="1" s="1"/>
  <c r="CB19" i="1"/>
  <c r="V20" i="1"/>
  <c r="AZ20" i="1" s="1"/>
  <c r="X22" i="1"/>
  <c r="P24" i="1"/>
  <c r="BL24" i="1"/>
  <c r="O26" i="1"/>
  <c r="Q30" i="1"/>
  <c r="AU30" i="1" s="1"/>
  <c r="AS34" i="1"/>
  <c r="BA34" i="1"/>
  <c r="BJ34" i="1"/>
  <c r="Q18" i="1"/>
  <c r="AU18" i="1" s="1"/>
  <c r="Z26" i="1"/>
  <c r="AK22" i="2" s="1"/>
  <c r="L8" i="1"/>
  <c r="U9" i="1"/>
  <c r="W10" i="1"/>
  <c r="BA10" i="1" s="1"/>
  <c r="AD12" i="2"/>
  <c r="BF4" i="1"/>
  <c r="W8" i="1"/>
  <c r="W9" i="1"/>
  <c r="BA9" i="1" s="1"/>
  <c r="O10" i="1"/>
  <c r="AS10" i="1" s="1"/>
  <c r="R16" i="1"/>
  <c r="AV16" i="1" s="1"/>
  <c r="BB16" i="1"/>
  <c r="CF17" i="1"/>
  <c r="S18" i="1"/>
  <c r="AW18" i="1" s="1"/>
  <c r="T19" i="1"/>
  <c r="CC19" i="1"/>
  <c r="W20" i="1"/>
  <c r="BK20" i="1"/>
  <c r="U22" i="1"/>
  <c r="Y22" i="1"/>
  <c r="Q24" i="1"/>
  <c r="AB20" i="2" s="1"/>
  <c r="BM24" i="1"/>
  <c r="P26" i="1"/>
  <c r="BW27" i="1"/>
  <c r="T97" i="3" s="1"/>
  <c r="I97" i="3" s="1"/>
  <c r="K97" i="3" s="1"/>
  <c r="U30" i="1"/>
  <c r="AY30" i="1" s="1"/>
  <c r="AT34" i="1"/>
  <c r="BB34" i="1"/>
  <c r="BK34" i="1"/>
  <c r="BV17" i="1"/>
  <c r="CE17" i="1" s="1"/>
  <c r="AX19" i="1"/>
  <c r="X8" i="1"/>
  <c r="S20" i="1"/>
  <c r="AD17" i="2" s="1"/>
  <c r="X20" i="1"/>
  <c r="AI17" i="2" s="1"/>
  <c r="Z18" i="2"/>
  <c r="AK18" i="2"/>
  <c r="AC20" i="2"/>
  <c r="BF24" i="1"/>
  <c r="Q26" i="1"/>
  <c r="BY27" i="1"/>
  <c r="BE31" i="1"/>
  <c r="AU34" i="1"/>
  <c r="BC34" i="1"/>
  <c r="CA10" i="1"/>
  <c r="BX18" i="1"/>
  <c r="CE19" i="1"/>
  <c r="CB26" i="1"/>
  <c r="BZ19" i="1"/>
  <c r="CB10" i="1"/>
  <c r="BY11" i="1"/>
  <c r="CD15" i="1"/>
  <c r="BY17" i="1"/>
  <c r="BY18" i="1"/>
  <c r="CG18" i="1"/>
  <c r="BY25" i="1"/>
  <c r="CG25" i="1"/>
  <c r="CC26" i="1"/>
  <c r="CD27" i="1"/>
  <c r="CD20" i="1"/>
  <c r="BX11" i="1"/>
  <c r="BX17" i="1"/>
  <c r="CF18" i="1"/>
  <c r="BX25" i="1"/>
  <c r="CF25" i="1"/>
  <c r="CC27" i="1"/>
  <c r="CC10" i="1"/>
  <c r="BZ11" i="1"/>
  <c r="BZ17" i="1"/>
  <c r="BZ18" i="1"/>
  <c r="BZ25" i="1"/>
  <c r="CD26" i="1"/>
  <c r="CE27" i="1"/>
  <c r="BW26" i="1"/>
  <c r="CE26" i="1"/>
  <c r="CG27" i="1"/>
  <c r="BW10" i="1"/>
  <c r="CF11" i="1"/>
  <c r="BX26" i="1"/>
  <c r="CA11" i="1"/>
  <c r="CC12" i="1"/>
  <c r="BY13" i="1"/>
  <c r="CG13" i="1"/>
  <c r="BY15" i="1"/>
  <c r="CG15" i="1"/>
  <c r="CD19" i="1"/>
  <c r="BY20" i="1"/>
  <c r="CG20" i="1"/>
  <c r="CC21" i="1"/>
  <c r="BW23" i="1"/>
  <c r="T92" i="3" s="1"/>
  <c r="I92" i="3" s="1"/>
  <c r="K92" i="3" s="1"/>
  <c r="CE23" i="1"/>
  <c r="BX27" i="1"/>
  <c r="CF27" i="1"/>
  <c r="CB12" i="1"/>
  <c r="CF20" i="1"/>
  <c r="BV37" i="1"/>
  <c r="BV39" i="1" s="1"/>
  <c r="BV42" i="1" s="1"/>
  <c r="CC11" i="1"/>
  <c r="BW12" i="1"/>
  <c r="CE12" i="1"/>
  <c r="CA13" i="1"/>
  <c r="CA15" i="1"/>
  <c r="BX19" i="1"/>
  <c r="CF19" i="1"/>
  <c r="CA20" i="1"/>
  <c r="BW21" i="1"/>
  <c r="CE21" i="1"/>
  <c r="BY23" i="1"/>
  <c r="CG23" i="1"/>
  <c r="BZ27" i="1"/>
  <c r="CD11" i="1"/>
  <c r="CF12" i="1"/>
  <c r="CB13" i="1"/>
  <c r="CB15" i="1"/>
  <c r="BY19" i="1"/>
  <c r="CG19" i="1"/>
  <c r="CB20" i="1"/>
  <c r="BX21" i="1"/>
  <c r="CF21" i="1"/>
  <c r="CH22" i="1"/>
  <c r="BZ23" i="1"/>
  <c r="CA27" i="1"/>
  <c r="BX20" i="1"/>
  <c r="CD12" i="1"/>
  <c r="BZ20" i="1"/>
  <c r="BX12" i="1"/>
  <c r="BW11" i="1"/>
  <c r="T84" i="3" s="1"/>
  <c r="I84" i="3" s="1"/>
  <c r="K84" i="3" s="1"/>
  <c r="BY12" i="1"/>
  <c r="CG12" i="1"/>
  <c r="CC20" i="1"/>
  <c r="BY21" i="1"/>
  <c r="BE33" i="1"/>
  <c r="AR34" i="1"/>
  <c r="AR33" i="1"/>
  <c r="BE30" i="1"/>
  <c r="BE11" i="1"/>
  <c r="BE10" i="1"/>
  <c r="BG14" i="1"/>
  <c r="BO14" i="1"/>
  <c r="BI15" i="1"/>
  <c r="BQ15" i="1"/>
  <c r="T27" i="3"/>
  <c r="I27" i="3" s="1"/>
  <c r="K27" i="3" s="1"/>
  <c r="BE21" i="1"/>
  <c r="AX23" i="1"/>
  <c r="BM23" i="1"/>
  <c r="BH14" i="1"/>
  <c r="BP14" i="1"/>
  <c r="BJ15" i="1"/>
  <c r="BF23" i="1"/>
  <c r="BN23" i="1"/>
  <c r="BE26" i="1"/>
  <c r="BE27" i="1"/>
  <c r="E37" i="1"/>
  <c r="BJ14" i="1"/>
  <c r="BK14" i="1"/>
  <c r="BM15" i="1"/>
  <c r="BI23" i="1"/>
  <c r="BQ23" i="1"/>
  <c r="BE12" i="1"/>
  <c r="BL14" i="1"/>
  <c r="BF15" i="1"/>
  <c r="BN15" i="1"/>
  <c r="BJ23" i="1"/>
  <c r="BE13" i="1"/>
  <c r="BA14" i="1"/>
  <c r="BO15" i="1"/>
  <c r="BK23" i="1"/>
  <c r="BE17" i="1"/>
  <c r="BM14" i="1"/>
  <c r="BG15" i="1"/>
  <c r="BF14" i="1"/>
  <c r="BH15" i="1"/>
  <c r="O36" i="2"/>
  <c r="Q36" i="2" s="1"/>
  <c r="S36" i="2" s="1"/>
  <c r="X36" i="2" s="1"/>
  <c r="O35" i="2"/>
  <c r="O28" i="2"/>
  <c r="Q28" i="2" s="1"/>
  <c r="U28" i="2" s="1"/>
  <c r="W28" i="2" s="1"/>
  <c r="O26" i="2"/>
  <c r="Q26" i="2" s="1"/>
  <c r="U26" i="2" s="1"/>
  <c r="O19" i="2"/>
  <c r="Q19" i="2" s="1"/>
  <c r="O15" i="2"/>
  <c r="Q15" i="2" s="1"/>
  <c r="I38" i="2"/>
  <c r="BK38" i="2" s="1"/>
  <c r="K37" i="2"/>
  <c r="K36" i="2"/>
  <c r="K28" i="2"/>
  <c r="K27" i="2"/>
  <c r="BP12" i="2"/>
  <c r="I13" i="2"/>
  <c r="K12" i="2"/>
  <c r="U12" i="2"/>
  <c r="W12" i="2" s="1"/>
  <c r="J29" i="3"/>
  <c r="K29" i="3" s="1"/>
  <c r="J14" i="3"/>
  <c r="K14" i="3" s="1"/>
  <c r="J78" i="3"/>
  <c r="K78" i="3" s="1"/>
  <c r="K86" i="3"/>
  <c r="J70" i="3"/>
  <c r="K70" i="3" s="1"/>
  <c r="G79" i="3"/>
  <c r="P79" i="3" s="1"/>
  <c r="P77" i="3"/>
  <c r="AZ15" i="1"/>
  <c r="BD14" i="1"/>
  <c r="AX13" i="1"/>
  <c r="Z11" i="1"/>
  <c r="AK12" i="2" s="1"/>
  <c r="R11" i="1"/>
  <c r="AC12" i="2" s="1"/>
  <c r="Y11" i="1"/>
  <c r="Q11" i="1"/>
  <c r="L13" i="1"/>
  <c r="BA22" i="1"/>
  <c r="BA4" i="1"/>
  <c r="AY8" i="1"/>
  <c r="U19" i="1"/>
  <c r="AY19" i="1" s="1"/>
  <c r="BH19" i="1"/>
  <c r="BP20" i="1"/>
  <c r="Y21" i="1"/>
  <c r="BC21" i="1" s="1"/>
  <c r="Q21" i="1"/>
  <c r="AU21" i="1" s="1"/>
  <c r="X21" i="1"/>
  <c r="BB21" i="1" s="1"/>
  <c r="P21" i="1"/>
  <c r="AT21" i="1" s="1"/>
  <c r="W21" i="1"/>
  <c r="BA21" i="1" s="1"/>
  <c r="O21" i="1"/>
  <c r="U21" i="1"/>
  <c r="AY21" i="1" s="1"/>
  <c r="L21" i="1"/>
  <c r="AZ22" i="1"/>
  <c r="AX25" i="1"/>
  <c r="J20" i="3"/>
  <c r="K20" i="3" s="1"/>
  <c r="S38" i="2"/>
  <c r="S30" i="2"/>
  <c r="X30" i="2" s="1"/>
  <c r="S28" i="2"/>
  <c r="X28" i="2" s="1"/>
  <c r="S9" i="2"/>
  <c r="S12" i="2"/>
  <c r="S34" i="2"/>
  <c r="S29" i="2"/>
  <c r="X29" i="2" s="1"/>
  <c r="S11" i="2"/>
  <c r="S27" i="2"/>
  <c r="X27" i="2" s="1"/>
  <c r="S10" i="2"/>
  <c r="S13" i="2"/>
  <c r="BH8" i="1"/>
  <c r="AS22" i="1"/>
  <c r="AS4" i="1"/>
  <c r="BJ4" i="1"/>
  <c r="BJ19" i="1"/>
  <c r="O8" i="1"/>
  <c r="Y8" i="1"/>
  <c r="BI8" i="1"/>
  <c r="CF9" i="1"/>
  <c r="BX9" i="1"/>
  <c r="CE9" i="1"/>
  <c r="BW9" i="1"/>
  <c r="AB37" i="1"/>
  <c r="BB9" i="1"/>
  <c r="BY9" i="1"/>
  <c r="S10" i="1"/>
  <c r="AD11" i="2" s="1"/>
  <c r="BC10" i="1"/>
  <c r="AU14" i="1"/>
  <c r="S15" i="1"/>
  <c r="BB22" i="1"/>
  <c r="S27" i="1"/>
  <c r="AW27" i="1" s="1"/>
  <c r="Z27" i="1"/>
  <c r="BD27" i="1" s="1"/>
  <c r="R27" i="1"/>
  <c r="AV27" i="1" s="1"/>
  <c r="Y27" i="1"/>
  <c r="BC27" i="1" s="1"/>
  <c r="Q27" i="1"/>
  <c r="AU27" i="1" s="1"/>
  <c r="X27" i="1"/>
  <c r="BB27" i="1" s="1"/>
  <c r="P27" i="1"/>
  <c r="AT27" i="1" s="1"/>
  <c r="T26" i="3" s="1"/>
  <c r="I26" i="3" s="1"/>
  <c r="K26" i="3" s="1"/>
  <c r="W27" i="1"/>
  <c r="BA27" i="1" s="1"/>
  <c r="O27" i="1"/>
  <c r="V27" i="1"/>
  <c r="AZ27" i="1" s="1"/>
  <c r="U27" i="1"/>
  <c r="AY27" i="1" s="1"/>
  <c r="L27" i="1"/>
  <c r="BK37" i="2"/>
  <c r="BK36" i="2"/>
  <c r="BK10" i="2"/>
  <c r="BK35" i="2"/>
  <c r="BK13" i="2"/>
  <c r="BK9" i="2"/>
  <c r="BK34" i="2"/>
  <c r="BK12" i="2"/>
  <c r="BK11" i="2"/>
  <c r="V11" i="1"/>
  <c r="W13" i="1"/>
  <c r="BA13" i="1" s="1"/>
  <c r="CH16" i="1"/>
  <c r="W11" i="1"/>
  <c r="BA11" i="1" s="1"/>
  <c r="T80" i="3"/>
  <c r="J80" i="3" s="1"/>
  <c r="K80" i="3" s="1"/>
  <c r="X13" i="1"/>
  <c r="AI14" i="2" s="1"/>
  <c r="BK19" i="1"/>
  <c r="BK22" i="1"/>
  <c r="P8" i="1"/>
  <c r="BJ8" i="1"/>
  <c r="X11" i="1"/>
  <c r="AT12" i="1"/>
  <c r="BD12" i="1"/>
  <c r="O13" i="1"/>
  <c r="AS17" i="1"/>
  <c r="BO4" i="1"/>
  <c r="AU22" i="1"/>
  <c r="BL8" i="1"/>
  <c r="BL22" i="1"/>
  <c r="BK8" i="1"/>
  <c r="BC9" i="1"/>
  <c r="BZ9" i="1"/>
  <c r="T10" i="1"/>
  <c r="AE11" i="2" s="1"/>
  <c r="AT10" i="1"/>
  <c r="BD10" i="1"/>
  <c r="O11" i="1"/>
  <c r="AY11" i="1"/>
  <c r="AU12" i="1"/>
  <c r="P13" i="1"/>
  <c r="V14" i="1"/>
  <c r="U14" i="1"/>
  <c r="AF15" i="2" s="1"/>
  <c r="L14" i="1"/>
  <c r="X14" i="1"/>
  <c r="AI15" i="2" s="1"/>
  <c r="AV14" i="1"/>
  <c r="CH14" i="1"/>
  <c r="T15" i="1"/>
  <c r="AS15" i="1"/>
  <c r="U17" i="1"/>
  <c r="AY17" i="1" s="1"/>
  <c r="BE18" i="1"/>
  <c r="Y19" i="1"/>
  <c r="BC19" i="1" s="1"/>
  <c r="Q19" i="1"/>
  <c r="AU19" i="1" s="1"/>
  <c r="X19" i="1"/>
  <c r="BB19" i="1" s="1"/>
  <c r="P19" i="1"/>
  <c r="AT19" i="1" s="1"/>
  <c r="W19" i="1"/>
  <c r="BA19" i="1" s="1"/>
  <c r="O19" i="1"/>
  <c r="Z20" i="2" s="1"/>
  <c r="Z19" i="1"/>
  <c r="BD19" i="1" s="1"/>
  <c r="AS20" i="1"/>
  <c r="BD20" i="1"/>
  <c r="R21" i="1"/>
  <c r="AV21" i="1" s="1"/>
  <c r="BH22" i="1"/>
  <c r="BD23" i="1"/>
  <c r="BB24" i="1"/>
  <c r="AD22" i="2"/>
  <c r="AW26" i="1"/>
  <c r="T27" i="1"/>
  <c r="AX27" i="1" s="1"/>
  <c r="BR51" i="2"/>
  <c r="BS51" i="2" s="1"/>
  <c r="W9" i="2"/>
  <c r="AY22" i="1"/>
  <c r="AY20" i="1"/>
  <c r="BQ22" i="1"/>
  <c r="BQ19" i="1"/>
  <c r="BQ37" i="1" s="1"/>
  <c r="BQ4" i="1"/>
  <c r="BG19" i="1"/>
  <c r="L11" i="1"/>
  <c r="AT4" i="1"/>
  <c r="Q8" i="1"/>
  <c r="BA8" i="1"/>
  <c r="AU4" i="1"/>
  <c r="BP4" i="1"/>
  <c r="T8" i="1"/>
  <c r="AE9" i="2" s="1"/>
  <c r="BB8" i="1"/>
  <c r="S9" i="1"/>
  <c r="Z9" i="1"/>
  <c r="R9" i="1"/>
  <c r="V9" i="1"/>
  <c r="AT9" i="1"/>
  <c r="T17" i="3" s="1"/>
  <c r="I17" i="3" s="1"/>
  <c r="K17" i="3" s="1"/>
  <c r="BE9" i="1"/>
  <c r="CA9" i="1"/>
  <c r="AU10" i="1"/>
  <c r="P11" i="1"/>
  <c r="V12" i="1"/>
  <c r="U12" i="1"/>
  <c r="L12" i="1"/>
  <c r="X12" i="1"/>
  <c r="AV12" i="1"/>
  <c r="S13" i="1"/>
  <c r="O14" i="1"/>
  <c r="Y14" i="1"/>
  <c r="AW14" i="1"/>
  <c r="U15" i="1"/>
  <c r="L19" i="1"/>
  <c r="AZ19" i="1"/>
  <c r="AH17" i="2"/>
  <c r="AG17" i="2"/>
  <c r="AT20" i="1"/>
  <c r="BH20" i="1"/>
  <c r="S21" i="1"/>
  <c r="AW21" i="1" s="1"/>
  <c r="BJ22" i="1"/>
  <c r="S23" i="1"/>
  <c r="Y23" i="1"/>
  <c r="Q23" i="1"/>
  <c r="X23" i="1"/>
  <c r="P23" i="1"/>
  <c r="W23" i="1"/>
  <c r="BA23" i="1" s="1"/>
  <c r="O23" i="1"/>
  <c r="V23" i="1"/>
  <c r="U23" i="1"/>
  <c r="L23" i="1"/>
  <c r="BE23" i="1"/>
  <c r="AZ26" i="1"/>
  <c r="AC4" i="2"/>
  <c r="AQ4" i="2"/>
  <c r="AH9" i="2"/>
  <c r="BO8" i="1"/>
  <c r="AU9" i="1"/>
  <c r="CB9" i="1"/>
  <c r="V10" i="1"/>
  <c r="U10" i="1"/>
  <c r="L10" i="1"/>
  <c r="X10" i="1"/>
  <c r="CH10" i="1"/>
  <c r="S11" i="1"/>
  <c r="Z11" i="2"/>
  <c r="AW12" i="1"/>
  <c r="P14" i="1"/>
  <c r="AX14" i="1"/>
  <c r="Z17" i="1"/>
  <c r="BD17" i="1" s="1"/>
  <c r="R17" i="1"/>
  <c r="AV17" i="1" s="1"/>
  <c r="Y17" i="1"/>
  <c r="BC17" i="1" s="1"/>
  <c r="Q17" i="1"/>
  <c r="AU17" i="1" s="1"/>
  <c r="X17" i="1"/>
  <c r="BB17" i="1" s="1"/>
  <c r="P17" i="1"/>
  <c r="AA18" i="2" s="1"/>
  <c r="W17" i="1"/>
  <c r="BA17" i="1" s="1"/>
  <c r="T21" i="1"/>
  <c r="AX21" i="1" s="1"/>
  <c r="BP22" i="1"/>
  <c r="R23" i="1"/>
  <c r="AR32" i="1"/>
  <c r="BR32" i="1" s="1"/>
  <c r="Z13" i="1"/>
  <c r="R13" i="1"/>
  <c r="Y13" i="1"/>
  <c r="AJ14" i="2" s="1"/>
  <c r="Q13" i="1"/>
  <c r="AY4" i="1"/>
  <c r="BI22" i="1"/>
  <c r="BI4" i="1"/>
  <c r="BI19" i="1"/>
  <c r="BG22" i="1"/>
  <c r="BG20" i="1"/>
  <c r="BO22" i="1"/>
  <c r="BO20" i="1"/>
  <c r="S8" i="1"/>
  <c r="Z8" i="1"/>
  <c r="BD8" i="1" s="1"/>
  <c r="R8" i="1"/>
  <c r="AV8" i="1" s="1"/>
  <c r="V8" i="1"/>
  <c r="AG9" i="2" s="1"/>
  <c r="BP8" i="1"/>
  <c r="Z16" i="2"/>
  <c r="T11" i="1"/>
  <c r="AE12" i="2" s="1"/>
  <c r="U13" i="1"/>
  <c r="Z15" i="1"/>
  <c r="R15" i="1"/>
  <c r="Y15" i="1"/>
  <c r="AJ16" i="2" s="1"/>
  <c r="Q15" i="1"/>
  <c r="X15" i="1"/>
  <c r="P15" i="1"/>
  <c r="AA16" i="2" s="1"/>
  <c r="W15" i="1"/>
  <c r="BA15" i="1" s="1"/>
  <c r="T98" i="3"/>
  <c r="I98" i="3" s="1"/>
  <c r="K98" i="3" s="1"/>
  <c r="CH18" i="1"/>
  <c r="BJ20" i="1"/>
  <c r="V21" i="1"/>
  <c r="AZ21" i="1" s="1"/>
  <c r="AF20" i="2"/>
  <c r="AY24" i="1"/>
  <c r="S25" i="1"/>
  <c r="Z25" i="1"/>
  <c r="R25" i="1"/>
  <c r="Y25" i="1"/>
  <c r="Q25" i="1"/>
  <c r="AB34" i="2" s="1"/>
  <c r="X25" i="1"/>
  <c r="P25" i="1"/>
  <c r="AA34" i="2" s="1"/>
  <c r="W25" i="1"/>
  <c r="BA25" i="1" s="1"/>
  <c r="O25" i="1"/>
  <c r="Z34" i="2" s="1"/>
  <c r="V25" i="1"/>
  <c r="U25" i="1"/>
  <c r="L25" i="1"/>
  <c r="AT26" i="1"/>
  <c r="BC24" i="1"/>
  <c r="J89" i="3"/>
  <c r="K89" i="3" s="1"/>
  <c r="AU26" i="1"/>
  <c r="BC26" i="1"/>
  <c r="Z49" i="2"/>
  <c r="AS30" i="1"/>
  <c r="S31" i="1"/>
  <c r="AW31" i="1" s="1"/>
  <c r="AA47" i="2"/>
  <c r="AA49" i="2" s="1"/>
  <c r="AA39" i="2"/>
  <c r="AA37" i="2"/>
  <c r="AA36" i="2"/>
  <c r="AA35" i="2"/>
  <c r="BL35" i="2"/>
  <c r="BL34" i="2"/>
  <c r="BL37" i="2"/>
  <c r="BL36" i="2"/>
  <c r="BL10" i="2"/>
  <c r="BL13" i="2"/>
  <c r="BL9" i="2"/>
  <c r="BL12" i="2"/>
  <c r="BL11" i="2"/>
  <c r="BK28" i="2"/>
  <c r="BJ28" i="2"/>
  <c r="BP28" i="2"/>
  <c r="BH28" i="2"/>
  <c r="BO28" i="2"/>
  <c r="BG28" i="2"/>
  <c r="BN28" i="2"/>
  <c r="BF28" i="2"/>
  <c r="T67" i="3" s="1"/>
  <c r="I67" i="3" s="1"/>
  <c r="K67" i="3" s="1"/>
  <c r="BM28" i="2"/>
  <c r="BL28" i="2"/>
  <c r="BI28" i="2"/>
  <c r="BE28" i="2"/>
  <c r="BD22" i="1"/>
  <c r="AV24" i="1"/>
  <c r="BD24" i="1"/>
  <c r="AV26" i="1"/>
  <c r="BD26" i="1"/>
  <c r="T31" i="1"/>
  <c r="AX31" i="1" s="1"/>
  <c r="AB39" i="2"/>
  <c r="AB38" i="2"/>
  <c r="AB37" i="2"/>
  <c r="AB35" i="2"/>
  <c r="BE38" i="2"/>
  <c r="BE34" i="2"/>
  <c r="BE36" i="2"/>
  <c r="BE35" i="2"/>
  <c r="BE13" i="2"/>
  <c r="BE12" i="2"/>
  <c r="BE37" i="2"/>
  <c r="BE11" i="2"/>
  <c r="BM38" i="2"/>
  <c r="BM34" i="2"/>
  <c r="BM36" i="2"/>
  <c r="BM35" i="2"/>
  <c r="BM13" i="2"/>
  <c r="BM37" i="2"/>
  <c r="BM12" i="2"/>
  <c r="BM11" i="2"/>
  <c r="BE10" i="2"/>
  <c r="AW20" i="1"/>
  <c r="BM20" i="1"/>
  <c r="AW22" i="1"/>
  <c r="BM22" i="1"/>
  <c r="L31" i="1"/>
  <c r="U31" i="1"/>
  <c r="AY31" i="1" s="1"/>
  <c r="AC5" i="2"/>
  <c r="J74" i="3"/>
  <c r="K74" i="3" s="1"/>
  <c r="BM9" i="2"/>
  <c r="BM10" i="2"/>
  <c r="D51" i="3"/>
  <c r="D76" i="3" s="1"/>
  <c r="D78" i="3" s="1"/>
  <c r="D80" i="3" s="1"/>
  <c r="D82" i="3" s="1"/>
  <c r="D84" i="3" s="1"/>
  <c r="D86" i="3" s="1"/>
  <c r="D88" i="3" s="1"/>
  <c r="D90" i="3" s="1"/>
  <c r="D92" i="3" s="1"/>
  <c r="D94" i="3" s="1"/>
  <c r="D96" i="3" s="1"/>
  <c r="D99" i="3" s="1"/>
  <c r="D54" i="3" s="1"/>
  <c r="D56" i="3" s="1"/>
  <c r="D57" i="3" s="1"/>
  <c r="D50" i="3"/>
  <c r="T16" i="1"/>
  <c r="AX16" i="1" s="1"/>
  <c r="L16" i="1"/>
  <c r="U16" i="1"/>
  <c r="AY16" i="1" s="1"/>
  <c r="CD17" i="1"/>
  <c r="T18" i="1"/>
  <c r="AX18" i="1" s="1"/>
  <c r="T20" i="1"/>
  <c r="AX20" i="1" s="1"/>
  <c r="BF20" i="1"/>
  <c r="BN20" i="1"/>
  <c r="T22" i="1"/>
  <c r="AE18" i="2" s="1"/>
  <c r="T24" i="1"/>
  <c r="CH24" i="1"/>
  <c r="T26" i="1"/>
  <c r="R30" i="1"/>
  <c r="Z30" i="1"/>
  <c r="BD30" i="1" s="1"/>
  <c r="V31" i="1"/>
  <c r="AZ31" i="1" s="1"/>
  <c r="AO34" i="1"/>
  <c r="BW17" i="1"/>
  <c r="L18" i="1"/>
  <c r="L20" i="1"/>
  <c r="L22" i="1"/>
  <c r="L24" i="1"/>
  <c r="T77" i="3"/>
  <c r="J77" i="3" s="1"/>
  <c r="K77" i="3" s="1"/>
  <c r="L26" i="1"/>
  <c r="U26" i="1"/>
  <c r="S30" i="1"/>
  <c r="AW30" i="1" s="1"/>
  <c r="O31" i="1"/>
  <c r="W31" i="1"/>
  <c r="BA31" i="1" s="1"/>
  <c r="AO33" i="1"/>
  <c r="BH37" i="2"/>
  <c r="BH36" i="2"/>
  <c r="BH34" i="2"/>
  <c r="BH11" i="2"/>
  <c r="BH35" i="2"/>
  <c r="BH10" i="2"/>
  <c r="BH13" i="2"/>
  <c r="BH9" i="2"/>
  <c r="BP37" i="2"/>
  <c r="BP36" i="2"/>
  <c r="BP38" i="2"/>
  <c r="BP34" i="2"/>
  <c r="BP35" i="2"/>
  <c r="BP11" i="2"/>
  <c r="BP10" i="2"/>
  <c r="BP13" i="2"/>
  <c r="BP9" i="2"/>
  <c r="Q20" i="2"/>
  <c r="BM27" i="2"/>
  <c r="BE27" i="2"/>
  <c r="BL27" i="2"/>
  <c r="BJ27" i="2"/>
  <c r="BI27" i="2"/>
  <c r="BP27" i="2"/>
  <c r="BH27" i="2"/>
  <c r="BK27" i="2"/>
  <c r="BG27" i="2"/>
  <c r="BF27" i="2"/>
  <c r="BO27" i="2"/>
  <c r="Q35" i="2"/>
  <c r="U35" i="2" s="1"/>
  <c r="AH20" i="2"/>
  <c r="AG20" i="2"/>
  <c r="AZ24" i="1"/>
  <c r="N26" i="1"/>
  <c r="P31" i="1"/>
  <c r="AT31" i="1" s="1"/>
  <c r="X31" i="1"/>
  <c r="BB31" i="1" s="1"/>
  <c r="BH12" i="2"/>
  <c r="AS24" i="1"/>
  <c r="AS26" i="1"/>
  <c r="Q31" i="1"/>
  <c r="AU31" i="1" s="1"/>
  <c r="BJ36" i="2"/>
  <c r="BJ35" i="2"/>
  <c r="BJ38" i="2"/>
  <c r="BJ34" i="2"/>
  <c r="BJ37" i="2"/>
  <c r="BJ10" i="2"/>
  <c r="BJ13" i="2"/>
  <c r="BJ9" i="2"/>
  <c r="BJ12" i="2"/>
  <c r="BF10" i="2"/>
  <c r="BN10" i="2"/>
  <c r="BI12" i="2"/>
  <c r="BG13" i="2"/>
  <c r="BO13" i="2"/>
  <c r="BR30" i="2"/>
  <c r="BF34" i="2"/>
  <c r="BI9" i="2"/>
  <c r="BG10" i="2"/>
  <c r="BO10" i="2"/>
  <c r="BG34" i="2"/>
  <c r="B27" i="3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26" i="3"/>
  <c r="D27" i="3"/>
  <c r="D29" i="3" s="1"/>
  <c r="D31" i="3" s="1"/>
  <c r="D33" i="3" s="1"/>
  <c r="D35" i="3" s="1"/>
  <c r="D37" i="3" s="1"/>
  <c r="D39" i="3" s="1"/>
  <c r="D41" i="3" s="1"/>
  <c r="D43" i="3" s="1"/>
  <c r="D45" i="3" s="1"/>
  <c r="D47" i="3" s="1"/>
  <c r="D49" i="3" s="1"/>
  <c r="D52" i="3" s="1"/>
  <c r="D77" i="3" s="1"/>
  <c r="D79" i="3" s="1"/>
  <c r="D81" i="3" s="1"/>
  <c r="D83" i="3" s="1"/>
  <c r="D85" i="3" s="1"/>
  <c r="D87" i="3" s="1"/>
  <c r="D89" i="3" s="1"/>
  <c r="D91" i="3" s="1"/>
  <c r="D93" i="3" s="1"/>
  <c r="D95" i="3" s="1"/>
  <c r="D26" i="3"/>
  <c r="BI13" i="2"/>
  <c r="BF38" i="2"/>
  <c r="BF37" i="2"/>
  <c r="BF35" i="2"/>
  <c r="BN37" i="2"/>
  <c r="BN35" i="2"/>
  <c r="BI10" i="2"/>
  <c r="BF11" i="2"/>
  <c r="BN11" i="2"/>
  <c r="BA31" i="2"/>
  <c r="BN34" i="2"/>
  <c r="BN36" i="2"/>
  <c r="BG38" i="2"/>
  <c r="BG37" i="2"/>
  <c r="BG36" i="2"/>
  <c r="BG35" i="2"/>
  <c r="BO38" i="2"/>
  <c r="BO37" i="2"/>
  <c r="BO36" i="2"/>
  <c r="BO35" i="2"/>
  <c r="BG11" i="2"/>
  <c r="BO11" i="2"/>
  <c r="BO34" i="2"/>
  <c r="Q37" i="2"/>
  <c r="S37" i="2" s="1"/>
  <c r="X37" i="2" s="1"/>
  <c r="BF12" i="2"/>
  <c r="T69" i="3" s="1"/>
  <c r="I69" i="3" s="1"/>
  <c r="K69" i="3" s="1"/>
  <c r="BN12" i="2"/>
  <c r="BD56" i="2"/>
  <c r="BD57" i="2"/>
  <c r="J32" i="3"/>
  <c r="K32" i="3" s="1"/>
  <c r="BI37" i="2"/>
  <c r="BI36" i="2"/>
  <c r="BI35" i="2"/>
  <c r="BI38" i="2"/>
  <c r="BI34" i="2"/>
  <c r="BF9" i="2"/>
  <c r="BN9" i="2"/>
  <c r="BI11" i="2"/>
  <c r="BG12" i="2"/>
  <c r="BO12" i="2"/>
  <c r="C27" i="3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26" i="3"/>
  <c r="G8" i="3"/>
  <c r="P7" i="3"/>
  <c r="J36" i="3"/>
  <c r="K36" i="3" s="1"/>
  <c r="J48" i="3"/>
  <c r="K48" i="3" s="1"/>
  <c r="E96" i="3"/>
  <c r="E98" i="3" s="1"/>
  <c r="E95" i="3"/>
  <c r="J8" i="3"/>
  <c r="K8" i="3" s="1"/>
  <c r="P31" i="3"/>
  <c r="G32" i="3"/>
  <c r="E71" i="3"/>
  <c r="E72" i="3"/>
  <c r="E74" i="3" s="1"/>
  <c r="J5" i="3"/>
  <c r="K5" i="3" s="1"/>
  <c r="J23" i="3"/>
  <c r="K23" i="3" s="1"/>
  <c r="J10" i="3"/>
  <c r="K10" i="3" s="1"/>
  <c r="J24" i="3"/>
  <c r="K24" i="3" s="1"/>
  <c r="J19" i="3"/>
  <c r="K19" i="3" s="1"/>
  <c r="J35" i="3"/>
  <c r="K35" i="3" s="1"/>
  <c r="J15" i="3"/>
  <c r="K15" i="3" s="1"/>
  <c r="E34" i="3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33" i="3"/>
  <c r="J11" i="3"/>
  <c r="K11" i="3" s="1"/>
  <c r="J58" i="3"/>
  <c r="K58" i="3" s="1"/>
  <c r="J66" i="3"/>
  <c r="K66" i="3" s="1"/>
  <c r="I76" i="3"/>
  <c r="J43" i="3"/>
  <c r="K43" i="3" s="1"/>
  <c r="J47" i="3"/>
  <c r="K47" i="3" s="1"/>
  <c r="J62" i="3"/>
  <c r="K62" i="3" s="1"/>
  <c r="K71" i="3"/>
  <c r="J79" i="3"/>
  <c r="K79" i="3" s="1"/>
  <c r="K83" i="3"/>
  <c r="G6" i="3"/>
  <c r="P6" i="3" s="1"/>
  <c r="J39" i="3"/>
  <c r="K39" i="3" s="1"/>
  <c r="J44" i="3"/>
  <c r="K44" i="3" s="1"/>
  <c r="J81" i="3"/>
  <c r="K81" i="3" s="1"/>
  <c r="J85" i="3"/>
  <c r="K85" i="3" s="1"/>
  <c r="J94" i="3"/>
  <c r="K94" i="3" s="1"/>
  <c r="J38" i="3"/>
  <c r="K38" i="3" s="1"/>
  <c r="G56" i="3"/>
  <c r="J90" i="3"/>
  <c r="K90" i="3" s="1"/>
  <c r="J61" i="3"/>
  <c r="K61" i="3" s="1"/>
  <c r="J95" i="3"/>
  <c r="K95" i="3" s="1"/>
  <c r="AJ18" i="2" l="1"/>
  <c r="AK20" i="2"/>
  <c r="Z14" i="2"/>
  <c r="X37" i="1"/>
  <c r="AS9" i="1"/>
  <c r="AG18" i="2"/>
  <c r="AF18" i="2"/>
  <c r="AF14" i="2"/>
  <c r="AY9" i="1"/>
  <c r="Z22" i="2"/>
  <c r="AC17" i="2"/>
  <c r="AV20" i="1"/>
  <c r="AK16" i="2"/>
  <c r="AB18" i="2"/>
  <c r="N10" i="1"/>
  <c r="AU24" i="1"/>
  <c r="AU20" i="1"/>
  <c r="AH18" i="2"/>
  <c r="T96" i="3"/>
  <c r="J96" i="3" s="1"/>
  <c r="K96" i="3" s="1"/>
  <c r="AB14" i="2"/>
  <c r="AI22" i="2"/>
  <c r="BB26" i="1"/>
  <c r="AK11" i="2"/>
  <c r="AC22" i="2"/>
  <c r="AX22" i="1"/>
  <c r="AR22" i="1" s="1"/>
  <c r="N12" i="1"/>
  <c r="BC22" i="1"/>
  <c r="AB22" i="2"/>
  <c r="AA20" i="2"/>
  <c r="AJ22" i="2"/>
  <c r="AE21" i="2"/>
  <c r="AJ11" i="2"/>
  <c r="BC12" i="1"/>
  <c r="AC11" i="2"/>
  <c r="U37" i="1"/>
  <c r="AV10" i="1"/>
  <c r="AB36" i="2"/>
  <c r="AC18" i="2"/>
  <c r="CH26" i="1"/>
  <c r="CH25" i="1"/>
  <c r="AA22" i="2"/>
  <c r="AI18" i="2"/>
  <c r="Z36" i="2"/>
  <c r="AS18" i="1"/>
  <c r="AA14" i="2"/>
  <c r="AK19" i="2"/>
  <c r="AA38" i="2"/>
  <c r="AA40" i="2" s="1"/>
  <c r="AH22" i="2"/>
  <c r="AG13" i="2"/>
  <c r="AD18" i="2"/>
  <c r="AL18" i="2" s="1"/>
  <c r="Z35" i="2"/>
  <c r="AJ17" i="2"/>
  <c r="AF10" i="2"/>
  <c r="AR18" i="1"/>
  <c r="BN37" i="1"/>
  <c r="AD20" i="2"/>
  <c r="AG22" i="2"/>
  <c r="AH13" i="2"/>
  <c r="BE14" i="1"/>
  <c r="BR33" i="1"/>
  <c r="AE19" i="2"/>
  <c r="CB17" i="1"/>
  <c r="CG17" i="1"/>
  <c r="CG37" i="1" s="1"/>
  <c r="CA17" i="1"/>
  <c r="CH17" i="1" s="1"/>
  <c r="AT24" i="1"/>
  <c r="T18" i="3" s="1"/>
  <c r="I18" i="3" s="1"/>
  <c r="K18" i="3" s="1"/>
  <c r="CC17" i="1"/>
  <c r="AJ20" i="2"/>
  <c r="AI20" i="2"/>
  <c r="AF17" i="2"/>
  <c r="CH20" i="1"/>
  <c r="CD37" i="1"/>
  <c r="CH23" i="1"/>
  <c r="CC37" i="1"/>
  <c r="CE37" i="1"/>
  <c r="CH12" i="1"/>
  <c r="CH13" i="1"/>
  <c r="CF37" i="1"/>
  <c r="CB37" i="1"/>
  <c r="CH21" i="1"/>
  <c r="CA37" i="1"/>
  <c r="BY37" i="1"/>
  <c r="CH19" i="1"/>
  <c r="CH15" i="1"/>
  <c r="BX37" i="1"/>
  <c r="CH27" i="1"/>
  <c r="BZ37" i="1"/>
  <c r="CH11" i="1"/>
  <c r="U31" i="2"/>
  <c r="BQ9" i="2"/>
  <c r="BR9" i="2" s="1"/>
  <c r="BR34" i="1"/>
  <c r="BL37" i="1"/>
  <c r="BG37" i="1"/>
  <c r="BE15" i="1"/>
  <c r="BE20" i="1"/>
  <c r="AR16" i="1"/>
  <c r="BR16" i="1" s="1"/>
  <c r="BM37" i="1"/>
  <c r="BR18" i="1"/>
  <c r="BE22" i="1"/>
  <c r="AL47" i="2"/>
  <c r="AL49" i="2" s="1"/>
  <c r="BE8" i="1"/>
  <c r="S26" i="2"/>
  <c r="W26" i="2"/>
  <c r="BG26" i="2" s="1"/>
  <c r="BG31" i="2" s="1"/>
  <c r="BN38" i="2"/>
  <c r="BH38" i="2"/>
  <c r="BH40" i="2" s="1"/>
  <c r="BL38" i="2"/>
  <c r="I39" i="2"/>
  <c r="K38" i="2"/>
  <c r="I40" i="2"/>
  <c r="BI40" i="2"/>
  <c r="BP40" i="2"/>
  <c r="BN13" i="2"/>
  <c r="BQ13" i="2" s="1"/>
  <c r="BR13" i="2" s="1"/>
  <c r="I14" i="2"/>
  <c r="BF13" i="2"/>
  <c r="K13" i="2"/>
  <c r="G80" i="3"/>
  <c r="P80" i="3" s="1"/>
  <c r="AO12" i="1"/>
  <c r="AA12" i="1"/>
  <c r="G33" i="3"/>
  <c r="P33" i="3" s="1"/>
  <c r="G34" i="3"/>
  <c r="P32" i="3"/>
  <c r="Z48" i="2"/>
  <c r="AS31" i="1"/>
  <c r="AR31" i="1" s="1"/>
  <c r="BR31" i="1" s="1"/>
  <c r="N31" i="1"/>
  <c r="P56" i="3"/>
  <c r="G57" i="3"/>
  <c r="AE20" i="2"/>
  <c r="AX24" i="1"/>
  <c r="N24" i="1"/>
  <c r="BQ12" i="2"/>
  <c r="BR12" i="2" s="1"/>
  <c r="AH21" i="2"/>
  <c r="AG21" i="2"/>
  <c r="AZ25" i="1"/>
  <c r="AK21" i="2"/>
  <c r="BD25" i="1"/>
  <c r="N16" i="1"/>
  <c r="AK13" i="2"/>
  <c r="BD15" i="1"/>
  <c r="AB9" i="2"/>
  <c r="AU13" i="1"/>
  <c r="AT17" i="1"/>
  <c r="T25" i="3" s="1"/>
  <c r="I25" i="3" s="1"/>
  <c r="K25" i="3" s="1"/>
  <c r="N17" i="1"/>
  <c r="AF16" i="2"/>
  <c r="AY10" i="1"/>
  <c r="AI11" i="2"/>
  <c r="BB12" i="1"/>
  <c r="AR20" i="1"/>
  <c r="BR20" i="1" s="1"/>
  <c r="AY14" i="1"/>
  <c r="AF12" i="2"/>
  <c r="AE16" i="2"/>
  <c r="AX10" i="1"/>
  <c r="BJ37" i="1"/>
  <c r="X10" i="2"/>
  <c r="AD10" i="2"/>
  <c r="AW11" i="1"/>
  <c r="D98" i="3"/>
  <c r="D53" i="3" s="1"/>
  <c r="D55" i="3" s="1"/>
  <c r="D97" i="3"/>
  <c r="AF22" i="2"/>
  <c r="AY26" i="1"/>
  <c r="AR26" i="1" s="1"/>
  <c r="BR26" i="1" s="1"/>
  <c r="BM40" i="2"/>
  <c r="Z21" i="2"/>
  <c r="AS25" i="1"/>
  <c r="N25" i="1"/>
  <c r="AD21" i="2"/>
  <c r="AW25" i="1"/>
  <c r="AF9" i="2"/>
  <c r="AY13" i="1"/>
  <c r="BF37" i="1"/>
  <c r="AJ9" i="2"/>
  <c r="BC13" i="1"/>
  <c r="AH16" i="2"/>
  <c r="AG16" i="2"/>
  <c r="AZ10" i="1"/>
  <c r="AA19" i="2"/>
  <c r="AT23" i="1"/>
  <c r="T21" i="3" s="1"/>
  <c r="I21" i="3" s="1"/>
  <c r="K21" i="3" s="1"/>
  <c r="AF13" i="2"/>
  <c r="AY15" i="1"/>
  <c r="AH14" i="2"/>
  <c r="AG14" i="2"/>
  <c r="AZ9" i="1"/>
  <c r="AH12" i="2"/>
  <c r="AG12" i="2"/>
  <c r="AZ14" i="1"/>
  <c r="AA15" i="2"/>
  <c r="P37" i="1"/>
  <c r="AT8" i="1"/>
  <c r="BI37" i="1"/>
  <c r="BH37" i="1"/>
  <c r="X34" i="2"/>
  <c r="D59" i="3"/>
  <c r="D61" i="3" s="1"/>
  <c r="D63" i="3" s="1"/>
  <c r="D65" i="3" s="1"/>
  <c r="D67" i="3" s="1"/>
  <c r="D69" i="3" s="1"/>
  <c r="D71" i="3" s="1"/>
  <c r="D58" i="3"/>
  <c r="D60" i="3" s="1"/>
  <c r="D62" i="3" s="1"/>
  <c r="D64" i="3" s="1"/>
  <c r="D66" i="3" s="1"/>
  <c r="D68" i="3" s="1"/>
  <c r="D70" i="3" s="1"/>
  <c r="D72" i="3" s="1"/>
  <c r="D75" i="3" s="1"/>
  <c r="BD13" i="1"/>
  <c r="AK9" i="2"/>
  <c r="Z9" i="2"/>
  <c r="AS13" i="1"/>
  <c r="N13" i="1"/>
  <c r="E49" i="3"/>
  <c r="E51" i="3" s="1"/>
  <c r="E48" i="3"/>
  <c r="BO40" i="2"/>
  <c r="BJ40" i="2"/>
  <c r="U40" i="2"/>
  <c r="W35" i="2"/>
  <c r="W40" i="2" s="1"/>
  <c r="AE10" i="2"/>
  <c r="AX11" i="1"/>
  <c r="AH15" i="2"/>
  <c r="AG15" i="2"/>
  <c r="V37" i="1"/>
  <c r="AV13" i="1"/>
  <c r="AC9" i="2"/>
  <c r="AC19" i="2"/>
  <c r="AV23" i="1"/>
  <c r="AI19" i="2"/>
  <c r="BB23" i="1"/>
  <c r="AF11" i="2"/>
  <c r="AY12" i="1"/>
  <c r="AC14" i="2"/>
  <c r="AV9" i="1"/>
  <c r="AZ8" i="1"/>
  <c r="Z37" i="2"/>
  <c r="N19" i="1"/>
  <c r="AA9" i="2"/>
  <c r="AT13" i="1"/>
  <c r="T16" i="3" s="1"/>
  <c r="I16" i="3" s="1"/>
  <c r="K16" i="3" s="1"/>
  <c r="Z39" i="2"/>
  <c r="AS27" i="1"/>
  <c r="AR27" i="1" s="1"/>
  <c r="BR27" i="1" s="1"/>
  <c r="N27" i="1"/>
  <c r="AJ15" i="2"/>
  <c r="Y37" i="1"/>
  <c r="BC8" i="1"/>
  <c r="X12" i="2"/>
  <c r="S35" i="2"/>
  <c r="X35" i="2" s="1"/>
  <c r="Z38" i="2"/>
  <c r="AS21" i="1"/>
  <c r="AR21" i="1" s="1"/>
  <c r="BR21" i="1" s="1"/>
  <c r="N21" i="1"/>
  <c r="AB10" i="2"/>
  <c r="AU11" i="1"/>
  <c r="B51" i="3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50" i="3"/>
  <c r="AC15" i="2"/>
  <c r="R37" i="1"/>
  <c r="AK14" i="2"/>
  <c r="BD9" i="1"/>
  <c r="Z15" i="2"/>
  <c r="O37" i="1"/>
  <c r="N8" i="1"/>
  <c r="AJ10" i="2"/>
  <c r="BC11" i="1"/>
  <c r="G9" i="3"/>
  <c r="P8" i="3"/>
  <c r="BN40" i="2"/>
  <c r="BG40" i="2"/>
  <c r="T72" i="3"/>
  <c r="I72" i="3" s="1"/>
  <c r="K72" i="3" s="1"/>
  <c r="BF40" i="2"/>
  <c r="BQ27" i="2"/>
  <c r="BR27" i="2" s="1"/>
  <c r="AE17" i="2"/>
  <c r="AL17" i="2" s="1"/>
  <c r="N20" i="1"/>
  <c r="BO26" i="2"/>
  <c r="BO31" i="2" s="1"/>
  <c r="BP26" i="2"/>
  <c r="BP31" i="2" s="1"/>
  <c r="BQ35" i="2"/>
  <c r="BR35" i="2" s="1"/>
  <c r="AI21" i="2"/>
  <c r="BB25" i="1"/>
  <c r="AI13" i="2"/>
  <c r="BB15" i="1"/>
  <c r="AK15" i="2"/>
  <c r="Z37" i="1"/>
  <c r="W37" i="1"/>
  <c r="BO37" i="1"/>
  <c r="AJ19" i="2"/>
  <c r="BC23" i="1"/>
  <c r="Z12" i="2"/>
  <c r="N14" i="1"/>
  <c r="AS14" i="1"/>
  <c r="AA10" i="2"/>
  <c r="AT11" i="1"/>
  <c r="T13" i="3" s="1"/>
  <c r="I13" i="3" s="1"/>
  <c r="K13" i="3" s="1"/>
  <c r="AD14" i="2"/>
  <c r="AW9" i="1"/>
  <c r="BK37" i="1"/>
  <c r="AD13" i="2"/>
  <c r="AW15" i="1"/>
  <c r="T88" i="3"/>
  <c r="I88" i="3" s="1"/>
  <c r="K88" i="3" s="1"/>
  <c r="BW37" i="1"/>
  <c r="BW39" i="1" s="1"/>
  <c r="CH9" i="1"/>
  <c r="X9" i="2"/>
  <c r="AC10" i="2"/>
  <c r="AV11" i="1"/>
  <c r="AC39" i="2"/>
  <c r="AC38" i="2"/>
  <c r="AC34" i="2"/>
  <c r="AC36" i="2"/>
  <c r="AC35" i="2"/>
  <c r="AC37" i="2"/>
  <c r="AD5" i="2"/>
  <c r="AO10" i="1"/>
  <c r="AA10" i="1"/>
  <c r="AG11" i="2"/>
  <c r="AZ12" i="1"/>
  <c r="AH11" i="2"/>
  <c r="T63" i="3"/>
  <c r="I63" i="3" s="1"/>
  <c r="K63" i="3" s="1"/>
  <c r="AV30" i="1"/>
  <c r="AR30" i="1" s="1"/>
  <c r="BR30" i="1" s="1"/>
  <c r="N30" i="1"/>
  <c r="BQ10" i="2"/>
  <c r="BR10" i="2" s="1"/>
  <c r="BQ36" i="2"/>
  <c r="BR36" i="2" s="1"/>
  <c r="AB40" i="2"/>
  <c r="AB21" i="2"/>
  <c r="AU25" i="1"/>
  <c r="AB13" i="2"/>
  <c r="AU15" i="1"/>
  <c r="AD15" i="2"/>
  <c r="S37" i="1"/>
  <c r="AS8" i="1"/>
  <c r="AF19" i="2"/>
  <c r="AY23" i="1"/>
  <c r="AD19" i="2"/>
  <c r="AW23" i="1"/>
  <c r="AD9" i="2"/>
  <c r="AW13" i="1"/>
  <c r="BA37" i="1"/>
  <c r="Z10" i="2"/>
  <c r="AS11" i="1"/>
  <c r="N11" i="1"/>
  <c r="AI9" i="2"/>
  <c r="BB13" i="1"/>
  <c r="AH10" i="2"/>
  <c r="AG10" i="2"/>
  <c r="AZ11" i="1"/>
  <c r="BK40" i="2"/>
  <c r="X11" i="2"/>
  <c r="X26" i="2"/>
  <c r="X31" i="2" s="1"/>
  <c r="S31" i="2"/>
  <c r="AK10" i="2"/>
  <c r="BD11" i="1"/>
  <c r="AT25" i="1"/>
  <c r="T6" i="3" s="1"/>
  <c r="AA21" i="2"/>
  <c r="AB19" i="2"/>
  <c r="AU23" i="1"/>
  <c r="AE13" i="2"/>
  <c r="AX15" i="1"/>
  <c r="AO26" i="1"/>
  <c r="AA26" i="1"/>
  <c r="AE22" i="2"/>
  <c r="AL22" i="2" s="1"/>
  <c r="AX26" i="1"/>
  <c r="BQ11" i="2"/>
  <c r="BR11" i="2" s="1"/>
  <c r="BE40" i="2"/>
  <c r="BQ34" i="2"/>
  <c r="BQ28" i="2"/>
  <c r="BR28" i="2" s="1"/>
  <c r="BL40" i="2"/>
  <c r="AJ21" i="2"/>
  <c r="BC25" i="1"/>
  <c r="AJ13" i="2"/>
  <c r="BC15" i="1"/>
  <c r="N9" i="1"/>
  <c r="AI16" i="2"/>
  <c r="BB10" i="1"/>
  <c r="AH19" i="2"/>
  <c r="AG19" i="2"/>
  <c r="AZ23" i="1"/>
  <c r="AB15" i="2"/>
  <c r="Q37" i="1"/>
  <c r="AU8" i="1"/>
  <c r="AI12" i="2"/>
  <c r="BB14" i="1"/>
  <c r="AI10" i="2"/>
  <c r="BB11" i="1"/>
  <c r="AS19" i="1"/>
  <c r="AR19" i="1" s="1"/>
  <c r="X13" i="2"/>
  <c r="BE19" i="1"/>
  <c r="AA13" i="2"/>
  <c r="AT15" i="1"/>
  <c r="T9" i="3" s="1"/>
  <c r="I9" i="3" s="1"/>
  <c r="K9" i="3" s="1"/>
  <c r="N15" i="1"/>
  <c r="AJ12" i="2"/>
  <c r="BC14" i="1"/>
  <c r="C51" i="3"/>
  <c r="C52" i="3" s="1"/>
  <c r="C50" i="3"/>
  <c r="J76" i="3"/>
  <c r="K76" i="3" s="1"/>
  <c r="BQ37" i="2"/>
  <c r="BR37" i="2" s="1"/>
  <c r="BQ38" i="2"/>
  <c r="BR38" i="2" s="1"/>
  <c r="AA48" i="2"/>
  <c r="AF21" i="2"/>
  <c r="AY25" i="1"/>
  <c r="AC21" i="2"/>
  <c r="AV25" i="1"/>
  <c r="AC13" i="2"/>
  <c r="AV15" i="1"/>
  <c r="BP37" i="1"/>
  <c r="AA12" i="2"/>
  <c r="AT14" i="1"/>
  <c r="T22" i="3" s="1"/>
  <c r="I22" i="3" s="1"/>
  <c r="K22" i="3" s="1"/>
  <c r="AW8" i="1"/>
  <c r="AD4" i="2"/>
  <c r="AR4" i="2"/>
  <c r="Z19" i="2"/>
  <c r="AS23" i="1"/>
  <c r="N23" i="1"/>
  <c r="N22" i="1"/>
  <c r="AE15" i="2"/>
  <c r="T37" i="1"/>
  <c r="AX8" i="1"/>
  <c r="AD16" i="2"/>
  <c r="AW10" i="1"/>
  <c r="X38" i="2"/>
  <c r="N18" i="1"/>
  <c r="AR10" i="1"/>
  <c r="BR10" i="1" s="1"/>
  <c r="BL18" i="2" l="1"/>
  <c r="BJ18" i="2"/>
  <c r="BK18" i="2"/>
  <c r="BE18" i="2"/>
  <c r="AY37" i="1"/>
  <c r="AR17" i="1"/>
  <c r="BR17" i="1" s="1"/>
  <c r="AR24" i="1"/>
  <c r="BR24" i="1" s="1"/>
  <c r="AL20" i="2"/>
  <c r="BE26" i="2"/>
  <c r="W31" i="2"/>
  <c r="BJ26" i="2"/>
  <c r="BJ31" i="2" s="1"/>
  <c r="BK26" i="2"/>
  <c r="BK31" i="2" s="1"/>
  <c r="BL26" i="2"/>
  <c r="BL31" i="2" s="1"/>
  <c r="BH26" i="2"/>
  <c r="BH31" i="2" s="1"/>
  <c r="BF26" i="2"/>
  <c r="BI26" i="2"/>
  <c r="BI31" i="2" s="1"/>
  <c r="BN26" i="2"/>
  <c r="BN31" i="2" s="1"/>
  <c r="BM26" i="2"/>
  <c r="BM31" i="2" s="1"/>
  <c r="BG18" i="2"/>
  <c r="BN18" i="2"/>
  <c r="BB37" i="1"/>
  <c r="BR22" i="1"/>
  <c r="AU37" i="1"/>
  <c r="BE37" i="1"/>
  <c r="BD37" i="1"/>
  <c r="AV37" i="1"/>
  <c r="BH18" i="2"/>
  <c r="BM18" i="2"/>
  <c r="BP18" i="2"/>
  <c r="BO18" i="2"/>
  <c r="BF18" i="2"/>
  <c r="BI18" i="2"/>
  <c r="AL11" i="2"/>
  <c r="AT11" i="2" s="1"/>
  <c r="AL16" i="2"/>
  <c r="AL15" i="2"/>
  <c r="AL14" i="2"/>
  <c r="AU14" i="2" s="1"/>
  <c r="AG23" i="2"/>
  <c r="AH23" i="2"/>
  <c r="J48" i="2"/>
  <c r="S48" i="2"/>
  <c r="X48" i="2" s="1"/>
  <c r="I47" i="2"/>
  <c r="K39" i="2"/>
  <c r="BK39" i="2"/>
  <c r="BG39" i="2"/>
  <c r="BJ39" i="2"/>
  <c r="BF39" i="2"/>
  <c r="T73" i="3" s="1"/>
  <c r="I73" i="3" s="1"/>
  <c r="J73" i="3" s="1"/>
  <c r="K73" i="3" s="1"/>
  <c r="BH39" i="2"/>
  <c r="BI39" i="2"/>
  <c r="S39" i="2"/>
  <c r="X39" i="2" s="1"/>
  <c r="BL39" i="2"/>
  <c r="BE39" i="2"/>
  <c r="BQ39" i="2" s="1"/>
  <c r="BR39" i="2" s="1"/>
  <c r="BP39" i="2"/>
  <c r="BO39" i="2"/>
  <c r="BM39" i="2"/>
  <c r="BN39" i="2"/>
  <c r="S40" i="2"/>
  <c r="I15" i="2"/>
  <c r="K14" i="2"/>
  <c r="BG14" i="2"/>
  <c r="BE14" i="2"/>
  <c r="BP14" i="2"/>
  <c r="BL14" i="2"/>
  <c r="BO14" i="2"/>
  <c r="S14" i="2"/>
  <c r="BJ14" i="2"/>
  <c r="BH14" i="2"/>
  <c r="BF14" i="2"/>
  <c r="T64" i="3" s="1"/>
  <c r="I64" i="3" s="1"/>
  <c r="K64" i="3" s="1"/>
  <c r="U14" i="2"/>
  <c r="BN14" i="2"/>
  <c r="BM14" i="2"/>
  <c r="BI14" i="2"/>
  <c r="BK14" i="2"/>
  <c r="G81" i="3"/>
  <c r="AA23" i="1"/>
  <c r="AO23" i="1"/>
  <c r="AA25" i="1"/>
  <c r="AO25" i="1"/>
  <c r="AO15" i="1"/>
  <c r="AA15" i="1"/>
  <c r="AC40" i="2"/>
  <c r="BE31" i="2"/>
  <c r="AO21" i="1"/>
  <c r="AA21" i="1"/>
  <c r="AR12" i="1"/>
  <c r="BR12" i="1" s="1"/>
  <c r="AO13" i="1"/>
  <c r="AA13" i="1"/>
  <c r="X40" i="2"/>
  <c r="AR25" i="1"/>
  <c r="BR25" i="1" s="1"/>
  <c r="C54" i="3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6" i="3"/>
  <c r="C77" i="3" s="1"/>
  <c r="BK22" i="2"/>
  <c r="BO22" i="2"/>
  <c r="BG22" i="2"/>
  <c r="BM22" i="2"/>
  <c r="BJ22" i="2"/>
  <c r="BF22" i="2"/>
  <c r="BE22" i="2"/>
  <c r="BN22" i="2"/>
  <c r="BP22" i="2"/>
  <c r="BH22" i="2"/>
  <c r="BI22" i="2"/>
  <c r="BL22" i="2"/>
  <c r="AS37" i="1"/>
  <c r="AR8" i="1"/>
  <c r="AD23" i="2"/>
  <c r="AO20" i="1"/>
  <c r="AA20" i="1"/>
  <c r="BC37" i="1"/>
  <c r="AA23" i="2"/>
  <c r="AA42" i="2" s="1"/>
  <c r="AR13" i="1"/>
  <c r="BR13" i="1" s="1"/>
  <c r="AL21" i="2"/>
  <c r="AB23" i="2"/>
  <c r="AB42" i="2" s="1"/>
  <c r="AL48" i="2"/>
  <c r="G82" i="3"/>
  <c r="P81" i="3"/>
  <c r="AJ23" i="2"/>
  <c r="AX37" i="1"/>
  <c r="AS4" i="2"/>
  <c r="AE4" i="2"/>
  <c r="BR34" i="2"/>
  <c r="BQ40" i="2"/>
  <c r="CH37" i="1"/>
  <c r="AW37" i="1"/>
  <c r="AL13" i="2"/>
  <c r="AA9" i="1"/>
  <c r="AO9" i="1"/>
  <c r="AI23" i="2"/>
  <c r="AO30" i="1"/>
  <c r="AA30" i="1"/>
  <c r="BW42" i="1"/>
  <c r="BX39" i="1"/>
  <c r="G10" i="3"/>
  <c r="P9" i="3"/>
  <c r="AR15" i="1"/>
  <c r="BR15" i="1" s="1"/>
  <c r="Z23" i="2"/>
  <c r="AL9" i="2"/>
  <c r="AF23" i="2"/>
  <c r="AO18" i="1"/>
  <c r="AA18" i="1"/>
  <c r="AC23" i="2"/>
  <c r="BR19" i="1"/>
  <c r="AV14" i="2"/>
  <c r="AO19" i="1"/>
  <c r="AA19" i="1"/>
  <c r="J6" i="3"/>
  <c r="K6" i="3" s="1"/>
  <c r="AL19" i="2"/>
  <c r="D74" i="3"/>
  <c r="D73" i="3"/>
  <c r="AO31" i="1"/>
  <c r="AA31" i="1"/>
  <c r="AO22" i="1"/>
  <c r="AA22" i="1"/>
  <c r="AO11" i="1"/>
  <c r="AA11" i="1"/>
  <c r="AD39" i="2"/>
  <c r="AD38" i="2"/>
  <c r="AD37" i="2"/>
  <c r="AD35" i="2"/>
  <c r="AD36" i="2"/>
  <c r="AE5" i="2"/>
  <c r="AD34" i="2"/>
  <c r="AR14" i="1"/>
  <c r="BR14" i="1" s="1"/>
  <c r="T56" i="3"/>
  <c r="I56" i="3" s="1"/>
  <c r="K56" i="3" s="1"/>
  <c r="BF31" i="2"/>
  <c r="AZ14" i="2"/>
  <c r="AA27" i="1"/>
  <c r="AO27" i="1"/>
  <c r="AK23" i="2"/>
  <c r="Z40" i="2"/>
  <c r="AO16" i="1"/>
  <c r="AA16" i="1"/>
  <c r="T99" i="3"/>
  <c r="J99" i="3" s="1"/>
  <c r="K99" i="3" s="1"/>
  <c r="AR11" i="1"/>
  <c r="BR11" i="1" s="1"/>
  <c r="AO14" i="1"/>
  <c r="AA14" i="1"/>
  <c r="AA8" i="1"/>
  <c r="N37" i="1"/>
  <c r="AO8" i="1"/>
  <c r="B73" i="3"/>
  <c r="B74" i="3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AZ37" i="1"/>
  <c r="T7" i="3"/>
  <c r="I7" i="3" s="1"/>
  <c r="K7" i="3" s="1"/>
  <c r="AT37" i="1"/>
  <c r="P57" i="3"/>
  <c r="G58" i="3"/>
  <c r="P34" i="3"/>
  <c r="G35" i="3"/>
  <c r="AR23" i="1"/>
  <c r="BR23" i="1" s="1"/>
  <c r="AE23" i="2"/>
  <c r="AL10" i="2"/>
  <c r="AL12" i="2"/>
  <c r="AR9" i="1"/>
  <c r="BR9" i="1" s="1"/>
  <c r="AA17" i="1"/>
  <c r="AO17" i="1"/>
  <c r="AO24" i="1"/>
  <c r="AA24" i="1"/>
  <c r="AQ11" i="2" l="1"/>
  <c r="BQ26" i="2"/>
  <c r="BR26" i="2" s="1"/>
  <c r="BQ18" i="2"/>
  <c r="BR18" i="2" s="1"/>
  <c r="AV11" i="2"/>
  <c r="AZ11" i="2"/>
  <c r="AX11" i="2"/>
  <c r="AW11" i="2"/>
  <c r="AU11" i="2"/>
  <c r="AR11" i="2"/>
  <c r="AY11" i="2"/>
  <c r="AP11" i="2"/>
  <c r="AO11" i="2"/>
  <c r="AS11" i="2"/>
  <c r="AT14" i="2"/>
  <c r="AY14" i="2"/>
  <c r="AO14" i="2"/>
  <c r="AR14" i="2"/>
  <c r="AQ14" i="2"/>
  <c r="AD40" i="2"/>
  <c r="AD42" i="2" s="1"/>
  <c r="U47" i="2"/>
  <c r="K47" i="2"/>
  <c r="S47" i="2"/>
  <c r="BF47" i="2"/>
  <c r="BF49" i="2" s="1"/>
  <c r="I49" i="2"/>
  <c r="BE47" i="2"/>
  <c r="J49" i="2"/>
  <c r="K48" i="2"/>
  <c r="K15" i="2"/>
  <c r="BH15" i="2"/>
  <c r="I16" i="2"/>
  <c r="BL15" i="2"/>
  <c r="BI15" i="2"/>
  <c r="BF15" i="2"/>
  <c r="T55" i="3" s="1"/>
  <c r="I55" i="3" s="1"/>
  <c r="K55" i="3" s="1"/>
  <c r="BG15" i="2"/>
  <c r="U15" i="2"/>
  <c r="W15" i="2" s="1"/>
  <c r="S15" i="2"/>
  <c r="BJ15" i="2"/>
  <c r="BN15" i="2"/>
  <c r="BO15" i="2"/>
  <c r="BP15" i="2"/>
  <c r="BK15" i="2"/>
  <c r="BM15" i="2"/>
  <c r="BE15" i="2"/>
  <c r="X14" i="2"/>
  <c r="AX14" i="2"/>
  <c r="AW14" i="2"/>
  <c r="AS14" i="2"/>
  <c r="BR52" i="2"/>
  <c r="BS52" i="2" s="1"/>
  <c r="W14" i="2"/>
  <c r="BQ14" i="2"/>
  <c r="BR14" i="2" s="1"/>
  <c r="AP14" i="2"/>
  <c r="T41" i="3" s="1"/>
  <c r="I41" i="3" s="1"/>
  <c r="K41" i="3" s="1"/>
  <c r="AE38" i="2"/>
  <c r="AE37" i="2"/>
  <c r="AE36" i="2"/>
  <c r="AE35" i="2"/>
  <c r="AE39" i="2"/>
  <c r="AF5" i="2"/>
  <c r="AE34" i="2"/>
  <c r="B97" i="3"/>
  <c r="B98" i="3"/>
  <c r="B99" i="3" s="1"/>
  <c r="AC42" i="2"/>
  <c r="P82" i="3"/>
  <c r="G83" i="3"/>
  <c r="P35" i="3"/>
  <c r="G36" i="3"/>
  <c r="G11" i="3"/>
  <c r="P10" i="3"/>
  <c r="AO37" i="1"/>
  <c r="T28" i="3"/>
  <c r="I28" i="3" s="1"/>
  <c r="K28" i="3" s="1"/>
  <c r="AL23" i="2"/>
  <c r="AQ9" i="2"/>
  <c r="AZ9" i="2"/>
  <c r="AX9" i="2"/>
  <c r="AY9" i="2"/>
  <c r="AV9" i="2"/>
  <c r="AP9" i="2"/>
  <c r="AO9" i="2"/>
  <c r="AT9" i="2"/>
  <c r="AW9" i="2"/>
  <c r="AS9" i="2"/>
  <c r="AU9" i="2"/>
  <c r="AR9" i="2"/>
  <c r="BX42" i="1"/>
  <c r="BY39" i="1"/>
  <c r="AT4" i="2"/>
  <c r="AF4" i="2"/>
  <c r="G59" i="3"/>
  <c r="P58" i="3"/>
  <c r="Z42" i="2"/>
  <c r="AV12" i="2"/>
  <c r="AU12" i="2"/>
  <c r="AX12" i="2"/>
  <c r="AT12" i="2"/>
  <c r="AP12" i="2"/>
  <c r="T46" i="3" s="1"/>
  <c r="I46" i="3" s="1"/>
  <c r="K46" i="3" s="1"/>
  <c r="AS12" i="2"/>
  <c r="AO12" i="2"/>
  <c r="AZ12" i="2"/>
  <c r="AR12" i="2"/>
  <c r="AW12" i="2"/>
  <c r="AY12" i="2"/>
  <c r="AQ12" i="2"/>
  <c r="AR37" i="1"/>
  <c r="BR8" i="1"/>
  <c r="BR37" i="1" s="1"/>
  <c r="BR41" i="1" s="1"/>
  <c r="C78" i="3"/>
  <c r="C79" i="3" s="1"/>
  <c r="C80" i="3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AQ10" i="2"/>
  <c r="AS10" i="2"/>
  <c r="AX10" i="2"/>
  <c r="AP10" i="2"/>
  <c r="AY10" i="2"/>
  <c r="AT10" i="2"/>
  <c r="AW10" i="2"/>
  <c r="AZ10" i="2"/>
  <c r="AO10" i="2"/>
  <c r="AR10" i="2"/>
  <c r="AV10" i="2"/>
  <c r="AU10" i="2"/>
  <c r="AQ13" i="2"/>
  <c r="AT13" i="2"/>
  <c r="AV13" i="2"/>
  <c r="AP13" i="2"/>
  <c r="AO13" i="2"/>
  <c r="AU13" i="2"/>
  <c r="AX13" i="2"/>
  <c r="AY13" i="2"/>
  <c r="AZ13" i="2"/>
  <c r="AR13" i="2"/>
  <c r="AS13" i="2"/>
  <c r="AW13" i="2"/>
  <c r="BF39" i="1"/>
  <c r="AS39" i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Q22" i="2"/>
  <c r="C74" i="3"/>
  <c r="C75" i="3" s="1"/>
  <c r="C73" i="3"/>
  <c r="BQ31" i="2" l="1"/>
  <c r="BA11" i="2"/>
  <c r="BB11" i="2" s="1"/>
  <c r="AE40" i="2"/>
  <c r="AE42" i="2" s="1"/>
  <c r="BA14" i="2"/>
  <c r="BB14" i="2" s="1"/>
  <c r="BE49" i="2"/>
  <c r="BQ47" i="2"/>
  <c r="X47" i="2"/>
  <c r="X49" i="2" s="1"/>
  <c r="S49" i="2"/>
  <c r="BB49" i="2" s="1"/>
  <c r="BB47" i="2"/>
  <c r="W47" i="2"/>
  <c r="W49" i="2" s="1"/>
  <c r="U49" i="2"/>
  <c r="BN16" i="2"/>
  <c r="BF16" i="2"/>
  <c r="T60" i="3" s="1"/>
  <c r="I60" i="3" s="1"/>
  <c r="J60" i="3" s="1"/>
  <c r="K60" i="3" s="1"/>
  <c r="I17" i="2"/>
  <c r="K16" i="2"/>
  <c r="BM16" i="2"/>
  <c r="BP16" i="2"/>
  <c r="BG16" i="2"/>
  <c r="BI16" i="2"/>
  <c r="BE16" i="2"/>
  <c r="BO16" i="2"/>
  <c r="S16" i="2"/>
  <c r="BJ16" i="2"/>
  <c r="BL16" i="2"/>
  <c r="BK16" i="2"/>
  <c r="BH16" i="2"/>
  <c r="AZ15" i="2"/>
  <c r="AW15" i="2"/>
  <c r="AY15" i="2"/>
  <c r="X15" i="2"/>
  <c r="AP15" i="2"/>
  <c r="T31" i="3" s="1"/>
  <c r="I31" i="3" s="1"/>
  <c r="K31" i="3" s="1"/>
  <c r="AR15" i="2"/>
  <c r="AT15" i="2"/>
  <c r="AX15" i="2"/>
  <c r="AV15" i="2"/>
  <c r="AU15" i="2"/>
  <c r="AQ15" i="2"/>
  <c r="AS15" i="2"/>
  <c r="AO15" i="2"/>
  <c r="BQ15" i="2"/>
  <c r="BR15" i="2" s="1"/>
  <c r="BA13" i="2"/>
  <c r="BB13" i="2" s="1"/>
  <c r="BG39" i="1"/>
  <c r="BF42" i="1"/>
  <c r="G12" i="3"/>
  <c r="P11" i="3"/>
  <c r="BA10" i="2"/>
  <c r="BB10" i="2" s="1"/>
  <c r="P59" i="3"/>
  <c r="G60" i="3"/>
  <c r="P36" i="3"/>
  <c r="G37" i="3"/>
  <c r="AF37" i="2"/>
  <c r="AF36" i="2"/>
  <c r="AF39" i="2"/>
  <c r="AF38" i="2"/>
  <c r="AF34" i="2"/>
  <c r="AF35" i="2"/>
  <c r="AG5" i="2"/>
  <c r="AU4" i="2"/>
  <c r="AG4" i="2"/>
  <c r="BA9" i="2"/>
  <c r="BY42" i="1"/>
  <c r="BZ39" i="1"/>
  <c r="T40" i="3"/>
  <c r="I40" i="3" s="1"/>
  <c r="K40" i="3" s="1"/>
  <c r="P83" i="3"/>
  <c r="G84" i="3"/>
  <c r="C98" i="3"/>
  <c r="C99" i="3" s="1"/>
  <c r="C53" i="3" s="1"/>
  <c r="C97" i="3"/>
  <c r="BD40" i="1"/>
  <c r="BA12" i="2"/>
  <c r="BB12" i="2" s="1"/>
  <c r="BR47" i="2" l="1"/>
  <c r="BQ49" i="2"/>
  <c r="BA15" i="2"/>
  <c r="BB15" i="2" s="1"/>
  <c r="AU16" i="2"/>
  <c r="AX16" i="2"/>
  <c r="X16" i="2"/>
  <c r="AT16" i="2"/>
  <c r="AY16" i="2"/>
  <c r="AO16" i="2"/>
  <c r="AV16" i="2"/>
  <c r="AZ16" i="2"/>
  <c r="AR16" i="2"/>
  <c r="AS16" i="2"/>
  <c r="AP16" i="2"/>
  <c r="AW16" i="2"/>
  <c r="AQ16" i="2"/>
  <c r="BL17" i="2"/>
  <c r="I18" i="2"/>
  <c r="K17" i="2"/>
  <c r="S17" i="2"/>
  <c r="BE17" i="2"/>
  <c r="BP17" i="2"/>
  <c r="BF17" i="2"/>
  <c r="BI17" i="2"/>
  <c r="BK17" i="2"/>
  <c r="BN17" i="2"/>
  <c r="BH17" i="2"/>
  <c r="BJ17" i="2"/>
  <c r="BG17" i="2"/>
  <c r="BO17" i="2"/>
  <c r="BM17" i="2"/>
  <c r="BQ16" i="2"/>
  <c r="BR16" i="2" s="1"/>
  <c r="BB9" i="2"/>
  <c r="P84" i="3"/>
  <c r="G85" i="3"/>
  <c r="CA39" i="1"/>
  <c r="BZ42" i="1"/>
  <c r="P60" i="3"/>
  <c r="G61" i="3"/>
  <c r="BH39" i="1"/>
  <c r="BG42" i="1"/>
  <c r="AG37" i="2"/>
  <c r="AG35" i="2"/>
  <c r="AG39" i="2"/>
  <c r="AG38" i="2"/>
  <c r="AG34" i="2"/>
  <c r="AH5" i="2"/>
  <c r="AG36" i="2"/>
  <c r="G38" i="3"/>
  <c r="P37" i="3"/>
  <c r="AV4" i="2"/>
  <c r="AH4" i="2"/>
  <c r="AF40" i="2"/>
  <c r="AF42" i="2" s="1"/>
  <c r="P12" i="3"/>
  <c r="G13" i="3"/>
  <c r="AX17" i="2" l="1"/>
  <c r="AS17" i="2"/>
  <c r="AP17" i="2"/>
  <c r="AW17" i="2"/>
  <c r="X17" i="2"/>
  <c r="AZ17" i="2"/>
  <c r="AO17" i="2"/>
  <c r="AY17" i="2"/>
  <c r="AU17" i="2"/>
  <c r="AT17" i="2"/>
  <c r="AR17" i="2"/>
  <c r="AV17" i="2"/>
  <c r="AQ17" i="2"/>
  <c r="I19" i="2"/>
  <c r="K18" i="2"/>
  <c r="S18" i="2"/>
  <c r="BA16" i="2"/>
  <c r="T57" i="3"/>
  <c r="I57" i="3" s="1"/>
  <c r="K57" i="3" s="1"/>
  <c r="BQ17" i="2"/>
  <c r="BR17" i="2" s="1"/>
  <c r="AW4" i="2"/>
  <c r="AI4" i="2"/>
  <c r="AH36" i="2"/>
  <c r="AH35" i="2"/>
  <c r="AH38" i="2"/>
  <c r="AH34" i="2"/>
  <c r="AH37" i="2"/>
  <c r="AH39" i="2"/>
  <c r="AI5" i="2"/>
  <c r="BI39" i="1"/>
  <c r="BH42" i="1"/>
  <c r="AG40" i="2"/>
  <c r="AG42" i="2" s="1"/>
  <c r="P38" i="3"/>
  <c r="G39" i="3"/>
  <c r="CB39" i="1"/>
  <c r="CA42" i="1"/>
  <c r="P13" i="3"/>
  <c r="G14" i="3"/>
  <c r="P61" i="3"/>
  <c r="G62" i="3"/>
  <c r="P85" i="3"/>
  <c r="G86" i="3"/>
  <c r="X18" i="2" l="1"/>
  <c r="AS18" i="2"/>
  <c r="AP18" i="2"/>
  <c r="AR18" i="2"/>
  <c r="AV18" i="2"/>
  <c r="AX18" i="2"/>
  <c r="AY18" i="2"/>
  <c r="AT18" i="2"/>
  <c r="AW18" i="2"/>
  <c r="AU18" i="2"/>
  <c r="AZ18" i="2"/>
  <c r="AO18" i="2"/>
  <c r="AQ18" i="2"/>
  <c r="T34" i="3"/>
  <c r="I34" i="3" s="1"/>
  <c r="K34" i="3" s="1"/>
  <c r="I20" i="2"/>
  <c r="J19" i="2"/>
  <c r="S19" i="2" s="1"/>
  <c r="BB16" i="2"/>
  <c r="BA17" i="2"/>
  <c r="BB17" i="2" s="1"/>
  <c r="G87" i="3"/>
  <c r="P86" i="3"/>
  <c r="AH40" i="2"/>
  <c r="AH42" i="2" s="1"/>
  <c r="G63" i="3"/>
  <c r="P62" i="3"/>
  <c r="CC39" i="1"/>
  <c r="CB42" i="1"/>
  <c r="P39" i="3"/>
  <c r="G40" i="3"/>
  <c r="BJ39" i="1"/>
  <c r="BI42" i="1"/>
  <c r="AX4" i="2"/>
  <c r="AJ4" i="2"/>
  <c r="P14" i="3"/>
  <c r="G15" i="3"/>
  <c r="AI39" i="2"/>
  <c r="AI37" i="2"/>
  <c r="AI36" i="2"/>
  <c r="AI35" i="2"/>
  <c r="AI38" i="2"/>
  <c r="AI34" i="2"/>
  <c r="AJ5" i="2"/>
  <c r="AI40" i="2" l="1"/>
  <c r="AI42" i="2" s="1"/>
  <c r="AV19" i="2"/>
  <c r="AZ19" i="2"/>
  <c r="AO19" i="2"/>
  <c r="AR19" i="2"/>
  <c r="AW19" i="2"/>
  <c r="AU19" i="2"/>
  <c r="AY19" i="2"/>
  <c r="AX19" i="2"/>
  <c r="AT19" i="2"/>
  <c r="AS19" i="2"/>
  <c r="AP19" i="2"/>
  <c r="T45" i="3" s="1"/>
  <c r="I45" i="3" s="1"/>
  <c r="K45" i="3" s="1"/>
  <c r="AQ19" i="2"/>
  <c r="K19" i="2"/>
  <c r="I21" i="2"/>
  <c r="J20" i="2"/>
  <c r="K20" i="2" s="1"/>
  <c r="U20" i="2"/>
  <c r="W20" i="2" s="1"/>
  <c r="U19" i="2"/>
  <c r="X19" i="2" s="1"/>
  <c r="BA18" i="2"/>
  <c r="BB18" i="2" s="1"/>
  <c r="AK4" i="2"/>
  <c r="AZ4" i="2" s="1"/>
  <c r="AY4" i="2"/>
  <c r="CD39" i="1"/>
  <c r="CC42" i="1"/>
  <c r="BK39" i="1"/>
  <c r="BJ42" i="1"/>
  <c r="G64" i="3"/>
  <c r="P63" i="3"/>
  <c r="P40" i="3"/>
  <c r="G41" i="3"/>
  <c r="AJ35" i="2"/>
  <c r="AJ39" i="2"/>
  <c r="AJ38" i="2"/>
  <c r="AJ34" i="2"/>
  <c r="AJ37" i="2"/>
  <c r="AJ36" i="2"/>
  <c r="AK5" i="2"/>
  <c r="P15" i="3"/>
  <c r="G16" i="3"/>
  <c r="G88" i="3"/>
  <c r="P87" i="3"/>
  <c r="AJ40" i="2" l="1"/>
  <c r="AJ42" i="2" s="1"/>
  <c r="BK20" i="2"/>
  <c r="BE20" i="2"/>
  <c r="BJ20" i="2"/>
  <c r="BL20" i="2"/>
  <c r="BI20" i="2"/>
  <c r="BF20" i="2"/>
  <c r="T65" i="3" s="1"/>
  <c r="I65" i="3" s="1"/>
  <c r="K65" i="3" s="1"/>
  <c r="BH20" i="2"/>
  <c r="BO20" i="2"/>
  <c r="BG20" i="2"/>
  <c r="BP20" i="2"/>
  <c r="BM20" i="2"/>
  <c r="BN20" i="2"/>
  <c r="BA19" i="2"/>
  <c r="BB19" i="2" s="1"/>
  <c r="W19" i="2"/>
  <c r="I22" i="2"/>
  <c r="J21" i="2"/>
  <c r="U21" i="2" s="1"/>
  <c r="S21" i="2"/>
  <c r="S20" i="2"/>
  <c r="AK39" i="2"/>
  <c r="AL39" i="2" s="1"/>
  <c r="AK38" i="2"/>
  <c r="AL38" i="2" s="1"/>
  <c r="AK34" i="2"/>
  <c r="AK36" i="2"/>
  <c r="AL36" i="2" s="1"/>
  <c r="AK35" i="2"/>
  <c r="AL35" i="2" s="1"/>
  <c r="AK37" i="2"/>
  <c r="AL37" i="2" s="1"/>
  <c r="G65" i="3"/>
  <c r="P64" i="3"/>
  <c r="P88" i="3"/>
  <c r="G89" i="3"/>
  <c r="BK42" i="1"/>
  <c r="BL39" i="1"/>
  <c r="P16" i="3"/>
  <c r="G17" i="3"/>
  <c r="CD42" i="1"/>
  <c r="CE39" i="1"/>
  <c r="P41" i="3"/>
  <c r="G42" i="3"/>
  <c r="W21" i="2" l="1"/>
  <c r="U23" i="2"/>
  <c r="U42" i="2" s="1"/>
  <c r="X21" i="2"/>
  <c r="AV21" i="2"/>
  <c r="AO21" i="2"/>
  <c r="AZ21" i="2"/>
  <c r="AT21" i="2"/>
  <c r="AX21" i="2"/>
  <c r="AR21" i="2"/>
  <c r="AU21" i="2"/>
  <c r="AS21" i="2"/>
  <c r="AY21" i="2"/>
  <c r="AW21" i="2"/>
  <c r="AP21" i="2"/>
  <c r="AQ21" i="2"/>
  <c r="J22" i="2"/>
  <c r="K22" i="2" s="1"/>
  <c r="S22" i="2"/>
  <c r="I23" i="2"/>
  <c r="I42" i="2" s="1"/>
  <c r="BQ20" i="2"/>
  <c r="BR20" i="2" s="1"/>
  <c r="K21" i="2"/>
  <c r="J23" i="2"/>
  <c r="J42" i="2" s="1"/>
  <c r="BN19" i="2"/>
  <c r="BK19" i="2"/>
  <c r="BG19" i="2"/>
  <c r="BJ19" i="2"/>
  <c r="BF19" i="2"/>
  <c r="BI19" i="2"/>
  <c r="BH19" i="2"/>
  <c r="BP19" i="2"/>
  <c r="BO19" i="2"/>
  <c r="BM19" i="2"/>
  <c r="BE19" i="2"/>
  <c r="BL19" i="2"/>
  <c r="W23" i="2"/>
  <c r="W42" i="2" s="1"/>
  <c r="AR20" i="2"/>
  <c r="AW20" i="2"/>
  <c r="AV20" i="2"/>
  <c r="AX20" i="2"/>
  <c r="X20" i="2"/>
  <c r="AQ20" i="2"/>
  <c r="AO20" i="2"/>
  <c r="AZ20" i="2"/>
  <c r="AU20" i="2"/>
  <c r="AP20" i="2"/>
  <c r="T42" i="3" s="1"/>
  <c r="I42" i="3" s="1"/>
  <c r="K42" i="3" s="1"/>
  <c r="AS20" i="2"/>
  <c r="AT20" i="2"/>
  <c r="AY20" i="2"/>
  <c r="P17" i="3"/>
  <c r="G18" i="3"/>
  <c r="P65" i="3"/>
  <c r="G66" i="3"/>
  <c r="AY37" i="2"/>
  <c r="AQ37" i="2"/>
  <c r="AX37" i="2"/>
  <c r="AP37" i="2"/>
  <c r="T37" i="3" s="1"/>
  <c r="AW37" i="2"/>
  <c r="AO37" i="2"/>
  <c r="AV37" i="2"/>
  <c r="AT37" i="2"/>
  <c r="AS37" i="2"/>
  <c r="AZ37" i="2"/>
  <c r="AR37" i="2"/>
  <c r="AU37" i="2"/>
  <c r="AT35" i="2"/>
  <c r="AZ35" i="2"/>
  <c r="AR35" i="2"/>
  <c r="AY35" i="2"/>
  <c r="AQ35" i="2"/>
  <c r="AW35" i="2"/>
  <c r="AO35" i="2"/>
  <c r="AV35" i="2"/>
  <c r="AU35" i="2"/>
  <c r="AX35" i="2"/>
  <c r="AS35" i="2"/>
  <c r="AP35" i="2"/>
  <c r="P42" i="3"/>
  <c r="G43" i="3"/>
  <c r="BL42" i="1"/>
  <c r="BM39" i="1"/>
  <c r="AZ36" i="2"/>
  <c r="AR36" i="2"/>
  <c r="AX36" i="2"/>
  <c r="AP36" i="2"/>
  <c r="T51" i="3" s="1"/>
  <c r="I51" i="3" s="1"/>
  <c r="K51" i="3" s="1"/>
  <c r="AW36" i="2"/>
  <c r="AO36" i="2"/>
  <c r="AU36" i="2"/>
  <c r="AT36" i="2"/>
  <c r="AS36" i="2"/>
  <c r="AY36" i="2"/>
  <c r="AV36" i="2"/>
  <c r="AQ36" i="2"/>
  <c r="CE42" i="1"/>
  <c r="CF39" i="1"/>
  <c r="AK40" i="2"/>
  <c r="AK42" i="2" s="1"/>
  <c r="AL34" i="2"/>
  <c r="P89" i="3"/>
  <c r="G90" i="3"/>
  <c r="AR38" i="2"/>
  <c r="AY38" i="2"/>
  <c r="AW38" i="2"/>
  <c r="AV38" i="2"/>
  <c r="AX38" i="2"/>
  <c r="AZ38" i="2"/>
  <c r="AQ38" i="2"/>
  <c r="AO38" i="2"/>
  <c r="AS38" i="2"/>
  <c r="AU38" i="2"/>
  <c r="AP38" i="2"/>
  <c r="AT38" i="2"/>
  <c r="AT39" i="2"/>
  <c r="AO39" i="2"/>
  <c r="AS39" i="2"/>
  <c r="AR39" i="2"/>
  <c r="AZ39" i="2"/>
  <c r="AQ39" i="2"/>
  <c r="AW39" i="2"/>
  <c r="AV39" i="2"/>
  <c r="AX39" i="2"/>
  <c r="AU39" i="2"/>
  <c r="AY39" i="2"/>
  <c r="AP39" i="2"/>
  <c r="T50" i="3" s="1"/>
  <c r="I50" i="3" s="1"/>
  <c r="K50" i="3" s="1"/>
  <c r="BA21" i="2" l="1"/>
  <c r="BB21" i="2" s="1"/>
  <c r="BA35" i="2"/>
  <c r="BB35" i="2" s="1"/>
  <c r="T68" i="3"/>
  <c r="I68" i="3" s="1"/>
  <c r="K68" i="3" s="1"/>
  <c r="BA20" i="2"/>
  <c r="AQ22" i="2"/>
  <c r="AQ23" i="2" s="1"/>
  <c r="X22" i="2"/>
  <c r="X23" i="2" s="1"/>
  <c r="X42" i="2" s="1"/>
  <c r="AU22" i="2"/>
  <c r="AU23" i="2" s="1"/>
  <c r="AY22" i="2"/>
  <c r="AY23" i="2" s="1"/>
  <c r="AV22" i="2"/>
  <c r="AV23" i="2" s="1"/>
  <c r="AX22" i="2"/>
  <c r="AX23" i="2" s="1"/>
  <c r="AP22" i="2"/>
  <c r="AP23" i="2" s="1"/>
  <c r="AZ22" i="2"/>
  <c r="AZ23" i="2" s="1"/>
  <c r="AO22" i="2"/>
  <c r="AO23" i="2" s="1"/>
  <c r="AS22" i="2"/>
  <c r="AS23" i="2" s="1"/>
  <c r="AT22" i="2"/>
  <c r="AT23" i="2" s="1"/>
  <c r="AR22" i="2"/>
  <c r="AR23" i="2" s="1"/>
  <c r="AW22" i="2"/>
  <c r="AW23" i="2" s="1"/>
  <c r="S23" i="2"/>
  <c r="S42" i="2" s="1"/>
  <c r="BQ19" i="2"/>
  <c r="K23" i="2"/>
  <c r="BL21" i="2"/>
  <c r="BL23" i="2" s="1"/>
  <c r="BL42" i="2" s="1"/>
  <c r="BL50" i="2" s="1"/>
  <c r="BL60" i="2" s="1"/>
  <c r="BP21" i="2"/>
  <c r="BP23" i="2" s="1"/>
  <c r="BP42" i="2" s="1"/>
  <c r="BP50" i="2" s="1"/>
  <c r="BP60" i="2" s="1"/>
  <c r="BM21" i="2"/>
  <c r="BM23" i="2" s="1"/>
  <c r="BM42" i="2" s="1"/>
  <c r="BM50" i="2" s="1"/>
  <c r="BM60" i="2" s="1"/>
  <c r="BN21" i="2"/>
  <c r="BN23" i="2" s="1"/>
  <c r="BN42" i="2" s="1"/>
  <c r="BN50" i="2" s="1"/>
  <c r="BN60" i="2" s="1"/>
  <c r="BJ21" i="2"/>
  <c r="BJ23" i="2" s="1"/>
  <c r="BJ42" i="2" s="1"/>
  <c r="BJ50" i="2" s="1"/>
  <c r="BJ60" i="2" s="1"/>
  <c r="BH21" i="2"/>
  <c r="BH23" i="2" s="1"/>
  <c r="BH42" i="2" s="1"/>
  <c r="BH50" i="2" s="1"/>
  <c r="BH60" i="2" s="1"/>
  <c r="BG21" i="2"/>
  <c r="BG23" i="2" s="1"/>
  <c r="BG42" i="2" s="1"/>
  <c r="BG50" i="2" s="1"/>
  <c r="BG60" i="2" s="1"/>
  <c r="BF21" i="2"/>
  <c r="T54" i="3" s="1"/>
  <c r="BE21" i="2"/>
  <c r="BI21" i="2"/>
  <c r="BI23" i="2" s="1"/>
  <c r="BI42" i="2" s="1"/>
  <c r="BI50" i="2" s="1"/>
  <c r="BI60" i="2" s="1"/>
  <c r="BO21" i="2"/>
  <c r="BO23" i="2" s="1"/>
  <c r="BO42" i="2" s="1"/>
  <c r="BO50" i="2" s="1"/>
  <c r="BO60" i="2" s="1"/>
  <c r="BK21" i="2"/>
  <c r="BK23" i="2" s="1"/>
  <c r="BK42" i="2" s="1"/>
  <c r="BK50" i="2" s="1"/>
  <c r="BK60" i="2" s="1"/>
  <c r="I37" i="3"/>
  <c r="K37" i="3" s="1"/>
  <c r="BA38" i="2"/>
  <c r="BB38" i="2" s="1"/>
  <c r="P90" i="3"/>
  <c r="G91" i="3"/>
  <c r="P66" i="3"/>
  <c r="G67" i="3"/>
  <c r="G44" i="3"/>
  <c r="P43" i="3"/>
  <c r="CF42" i="1"/>
  <c r="CG39" i="1"/>
  <c r="BA36" i="2"/>
  <c r="BB36" i="2" s="1"/>
  <c r="BA39" i="2"/>
  <c r="BB39" i="2" s="1"/>
  <c r="AL40" i="2"/>
  <c r="AL42" i="2" s="1"/>
  <c r="AU34" i="2"/>
  <c r="AU40" i="2" s="1"/>
  <c r="AT34" i="2"/>
  <c r="AT40" i="2" s="1"/>
  <c r="AZ34" i="2"/>
  <c r="AZ40" i="2" s="1"/>
  <c r="AR34" i="2"/>
  <c r="AR40" i="2" s="1"/>
  <c r="AY34" i="2"/>
  <c r="AY40" i="2" s="1"/>
  <c r="AQ34" i="2"/>
  <c r="AQ40" i="2" s="1"/>
  <c r="AX34" i="2"/>
  <c r="AX40" i="2" s="1"/>
  <c r="AP34" i="2"/>
  <c r="AW34" i="2"/>
  <c r="AW40" i="2" s="1"/>
  <c r="AV34" i="2"/>
  <c r="AV40" i="2" s="1"/>
  <c r="AS34" i="2"/>
  <c r="AS40" i="2" s="1"/>
  <c r="AO34" i="2"/>
  <c r="BM42" i="1"/>
  <c r="BN39" i="1"/>
  <c r="BA37" i="2"/>
  <c r="BB37" i="2" s="1"/>
  <c r="P18" i="3"/>
  <c r="G19" i="3"/>
  <c r="AT42" i="2" l="1"/>
  <c r="AT50" i="2" s="1"/>
  <c r="AW42" i="2"/>
  <c r="AW50" i="2" s="1"/>
  <c r="AY42" i="2"/>
  <c r="AY50" i="2" s="1"/>
  <c r="AR42" i="2"/>
  <c r="AR50" i="2" s="1"/>
  <c r="AS42" i="2"/>
  <c r="AS50" i="2" s="1"/>
  <c r="AZ42" i="2"/>
  <c r="AZ50" i="2" s="1"/>
  <c r="AV42" i="2"/>
  <c r="AV50" i="2" s="1"/>
  <c r="AU42" i="2"/>
  <c r="AU50" i="2" s="1"/>
  <c r="BB20" i="2"/>
  <c r="T30" i="3"/>
  <c r="I30" i="3" s="1"/>
  <c r="K30" i="3" s="1"/>
  <c r="BQ21" i="2"/>
  <c r="BQ23" i="2" s="1"/>
  <c r="I54" i="3"/>
  <c r="K54" i="3" s="1"/>
  <c r="T75" i="3"/>
  <c r="J75" i="3" s="1"/>
  <c r="K75" i="3" s="1"/>
  <c r="BF23" i="2"/>
  <c r="BF42" i="2" s="1"/>
  <c r="BF50" i="2" s="1"/>
  <c r="BF60" i="2" s="1"/>
  <c r="AX42" i="2"/>
  <c r="AX50" i="2" s="1"/>
  <c r="BE23" i="2"/>
  <c r="BE42" i="2" s="1"/>
  <c r="BE50" i="2" s="1"/>
  <c r="BA22" i="2"/>
  <c r="BB22" i="2" s="1"/>
  <c r="AQ42" i="2"/>
  <c r="AQ50" i="2" s="1"/>
  <c r="BR19" i="2"/>
  <c r="P44" i="3"/>
  <c r="G45" i="3"/>
  <c r="P67" i="3"/>
  <c r="G68" i="3"/>
  <c r="P19" i="3"/>
  <c r="G20" i="3"/>
  <c r="AP40" i="2"/>
  <c r="AP42" i="2" s="1"/>
  <c r="AP50" i="2" s="1"/>
  <c r="T49" i="3"/>
  <c r="G92" i="3"/>
  <c r="P91" i="3"/>
  <c r="CG42" i="1"/>
  <c r="CH39" i="1"/>
  <c r="BO39" i="1"/>
  <c r="BN42" i="1"/>
  <c r="AO40" i="2"/>
  <c r="AO42" i="2" s="1"/>
  <c r="AO50" i="2" s="1"/>
  <c r="AO55" i="2" s="1"/>
  <c r="BA34" i="2"/>
  <c r="BQ42" i="2" l="1"/>
  <c r="BQ50" i="2" s="1"/>
  <c r="BQ60" i="2" s="1"/>
  <c r="BR23" i="2"/>
  <c r="BA23" i="2"/>
  <c r="BB23" i="2" s="1"/>
  <c r="BE60" i="2"/>
  <c r="BE55" i="2"/>
  <c r="I49" i="3"/>
  <c r="K49" i="3" s="1"/>
  <c r="T52" i="3"/>
  <c r="J52" i="3" s="1"/>
  <c r="K52" i="3" s="1"/>
  <c r="BP39" i="1"/>
  <c r="BO42" i="1"/>
  <c r="G21" i="3"/>
  <c r="P20" i="3"/>
  <c r="AO57" i="2"/>
  <c r="AP55" i="2"/>
  <c r="P68" i="3"/>
  <c r="G69" i="3"/>
  <c r="G93" i="3"/>
  <c r="P92" i="3"/>
  <c r="BA40" i="2"/>
  <c r="BB34" i="2"/>
  <c r="G46" i="3"/>
  <c r="P45" i="3"/>
  <c r="BE57" i="2" l="1"/>
  <c r="BF55" i="2"/>
  <c r="BB40" i="2"/>
  <c r="BA42" i="2"/>
  <c r="G22" i="3"/>
  <c r="P21" i="3"/>
  <c r="AP57" i="2"/>
  <c r="AQ55" i="2"/>
  <c r="P93" i="3"/>
  <c r="G94" i="3"/>
  <c r="BQ39" i="1"/>
  <c r="BQ42" i="1" s="1"/>
  <c r="BP42" i="1"/>
  <c r="P46" i="3"/>
  <c r="G47" i="3"/>
  <c r="G70" i="3"/>
  <c r="P69" i="3"/>
  <c r="BG55" i="2" l="1"/>
  <c r="BF57" i="2"/>
  <c r="AR55" i="2"/>
  <c r="AQ57" i="2"/>
  <c r="G72" i="3"/>
  <c r="P70" i="3"/>
  <c r="G71" i="3"/>
  <c r="G49" i="3"/>
  <c r="P47" i="3"/>
  <c r="G48" i="3"/>
  <c r="G23" i="3"/>
  <c r="P22" i="3"/>
  <c r="G96" i="3"/>
  <c r="P94" i="3"/>
  <c r="G95" i="3"/>
  <c r="BA50" i="2"/>
  <c r="BB42" i="2"/>
  <c r="BG57" i="2" l="1"/>
  <c r="BH55" i="2"/>
  <c r="P95" i="3"/>
  <c r="G97" i="3"/>
  <c r="P97" i="3" s="1"/>
  <c r="G52" i="3"/>
  <c r="P52" i="3" s="1"/>
  <c r="G51" i="3"/>
  <c r="P51" i="3" s="1"/>
  <c r="P49" i="3"/>
  <c r="P96" i="3"/>
  <c r="G99" i="3"/>
  <c r="P99" i="3" s="1"/>
  <c r="G98" i="3"/>
  <c r="P98" i="3" s="1"/>
  <c r="P71" i="3"/>
  <c r="G73" i="3"/>
  <c r="P73" i="3" s="1"/>
  <c r="G50" i="3"/>
  <c r="P50" i="3" s="1"/>
  <c r="P48" i="3"/>
  <c r="G24" i="3"/>
  <c r="G25" i="3"/>
  <c r="P23" i="3"/>
  <c r="G75" i="3"/>
  <c r="P75" i="3" s="1"/>
  <c r="P72" i="3"/>
  <c r="G74" i="3"/>
  <c r="P74" i="3" s="1"/>
  <c r="AS55" i="2"/>
  <c r="AR57" i="2"/>
  <c r="BH57" i="2" l="1"/>
  <c r="BI55" i="2"/>
  <c r="P25" i="3"/>
  <c r="G28" i="3"/>
  <c r="P28" i="3" s="1"/>
  <c r="G27" i="3"/>
  <c r="P27" i="3" s="1"/>
  <c r="AT55" i="2"/>
  <c r="AS57" i="2"/>
  <c r="P24" i="3"/>
  <c r="G26" i="3"/>
  <c r="P26" i="3" s="1"/>
  <c r="BI57" i="2" l="1"/>
  <c r="BJ55" i="2"/>
  <c r="AU55" i="2"/>
  <c r="AT57" i="2"/>
  <c r="BK55" i="2" l="1"/>
  <c r="BJ57" i="2"/>
  <c r="AU57" i="2"/>
  <c r="AV55" i="2"/>
  <c r="BK57" i="2" l="1"/>
  <c r="BL55" i="2"/>
  <c r="AV57" i="2"/>
  <c r="AW55" i="2"/>
  <c r="BM55" i="2" l="1"/>
  <c r="BL57" i="2"/>
  <c r="AW57" i="2"/>
  <c r="AX55" i="2"/>
  <c r="BN55" i="2" l="1"/>
  <c r="BM57" i="2"/>
  <c r="AX57" i="2"/>
  <c r="AY55" i="2"/>
  <c r="BN57" i="2" l="1"/>
  <c r="BO55" i="2"/>
  <c r="AZ55" i="2"/>
  <c r="AY57" i="2"/>
  <c r="BO57" i="2" l="1"/>
  <c r="BP55" i="2"/>
  <c r="AZ57" i="2"/>
  <c r="BA55" i="2"/>
  <c r="BP57" i="2" l="1"/>
  <c r="BQ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Sylvie Kambau</author>
    <author>Viannez Bokolomba</author>
  </authors>
  <commentList>
    <comment ref="J1" authorId="0" shapeId="0" xr:uid="{1D480C50-D72F-472B-AB3A-DF96EAE94173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Update last day of the current year</t>
        </r>
      </text>
    </comment>
    <comment ref="AG7" authorId="1" shapeId="0" xr:uid="{CA646D8C-909F-4525-BE02-81123747D91D}">
      <text>
        <r>
          <rPr>
            <b/>
            <sz val="9"/>
            <color indexed="81"/>
            <rFont val="Tahoma"/>
            <family val="2"/>
          </rPr>
          <t>Viannez Bokolomba:</t>
        </r>
        <r>
          <rPr>
            <sz val="9"/>
            <color indexed="81"/>
            <rFont val="Tahoma"/>
            <family val="2"/>
          </rPr>
          <t xml:space="preserve">
Annulation Vacation de Fev à Mai 2021
</t>
        </r>
      </text>
    </comment>
    <comment ref="BT7" authorId="0" shapeId="0" xr:uid="{15CF48C6-7AFF-4339-AE63-9C09FD87722F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As per budget taken in Payroll</t>
        </r>
      </text>
    </comment>
    <comment ref="BU7" authorId="0" shapeId="0" xr:uid="{98BF36AD-5906-48DD-9E1A-B1F8B55B37F9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MANUALLY THE LAST YEAR BALANCE</t>
        </r>
      </text>
    </comment>
    <comment ref="BB20" authorId="1" shapeId="0" xr:uid="{A399C82D-6DB2-4FF5-858D-DC32AEB4D50D}">
      <text>
        <r>
          <rPr>
            <b/>
            <sz val="9"/>
            <color indexed="81"/>
            <rFont val="Tahoma"/>
            <family val="2"/>
          </rPr>
          <t>Viannez Bokolomba:</t>
        </r>
        <r>
          <rPr>
            <sz val="9"/>
            <color indexed="81"/>
            <rFont val="Tahoma"/>
            <family val="2"/>
          </rPr>
          <t xml:space="preserve">
Regul - Mai+Juin $326.92
</t>
        </r>
      </text>
    </comment>
    <comment ref="BB21" authorId="1" shapeId="0" xr:uid="{CA66869B-5F5D-432D-841B-2768B855BFA5}">
      <text>
        <r>
          <rPr>
            <b/>
            <sz val="9"/>
            <color indexed="81"/>
            <rFont val="Tahoma"/>
            <family val="2"/>
          </rPr>
          <t>Viannez Bokolomba:</t>
        </r>
        <r>
          <rPr>
            <sz val="9"/>
            <color indexed="81"/>
            <rFont val="Tahoma"/>
            <family val="2"/>
          </rPr>
          <t xml:space="preserve">
Regul 
Aout $79.14
Sept $169.58</t>
        </r>
      </text>
    </comment>
    <comment ref="D27" authorId="0" shapeId="0" xr:uid="{64DC84B6-1B03-470C-B746-2526E9254294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212110</t>
        </r>
      </text>
    </comment>
    <comment ref="BR38" authorId="0" shapeId="0" xr:uid="{337ADDA9-CC4F-4651-B7D6-DC07CC7CD64D}">
      <text>
        <r>
          <rPr>
            <sz val="9"/>
            <color indexed="81"/>
            <rFont val="Tahoma"/>
            <family val="2"/>
          </rPr>
          <t xml:space="preserve">
Check $ à zero</t>
        </r>
      </text>
    </comment>
    <comment ref="CH39" authorId="0" shapeId="0" xr:uid="{9598554D-A420-4E7F-BC82-6A7545EE53A7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CHECK A ZERO</t>
        </r>
      </text>
    </comment>
    <comment ref="BD40" authorId="0" shapeId="0" xr:uid="{CD8342DE-34F5-42FE-9E7C-A873D163BCE0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Check zero</t>
        </r>
      </text>
    </comment>
    <comment ref="BE41" authorId="0" shapeId="0" xr:uid="{5774C9D0-AF4C-4947-97F0-3BC69781E00C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PUT MANUALLY THE YTD MONTHLY BALANCE OF NAV</t>
        </r>
      </text>
    </comment>
    <comment ref="BR41" authorId="0" shapeId="0" xr:uid="{4AEAF7E2-46F8-404C-AF68-AE05613F8A1C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CHECK A ZERO</t>
        </r>
      </text>
    </comment>
    <comment ref="BU41" authorId="0" shapeId="0" xr:uid="{34D72A40-630B-4F72-AE2F-1BC1ADB13642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PUT MANUALLY THE YTD MONTHLY BALANCE OF NAV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Sylvie Kambau</author>
    <author>Viannez Bokolomba</author>
  </authors>
  <commentList>
    <comment ref="Z4" authorId="0" shapeId="0" xr:uid="{F7CE92FF-8C03-4A99-AAE2-C2F02DED2E0D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Local payroll data base</t>
        </r>
      </text>
    </comment>
    <comment ref="Z5" authorId="0" shapeId="0" xr:uid="{0248238B-0A80-429D-869E-D3EB9D0220B9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expat payroll database vacation days accrual</t>
        </r>
      </text>
    </comment>
    <comment ref="V7" authorId="0" shapeId="0" xr:uid="{E5FAAC2D-B03B-4FB8-8FFE-E678B6ABEBAB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As per Staff Performance</t>
        </r>
      </text>
    </comment>
    <comment ref="W7" authorId="0" shapeId="0" xr:uid="{C2A3AFFA-EA4F-407A-926A-A32F65A383D0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Payment based on the last   salary-13TH MONTH</t>
        </r>
      </text>
    </comment>
    <comment ref="X7" authorId="0" shapeId="0" xr:uid="{12E56587-CA72-4DBB-AB82-A8A34DCFB73F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Payment based on the last   salary-13TH MONTH</t>
        </r>
      </text>
    </comment>
    <comment ref="Z26" authorId="0" shapeId="0" xr:uid="{1645C294-F5CB-454D-B149-9C82A2848035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Take the monthly accrual days data from stephanie local payroll file</t>
        </r>
      </text>
    </comment>
    <comment ref="AN26" authorId="0" shapeId="0" xr:uid="{2ADE8E56-3043-40F9-84CC-38447D436407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The 13th month calculations and accrual is taken on stephanie local payroll file </t>
        </r>
      </text>
    </comment>
    <comment ref="B39" authorId="0" shapeId="0" xr:uid="{2D80219F-6CA0-455D-B014-7880C15690F3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212110</t>
        </r>
      </text>
    </comment>
    <comment ref="BI57" authorId="1" shapeId="0" xr:uid="{BED027B8-4170-4DBB-958A-819B0406C65B}">
      <text>
        <r>
          <rPr>
            <b/>
            <sz val="9"/>
            <color indexed="81"/>
            <rFont val="Tahoma"/>
            <family val="2"/>
          </rPr>
          <t>Viannez Bokolomba:</t>
        </r>
        <r>
          <rPr>
            <sz val="9"/>
            <color indexed="81"/>
            <rFont val="Tahoma"/>
            <family val="2"/>
          </rPr>
          <t xml:space="preserve">
Erreur sur la prise en compte du 200% au lieu de 100% To ajust in Dec 2023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Sylvie Kambau</author>
    <author>Charles Verleyen</author>
  </authors>
  <commentList>
    <comment ref="B3" authorId="0" shapeId="0" xr:uid="{49461BE0-064B-40C8-8F48-7F9674097BF4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CHANGE THE MONTH DESCRIPTION for POSTING</t>
        </r>
      </text>
    </comment>
    <comment ref="O4" authorId="1" shapeId="0" xr:uid="{5494CE36-D355-4873-9989-A2A976E6583D}">
      <text>
        <r>
          <rPr>
            <b/>
            <sz val="9"/>
            <color indexed="81"/>
            <rFont val="Tahoma"/>
            <family val="2"/>
          </rPr>
          <t>Charles Verleyen:</t>
        </r>
        <r>
          <rPr>
            <sz val="9"/>
            <color indexed="81"/>
            <rFont val="Tahoma"/>
            <family val="2"/>
          </rPr>
          <t xml:space="preserve">
Remove GRAND TOTAL</t>
        </r>
      </text>
    </comment>
    <comment ref="T4" authorId="1" shapeId="0" xr:uid="{C3FAE53C-CFC9-407C-B1B8-1E53D94B1582}">
      <text>
        <r>
          <rPr>
            <b/>
            <sz val="9"/>
            <color indexed="81"/>
            <rFont val="Tahoma"/>
            <family val="2"/>
          </rPr>
          <t>Charles Verleyen:</t>
        </r>
        <r>
          <rPr>
            <sz val="9"/>
            <color indexed="81"/>
            <rFont val="Tahoma"/>
            <family val="2"/>
          </rPr>
          <t xml:space="preserve">
CHANGE Monthly Column</t>
        </r>
      </text>
    </comment>
    <comment ref="I29" authorId="1" shapeId="0" xr:uid="{9AAE8D06-11E9-4E19-B2FC-B528AD7E62FA}">
      <text>
        <r>
          <rPr>
            <b/>
            <sz val="9"/>
            <color indexed="81"/>
            <rFont val="Tahoma"/>
            <family val="2"/>
          </rPr>
          <t>Charles Verleyen:</t>
        </r>
        <r>
          <rPr>
            <sz val="9"/>
            <color indexed="81"/>
            <rFont val="Tahoma"/>
            <family val="2"/>
          </rPr>
          <t xml:space="preserve">
Change current Month Accrual Column</t>
        </r>
      </text>
    </comment>
    <comment ref="I53" authorId="1" shapeId="0" xr:uid="{4935728B-0BCC-4604-BF4F-BF94DD180FBD}">
      <text>
        <r>
          <rPr>
            <b/>
            <sz val="9"/>
            <color indexed="81"/>
            <rFont val="Tahoma"/>
            <family val="2"/>
          </rPr>
          <t>Charles Verleyen:</t>
        </r>
        <r>
          <rPr>
            <sz val="9"/>
            <color indexed="81"/>
            <rFont val="Tahoma"/>
            <family val="2"/>
          </rPr>
          <t xml:space="preserve">
Change current Month Accrual Column</t>
        </r>
      </text>
    </comment>
  </commentList>
</comments>
</file>

<file path=xl/sharedStrings.xml><?xml version="1.0" encoding="utf-8"?>
<sst xmlns="http://schemas.openxmlformats.org/spreadsheetml/2006/main" count="527" uniqueCount="216">
  <si>
    <t>FILL TEH INFO MANUALLY ON THE CELLS IN GREEN</t>
  </si>
  <si>
    <t>-Add new employee names &amp; information</t>
  </si>
  <si>
    <t>-Don’t' delete names of employee who have left, Just fill the leaving date in cell F</t>
  </si>
  <si>
    <t>DAYS OF THE Month</t>
  </si>
  <si>
    <t>ADD</t>
  </si>
  <si>
    <t>ID</t>
  </si>
  <si>
    <t>Nom</t>
  </si>
  <si>
    <t>POSITION</t>
  </si>
  <si>
    <t>CC</t>
  </si>
  <si>
    <t>Salaire de base Mensuel</t>
  </si>
  <si>
    <t xml:space="preserve">Starting date </t>
  </si>
  <si>
    <t>Leaving date</t>
  </si>
  <si>
    <t>Current YEAR Date Prov.</t>
  </si>
  <si>
    <t>Change Date</t>
  </si>
  <si>
    <t>New Salary Base</t>
  </si>
  <si>
    <t>Ancienneté</t>
  </si>
  <si>
    <t>1Day Ancienneté/5Years</t>
  </si>
  <si>
    <r>
      <t xml:space="preserve">TOTAL VACATION BALANCE </t>
    </r>
    <r>
      <rPr>
        <b/>
        <sz val="11"/>
        <color rgb="FFFF0000"/>
        <rFont val="Calibri"/>
        <family val="2"/>
        <scheme val="minor"/>
      </rPr>
      <t>LY</t>
    </r>
    <r>
      <rPr>
        <b/>
        <sz val="11"/>
        <rFont val="Calibri"/>
        <family val="2"/>
        <scheme val="minor"/>
      </rPr>
      <t xml:space="preserve"> 2023 (Days)</t>
    </r>
  </si>
  <si>
    <t>TOTAL VACATION ACCRUAL 2024 (Days)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</si>
  <si>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</si>
  <si>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</si>
  <si>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</si>
  <si>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</si>
  <si>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</si>
  <si>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</si>
  <si>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</si>
  <si>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</si>
  <si>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</si>
  <si>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</si>
  <si>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</si>
  <si>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</si>
  <si>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DAYS TAKEN</t>
  </si>
  <si>
    <t>TOTAL BALANCE Days 2023</t>
  </si>
  <si>
    <r>
      <t>TOTAL VACATION BALANCE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LY 2023 ($)</t>
    </r>
  </si>
  <si>
    <t>TOTAL VACATION ACCRUAL 2024 ($)</t>
  </si>
  <si>
    <t>$ TAKEN (Reversal)</t>
  </si>
  <si>
    <t>TOTAL BALANCE $ 2023</t>
  </si>
  <si>
    <t>AIR TICKET BASE DE CALCUL 2024</t>
  </si>
  <si>
    <r>
      <t xml:space="preserve">Air Ticket Accr.Balance </t>
    </r>
    <r>
      <rPr>
        <b/>
        <sz val="11"/>
        <color rgb="FFFF0000"/>
        <rFont val="Calibri"/>
        <family val="2"/>
        <scheme val="minor"/>
      </rPr>
      <t>LY 2023</t>
    </r>
  </si>
  <si>
    <t>TOTAL AIR TICKET BALANCE 2024 ($)</t>
  </si>
  <si>
    <t>Sybil Kabwiz Muteb</t>
  </si>
  <si>
    <t>R &amp; Reserv. Manager</t>
  </si>
  <si>
    <t/>
  </si>
  <si>
    <t>Sylvie KAMBAU MUJINGA</t>
  </si>
  <si>
    <t>Director of Finance</t>
  </si>
  <si>
    <t>Yawo KODZO LOLONYO</t>
  </si>
  <si>
    <t>Sous-Chef</t>
  </si>
  <si>
    <t>Samir ZOUGAR</t>
  </si>
  <si>
    <t>Pastry Chef</t>
  </si>
  <si>
    <t>Andre Saroufim</t>
  </si>
  <si>
    <t>F&amp;B Manager</t>
  </si>
  <si>
    <t>FARHAAD BABOORALLY</t>
  </si>
  <si>
    <t>General Manager</t>
  </si>
  <si>
    <t>Gadiche Abdi</t>
  </si>
  <si>
    <t>Director of Sales</t>
  </si>
  <si>
    <t>Janil Khodabocus</t>
  </si>
  <si>
    <t>Outlet Manager</t>
  </si>
  <si>
    <t>E0011</t>
  </si>
  <si>
    <t>Jinglu Zhu</t>
  </si>
  <si>
    <t>万能工Maintainer</t>
  </si>
  <si>
    <t>E0019</t>
  </si>
  <si>
    <t>Xingzhe Yang</t>
  </si>
  <si>
    <t>Director of Engineering</t>
  </si>
  <si>
    <t>E0015</t>
  </si>
  <si>
    <t>Litong Li -Nancy</t>
  </si>
  <si>
    <t>Staff Affairs Supervisor</t>
  </si>
  <si>
    <t>CHEUNG CHI ON</t>
  </si>
  <si>
    <t>Asian Chef</t>
  </si>
  <si>
    <t>NAGEN ASMAVETH</t>
  </si>
  <si>
    <t>WANG HEMING</t>
  </si>
  <si>
    <t>Mason Supervisor</t>
  </si>
  <si>
    <t>MEYAKHAN MUHAMMAD SALMANKHAN</t>
  </si>
  <si>
    <t>Sous Chef</t>
  </si>
  <si>
    <t>MUDULI BHUPESH KUMAR</t>
  </si>
  <si>
    <t>Director of IT</t>
  </si>
  <si>
    <t>NIDZA BABOORALLY</t>
  </si>
  <si>
    <t>Training Manager</t>
  </si>
  <si>
    <t>MOATAZ HEGAZY MOHAMED AHMED HARIDY</t>
  </si>
  <si>
    <t>Director of Front office</t>
  </si>
  <si>
    <t>JENNIFER MADO MINLA NANH</t>
  </si>
  <si>
    <t>Assistant Front office Manager</t>
  </si>
  <si>
    <t>HAN YOUCHAI</t>
  </si>
  <si>
    <t>Gym Center manager</t>
  </si>
  <si>
    <t>DEPARTURES</t>
  </si>
  <si>
    <t>MOHAMED RACHED BELGHITH</t>
  </si>
  <si>
    <t>Front Office Manager</t>
  </si>
  <si>
    <t>PRAMOD KUMAR SAHANI</t>
  </si>
  <si>
    <t>AC Supervisor</t>
  </si>
  <si>
    <t>LI GUO XIONG</t>
  </si>
  <si>
    <t>Supervisor</t>
  </si>
  <si>
    <t>ARIFI SLIM</t>
  </si>
  <si>
    <t>Security Manager</t>
  </si>
  <si>
    <t>GUENEVERE DIAZ VELOSO</t>
  </si>
  <si>
    <t>Chef Teppanyaki</t>
  </si>
  <si>
    <t>YTD BALANCE</t>
  </si>
  <si>
    <t>BAL NAV.YTD (LY Balance+Accrual Year-Reversal Year)</t>
  </si>
  <si>
    <t>BAL NAV.YTD</t>
  </si>
  <si>
    <t>DIF. EXCEL Vs NAV</t>
  </si>
  <si>
    <t>Auto+Hide</t>
  </si>
  <si>
    <t>BLAZON + CHINESE BONUS 2023</t>
  </si>
  <si>
    <t>PAID</t>
  </si>
  <si>
    <t>N°</t>
  </si>
  <si>
    <t>SURNAME</t>
  </si>
  <si>
    <t>Dept</t>
  </si>
  <si>
    <t>Date</t>
  </si>
  <si>
    <t>JANVIER  BASE</t>
  </si>
  <si>
    <t>SALARY CHANGE BASE</t>
  </si>
  <si>
    <t>Dif.</t>
  </si>
  <si>
    <t>Date Change 1</t>
  </si>
  <si>
    <t>Date Change 2</t>
  </si>
  <si>
    <t>End of contract</t>
  </si>
  <si>
    <t>New Sal.days</t>
  </si>
  <si>
    <t>Old Sal.days</t>
  </si>
  <si>
    <t>Unpaid L.</t>
  </si>
  <si>
    <t>CALCULATION 13th Month</t>
  </si>
  <si>
    <t>% Bon.</t>
  </si>
  <si>
    <t>BONUS</t>
  </si>
  <si>
    <t>% TO PAY</t>
  </si>
  <si>
    <t>Bonus Prorata TO PAY</t>
  </si>
  <si>
    <t>TOTAL PROVISION</t>
  </si>
  <si>
    <t>13Th Month</t>
  </si>
  <si>
    <t>Bonus</t>
  </si>
  <si>
    <t>TOTAL Days 2022</t>
  </si>
  <si>
    <t>BALANCE N-1</t>
  </si>
  <si>
    <t>TOTAL 13th Mth BALANCE 2022 ($)</t>
  </si>
  <si>
    <t>Check a zero</t>
  </si>
  <si>
    <t>TOTAL BONUS BALANCE 2021 ($)</t>
  </si>
  <si>
    <t>TOTAL</t>
  </si>
  <si>
    <t xml:space="preserve">TOTAL </t>
  </si>
  <si>
    <t>EXTRA</t>
  </si>
  <si>
    <t>ADDITIONAL BONUS E0046</t>
  </si>
  <si>
    <t>ADDITIONAL BONUS E0099</t>
  </si>
  <si>
    <t>TEAM FINANCE</t>
  </si>
  <si>
    <t>YTD BALANCES</t>
  </si>
  <si>
    <t xml:space="preserve">YTD NAV </t>
  </si>
  <si>
    <t>DIF.</t>
  </si>
  <si>
    <t>NAV</t>
  </si>
  <si>
    <t>JV PAYROLL EXPAT BLZ.</t>
  </si>
  <si>
    <t>Feb 2024</t>
  </si>
  <si>
    <t>Document No.</t>
  </si>
  <si>
    <t>G/L Account</t>
  </si>
  <si>
    <t>Account No.</t>
  </si>
  <si>
    <t>Bal. Account No.</t>
  </si>
  <si>
    <t>Description</t>
  </si>
  <si>
    <t>Cost Centre Code</t>
  </si>
  <si>
    <t>Debit Amount</t>
  </si>
  <si>
    <t>Credit Amount</t>
  </si>
  <si>
    <t>Amount</t>
  </si>
  <si>
    <t>Bal. Account Type</t>
  </si>
  <si>
    <t>Mth</t>
  </si>
  <si>
    <t>Column</t>
  </si>
  <si>
    <t>AMOUNT</t>
  </si>
  <si>
    <t>SAL00602</t>
  </si>
  <si>
    <t>AS</t>
  </si>
  <si>
    <t>BF</t>
  </si>
  <si>
    <t>AT</t>
  </si>
  <si>
    <t>BG</t>
  </si>
  <si>
    <t>AU</t>
  </si>
  <si>
    <t>BH</t>
  </si>
  <si>
    <t>AV</t>
  </si>
  <si>
    <t>BI</t>
  </si>
  <si>
    <t>AW</t>
  </si>
  <si>
    <t>BJ</t>
  </si>
  <si>
    <t>AX</t>
  </si>
  <si>
    <t>BK</t>
  </si>
  <si>
    <t>AY</t>
  </si>
  <si>
    <t>BL</t>
  </si>
  <si>
    <t>AZ</t>
  </si>
  <si>
    <t>BM</t>
  </si>
  <si>
    <t>BA</t>
  </si>
  <si>
    <t>BN</t>
  </si>
  <si>
    <t>BB</t>
  </si>
  <si>
    <t>BO</t>
  </si>
  <si>
    <t>BC</t>
  </si>
  <si>
    <t>BP</t>
  </si>
  <si>
    <t>BD</t>
  </si>
  <si>
    <t>BQ</t>
  </si>
  <si>
    <t>AO</t>
  </si>
  <si>
    <t>AP</t>
  </si>
  <si>
    <t>AQ</t>
  </si>
  <si>
    <t>AR</t>
  </si>
  <si>
    <t>BE</t>
  </si>
  <si>
    <t>Mai</t>
  </si>
  <si>
    <t>BV</t>
  </si>
  <si>
    <t>BW</t>
  </si>
  <si>
    <t>BX</t>
  </si>
  <si>
    <t>BY</t>
  </si>
  <si>
    <t>BZ</t>
  </si>
  <si>
    <t>CA</t>
  </si>
  <si>
    <t>CB</t>
  </si>
  <si>
    <t>CD</t>
  </si>
  <si>
    <t>CE</t>
  </si>
  <si>
    <t>CF</t>
  </si>
  <si>
    <t>CG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</si>
  <si>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</si>
  <si>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</si>
  <si>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</si>
  <si>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</si>
  <si>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</si>
  <si>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</si>
  <si>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</si>
  <si>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</si>
  <si>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</si>
  <si>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</si>
  <si>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E0012</t>
  </si>
  <si>
    <t>E0013</t>
  </si>
  <si>
    <t>E0014</t>
  </si>
  <si>
    <t>E0016</t>
  </si>
  <si>
    <t>E0017</t>
  </si>
  <si>
    <t>E0018</t>
  </si>
  <si>
    <t>E0020</t>
  </si>
  <si>
    <t>E0021</t>
  </si>
  <si>
    <t>E0022</t>
  </si>
  <si>
    <t>E0023</t>
  </si>
  <si>
    <t>E0024</t>
  </si>
  <si>
    <t>E0025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</si>
</sst>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000000"/>
    <numFmt numFmtId="165" formatCode="_(* #,##0_);_(* \(#,##0\);_(* &quot;-&quot;??_);_(@_)"/>
    <numFmt numFmtId="166" formatCode="_-* #,##0.00_-;\-* #,##0.00_-;_-* &quot;-&quot;??_-;_-@_-"/>
    <numFmt numFmtId="167" formatCode="#,##0.000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3399"/>
      <name val="Calibri"/>
      <family val="2"/>
      <scheme val="minor"/>
    </font>
    <font>
      <b/>
      <sz val="11"/>
      <color rgb="FFFF3399"/>
      <name val="Calibri"/>
      <family val="2"/>
      <scheme val="minor"/>
    </font>
    <font>
      <sz val="11"/>
      <color rgb="FF0000FF"/>
      <name val="Calibri"/>
      <family val="2"/>
      <charset val="134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3399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rgb="FFFF339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2"/>
      <color indexed="81"/>
      <name val="Tahoma"/>
      <family val="2"/>
    </font>
    <font>
      <sz val="13"/>
      <color theme="1"/>
      <name val="Calibri"/>
      <family val="2"/>
      <scheme val="minor"/>
    </font>
    <font>
      <sz val="13"/>
      <color rgb="FFFF3399"/>
      <name val="Calibri"/>
      <family val="2"/>
      <scheme val="minor"/>
    </font>
    <font>
      <sz val="13"/>
      <color rgb="FF0000FF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3399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3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1">
    <xf numFmtId="0" fontId="0" fillId="0" borderId="0" xfId="0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4" fontId="4" fillId="2" borderId="1" xfId="0" applyNumberFormat="1" applyFont="1" applyFill="1" applyBorder="1" applyAlignment="1" applyProtection="1">
      <alignment vertical="center"/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5" fillId="3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3" fillId="4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0" fillId="3" borderId="0" xfId="0" applyFill="1" applyAlignment="1" applyProtection="1">
      <alignment vertical="center"/>
      <protection locked="0"/>
    </xf>
    <xf numFmtId="4" fontId="0" fillId="0" borderId="0" xfId="0" applyNumberFormat="1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4" fontId="3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4" fontId="3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14" fontId="3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4" fontId="3" fillId="5" borderId="1" xfId="0" applyNumberFormat="1" applyFont="1" applyFill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 applyProtection="1">
      <alignment vertical="center"/>
      <protection locked="0"/>
    </xf>
    <xf numFmtId="4" fontId="3" fillId="5" borderId="0" xfId="0" applyNumberFormat="1" applyFont="1" applyFill="1" applyAlignment="1" applyProtection="1">
      <alignment vertical="center"/>
      <protection locked="0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4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4" fontId="11" fillId="6" borderId="3" xfId="0" applyNumberFormat="1" applyFont="1" applyFill="1" applyBorder="1" applyAlignment="1">
      <alignment horizontal="center" vertical="center" wrapText="1"/>
    </xf>
    <xf numFmtId="4" fontId="11" fillId="0" borderId="4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" fontId="11" fillId="7" borderId="7" xfId="0" applyNumberFormat="1" applyFont="1" applyFill="1" applyBorder="1" applyAlignment="1" applyProtection="1">
      <alignment horizontal="center" vertical="center" wrapText="1"/>
      <protection locked="0"/>
    </xf>
    <xf numFmtId="4" fontId="11" fillId="7" borderId="8" xfId="0" applyNumberFormat="1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14" fontId="11" fillId="8" borderId="11" xfId="0" applyNumberFormat="1" applyFont="1" applyFill="1" applyBorder="1" applyAlignment="1" applyProtection="1">
      <alignment horizontal="center" vertical="center" wrapText="1"/>
      <protection locked="0"/>
    </xf>
    <xf numFmtId="4" fontId="11" fillId="8" borderId="11" xfId="0" applyNumberFormat="1" applyFont="1" applyFill="1" applyBorder="1" applyAlignment="1" applyProtection="1">
      <alignment horizontal="center" vertical="center" wrapText="1"/>
      <protection locked="0"/>
    </xf>
    <xf numFmtId="0" fontId="11" fillId="8" borderId="12" xfId="0" applyFont="1" applyFill="1" applyBorder="1" applyAlignment="1">
      <alignment horizontal="center" vertical="center" wrapText="1"/>
    </xf>
    <xf numFmtId="4" fontId="11" fillId="8" borderId="13" xfId="0" applyNumberFormat="1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12" fillId="0" borderId="14" xfId="0" quotePrefix="1" applyFont="1" applyBorder="1" applyAlignment="1" applyProtection="1">
      <alignment horizontal="left" vertical="center" wrapText="1"/>
      <protection locked="0"/>
    </xf>
    <xf numFmtId="0" fontId="12" fillId="0" borderId="15" xfId="0" applyFont="1" applyBorder="1" applyAlignment="1" applyProtection="1">
      <alignment horizontal="left" vertical="center" wrapText="1"/>
      <protection locked="0"/>
    </xf>
    <xf numFmtId="0" fontId="12" fillId="0" borderId="15" xfId="0" applyFont="1" applyBorder="1" applyAlignment="1" applyProtection="1">
      <alignment horizontal="right" vertical="center" wrapText="1"/>
      <protection locked="0"/>
    </xf>
    <xf numFmtId="4" fontId="12" fillId="0" borderId="15" xfId="0" applyNumberFormat="1" applyFont="1" applyBorder="1" applyAlignment="1" applyProtection="1">
      <alignment horizontal="right" vertical="center" wrapText="1"/>
      <protection locked="0"/>
    </xf>
    <xf numFmtId="14" fontId="12" fillId="0" borderId="15" xfId="0" applyNumberFormat="1" applyFont="1" applyBorder="1" applyAlignment="1" applyProtection="1">
      <alignment horizontal="right" vertical="center" wrapText="1"/>
      <protection locked="0"/>
    </xf>
    <xf numFmtId="14" fontId="13" fillId="9" borderId="15" xfId="0" applyNumberFormat="1" applyFont="1" applyFill="1" applyBorder="1" applyAlignment="1" applyProtection="1">
      <alignment horizontal="right" vertical="center" wrapText="1"/>
      <protection locked="0"/>
    </xf>
    <xf numFmtId="4" fontId="13" fillId="9" borderId="15" xfId="0" applyNumberFormat="1" applyFont="1" applyFill="1" applyBorder="1" applyAlignment="1" applyProtection="1">
      <alignment horizontal="right" vertical="center" wrapText="1"/>
      <protection locked="0"/>
    </xf>
    <xf numFmtId="4" fontId="13" fillId="0" borderId="15" xfId="0" applyNumberFormat="1" applyFont="1" applyBorder="1" applyAlignment="1">
      <alignment vertical="center"/>
    </xf>
    <xf numFmtId="4" fontId="13" fillId="6" borderId="16" xfId="0" applyNumberFormat="1" applyFont="1" applyFill="1" applyBorder="1" applyAlignment="1">
      <alignment horizontal="right" vertical="center" wrapText="1"/>
    </xf>
    <xf numFmtId="4" fontId="13" fillId="0" borderId="16" xfId="0" applyNumberFormat="1" applyFont="1" applyBorder="1" applyAlignment="1">
      <alignment horizontal="right" vertical="center" wrapText="1"/>
    </xf>
    <xf numFmtId="4" fontId="12" fillId="0" borderId="15" xfId="0" applyNumberFormat="1" applyFont="1" applyBorder="1" applyAlignment="1">
      <alignment horizontal="right" vertical="center" wrapText="1"/>
    </xf>
    <xf numFmtId="4" fontId="12" fillId="0" borderId="17" xfId="0" applyNumberFormat="1" applyFont="1" applyBorder="1" applyAlignment="1">
      <alignment horizontal="right" vertical="center" wrapText="1"/>
    </xf>
    <xf numFmtId="43" fontId="14" fillId="0" borderId="18" xfId="1" applyFont="1" applyFill="1" applyBorder="1" applyProtection="1">
      <protection locked="0"/>
    </xf>
    <xf numFmtId="43" fontId="14" fillId="0" borderId="15" xfId="1" applyFont="1" applyFill="1" applyBorder="1" applyProtection="1">
      <protection locked="0"/>
    </xf>
    <xf numFmtId="43" fontId="14" fillId="0" borderId="19" xfId="1" applyFont="1" applyFill="1" applyBorder="1" applyProtection="1">
      <protection locked="0"/>
    </xf>
    <xf numFmtId="4" fontId="15" fillId="0" borderId="20" xfId="0" applyNumberFormat="1" applyFont="1" applyBorder="1" applyAlignment="1">
      <alignment horizontal="right" vertical="center" wrapText="1"/>
    </xf>
    <xf numFmtId="4" fontId="13" fillId="0" borderId="0" xfId="0" applyNumberFormat="1" applyFont="1" applyAlignment="1">
      <alignment horizontal="right" vertical="center" wrapText="1"/>
    </xf>
    <xf numFmtId="4" fontId="13" fillId="0" borderId="21" xfId="0" applyNumberFormat="1" applyFont="1" applyBorder="1" applyAlignment="1" applyProtection="1">
      <alignment horizontal="right" vertical="center" wrapText="1"/>
      <protection locked="0"/>
    </xf>
    <xf numFmtId="4" fontId="12" fillId="0" borderId="18" xfId="0" applyNumberFormat="1" applyFont="1" applyBorder="1" applyAlignment="1">
      <alignment horizontal="right" vertical="center" wrapText="1"/>
    </xf>
    <xf numFmtId="4" fontId="16" fillId="0" borderId="16" xfId="0" applyNumberFormat="1" applyFont="1" applyBorder="1" applyAlignment="1">
      <alignment horizontal="right" vertical="center" wrapText="1"/>
    </xf>
    <xf numFmtId="4" fontId="12" fillId="0" borderId="0" xfId="0" applyNumberFormat="1" applyFont="1" applyAlignment="1">
      <alignment vertical="center"/>
    </xf>
    <xf numFmtId="4" fontId="13" fillId="0" borderId="15" xfId="0" applyNumberFormat="1" applyFont="1" applyBorder="1" applyAlignment="1">
      <alignment horizontal="right" vertical="center" wrapText="1"/>
    </xf>
    <xf numFmtId="4" fontId="13" fillId="0" borderId="20" xfId="0" applyNumberFormat="1" applyFont="1" applyBorder="1" applyAlignment="1">
      <alignment horizontal="right" vertical="center" wrapText="1"/>
    </xf>
    <xf numFmtId="4" fontId="13" fillId="3" borderId="20" xfId="0" applyNumberFormat="1" applyFont="1" applyFill="1" applyBorder="1" applyAlignment="1" applyProtection="1">
      <alignment horizontal="right" vertical="center" wrapText="1"/>
      <protection locked="0"/>
    </xf>
    <xf numFmtId="4" fontId="13" fillId="10" borderId="15" xfId="0" applyNumberFormat="1" applyFont="1" applyFill="1" applyBorder="1" applyAlignment="1">
      <alignment horizontal="right" vertical="center" wrapText="1"/>
    </xf>
    <xf numFmtId="4" fontId="15" fillId="10" borderId="15" xfId="0" applyNumberFormat="1" applyFont="1" applyFill="1" applyBorder="1" applyAlignment="1">
      <alignment horizontal="right" vertical="center" wrapText="1"/>
    </xf>
    <xf numFmtId="0" fontId="13" fillId="0" borderId="0" xfId="0" applyFont="1" applyAlignment="1" applyProtection="1">
      <alignment horizontal="left" vertical="center" wrapText="1"/>
      <protection locked="0"/>
    </xf>
    <xf numFmtId="4" fontId="17" fillId="0" borderId="0" xfId="0" applyNumberFormat="1" applyFont="1" applyAlignment="1" applyProtection="1">
      <alignment vertical="center"/>
      <protection locked="0"/>
    </xf>
    <xf numFmtId="0" fontId="17" fillId="0" borderId="23" xfId="0" applyFont="1" applyBorder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right" vertical="center"/>
      <protection locked="0"/>
    </xf>
    <xf numFmtId="14" fontId="17" fillId="0" borderId="0" xfId="0" applyNumberFormat="1" applyFont="1" applyAlignment="1" applyProtection="1">
      <alignment vertical="center"/>
      <protection locked="0"/>
    </xf>
    <xf numFmtId="14" fontId="17" fillId="9" borderId="0" xfId="0" applyNumberFormat="1" applyFont="1" applyFill="1" applyAlignment="1" applyProtection="1">
      <alignment vertical="center"/>
      <protection locked="0"/>
    </xf>
    <xf numFmtId="14" fontId="12" fillId="0" borderId="0" xfId="0" applyNumberFormat="1" applyFont="1" applyAlignment="1" applyProtection="1">
      <alignment vertical="center"/>
      <protection locked="0"/>
    </xf>
    <xf numFmtId="14" fontId="12" fillId="9" borderId="0" xfId="0" applyNumberFormat="1" applyFont="1" applyFill="1" applyAlignment="1" applyProtection="1">
      <alignment vertical="center"/>
      <protection locked="0"/>
    </xf>
    <xf numFmtId="4" fontId="17" fillId="9" borderId="0" xfId="0" applyNumberFormat="1" applyFont="1" applyFill="1" applyAlignment="1" applyProtection="1">
      <alignment vertical="center"/>
      <protection locked="0"/>
    </xf>
    <xf numFmtId="4" fontId="13" fillId="6" borderId="24" xfId="0" applyNumberFormat="1" applyFont="1" applyFill="1" applyBorder="1" applyAlignment="1">
      <alignment vertical="center"/>
    </xf>
    <xf numFmtId="4" fontId="13" fillId="0" borderId="24" xfId="0" applyNumberFormat="1" applyFont="1" applyBorder="1" applyAlignment="1">
      <alignment vertical="center"/>
    </xf>
    <xf numFmtId="4" fontId="12" fillId="0" borderId="24" xfId="0" applyNumberFormat="1" applyFont="1" applyBorder="1" applyAlignment="1">
      <alignment horizontal="right" vertical="center" wrapText="1"/>
    </xf>
    <xf numFmtId="43" fontId="14" fillId="0" borderId="0" xfId="1" applyFont="1" applyFill="1" applyBorder="1" applyProtection="1">
      <protection locked="0"/>
    </xf>
    <xf numFmtId="4" fontId="13" fillId="0" borderId="22" xfId="0" applyNumberFormat="1" applyFont="1" applyBorder="1" applyAlignment="1">
      <alignment vertical="center"/>
    </xf>
    <xf numFmtId="4" fontId="13" fillId="0" borderId="25" xfId="0" applyNumberFormat="1" applyFont="1" applyBorder="1" applyAlignment="1" applyProtection="1">
      <alignment horizontal="right" vertical="center" wrapText="1"/>
      <protection locked="0"/>
    </xf>
    <xf numFmtId="4" fontId="12" fillId="0" borderId="0" xfId="0" applyNumberFormat="1" applyFont="1" applyAlignment="1">
      <alignment horizontal="right" vertical="center" wrapText="1"/>
    </xf>
    <xf numFmtId="4" fontId="16" fillId="0" borderId="24" xfId="0" applyNumberFormat="1" applyFont="1" applyBorder="1" applyAlignment="1">
      <alignment vertical="center"/>
    </xf>
    <xf numFmtId="4" fontId="18" fillId="0" borderId="22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4" fontId="13" fillId="3" borderId="22" xfId="0" applyNumberFormat="1" applyFont="1" applyFill="1" applyBorder="1" applyAlignment="1" applyProtection="1">
      <alignment vertical="center"/>
      <protection locked="0"/>
    </xf>
    <xf numFmtId="4" fontId="19" fillId="2" borderId="0" xfId="0" applyNumberFormat="1" applyFont="1" applyFill="1" applyAlignment="1">
      <alignment horizontal="right" vertical="center" wrapText="1"/>
    </xf>
    <xf numFmtId="4" fontId="20" fillId="0" borderId="22" xfId="0" applyNumberFormat="1" applyFont="1" applyBorder="1" applyAlignment="1">
      <alignment vertical="center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horizontal="right"/>
      <protection locked="0"/>
    </xf>
    <xf numFmtId="4" fontId="17" fillId="0" borderId="0" xfId="0" applyNumberFormat="1" applyFont="1" applyProtection="1">
      <protection locked="0"/>
    </xf>
    <xf numFmtId="14" fontId="17" fillId="9" borderId="0" xfId="0" applyNumberFormat="1" applyFont="1" applyFill="1" applyProtection="1">
      <protection locked="0"/>
    </xf>
    <xf numFmtId="4" fontId="17" fillId="9" borderId="0" xfId="0" applyNumberFormat="1" applyFont="1" applyFill="1" applyProtection="1">
      <protection locked="0"/>
    </xf>
    <xf numFmtId="0" fontId="17" fillId="0" borderId="0" xfId="0" applyFont="1"/>
    <xf numFmtId="4" fontId="12" fillId="0" borderId="26" xfId="0" applyNumberFormat="1" applyFont="1" applyBorder="1" applyAlignment="1">
      <alignment vertical="center"/>
    </xf>
    <xf numFmtId="4" fontId="13" fillId="0" borderId="26" xfId="0" applyNumberFormat="1" applyFont="1" applyBorder="1" applyAlignment="1">
      <alignment vertical="center"/>
    </xf>
    <xf numFmtId="0" fontId="12" fillId="0" borderId="0" xfId="0" applyFont="1" applyAlignment="1" applyProtection="1">
      <alignment horizontal="right"/>
      <protection locked="0"/>
    </xf>
    <xf numFmtId="14" fontId="17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4" fontId="12" fillId="0" borderId="27" xfId="0" applyNumberFormat="1" applyFont="1" applyBorder="1" applyAlignment="1">
      <alignment vertical="center"/>
    </xf>
    <xf numFmtId="0" fontId="12" fillId="9" borderId="0" xfId="0" applyFont="1" applyFill="1" applyProtection="1">
      <protection locked="0"/>
    </xf>
    <xf numFmtId="4" fontId="12" fillId="9" borderId="0" xfId="0" applyNumberFormat="1" applyFont="1" applyFill="1" applyProtection="1">
      <protection locked="0"/>
    </xf>
    <xf numFmtId="0" fontId="15" fillId="0" borderId="0" xfId="0" applyFont="1"/>
    <xf numFmtId="0" fontId="15" fillId="0" borderId="0" xfId="0" applyFont="1" applyProtection="1">
      <protection locked="0"/>
    </xf>
    <xf numFmtId="14" fontId="12" fillId="0" borderId="0" xfId="0" applyNumberFormat="1" applyFont="1" applyProtection="1">
      <protection locked="0"/>
    </xf>
    <xf numFmtId="14" fontId="15" fillId="9" borderId="0" xfId="0" applyNumberFormat="1" applyFont="1" applyFill="1" applyAlignment="1" applyProtection="1">
      <alignment vertical="center"/>
      <protection locked="0"/>
    </xf>
    <xf numFmtId="4" fontId="15" fillId="9" borderId="0" xfId="0" applyNumberFormat="1" applyFont="1" applyFill="1" applyProtection="1">
      <protection locked="0"/>
    </xf>
    <xf numFmtId="4" fontId="13" fillId="11" borderId="22" xfId="0" applyNumberFormat="1" applyFont="1" applyFill="1" applyBorder="1" applyAlignment="1" applyProtection="1">
      <alignment vertical="center"/>
      <protection locked="0"/>
    </xf>
    <xf numFmtId="0" fontId="15" fillId="4" borderId="0" xfId="0" applyFont="1" applyFill="1" applyProtection="1">
      <protection locked="0"/>
    </xf>
    <xf numFmtId="0" fontId="17" fillId="0" borderId="2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2" fillId="0" borderId="1" xfId="0" applyFont="1" applyBorder="1" applyProtection="1">
      <protection locked="0"/>
    </xf>
    <xf numFmtId="4" fontId="17" fillId="0" borderId="1" xfId="0" applyNumberFormat="1" applyFont="1" applyBorder="1" applyProtection="1">
      <protection locked="0"/>
    </xf>
    <xf numFmtId="14" fontId="12" fillId="0" borderId="1" xfId="0" applyNumberFormat="1" applyFont="1" applyBorder="1" applyProtection="1">
      <protection locked="0"/>
    </xf>
    <xf numFmtId="0" fontId="12" fillId="9" borderId="1" xfId="0" applyFont="1" applyFill="1" applyBorder="1" applyProtection="1">
      <protection locked="0"/>
    </xf>
    <xf numFmtId="14" fontId="12" fillId="0" borderId="1" xfId="0" applyNumberFormat="1" applyFont="1" applyBorder="1" applyAlignment="1" applyProtection="1">
      <alignment vertical="center"/>
      <protection locked="0"/>
    </xf>
    <xf numFmtId="14" fontId="15" fillId="9" borderId="1" xfId="0" applyNumberFormat="1" applyFont="1" applyFill="1" applyBorder="1" applyAlignment="1" applyProtection="1">
      <alignment vertical="center"/>
      <protection locked="0"/>
    </xf>
    <xf numFmtId="4" fontId="15" fillId="9" borderId="1" xfId="0" applyNumberFormat="1" applyFont="1" applyFill="1" applyBorder="1" applyProtection="1">
      <protection locked="0"/>
    </xf>
    <xf numFmtId="4" fontId="12" fillId="0" borderId="1" xfId="0" applyNumberFormat="1" applyFont="1" applyBorder="1" applyAlignment="1">
      <alignment vertical="center"/>
    </xf>
    <xf numFmtId="4" fontId="13" fillId="6" borderId="4" xfId="0" applyNumberFormat="1" applyFont="1" applyFill="1" applyBorder="1" applyAlignment="1">
      <alignment vertical="center"/>
    </xf>
    <xf numFmtId="4" fontId="13" fillId="0" borderId="4" xfId="0" applyNumberFormat="1" applyFont="1" applyBorder="1" applyAlignment="1">
      <alignment vertical="center"/>
    </xf>
    <xf numFmtId="4" fontId="12" fillId="0" borderId="28" xfId="0" applyNumberFormat="1" applyFont="1" applyBorder="1" applyAlignment="1">
      <alignment vertical="center"/>
    </xf>
    <xf numFmtId="4" fontId="12" fillId="0" borderId="3" xfId="0" applyNumberFormat="1" applyFont="1" applyBorder="1" applyAlignment="1">
      <alignment vertical="center"/>
    </xf>
    <xf numFmtId="43" fontId="14" fillId="0" borderId="1" xfId="1" applyFont="1" applyFill="1" applyBorder="1" applyProtection="1">
      <protection locked="0"/>
    </xf>
    <xf numFmtId="4" fontId="13" fillId="0" borderId="1" xfId="0" applyNumberFormat="1" applyFont="1" applyBorder="1" applyAlignment="1">
      <alignment horizontal="right" vertical="center" wrapText="1"/>
    </xf>
    <xf numFmtId="4" fontId="13" fillId="0" borderId="2" xfId="0" applyNumberFormat="1" applyFont="1" applyBorder="1" applyAlignment="1" applyProtection="1">
      <alignment horizontal="right" vertical="center" wrapText="1"/>
      <protection locked="0"/>
    </xf>
    <xf numFmtId="4" fontId="12" fillId="0" borderId="1" xfId="0" applyNumberFormat="1" applyFont="1" applyBorder="1" applyAlignment="1">
      <alignment horizontal="right" vertical="center" wrapText="1"/>
    </xf>
    <xf numFmtId="4" fontId="16" fillId="0" borderId="4" xfId="0" applyNumberFormat="1" applyFont="1" applyBorder="1" applyAlignment="1">
      <alignment vertical="center"/>
    </xf>
    <xf numFmtId="4" fontId="18" fillId="0" borderId="6" xfId="0" applyNumberFormat="1" applyFont="1" applyBorder="1" applyAlignment="1">
      <alignment vertical="center"/>
    </xf>
    <xf numFmtId="0" fontId="15" fillId="0" borderId="1" xfId="0" applyFont="1" applyBorder="1"/>
    <xf numFmtId="4" fontId="13" fillId="0" borderId="6" xfId="0" applyNumberFormat="1" applyFont="1" applyBorder="1" applyAlignment="1" applyProtection="1">
      <alignment vertical="center"/>
      <protection locked="0"/>
    </xf>
    <xf numFmtId="4" fontId="20" fillId="0" borderId="6" xfId="0" applyNumberFormat="1" applyFont="1" applyBorder="1" applyAlignment="1">
      <alignment vertical="center"/>
    </xf>
    <xf numFmtId="0" fontId="15" fillId="0" borderId="1" xfId="0" applyFont="1" applyBorder="1" applyProtection="1">
      <protection locked="0"/>
    </xf>
    <xf numFmtId="0" fontId="18" fillId="0" borderId="23" xfId="0" applyFont="1" applyBorder="1" applyProtection="1">
      <protection locked="0"/>
    </xf>
    <xf numFmtId="4" fontId="13" fillId="0" borderId="11" xfId="0" applyNumberFormat="1" applyFont="1" applyBorder="1" applyAlignment="1">
      <alignment vertical="center"/>
    </xf>
    <xf numFmtId="4" fontId="13" fillId="0" borderId="23" xfId="0" applyNumberFormat="1" applyFont="1" applyBorder="1" applyAlignment="1" applyProtection="1">
      <alignment horizontal="right" vertical="center" wrapText="1"/>
      <protection locked="0"/>
    </xf>
    <xf numFmtId="4" fontId="13" fillId="0" borderId="22" xfId="0" applyNumberFormat="1" applyFont="1" applyBorder="1" applyAlignment="1" applyProtection="1">
      <alignment vertical="center"/>
      <protection locked="0"/>
    </xf>
    <xf numFmtId="4" fontId="12" fillId="8" borderId="0" xfId="0" applyNumberFormat="1" applyFont="1" applyFill="1" applyAlignment="1">
      <alignment vertical="center"/>
    </xf>
    <xf numFmtId="14" fontId="12" fillId="9" borderId="0" xfId="0" applyNumberFormat="1" applyFont="1" applyFill="1" applyProtection="1">
      <protection locked="0"/>
    </xf>
    <xf numFmtId="4" fontId="13" fillId="3" borderId="22" xfId="0" applyNumberFormat="1" applyFont="1" applyFill="1" applyBorder="1" applyAlignment="1" applyProtection="1">
      <alignment horizontal="right" vertical="center" wrapText="1"/>
      <protection locked="0"/>
    </xf>
    <xf numFmtId="0" fontId="12" fillId="0" borderId="1" xfId="0" applyFont="1" applyBorder="1" applyAlignment="1" applyProtection="1">
      <alignment horizontal="right"/>
      <protection locked="0"/>
    </xf>
    <xf numFmtId="14" fontId="17" fillId="0" borderId="1" xfId="0" applyNumberFormat="1" applyFont="1" applyBorder="1" applyProtection="1">
      <protection locked="0"/>
    </xf>
    <xf numFmtId="43" fontId="14" fillId="0" borderId="28" xfId="1" applyFont="1" applyFill="1" applyBorder="1" applyProtection="1">
      <protection locked="0"/>
    </xf>
    <xf numFmtId="4" fontId="13" fillId="0" borderId="6" xfId="0" applyNumberFormat="1" applyFont="1" applyBorder="1" applyAlignment="1">
      <alignment vertical="center"/>
    </xf>
    <xf numFmtId="0" fontId="17" fillId="0" borderId="1" xfId="0" applyFont="1" applyBorder="1"/>
    <xf numFmtId="0" fontId="18" fillId="0" borderId="2" xfId="0" applyFont="1" applyBorder="1" applyProtection="1">
      <protection locked="0"/>
    </xf>
    <xf numFmtId="0" fontId="18" fillId="0" borderId="1" xfId="0" applyFont="1" applyBorder="1" applyProtection="1">
      <protection locked="0"/>
    </xf>
    <xf numFmtId="14" fontId="17" fillId="0" borderId="1" xfId="0" applyNumberFormat="1" applyFont="1" applyBorder="1" applyAlignment="1" applyProtection="1">
      <alignment vertical="center"/>
      <protection locked="0"/>
    </xf>
    <xf numFmtId="14" fontId="18" fillId="0" borderId="1" xfId="0" applyNumberFormat="1" applyFont="1" applyBorder="1" applyProtection="1">
      <protection locked="0"/>
    </xf>
    <xf numFmtId="14" fontId="20" fillId="0" borderId="1" xfId="0" applyNumberFormat="1" applyFont="1" applyBorder="1" applyAlignment="1" applyProtection="1">
      <alignment vertical="center"/>
      <protection locked="0"/>
    </xf>
    <xf numFmtId="14" fontId="21" fillId="0" borderId="1" xfId="0" applyNumberFormat="1" applyFont="1" applyBorder="1" applyProtection="1">
      <protection locked="0"/>
    </xf>
    <xf numFmtId="4" fontId="21" fillId="0" borderId="1" xfId="0" applyNumberFormat="1" applyFont="1" applyBorder="1" applyProtection="1">
      <protection locked="0"/>
    </xf>
    <xf numFmtId="4" fontId="18" fillId="0" borderId="0" xfId="0" applyNumberFormat="1" applyFont="1" applyAlignment="1">
      <alignment vertical="center"/>
    </xf>
    <xf numFmtId="4" fontId="13" fillId="0" borderId="25" xfId="0" applyNumberFormat="1" applyFont="1" applyBorder="1" applyAlignment="1" applyProtection="1">
      <alignment vertical="center"/>
      <protection locked="0"/>
    </xf>
    <xf numFmtId="4" fontId="13" fillId="0" borderId="0" xfId="0" applyNumberFormat="1" applyFont="1" applyAlignment="1">
      <alignment vertical="center"/>
    </xf>
    <xf numFmtId="0" fontId="18" fillId="0" borderId="0" xfId="0" applyFont="1"/>
    <xf numFmtId="4" fontId="20" fillId="0" borderId="6" xfId="0" applyNumberFormat="1" applyFont="1" applyBorder="1" applyAlignment="1" applyProtection="1">
      <alignment vertical="center"/>
      <protection locked="0"/>
    </xf>
    <xf numFmtId="4" fontId="19" fillId="0" borderId="1" xfId="0" applyNumberFormat="1" applyFont="1" applyBorder="1" applyAlignment="1">
      <alignment vertical="center"/>
    </xf>
    <xf numFmtId="0" fontId="18" fillId="0" borderId="0" xfId="0" applyFont="1" applyProtection="1">
      <protection locked="0"/>
    </xf>
    <xf numFmtId="4" fontId="20" fillId="12" borderId="6" xfId="0" applyNumberFormat="1" applyFont="1" applyFill="1" applyBorder="1" applyAlignment="1" applyProtection="1">
      <alignment vertical="center"/>
      <protection locked="0"/>
    </xf>
    <xf numFmtId="14" fontId="17" fillId="0" borderId="0" xfId="0" applyNumberFormat="1" applyFont="1" applyAlignment="1">
      <alignment vertical="center"/>
    </xf>
    <xf numFmtId="4" fontId="13" fillId="6" borderId="7" xfId="0" applyNumberFormat="1" applyFont="1" applyFill="1" applyBorder="1" applyAlignment="1">
      <alignment vertical="center"/>
    </xf>
    <xf numFmtId="4" fontId="13" fillId="3" borderId="8" xfId="0" applyNumberFormat="1" applyFont="1" applyFill="1" applyBorder="1" applyAlignment="1">
      <alignment vertical="center"/>
    </xf>
    <xf numFmtId="4" fontId="13" fillId="3" borderId="1" xfId="0" applyNumberFormat="1" applyFont="1" applyFill="1" applyBorder="1" applyAlignment="1">
      <alignment vertical="center"/>
    </xf>
    <xf numFmtId="4" fontId="13" fillId="3" borderId="5" xfId="0" applyNumberFormat="1" applyFont="1" applyFill="1" applyBorder="1" applyAlignment="1">
      <alignment vertical="center"/>
    </xf>
    <xf numFmtId="4" fontId="13" fillId="3" borderId="1" xfId="0" applyNumberFormat="1" applyFont="1" applyFill="1" applyBorder="1" applyAlignment="1" applyProtection="1">
      <alignment vertical="center"/>
      <protection locked="0"/>
    </xf>
    <xf numFmtId="4" fontId="13" fillId="3" borderId="6" xfId="0" applyNumberFormat="1" applyFont="1" applyFill="1" applyBorder="1" applyAlignment="1">
      <alignment vertical="center"/>
    </xf>
    <xf numFmtId="4" fontId="17" fillId="0" borderId="0" xfId="0" applyNumberFormat="1" applyFont="1" applyAlignment="1">
      <alignment vertical="center"/>
    </xf>
    <xf numFmtId="44" fontId="13" fillId="7" borderId="29" xfId="2" applyFont="1" applyFill="1" applyBorder="1" applyAlignment="1" applyProtection="1">
      <alignment vertical="center"/>
      <protection locked="0"/>
    </xf>
    <xf numFmtId="44" fontId="13" fillId="7" borderId="8" xfId="2" applyFont="1" applyFill="1" applyBorder="1" applyAlignment="1" applyProtection="1">
      <alignment vertical="center"/>
    </xf>
    <xf numFmtId="44" fontId="18" fillId="7" borderId="9" xfId="2" applyFont="1" applyFill="1" applyBorder="1" applyAlignment="1" applyProtection="1">
      <alignment vertical="center"/>
    </xf>
    <xf numFmtId="44" fontId="18" fillId="7" borderId="30" xfId="2" applyFont="1" applyFill="1" applyBorder="1" applyAlignment="1" applyProtection="1">
      <alignment vertical="center"/>
    </xf>
    <xf numFmtId="44" fontId="16" fillId="7" borderId="8" xfId="2" applyFont="1" applyFill="1" applyBorder="1" applyAlignment="1" applyProtection="1">
      <alignment vertical="center"/>
    </xf>
    <xf numFmtId="44" fontId="18" fillId="7" borderId="10" xfId="2" applyFont="1" applyFill="1" applyBorder="1" applyAlignment="1" applyProtection="1">
      <alignment vertical="center"/>
    </xf>
    <xf numFmtId="44" fontId="17" fillId="0" borderId="0" xfId="2" applyFont="1" applyProtection="1"/>
    <xf numFmtId="44" fontId="13" fillId="8" borderId="10" xfId="2" applyFont="1" applyFill="1" applyBorder="1" applyAlignment="1" applyProtection="1">
      <alignment vertical="center"/>
      <protection locked="0"/>
    </xf>
    <xf numFmtId="44" fontId="18" fillId="8" borderId="9" xfId="2" applyFont="1" applyFill="1" applyBorder="1" applyAlignment="1" applyProtection="1">
      <alignment vertical="center"/>
    </xf>
    <xf numFmtId="44" fontId="18" fillId="8" borderId="10" xfId="2" applyFont="1" applyFill="1" applyBorder="1" applyAlignment="1" applyProtection="1">
      <alignment vertical="center"/>
    </xf>
    <xf numFmtId="0" fontId="18" fillId="0" borderId="0" xfId="0" applyFont="1" applyAlignment="1">
      <alignment vertical="center"/>
    </xf>
    <xf numFmtId="4" fontId="21" fillId="0" borderId="0" xfId="0" applyNumberFormat="1" applyFont="1" applyAlignment="1" applyProtection="1">
      <alignment vertical="center"/>
      <protection locked="0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44" fontId="18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4" fontId="18" fillId="0" borderId="0" xfId="0" applyNumberFormat="1" applyFont="1" applyAlignment="1" applyProtection="1">
      <alignment vertical="center"/>
      <protection locked="0"/>
    </xf>
    <xf numFmtId="43" fontId="21" fillId="0" borderId="0" xfId="1" applyFont="1" applyFill="1" applyAlignment="1" applyProtection="1">
      <alignment vertical="center"/>
      <protection locked="0"/>
    </xf>
    <xf numFmtId="4" fontId="20" fillId="8" borderId="10" xfId="0" applyNumberFormat="1" applyFont="1" applyFill="1" applyBorder="1" applyAlignment="1" applyProtection="1">
      <alignment vertical="center"/>
      <protection locked="0"/>
    </xf>
    <xf numFmtId="4" fontId="18" fillId="8" borderId="9" xfId="0" applyNumberFormat="1" applyFont="1" applyFill="1" applyBorder="1" applyAlignment="1">
      <alignment vertical="center"/>
    </xf>
    <xf numFmtId="4" fontId="23" fillId="0" borderId="0" xfId="0" applyNumberFormat="1" applyFont="1" applyAlignment="1">
      <alignment vertical="center"/>
    </xf>
    <xf numFmtId="164" fontId="17" fillId="0" borderId="0" xfId="0" applyNumberFormat="1" applyFont="1" applyAlignment="1">
      <alignment vertical="center"/>
    </xf>
    <xf numFmtId="44" fontId="17" fillId="0" borderId="0" xfId="0" applyNumberFormat="1" applyFont="1" applyAlignment="1">
      <alignment vertical="center"/>
    </xf>
    <xf numFmtId="4" fontId="18" fillId="0" borderId="0" xfId="0" applyNumberFormat="1" applyFont="1" applyAlignment="1">
      <alignment vertical="center" wrapText="1"/>
    </xf>
    <xf numFmtId="2" fontId="24" fillId="0" borderId="0" xfId="0" applyNumberFormat="1" applyFont="1" applyAlignment="1" applyProtection="1">
      <alignment vertical="center" wrapText="1"/>
      <protection locked="0"/>
    </xf>
    <xf numFmtId="4" fontId="18" fillId="3" borderId="9" xfId="0" applyNumberFormat="1" applyFont="1" applyFill="1" applyBorder="1" applyAlignment="1">
      <alignment vertical="center"/>
    </xf>
    <xf numFmtId="2" fontId="24" fillId="0" borderId="0" xfId="0" applyNumberFormat="1" applyFont="1" applyAlignment="1" applyProtection="1">
      <alignment vertical="center"/>
      <protection locked="0"/>
    </xf>
    <xf numFmtId="2" fontId="24" fillId="0" borderId="0" xfId="0" applyNumberFormat="1" applyFont="1" applyAlignment="1">
      <alignment vertical="center"/>
    </xf>
    <xf numFmtId="4" fontId="20" fillId="0" borderId="0" xfId="0" applyNumberFormat="1" applyFont="1"/>
    <xf numFmtId="14" fontId="0" fillId="0" borderId="0" xfId="0" applyNumberFormat="1"/>
    <xf numFmtId="4" fontId="0" fillId="0" borderId="0" xfId="0" applyNumberFormat="1"/>
    <xf numFmtId="4" fontId="3" fillId="0" borderId="0" xfId="0" applyNumberFormat="1" applyFont="1"/>
    <xf numFmtId="43" fontId="0" fillId="0" borderId="0" xfId="1" applyFont="1" applyProtection="1"/>
    <xf numFmtId="44" fontId="0" fillId="0" borderId="0" xfId="0" applyNumberFormat="1"/>
    <xf numFmtId="43" fontId="0" fillId="0" borderId="0" xfId="0" applyNumberFormat="1"/>
    <xf numFmtId="0" fontId="14" fillId="0" borderId="0" xfId="0" applyFont="1"/>
    <xf numFmtId="0" fontId="27" fillId="0" borderId="0" xfId="0" applyFont="1"/>
    <xf numFmtId="14" fontId="14" fillId="0" borderId="0" xfId="0" applyNumberFormat="1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29" fillId="4" borderId="0" xfId="0" applyFont="1" applyFill="1"/>
    <xf numFmtId="43" fontId="14" fillId="0" borderId="31" xfId="1" applyFont="1" applyFill="1" applyBorder="1"/>
    <xf numFmtId="165" fontId="29" fillId="0" borderId="0" xfId="1" applyNumberFormat="1" applyFont="1" applyFill="1"/>
    <xf numFmtId="0" fontId="35" fillId="13" borderId="0" xfId="0" applyFont="1" applyFill="1"/>
    <xf numFmtId="1" fontId="33" fillId="11" borderId="31" xfId="0" applyNumberFormat="1" applyFont="1" applyFill="1" applyBorder="1" applyAlignment="1">
      <alignment vertical="center"/>
    </xf>
    <xf numFmtId="14" fontId="36" fillId="10" borderId="31" xfId="0" applyNumberFormat="1" applyFont="1" applyFill="1" applyBorder="1" applyAlignment="1">
      <alignment horizontal="center" vertical="center" wrapText="1"/>
    </xf>
    <xf numFmtId="0" fontId="36" fillId="0" borderId="0" xfId="0" applyFont="1"/>
    <xf numFmtId="0" fontId="36" fillId="0" borderId="0" xfId="0" applyFont="1" applyAlignment="1">
      <alignment horizontal="center"/>
    </xf>
    <xf numFmtId="0" fontId="27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4" fontId="27" fillId="0" borderId="31" xfId="0" applyNumberFormat="1" applyFont="1" applyBorder="1" applyAlignment="1">
      <alignment horizontal="center" vertical="center" wrapText="1"/>
    </xf>
    <xf numFmtId="44" fontId="27" fillId="0" borderId="31" xfId="2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36" fillId="14" borderId="31" xfId="0" applyFont="1" applyFill="1" applyBorder="1" applyAlignment="1">
      <alignment horizontal="center" vertical="center" wrapText="1"/>
    </xf>
    <xf numFmtId="44" fontId="27" fillId="3" borderId="31" xfId="2" applyFont="1" applyFill="1" applyBorder="1" applyAlignment="1">
      <alignment horizontal="center" vertical="center" wrapText="1"/>
    </xf>
    <xf numFmtId="166" fontId="36" fillId="0" borderId="0" xfId="0" applyNumberFormat="1" applyFont="1" applyAlignment="1">
      <alignment horizontal="center"/>
    </xf>
    <xf numFmtId="0" fontId="37" fillId="0" borderId="0" xfId="0" applyFont="1"/>
    <xf numFmtId="0" fontId="33" fillId="0" borderId="26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14" fontId="3" fillId="0" borderId="31" xfId="0" applyNumberFormat="1" applyFont="1" applyBorder="1" applyAlignment="1">
      <alignment vertical="center"/>
    </xf>
    <xf numFmtId="44" fontId="38" fillId="0" borderId="31" xfId="2" applyFont="1" applyBorder="1" applyAlignment="1">
      <alignment vertical="center"/>
    </xf>
    <xf numFmtId="44" fontId="0" fillId="0" borderId="31" xfId="2" applyFont="1" applyBorder="1" applyAlignment="1">
      <alignment vertical="center"/>
    </xf>
    <xf numFmtId="14" fontId="0" fillId="0" borderId="31" xfId="0" applyNumberFormat="1" applyBorder="1" applyAlignment="1">
      <alignment vertical="center"/>
    </xf>
    <xf numFmtId="14" fontId="2" fillId="0" borderId="31" xfId="0" applyNumberFormat="1" applyFont="1" applyBorder="1" applyAlignment="1">
      <alignment vertical="center"/>
    </xf>
    <xf numFmtId="0" fontId="0" fillId="0" borderId="31" xfId="0" applyBorder="1" applyAlignment="1">
      <alignment vertical="center"/>
    </xf>
    <xf numFmtId="0" fontId="4" fillId="0" borderId="31" xfId="0" applyFont="1" applyBorder="1" applyAlignment="1">
      <alignment vertical="center"/>
    </xf>
    <xf numFmtId="44" fontId="11" fillId="0" borderId="31" xfId="2" applyFont="1" applyBorder="1" applyAlignment="1">
      <alignment vertical="center"/>
    </xf>
    <xf numFmtId="44" fontId="3" fillId="0" borderId="24" xfId="2" applyFont="1" applyBorder="1" applyAlignment="1">
      <alignment vertical="center"/>
    </xf>
    <xf numFmtId="0" fontId="27" fillId="0" borderId="2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/>
    </xf>
    <xf numFmtId="0" fontId="5" fillId="15" borderId="31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vertical="center"/>
    </xf>
    <xf numFmtId="0" fontId="39" fillId="0" borderId="32" xfId="0" applyFont="1" applyBorder="1" applyAlignment="1">
      <alignment vertical="center"/>
    </xf>
    <xf numFmtId="0" fontId="39" fillId="0" borderId="31" xfId="0" applyFont="1" applyBorder="1" applyAlignment="1">
      <alignment vertical="center"/>
    </xf>
    <xf numFmtId="14" fontId="14" fillId="0" borderId="31" xfId="0" applyNumberFormat="1" applyFont="1" applyBorder="1" applyAlignment="1">
      <alignment vertical="center"/>
    </xf>
    <xf numFmtId="44" fontId="14" fillId="0" borderId="31" xfId="2" applyFont="1" applyFill="1" applyBorder="1" applyAlignment="1">
      <alignment vertical="center"/>
    </xf>
    <xf numFmtId="44" fontId="14" fillId="3" borderId="31" xfId="2" applyFont="1" applyFill="1" applyBorder="1" applyAlignment="1">
      <alignment vertical="center"/>
    </xf>
    <xf numFmtId="44" fontId="14" fillId="0" borderId="31" xfId="2" applyFont="1" applyBorder="1" applyAlignment="1">
      <alignment vertical="center"/>
    </xf>
    <xf numFmtId="14" fontId="27" fillId="3" borderId="31" xfId="0" applyNumberFormat="1" applyFont="1" applyFill="1" applyBorder="1" applyAlignment="1">
      <alignment vertical="center"/>
    </xf>
    <xf numFmtId="14" fontId="35" fillId="3" borderId="31" xfId="0" applyNumberFormat="1" applyFont="1" applyFill="1" applyBorder="1" applyAlignment="1">
      <alignment vertical="center"/>
    </xf>
    <xf numFmtId="0" fontId="36" fillId="0" borderId="31" xfId="0" applyFont="1" applyBorder="1" applyAlignment="1">
      <alignment vertical="center"/>
    </xf>
    <xf numFmtId="44" fontId="40" fillId="0" borderId="31" xfId="2" applyFont="1" applyBorder="1" applyAlignment="1">
      <alignment vertical="center"/>
    </xf>
    <xf numFmtId="9" fontId="28" fillId="0" borderId="0" xfId="3" applyFont="1" applyFill="1"/>
    <xf numFmtId="44" fontId="27" fillId="0" borderId="31" xfId="2" applyFont="1" applyBorder="1" applyAlignment="1">
      <alignment vertical="center"/>
    </xf>
    <xf numFmtId="9" fontId="33" fillId="13" borderId="31" xfId="0" applyNumberFormat="1" applyFont="1" applyFill="1" applyBorder="1"/>
    <xf numFmtId="44" fontId="27" fillId="0" borderId="0" xfId="2" applyFont="1" applyBorder="1" applyAlignment="1">
      <alignment vertical="center"/>
    </xf>
    <xf numFmtId="43" fontId="12" fillId="0" borderId="31" xfId="1" applyFont="1" applyFill="1" applyBorder="1" applyAlignment="1">
      <alignment horizontal="right" vertical="center" wrapText="1"/>
    </xf>
    <xf numFmtId="43" fontId="13" fillId="0" borderId="31" xfId="1" applyFont="1" applyFill="1" applyBorder="1" applyAlignment="1">
      <alignment horizontal="right" vertical="center" wrapText="1"/>
    </xf>
    <xf numFmtId="166" fontId="29" fillId="0" borderId="0" xfId="0" applyNumberFormat="1" applyFont="1"/>
    <xf numFmtId="43" fontId="27" fillId="0" borderId="31" xfId="1" applyFont="1" applyFill="1" applyBorder="1"/>
    <xf numFmtId="0" fontId="14" fillId="0" borderId="32" xfId="0" applyFont="1" applyBorder="1" applyAlignment="1">
      <alignment vertical="center"/>
    </xf>
    <xf numFmtId="14" fontId="14" fillId="3" borderId="31" xfId="0" applyNumberFormat="1" applyFont="1" applyFill="1" applyBorder="1" applyAlignment="1">
      <alignment vertical="center"/>
    </xf>
    <xf numFmtId="9" fontId="35" fillId="16" borderId="0" xfId="3" applyFont="1" applyFill="1"/>
    <xf numFmtId="44" fontId="27" fillId="10" borderId="31" xfId="2" applyFont="1" applyFill="1" applyBorder="1" applyAlignment="1">
      <alignment vertical="center"/>
    </xf>
    <xf numFmtId="44" fontId="27" fillId="6" borderId="31" xfId="2" applyFont="1" applyFill="1" applyBorder="1" applyAlignment="1">
      <alignment vertical="center"/>
    </xf>
    <xf numFmtId="43" fontId="14" fillId="6" borderId="31" xfId="1" applyFont="1" applyFill="1" applyBorder="1"/>
    <xf numFmtId="43" fontId="27" fillId="6" borderId="31" xfId="1" applyFont="1" applyFill="1" applyBorder="1"/>
    <xf numFmtId="9" fontId="41" fillId="0" borderId="0" xfId="3" applyFont="1" applyFill="1"/>
    <xf numFmtId="14" fontId="34" fillId="3" borderId="31" xfId="0" applyNumberFormat="1" applyFont="1" applyFill="1" applyBorder="1" applyAlignment="1">
      <alignment vertical="center"/>
    </xf>
    <xf numFmtId="0" fontId="42" fillId="0" borderId="31" xfId="0" applyFont="1" applyBorder="1" applyAlignment="1">
      <alignment vertical="center"/>
    </xf>
    <xf numFmtId="14" fontId="39" fillId="0" borderId="31" xfId="0" applyNumberFormat="1" applyFont="1" applyBorder="1" applyAlignment="1">
      <alignment vertical="center"/>
    </xf>
    <xf numFmtId="0" fontId="36" fillId="6" borderId="31" xfId="0" applyFont="1" applyFill="1" applyBorder="1" applyAlignment="1">
      <alignment vertical="center"/>
    </xf>
    <xf numFmtId="0" fontId="35" fillId="16" borderId="0" xfId="0" applyFont="1" applyFill="1"/>
    <xf numFmtId="0" fontId="43" fillId="0" borderId="0" xfId="0" applyFont="1"/>
    <xf numFmtId="0" fontId="43" fillId="0" borderId="0" xfId="0" applyFont="1" applyAlignment="1">
      <alignment vertical="center"/>
    </xf>
    <xf numFmtId="14" fontId="43" fillId="0" borderId="0" xfId="0" applyNumberFormat="1" applyFont="1" applyAlignment="1">
      <alignment vertical="center"/>
    </xf>
    <xf numFmtId="44" fontId="43" fillId="0" borderId="31" xfId="2" applyFont="1" applyBorder="1" applyAlignment="1">
      <alignment vertical="center"/>
    </xf>
    <xf numFmtId="44" fontId="43" fillId="0" borderId="0" xfId="2" applyFont="1" applyBorder="1" applyAlignment="1">
      <alignment vertical="center"/>
    </xf>
    <xf numFmtId="9" fontId="44" fillId="0" borderId="0" xfId="3" applyFont="1" applyFill="1"/>
    <xf numFmtId="43" fontId="18" fillId="0" borderId="31" xfId="1" applyFont="1" applyFill="1" applyBorder="1"/>
    <xf numFmtId="43" fontId="14" fillId="0" borderId="0" xfId="1" applyFont="1" applyFill="1"/>
    <xf numFmtId="43" fontId="12" fillId="14" borderId="31" xfId="1" applyFont="1" applyFill="1" applyBorder="1" applyAlignment="1">
      <alignment horizontal="right" vertical="center" wrapText="1"/>
    </xf>
    <xf numFmtId="43" fontId="14" fillId="10" borderId="31" xfId="1" applyFont="1" applyFill="1" applyBorder="1"/>
    <xf numFmtId="44" fontId="27" fillId="0" borderId="31" xfId="2" applyFont="1" applyFill="1" applyBorder="1" applyAlignment="1">
      <alignment vertical="center"/>
    </xf>
    <xf numFmtId="44" fontId="14" fillId="0" borderId="33" xfId="2" applyFont="1" applyBorder="1" applyAlignment="1">
      <alignment vertical="center"/>
    </xf>
    <xf numFmtId="14" fontId="43" fillId="0" borderId="0" xfId="0" applyNumberFormat="1" applyFont="1"/>
    <xf numFmtId="44" fontId="43" fillId="0" borderId="31" xfId="0" applyNumberFormat="1" applyFont="1" applyBorder="1"/>
    <xf numFmtId="43" fontId="13" fillId="6" borderId="31" xfId="1" applyFont="1" applyFill="1" applyBorder="1" applyAlignment="1">
      <alignment horizontal="right" vertical="center" wrapText="1"/>
    </xf>
    <xf numFmtId="0" fontId="36" fillId="4" borderId="0" xfId="0" applyFont="1" applyFill="1"/>
    <xf numFmtId="0" fontId="45" fillId="0" borderId="0" xfId="0" applyFont="1" applyAlignment="1">
      <alignment horizontal="center"/>
    </xf>
    <xf numFmtId="44" fontId="36" fillId="0" borderId="0" xfId="0" applyNumberFormat="1" applyFont="1"/>
    <xf numFmtId="44" fontId="36" fillId="0" borderId="26" xfId="0" applyNumberFormat="1" applyFont="1" applyBorder="1"/>
    <xf numFmtId="43" fontId="43" fillId="0" borderId="0" xfId="1" applyFont="1" applyFill="1"/>
    <xf numFmtId="0" fontId="46" fillId="0" borderId="0" xfId="0" applyFont="1"/>
    <xf numFmtId="0" fontId="44" fillId="0" borderId="0" xfId="0" applyFont="1"/>
    <xf numFmtId="0" fontId="47" fillId="0" borderId="0" xfId="0" applyFont="1"/>
    <xf numFmtId="14" fontId="47" fillId="0" borderId="0" xfId="0" applyNumberFormat="1" applyFont="1"/>
    <xf numFmtId="0" fontId="44" fillId="0" borderId="29" xfId="0" applyFont="1" applyBorder="1" applyAlignment="1">
      <alignment horizontal="center"/>
    </xf>
    <xf numFmtId="44" fontId="44" fillId="0" borderId="34" xfId="0" applyNumberFormat="1" applyFont="1" applyBorder="1"/>
    <xf numFmtId="44" fontId="44" fillId="0" borderId="10" xfId="0" applyNumberFormat="1" applyFont="1" applyBorder="1"/>
    <xf numFmtId="44" fontId="33" fillId="0" borderId="0" xfId="2" applyFont="1" applyBorder="1" applyAlignment="1">
      <alignment vertical="center"/>
    </xf>
    <xf numFmtId="43" fontId="44" fillId="0" borderId="31" xfId="1" applyFont="1" applyFill="1" applyBorder="1"/>
    <xf numFmtId="44" fontId="44" fillId="8" borderId="31" xfId="2" applyFont="1" applyFill="1" applyBorder="1" applyAlignment="1">
      <alignment horizontal="center"/>
    </xf>
    <xf numFmtId="166" fontId="28" fillId="0" borderId="0" xfId="0" applyNumberFormat="1" applyFont="1"/>
    <xf numFmtId="44" fontId="44" fillId="3" borderId="31" xfId="2" applyFont="1" applyFill="1" applyBorder="1" applyAlignment="1">
      <alignment horizontal="center"/>
    </xf>
    <xf numFmtId="0" fontId="48" fillId="0" borderId="0" xfId="0" applyFont="1"/>
    <xf numFmtId="44" fontId="14" fillId="0" borderId="0" xfId="0" applyNumberFormat="1" applyFont="1"/>
    <xf numFmtId="43" fontId="48" fillId="0" borderId="0" xfId="1" applyFont="1" applyFill="1"/>
    <xf numFmtId="0" fontId="49" fillId="0" borderId="0" xfId="0" applyFont="1"/>
    <xf numFmtId="0" fontId="14" fillId="0" borderId="1" xfId="0" applyFont="1" applyBorder="1"/>
    <xf numFmtId="0" fontId="27" fillId="0" borderId="1" xfId="0" applyFont="1" applyBorder="1"/>
    <xf numFmtId="14" fontId="14" fillId="0" borderId="1" xfId="0" applyNumberFormat="1" applyFont="1" applyBorder="1"/>
    <xf numFmtId="0" fontId="50" fillId="0" borderId="1" xfId="0" applyFont="1" applyBorder="1" applyAlignment="1">
      <alignment horizontal="center"/>
    </xf>
    <xf numFmtId="0" fontId="28" fillId="0" borderId="1" xfId="0" applyFont="1" applyBorder="1"/>
    <xf numFmtId="0" fontId="51" fillId="0" borderId="0" xfId="0" applyFont="1"/>
    <xf numFmtId="43" fontId="19" fillId="0" borderId="31" xfId="1" applyFont="1" applyFill="1" applyBorder="1" applyAlignment="1">
      <alignment horizontal="right" vertical="center" wrapText="1"/>
    </xf>
    <xf numFmtId="0" fontId="52" fillId="0" borderId="0" xfId="0" applyFont="1"/>
    <xf numFmtId="4" fontId="52" fillId="0" borderId="0" xfId="0" applyNumberFormat="1" applyFont="1"/>
    <xf numFmtId="44" fontId="44" fillId="0" borderId="0" xfId="0" applyNumberFormat="1" applyFont="1"/>
    <xf numFmtId="44" fontId="53" fillId="3" borderId="31" xfId="2" applyFont="1" applyFill="1" applyBorder="1" applyAlignment="1">
      <alignment horizontal="center"/>
    </xf>
    <xf numFmtId="44" fontId="53" fillId="15" borderId="31" xfId="2" applyFont="1" applyFill="1" applyBorder="1" applyAlignment="1">
      <alignment horizontal="center"/>
    </xf>
    <xf numFmtId="0" fontId="54" fillId="0" borderId="0" xfId="0" applyFont="1"/>
    <xf numFmtId="4" fontId="54" fillId="0" borderId="0" xfId="0" applyNumberFormat="1" applyFont="1"/>
    <xf numFmtId="44" fontId="55" fillId="0" borderId="0" xfId="0" applyNumberFormat="1" applyFont="1"/>
    <xf numFmtId="44" fontId="55" fillId="15" borderId="0" xfId="2" applyFont="1" applyFill="1" applyBorder="1" applyAlignment="1">
      <alignment horizontal="center"/>
    </xf>
    <xf numFmtId="43" fontId="56" fillId="0" borderId="0" xfId="1" applyFont="1" applyFill="1" applyBorder="1" applyAlignment="1">
      <alignment horizontal="center"/>
    </xf>
    <xf numFmtId="44" fontId="52" fillId="0" borderId="0" xfId="0" applyNumberFormat="1" applyFont="1"/>
    <xf numFmtId="44" fontId="55" fillId="0" borderId="18" xfId="2" applyFont="1" applyFill="1" applyBorder="1" applyAlignment="1">
      <alignment horizontal="center"/>
    </xf>
    <xf numFmtId="44" fontId="55" fillId="0" borderId="15" xfId="2" applyFont="1" applyFill="1" applyBorder="1" applyAlignment="1">
      <alignment horizontal="center"/>
    </xf>
    <xf numFmtId="44" fontId="53" fillId="3" borderId="16" xfId="2" applyFont="1" applyFill="1" applyBorder="1" applyAlignment="1">
      <alignment horizontal="center"/>
    </xf>
    <xf numFmtId="0" fontId="57" fillId="0" borderId="0" xfId="0" applyFont="1"/>
    <xf numFmtId="14" fontId="34" fillId="0" borderId="0" xfId="0" applyNumberFormat="1" applyFont="1"/>
    <xf numFmtId="0" fontId="58" fillId="0" borderId="0" xfId="0" applyFont="1"/>
    <xf numFmtId="43" fontId="58" fillId="0" borderId="0" xfId="1" applyFont="1"/>
    <xf numFmtId="43" fontId="46" fillId="0" borderId="31" xfId="1" applyFont="1" applyFill="1" applyBorder="1"/>
    <xf numFmtId="4" fontId="14" fillId="0" borderId="0" xfId="0" applyNumberFormat="1" applyFont="1"/>
    <xf numFmtId="44" fontId="14" fillId="17" borderId="0" xfId="0" applyNumberFormat="1" applyFont="1" applyFill="1"/>
    <xf numFmtId="0" fontId="60" fillId="0" borderId="0" xfId="0" applyFont="1"/>
    <xf numFmtId="4" fontId="60" fillId="0" borderId="0" xfId="0" applyNumberFormat="1" applyFont="1"/>
    <xf numFmtId="0" fontId="61" fillId="0" borderId="0" xfId="0" applyFont="1"/>
    <xf numFmtId="4" fontId="62" fillId="0" borderId="0" xfId="0" applyNumberFormat="1" applyFont="1"/>
    <xf numFmtId="43" fontId="60" fillId="0" borderId="0" xfId="1" applyFont="1"/>
    <xf numFmtId="0" fontId="63" fillId="0" borderId="0" xfId="0" applyFont="1" applyAlignment="1">
      <alignment horizontal="center"/>
    </xf>
    <xf numFmtId="14" fontId="54" fillId="14" borderId="0" xfId="0" quotePrefix="1" applyNumberFormat="1" applyFont="1" applyFill="1"/>
    <xf numFmtId="43" fontId="64" fillId="0" borderId="0" xfId="1" applyFont="1"/>
    <xf numFmtId="0" fontId="64" fillId="0" borderId="0" xfId="0" applyFont="1"/>
    <xf numFmtId="14" fontId="64" fillId="0" borderId="29" xfId="0" applyNumberFormat="1" applyFont="1" applyBorder="1"/>
    <xf numFmtId="0" fontId="64" fillId="0" borderId="9" xfId="0" applyFont="1" applyBorder="1"/>
    <xf numFmtId="0" fontId="64" fillId="0" borderId="9" xfId="0" quotePrefix="1" applyFont="1" applyBorder="1"/>
    <xf numFmtId="4" fontId="64" fillId="0" borderId="9" xfId="0" applyNumberFormat="1" applyFont="1" applyBorder="1"/>
    <xf numFmtId="4" fontId="54" fillId="0" borderId="9" xfId="0" applyNumberFormat="1" applyFont="1" applyBorder="1"/>
    <xf numFmtId="0" fontId="64" fillId="0" borderId="34" xfId="0" applyFont="1" applyBorder="1"/>
    <xf numFmtId="0" fontId="65" fillId="0" borderId="0" xfId="0" applyFont="1"/>
    <xf numFmtId="4" fontId="66" fillId="0" borderId="0" xfId="0" applyNumberFormat="1" applyFont="1"/>
    <xf numFmtId="14" fontId="60" fillId="11" borderId="0" xfId="0" applyNumberFormat="1" applyFont="1" applyFill="1"/>
    <xf numFmtId="0" fontId="62" fillId="0" borderId="0" xfId="0" applyFont="1"/>
    <xf numFmtId="4" fontId="67" fillId="0" borderId="0" xfId="0" applyNumberFormat="1" applyFont="1"/>
    <xf numFmtId="0" fontId="61" fillId="15" borderId="0" xfId="0" applyFont="1" applyFill="1"/>
    <xf numFmtId="43" fontId="51" fillId="0" borderId="0" xfId="1" applyFont="1"/>
    <xf numFmtId="14" fontId="60" fillId="0" borderId="0" xfId="0" applyNumberFormat="1" applyFont="1"/>
    <xf numFmtId="4" fontId="61" fillId="0" borderId="0" xfId="0" applyNumberFormat="1" applyFont="1"/>
    <xf numFmtId="0" fontId="54" fillId="4" borderId="0" xfId="0" applyFont="1" applyFill="1"/>
    <xf numFmtId="14" fontId="66" fillId="18" borderId="15" xfId="0" applyNumberFormat="1" applyFont="1" applyFill="1" applyBorder="1"/>
    <xf numFmtId="0" fontId="66" fillId="18" borderId="15" xfId="0" applyFont="1" applyFill="1" applyBorder="1"/>
    <xf numFmtId="0" fontId="54" fillId="18" borderId="15" xfId="0" applyFont="1" applyFill="1" applyBorder="1"/>
    <xf numFmtId="4" fontId="65" fillId="18" borderId="15" xfId="0" applyNumberFormat="1" applyFont="1" applyFill="1" applyBorder="1"/>
    <xf numFmtId="4" fontId="66" fillId="18" borderId="15" xfId="0" applyNumberFormat="1" applyFont="1" applyFill="1" applyBorder="1"/>
    <xf numFmtId="0" fontId="65" fillId="15" borderId="15" xfId="0" applyFont="1" applyFill="1" applyBorder="1"/>
    <xf numFmtId="0" fontId="66" fillId="0" borderId="15" xfId="0" applyFont="1" applyBorder="1"/>
    <xf numFmtId="4" fontId="65" fillId="0" borderId="15" xfId="0" applyNumberFormat="1" applyFont="1" applyBorder="1"/>
    <xf numFmtId="0" fontId="65" fillId="0" borderId="15" xfId="0" applyFont="1" applyBorder="1"/>
    <xf numFmtId="4" fontId="54" fillId="15" borderId="13" xfId="0" applyNumberFormat="1" applyFont="1" applyFill="1" applyBorder="1"/>
    <xf numFmtId="43" fontId="66" fillId="0" borderId="15" xfId="1" applyFont="1" applyBorder="1"/>
    <xf numFmtId="14" fontId="66" fillId="0" borderId="23" xfId="0" applyNumberFormat="1" applyFont="1" applyBorder="1"/>
    <xf numFmtId="0" fontId="66" fillId="0" borderId="0" xfId="0" applyFont="1"/>
    <xf numFmtId="0" fontId="61" fillId="15" borderId="35" xfId="0" applyFont="1" applyFill="1" applyBorder="1"/>
    <xf numFmtId="4" fontId="51" fillId="0" borderId="0" xfId="0" applyNumberFormat="1" applyFont="1"/>
    <xf numFmtId="167" fontId="62" fillId="0" borderId="0" xfId="0" applyNumberFormat="1" applyFont="1"/>
    <xf numFmtId="14" fontId="64" fillId="15" borderId="15" xfId="0" applyNumberFormat="1" applyFont="1" applyFill="1" applyBorder="1"/>
    <xf numFmtId="0" fontId="64" fillId="15" borderId="15" xfId="0" applyFont="1" applyFill="1" applyBorder="1"/>
    <xf numFmtId="4" fontId="65" fillId="15" borderId="15" xfId="0" applyNumberFormat="1" applyFont="1" applyFill="1" applyBorder="1"/>
    <xf numFmtId="4" fontId="64" fillId="15" borderId="15" xfId="0" applyNumberFormat="1" applyFont="1" applyFill="1" applyBorder="1"/>
    <xf numFmtId="0" fontId="54" fillId="0" borderId="15" xfId="0" applyFont="1" applyBorder="1"/>
    <xf numFmtId="0" fontId="64" fillId="0" borderId="15" xfId="0" applyFont="1" applyBorder="1"/>
    <xf numFmtId="4" fontId="67" fillId="15" borderId="0" xfId="0" applyNumberFormat="1" applyFont="1" applyFill="1"/>
    <xf numFmtId="0" fontId="62" fillId="0" borderId="36" xfId="0" applyFont="1" applyBorder="1"/>
    <xf numFmtId="43" fontId="54" fillId="0" borderId="15" xfId="1" applyFont="1" applyBorder="1"/>
    <xf numFmtId="14" fontId="65" fillId="18" borderId="15" xfId="0" applyNumberFormat="1" applyFont="1" applyFill="1" applyBorder="1"/>
    <xf numFmtId="0" fontId="65" fillId="18" borderId="15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1015887</xdr:colOff>
      <xdr:row>37</xdr:row>
      <xdr:rowOff>343015</xdr:rowOff>
    </xdr:from>
    <xdr:to>
      <xdr:col>42</xdr:col>
      <xdr:colOff>16442</xdr:colOff>
      <xdr:row>39</xdr:row>
      <xdr:rowOff>23813</xdr:rowOff>
    </xdr:to>
    <xdr:sp macro="" textlink="">
      <xdr:nvSpPr>
        <xdr:cNvPr id="2" name="Right Arrow 6">
          <a:extLst>
            <a:ext uri="{FF2B5EF4-FFF2-40B4-BE49-F238E27FC236}">
              <a16:creationId xmlns:a16="http://schemas.microsoft.com/office/drawing/2014/main" id="{47F3FCC6-0FCF-4778-88AA-08A5FDED64CA}"/>
            </a:ext>
          </a:extLst>
        </xdr:cNvPr>
        <xdr:cNvSpPr/>
      </xdr:nvSpPr>
      <xdr:spPr>
        <a:xfrm>
          <a:off x="35991687" y="10325215"/>
          <a:ext cx="905555" cy="39517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70</xdr:col>
      <xdr:colOff>119063</xdr:colOff>
      <xdr:row>37</xdr:row>
      <xdr:rowOff>139473</xdr:rowOff>
    </xdr:from>
    <xdr:to>
      <xdr:col>71</xdr:col>
      <xdr:colOff>276136</xdr:colOff>
      <xdr:row>38</xdr:row>
      <xdr:rowOff>35719</xdr:rowOff>
    </xdr:to>
    <xdr:sp macro="" textlink="">
      <xdr:nvSpPr>
        <xdr:cNvPr id="3" name="Right Arrow 7">
          <a:extLst>
            <a:ext uri="{FF2B5EF4-FFF2-40B4-BE49-F238E27FC236}">
              <a16:creationId xmlns:a16="http://schemas.microsoft.com/office/drawing/2014/main" id="{0AFA3252-A217-4E02-AAEB-147B5A2467B6}"/>
            </a:ext>
          </a:extLst>
        </xdr:cNvPr>
        <xdr:cNvSpPr/>
      </xdr:nvSpPr>
      <xdr:spPr>
        <a:xfrm rot="2601406">
          <a:off x="69632513" y="10121673"/>
          <a:ext cx="404723" cy="28677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83344</xdr:colOff>
      <xdr:row>37</xdr:row>
      <xdr:rowOff>7143</xdr:rowOff>
    </xdr:from>
    <xdr:to>
      <xdr:col>85</xdr:col>
      <xdr:colOff>581025</xdr:colOff>
      <xdr:row>38</xdr:row>
      <xdr:rowOff>261937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8DA37CA-A3C1-4307-9AC6-1187AF5B15F2}"/>
            </a:ext>
          </a:extLst>
        </xdr:cNvPr>
        <xdr:cNvCxnSpPr/>
      </xdr:nvCxnSpPr>
      <xdr:spPr>
        <a:xfrm flipV="1">
          <a:off x="85084444" y="9989343"/>
          <a:ext cx="497681" cy="6453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83345</xdr:colOff>
      <xdr:row>35</xdr:row>
      <xdr:rowOff>130968</xdr:rowOff>
    </xdr:from>
    <xdr:to>
      <xdr:col>69</xdr:col>
      <xdr:colOff>1131095</xdr:colOff>
      <xdr:row>37</xdr:row>
      <xdr:rowOff>190500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9063D48-DCCC-493D-AE4E-95E8D43888E2}"/>
            </a:ext>
          </a:extLst>
        </xdr:cNvPr>
        <xdr:cNvSpPr/>
      </xdr:nvSpPr>
      <xdr:spPr>
        <a:xfrm>
          <a:off x="68453795" y="9503568"/>
          <a:ext cx="1047750" cy="669132"/>
        </a:xfrm>
        <a:prstGeom prst="ellipse">
          <a:avLst/>
        </a:prstGeom>
        <a:noFill/>
        <a:ln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181427</xdr:colOff>
      <xdr:row>2</xdr:row>
      <xdr:rowOff>99785</xdr:rowOff>
    </xdr:from>
    <xdr:to>
      <xdr:col>85</xdr:col>
      <xdr:colOff>907142</xdr:colOff>
      <xdr:row>5</xdr:row>
      <xdr:rowOff>264884</xdr:rowOff>
    </xdr:to>
    <xdr:sp macro="" textlink="">
      <xdr:nvSpPr>
        <xdr:cNvPr id="6" name="Down Arrow 12">
          <a:extLst>
            <a:ext uri="{FF2B5EF4-FFF2-40B4-BE49-F238E27FC236}">
              <a16:creationId xmlns:a16="http://schemas.microsoft.com/office/drawing/2014/main" id="{3C48F8EF-42B0-4369-8C0A-C49786DD96F4}"/>
            </a:ext>
          </a:extLst>
        </xdr:cNvPr>
        <xdr:cNvSpPr/>
      </xdr:nvSpPr>
      <xdr:spPr>
        <a:xfrm>
          <a:off x="85182527" y="490310"/>
          <a:ext cx="725715" cy="669924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1000124</xdr:colOff>
      <xdr:row>37</xdr:row>
      <xdr:rowOff>87842</xdr:rowOff>
    </xdr:from>
    <xdr:to>
      <xdr:col>69</xdr:col>
      <xdr:colOff>396610</xdr:colOff>
      <xdr:row>39</xdr:row>
      <xdr:rowOff>202406</xdr:rowOff>
    </xdr:to>
    <xdr:cxnSp macro="">
      <xdr:nvCxnSpPr>
        <xdr:cNvPr id="7" name="Straight Arrow Connector 5">
          <a:extLst>
            <a:ext uri="{FF2B5EF4-FFF2-40B4-BE49-F238E27FC236}">
              <a16:creationId xmlns:a16="http://schemas.microsoft.com/office/drawing/2014/main" id="{A05B3717-7B29-4E2F-A53B-B3D3B1244B0F}"/>
            </a:ext>
          </a:extLst>
        </xdr:cNvPr>
        <xdr:cNvCxnSpPr/>
      </xdr:nvCxnSpPr>
      <xdr:spPr>
        <a:xfrm flipV="1">
          <a:off x="68208524" y="10070042"/>
          <a:ext cx="558536" cy="8289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178594</xdr:colOff>
      <xdr:row>4</xdr:row>
      <xdr:rowOff>0</xdr:rowOff>
    </xdr:from>
    <xdr:to>
      <xdr:col>12</xdr:col>
      <xdr:colOff>714375</xdr:colOff>
      <xdr:row>5</xdr:row>
      <xdr:rowOff>107156</xdr:rowOff>
    </xdr:to>
    <xdr:sp macro="" textlink="">
      <xdr:nvSpPr>
        <xdr:cNvPr id="8" name="Down Arrow 21">
          <a:extLst>
            <a:ext uri="{FF2B5EF4-FFF2-40B4-BE49-F238E27FC236}">
              <a16:creationId xmlns:a16="http://schemas.microsoft.com/office/drawing/2014/main" id="{0FEBF968-A71B-4A3D-8F47-462480C9739C}"/>
            </a:ext>
          </a:extLst>
        </xdr:cNvPr>
        <xdr:cNvSpPr/>
      </xdr:nvSpPr>
      <xdr:spPr>
        <a:xfrm>
          <a:off x="11989594" y="771525"/>
          <a:ext cx="535781" cy="297656"/>
        </a:xfrm>
        <a:prstGeom prst="down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202406</xdr:colOff>
      <xdr:row>4</xdr:row>
      <xdr:rowOff>23813</xdr:rowOff>
    </xdr:from>
    <xdr:to>
      <xdr:col>13</xdr:col>
      <xdr:colOff>738187</xdr:colOff>
      <xdr:row>5</xdr:row>
      <xdr:rowOff>130969</xdr:rowOff>
    </xdr:to>
    <xdr:sp macro="" textlink="">
      <xdr:nvSpPr>
        <xdr:cNvPr id="9" name="Down Arrow 22">
          <a:extLst>
            <a:ext uri="{FF2B5EF4-FFF2-40B4-BE49-F238E27FC236}">
              <a16:creationId xmlns:a16="http://schemas.microsoft.com/office/drawing/2014/main" id="{8C97C7D4-6EF6-438D-B1D0-AA27D31E8F30}"/>
            </a:ext>
          </a:extLst>
        </xdr:cNvPr>
        <xdr:cNvSpPr/>
      </xdr:nvSpPr>
      <xdr:spPr>
        <a:xfrm>
          <a:off x="12823031" y="795338"/>
          <a:ext cx="535781" cy="297656"/>
        </a:xfrm>
        <a:prstGeom prst="down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27</xdr:col>
      <xdr:colOff>23813</xdr:colOff>
      <xdr:row>3</xdr:row>
      <xdr:rowOff>130969</xdr:rowOff>
    </xdr:from>
    <xdr:to>
      <xdr:col>27</xdr:col>
      <xdr:colOff>559594</xdr:colOff>
      <xdr:row>5</xdr:row>
      <xdr:rowOff>47625</xdr:rowOff>
    </xdr:to>
    <xdr:sp macro="" textlink="">
      <xdr:nvSpPr>
        <xdr:cNvPr id="10" name="Down Arrow 23">
          <a:extLst>
            <a:ext uri="{FF2B5EF4-FFF2-40B4-BE49-F238E27FC236}">
              <a16:creationId xmlns:a16="http://schemas.microsoft.com/office/drawing/2014/main" id="{A80B86E2-7A7A-41FC-A1F5-303F6157FBA5}"/>
            </a:ext>
          </a:extLst>
        </xdr:cNvPr>
        <xdr:cNvSpPr/>
      </xdr:nvSpPr>
      <xdr:spPr>
        <a:xfrm>
          <a:off x="24217313" y="711994"/>
          <a:ext cx="535781" cy="297656"/>
        </a:xfrm>
        <a:prstGeom prst="down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40</xdr:col>
      <xdr:colOff>35719</xdr:colOff>
      <xdr:row>3</xdr:row>
      <xdr:rowOff>166688</xdr:rowOff>
    </xdr:from>
    <xdr:to>
      <xdr:col>40</xdr:col>
      <xdr:colOff>571500</xdr:colOff>
      <xdr:row>5</xdr:row>
      <xdr:rowOff>83344</xdr:rowOff>
    </xdr:to>
    <xdr:sp macro="" textlink="">
      <xdr:nvSpPr>
        <xdr:cNvPr id="11" name="Down Arrow 24">
          <a:extLst>
            <a:ext uri="{FF2B5EF4-FFF2-40B4-BE49-F238E27FC236}">
              <a16:creationId xmlns:a16="http://schemas.microsoft.com/office/drawing/2014/main" id="{19756483-1CFC-4A96-950D-4FC839ACB02E}"/>
            </a:ext>
          </a:extLst>
        </xdr:cNvPr>
        <xdr:cNvSpPr/>
      </xdr:nvSpPr>
      <xdr:spPr>
        <a:xfrm>
          <a:off x="35011519" y="747713"/>
          <a:ext cx="535781" cy="297656"/>
        </a:xfrm>
        <a:prstGeom prst="down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47</xdr:col>
      <xdr:colOff>297655</xdr:colOff>
      <xdr:row>37</xdr:row>
      <xdr:rowOff>166687</xdr:rowOff>
    </xdr:from>
    <xdr:to>
      <xdr:col>48</xdr:col>
      <xdr:colOff>47625</xdr:colOff>
      <xdr:row>39</xdr:row>
      <xdr:rowOff>70303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F5DDFF91-191D-4142-B39E-0B97E50D31AF}"/>
            </a:ext>
          </a:extLst>
        </xdr:cNvPr>
        <xdr:cNvSpPr/>
      </xdr:nvSpPr>
      <xdr:spPr>
        <a:xfrm>
          <a:off x="43055380" y="10148887"/>
          <a:ext cx="864395" cy="617991"/>
        </a:xfrm>
        <a:prstGeom prst="ellipse">
          <a:avLst/>
        </a:prstGeom>
        <a:noFill/>
        <a:ln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333373</xdr:colOff>
      <xdr:row>37</xdr:row>
      <xdr:rowOff>238123</xdr:rowOff>
    </xdr:from>
    <xdr:to>
      <xdr:col>69</xdr:col>
      <xdr:colOff>119062</xdr:colOff>
      <xdr:row>39</xdr:row>
      <xdr:rowOff>142874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B2A409E-D02D-4270-82F4-B932D2F22F09}"/>
            </a:ext>
          </a:extLst>
        </xdr:cNvPr>
        <xdr:cNvSpPr/>
      </xdr:nvSpPr>
      <xdr:spPr>
        <a:xfrm>
          <a:off x="67541773" y="10220323"/>
          <a:ext cx="947739" cy="619126"/>
        </a:xfrm>
        <a:prstGeom prst="ellipse">
          <a:avLst/>
        </a:prstGeom>
        <a:noFill/>
        <a:ln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273844</xdr:colOff>
      <xdr:row>39</xdr:row>
      <xdr:rowOff>273845</xdr:rowOff>
    </xdr:from>
    <xdr:to>
      <xdr:col>69</xdr:col>
      <xdr:colOff>83345</xdr:colOff>
      <xdr:row>40</xdr:row>
      <xdr:rowOff>619125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5CC4A49B-42DF-4A13-8476-970DED333B05}"/>
            </a:ext>
          </a:extLst>
        </xdr:cNvPr>
        <xdr:cNvSpPr/>
      </xdr:nvSpPr>
      <xdr:spPr>
        <a:xfrm>
          <a:off x="67482244" y="10970420"/>
          <a:ext cx="971551" cy="611980"/>
        </a:xfrm>
        <a:prstGeom prst="ellipse">
          <a:avLst/>
        </a:prstGeom>
        <a:noFill/>
        <a:ln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273844</xdr:colOff>
      <xdr:row>37</xdr:row>
      <xdr:rowOff>273844</xdr:rowOff>
    </xdr:from>
    <xdr:to>
      <xdr:col>85</xdr:col>
      <xdr:colOff>83345</xdr:colOff>
      <xdr:row>39</xdr:row>
      <xdr:rowOff>190500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8B1665FB-07B1-4E16-8F48-379C4B345AB8}"/>
            </a:ext>
          </a:extLst>
        </xdr:cNvPr>
        <xdr:cNvSpPr/>
      </xdr:nvSpPr>
      <xdr:spPr>
        <a:xfrm>
          <a:off x="84189094" y="10256044"/>
          <a:ext cx="895351" cy="631031"/>
        </a:xfrm>
        <a:prstGeom prst="ellipse">
          <a:avLst/>
        </a:prstGeom>
        <a:noFill/>
        <a:ln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309563</xdr:colOff>
      <xdr:row>35</xdr:row>
      <xdr:rowOff>23813</xdr:rowOff>
    </xdr:from>
    <xdr:to>
      <xdr:col>86</xdr:col>
      <xdr:colOff>0</xdr:colOff>
      <xdr:row>37</xdr:row>
      <xdr:rowOff>47625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DFD1865-3849-4256-B886-ED9B6D1929DB}"/>
            </a:ext>
          </a:extLst>
        </xdr:cNvPr>
        <xdr:cNvSpPr/>
      </xdr:nvSpPr>
      <xdr:spPr>
        <a:xfrm>
          <a:off x="85310663" y="9396413"/>
          <a:ext cx="895350" cy="633412"/>
        </a:xfrm>
        <a:prstGeom prst="ellipse">
          <a:avLst/>
        </a:prstGeom>
        <a:noFill/>
        <a:ln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431800</xdr:colOff>
      <xdr:row>3</xdr:row>
      <xdr:rowOff>126999</xdr:rowOff>
    </xdr:from>
    <xdr:to>
      <xdr:col>23</xdr:col>
      <xdr:colOff>1206500</xdr:colOff>
      <xdr:row>5</xdr:row>
      <xdr:rowOff>225424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BE7F36BE-24EF-4ABB-ABAA-55F79A068902}"/>
            </a:ext>
          </a:extLst>
        </xdr:cNvPr>
        <xdr:cNvSpPr/>
      </xdr:nvSpPr>
      <xdr:spPr>
        <a:xfrm>
          <a:off x="27940000" y="793749"/>
          <a:ext cx="774700" cy="7651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460375</xdr:colOff>
      <xdr:row>3</xdr:row>
      <xdr:rowOff>15875</xdr:rowOff>
    </xdr:from>
    <xdr:to>
      <xdr:col>20</xdr:col>
      <xdr:colOff>1235075</xdr:colOff>
      <xdr:row>4</xdr:row>
      <xdr:rowOff>317500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A78D197-D553-4EAD-AD9E-91EE5628AED9}"/>
            </a:ext>
          </a:extLst>
        </xdr:cNvPr>
        <xdr:cNvSpPr/>
      </xdr:nvSpPr>
      <xdr:spPr>
        <a:xfrm>
          <a:off x="24577675" y="682625"/>
          <a:ext cx="774700" cy="635000"/>
        </a:xfrm>
        <a:prstGeom prst="downArrow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555625</xdr:colOff>
      <xdr:row>3</xdr:row>
      <xdr:rowOff>111125</xdr:rowOff>
    </xdr:from>
    <xdr:to>
      <xdr:col>18</xdr:col>
      <xdr:colOff>1330325</xdr:colOff>
      <xdr:row>5</xdr:row>
      <xdr:rowOff>47625</xdr:rowOff>
    </xdr:to>
    <xdr:sp macro="" textlink="">
      <xdr:nvSpPr>
        <xdr:cNvPr id="4" name="Down Arrow 2">
          <a:extLst>
            <a:ext uri="{FF2B5EF4-FFF2-40B4-BE49-F238E27FC236}">
              <a16:creationId xmlns:a16="http://schemas.microsoft.com/office/drawing/2014/main" id="{D74D5035-2951-4210-A30D-2DD07AC28F16}"/>
            </a:ext>
          </a:extLst>
        </xdr:cNvPr>
        <xdr:cNvSpPr/>
      </xdr:nvSpPr>
      <xdr:spPr>
        <a:xfrm>
          <a:off x="22663150" y="777875"/>
          <a:ext cx="774700" cy="603250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158750</xdr:colOff>
      <xdr:row>5</xdr:row>
      <xdr:rowOff>79375</xdr:rowOff>
    </xdr:from>
    <xdr:to>
      <xdr:col>52</xdr:col>
      <xdr:colOff>825952</xdr:colOff>
      <xdr:row>6</xdr:row>
      <xdr:rowOff>313085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BB704831-889C-4175-8BA3-AB62E9AB2E3E}"/>
            </a:ext>
          </a:extLst>
        </xdr:cNvPr>
        <xdr:cNvSpPr/>
      </xdr:nvSpPr>
      <xdr:spPr>
        <a:xfrm>
          <a:off x="61318775" y="1412875"/>
          <a:ext cx="667202" cy="567085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158750</xdr:colOff>
      <xdr:row>5</xdr:row>
      <xdr:rowOff>79375</xdr:rowOff>
    </xdr:from>
    <xdr:to>
      <xdr:col>68</xdr:col>
      <xdr:colOff>825952</xdr:colOff>
      <xdr:row>6</xdr:row>
      <xdr:rowOff>313085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F62930A7-B3F0-4444-BF0E-144328A23A88}"/>
            </a:ext>
          </a:extLst>
        </xdr:cNvPr>
        <xdr:cNvSpPr/>
      </xdr:nvSpPr>
      <xdr:spPr>
        <a:xfrm>
          <a:off x="81759425" y="1412875"/>
          <a:ext cx="667202" cy="567085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158750</xdr:colOff>
      <xdr:row>5</xdr:row>
      <xdr:rowOff>79375</xdr:rowOff>
    </xdr:from>
    <xdr:to>
      <xdr:col>37</xdr:col>
      <xdr:colOff>825952</xdr:colOff>
      <xdr:row>6</xdr:row>
      <xdr:rowOff>313085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FE3509BE-0957-4E17-9CFD-2A80CF0D6B6B}"/>
            </a:ext>
          </a:extLst>
        </xdr:cNvPr>
        <xdr:cNvSpPr/>
      </xdr:nvSpPr>
      <xdr:spPr>
        <a:xfrm>
          <a:off x="39497000" y="1412875"/>
          <a:ext cx="667202" cy="567085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126999</xdr:colOff>
      <xdr:row>51</xdr:row>
      <xdr:rowOff>355357</xdr:rowOff>
    </xdr:from>
    <xdr:to>
      <xdr:col>37</xdr:col>
      <xdr:colOff>650874</xdr:colOff>
      <xdr:row>55</xdr:row>
      <xdr:rowOff>146539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2F2C3242-7216-4AB7-8F52-9C68DD9D698B}"/>
            </a:ext>
          </a:extLst>
        </xdr:cNvPr>
        <xdr:cNvSpPr/>
      </xdr:nvSpPr>
      <xdr:spPr>
        <a:xfrm>
          <a:off x="39465249" y="22415257"/>
          <a:ext cx="523875" cy="13151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0</xdr:colOff>
      <xdr:row>51</xdr:row>
      <xdr:rowOff>128222</xdr:rowOff>
    </xdr:from>
    <xdr:to>
      <xdr:col>52</xdr:col>
      <xdr:colOff>775677</xdr:colOff>
      <xdr:row>54</xdr:row>
      <xdr:rowOff>219808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2054232-FEA4-4F26-B70A-ABB911E4A1CC}"/>
            </a:ext>
          </a:extLst>
        </xdr:cNvPr>
        <xdr:cNvCxnSpPr/>
      </xdr:nvCxnSpPr>
      <xdr:spPr>
        <a:xfrm flipV="1">
          <a:off x="61160025" y="22188122"/>
          <a:ext cx="775677" cy="1234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158750</xdr:colOff>
      <xdr:row>5</xdr:row>
      <xdr:rowOff>79375</xdr:rowOff>
    </xdr:from>
    <xdr:to>
      <xdr:col>52</xdr:col>
      <xdr:colOff>825952</xdr:colOff>
      <xdr:row>6</xdr:row>
      <xdr:rowOff>313085</xdr:rowOff>
    </xdr:to>
    <xdr:sp macro="" textlink="">
      <xdr:nvSpPr>
        <xdr:cNvPr id="10" name="Down Arrow 10">
          <a:extLst>
            <a:ext uri="{FF2B5EF4-FFF2-40B4-BE49-F238E27FC236}">
              <a16:creationId xmlns:a16="http://schemas.microsoft.com/office/drawing/2014/main" id="{7F6A2063-A38E-4C6A-B654-66C274483446}"/>
            </a:ext>
          </a:extLst>
        </xdr:cNvPr>
        <xdr:cNvSpPr/>
      </xdr:nvSpPr>
      <xdr:spPr>
        <a:xfrm>
          <a:off x="61318775" y="1412875"/>
          <a:ext cx="667202" cy="567085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0</xdr:colOff>
      <xdr:row>51</xdr:row>
      <xdr:rowOff>128222</xdr:rowOff>
    </xdr:from>
    <xdr:to>
      <xdr:col>68</xdr:col>
      <xdr:colOff>775677</xdr:colOff>
      <xdr:row>54</xdr:row>
      <xdr:rowOff>219808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6233AC8-7203-4409-98C1-09D0919418D0}"/>
            </a:ext>
          </a:extLst>
        </xdr:cNvPr>
        <xdr:cNvCxnSpPr/>
      </xdr:nvCxnSpPr>
      <xdr:spPr>
        <a:xfrm flipV="1">
          <a:off x="81600675" y="22188122"/>
          <a:ext cx="775677" cy="1234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635000</xdr:colOff>
      <xdr:row>1</xdr:row>
      <xdr:rowOff>111125</xdr:rowOff>
    </xdr:from>
    <xdr:to>
      <xdr:col>22</xdr:col>
      <xdr:colOff>31750</xdr:colOff>
      <xdr:row>2</xdr:row>
      <xdr:rowOff>158750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A3BC270F-ED36-4B44-ADFE-833816802372}"/>
            </a:ext>
          </a:extLst>
        </xdr:cNvPr>
        <xdr:cNvSpPr/>
      </xdr:nvSpPr>
      <xdr:spPr>
        <a:xfrm>
          <a:off x="23628350" y="415925"/>
          <a:ext cx="673100" cy="3524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322035</xdr:colOff>
      <xdr:row>1</xdr:row>
      <xdr:rowOff>206375</xdr:rowOff>
    </xdr:from>
    <xdr:to>
      <xdr:col>19</xdr:col>
      <xdr:colOff>997857</xdr:colOff>
      <xdr:row>2</xdr:row>
      <xdr:rowOff>254000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F1F98803-D40F-473C-8F70-CC5CBB981F77}"/>
            </a:ext>
          </a:extLst>
        </xdr:cNvPr>
        <xdr:cNvSpPr/>
      </xdr:nvSpPr>
      <xdr:spPr>
        <a:xfrm>
          <a:off x="20972235" y="511175"/>
          <a:ext cx="675822" cy="3524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Finance%20Department\FINANCE\09%20CHIEF%20ACCOUNTANT\PAYROLL%20FILE%20EXPATS\2024%20Salaries\02%202024\02%202024%20BLAZON%20Mauritius%20Salaries.xlsx" TargetMode="External"/><Relationship Id="rId1" Type="http://schemas.openxmlformats.org/officeDocument/2006/relationships/externalLinkPath" Target="/Finance%20Department/FINANCE/09%20CHIEF%20ACCOUNTANT/PAYROLL%20FILE%20EXPATS/2024%20Salaries/02%202024/02%202024%20BLAZON%20Mauritius%20Sala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EM"/>
      <sheetName val="SMIG LEGAL"/>
      <sheetName val="Payslips-B"/>
      <sheetName val="Bk"/>
      <sheetName val="New Payslip"/>
      <sheetName val="New Payslip (B)"/>
      <sheetName val="Payslips"/>
      <sheetName val="Sheet1"/>
      <sheetName val="Feuille de Paie Expat"/>
      <sheetName val="Cover"/>
      <sheetName val="Cover (2)"/>
      <sheetName val="Cover (5)"/>
      <sheetName val="Cover (3)"/>
      <sheetName val="Cover (4)"/>
      <sheetName val="Cash"/>
      <sheetName val="Local Bk"/>
      <sheetName val="Exch.Rate"/>
      <sheetName val="Attendance"/>
      <sheetName val="Salaries List"/>
      <sheetName val="2023"/>
      <sheetName val="2024"/>
      <sheetName val="Salaries List-B"/>
      <sheetName val="BU-2024-1117111"/>
      <sheetName val="E0046"/>
      <sheetName val="SHS"/>
      <sheetName val="OP"/>
      <sheetName val="SUM"/>
      <sheetName val="JV Payroll"/>
      <sheetName val="Food+Tlf+Cash salary"/>
      <sheetName val="JV Salaries"/>
      <sheetName val="Sheet3"/>
      <sheetName val="Accr.Vac+Air Tkt"/>
      <sheetName val="Accr.13th+Bonus"/>
      <sheetName val="BONUS TO PAY"/>
      <sheetName val="BONUS TO PAY (2)"/>
      <sheetName val="U"/>
      <sheetName val="JV Accruals"/>
      <sheetName val="JV addit.Bon.EXCOM"/>
      <sheetName val="Bonus Loc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D2" t="str">
            <v>ID N./Pay slip</v>
          </cell>
          <cell r="E2" t="str">
            <v>SURNAME</v>
          </cell>
          <cell r="F2" t="str">
            <v>POSITION</v>
          </cell>
          <cell r="G2" t="str">
            <v>DEPARTEMENT</v>
          </cell>
          <cell r="H2" t="str">
            <v>START DATE</v>
          </cell>
          <cell r="I2" t="str">
            <v>CL</v>
          </cell>
          <cell r="J2" t="str">
            <v>UNP</v>
          </cell>
          <cell r="K2" t="str">
            <v>SS</v>
          </cell>
          <cell r="L2" t="str">
            <v>SICK LEAVE</v>
          </cell>
          <cell r="M2" t="str">
            <v>VACATION days</v>
          </cell>
        </row>
        <row r="4">
          <cell r="E4" t="str">
            <v xml:space="preserve">         </v>
          </cell>
          <cell r="F4">
            <v>45351</v>
          </cell>
          <cell r="G4">
            <v>2</v>
          </cell>
        </row>
        <row r="5">
          <cell r="E5" t="str">
            <v>To be paid in Mauritius MCB</v>
          </cell>
        </row>
        <row r="6">
          <cell r="D6" t="str">
            <v>ID N./Pay slip</v>
          </cell>
          <cell r="E6" t="str">
            <v>SURNAME</v>
          </cell>
          <cell r="F6" t="str">
            <v>POSITION</v>
          </cell>
          <cell r="G6" t="str">
            <v>DEPARTEMENT</v>
          </cell>
          <cell r="H6" t="str">
            <v>START DATE</v>
          </cell>
          <cell r="I6" t="str">
            <v>CL</v>
          </cell>
          <cell r="J6" t="str">
            <v>UNP</v>
          </cell>
          <cell r="K6" t="str">
            <v>SS</v>
          </cell>
          <cell r="L6" t="str">
            <v>SICK LEAVE</v>
          </cell>
          <cell r="M6" t="str">
            <v>VACATION days</v>
          </cell>
        </row>
        <row r="7">
          <cell r="D7" t="str">
            <v>E0099</v>
          </cell>
          <cell r="E7" t="str">
            <v>FARHAAD BABOORALLY</v>
          </cell>
          <cell r="F7" t="str">
            <v>General Manager</v>
          </cell>
          <cell r="G7" t="str">
            <v>EXECUTIVE OFFICE</v>
          </cell>
          <cell r="H7">
            <v>43736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D8" t="str">
            <v>E0049</v>
          </cell>
          <cell r="E8" t="str">
            <v>SAMIR ZOUGAR</v>
          </cell>
          <cell r="F8" t="str">
            <v>Executive Pastry-Chef</v>
          </cell>
          <cell r="G8" t="str">
            <v>KITCHEN</v>
          </cell>
          <cell r="H8">
            <v>41939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D9" t="str">
            <v>E0088</v>
          </cell>
          <cell r="E9" t="str">
            <v>ANDRE GEORGES SAROUFIM</v>
          </cell>
          <cell r="F9" t="str">
            <v>F&amp;B Manager</v>
          </cell>
          <cell r="G9" t="str">
            <v>F&amp;B ADMINISTRATION</v>
          </cell>
          <cell r="H9">
            <v>43282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D10" t="str">
            <v>E0102</v>
          </cell>
          <cell r="E10" t="str">
            <v>GADIDCHE ABDI MOHAMED</v>
          </cell>
          <cell r="F10" t="str">
            <v>Director of Sales</v>
          </cell>
          <cell r="G10" t="str">
            <v>SALES&amp;MARKETING</v>
          </cell>
          <cell r="H10">
            <v>43785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</row>
        <row r="11">
          <cell r="D11" t="str">
            <v>E0109</v>
          </cell>
          <cell r="E11" t="str">
            <v xml:space="preserve">NAGEN AZMAVETH </v>
          </cell>
          <cell r="F11" t="str">
            <v>Restaurant Manager</v>
          </cell>
          <cell r="G11" t="str">
            <v xml:space="preserve">F&amp;B </v>
          </cell>
          <cell r="H11">
            <v>44249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</row>
        <row r="12">
          <cell r="D12" t="str">
            <v>E0108</v>
          </cell>
          <cell r="E12" t="str">
            <v>JANIL KHODABOCUS</v>
          </cell>
          <cell r="F12" t="str">
            <v>Outlet Manager</v>
          </cell>
          <cell r="G12" t="str">
            <v xml:space="preserve">F&amp;B </v>
          </cell>
          <cell r="H12">
            <v>44163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D13" t="str">
            <v>E0112</v>
          </cell>
          <cell r="E13" t="str">
            <v>MEYAKHAN MUHAMMAD SALMANKHAN</v>
          </cell>
          <cell r="F13" t="str">
            <v>Sous Chef</v>
          </cell>
          <cell r="G13" t="str">
            <v>KITCHEN</v>
          </cell>
          <cell r="H13">
            <v>44480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 t="str">
            <v>E0113</v>
          </cell>
          <cell r="E14" t="str">
            <v>MUDULI BHUPESH KUMAR</v>
          </cell>
          <cell r="F14" t="str">
            <v>Director of IT</v>
          </cell>
          <cell r="G14" t="str">
            <v>IT</v>
          </cell>
          <cell r="H14">
            <v>44495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 t="str">
            <v>E0115</v>
          </cell>
          <cell r="E15" t="str">
            <v>NIDZA JOSEPH BABOORALLY</v>
          </cell>
          <cell r="F15" t="str">
            <v>Director of Training &amp; Quality</v>
          </cell>
          <cell r="G15" t="str">
            <v>HUMAN RESSOURCES</v>
          </cell>
          <cell r="H15">
            <v>44287</v>
          </cell>
          <cell r="I15">
            <v>0</v>
          </cell>
          <cell r="J15">
            <v>0</v>
          </cell>
          <cell r="K15">
            <v>12</v>
          </cell>
          <cell r="L15">
            <v>0</v>
          </cell>
          <cell r="M15">
            <v>0</v>
          </cell>
        </row>
        <row r="16">
          <cell r="D16" t="str">
            <v>E0118</v>
          </cell>
          <cell r="E16" t="str">
            <v>MOATAZ HEGAZY MOHAMED AHMED HARIDY</v>
          </cell>
          <cell r="F16" t="str">
            <v>Director of Front office</v>
          </cell>
          <cell r="G16" t="str">
            <v>FRONT OFFICE</v>
          </cell>
          <cell r="H16">
            <v>45050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6</v>
          </cell>
        </row>
        <row r="17">
          <cell r="D17" t="str">
            <v>E0119</v>
          </cell>
          <cell r="E17" t="str">
            <v>JENNIFER MADO MINLA NANH</v>
          </cell>
          <cell r="F17" t="str">
            <v>Assistant Front office Manager</v>
          </cell>
          <cell r="G17" t="str">
            <v>FRONT OFFICE</v>
          </cell>
          <cell r="H17">
            <v>45053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9">
          <cell r="E19" t="str">
            <v xml:space="preserve">To be paid locally </v>
          </cell>
        </row>
        <row r="20">
          <cell r="D20" t="str">
            <v>ID N./Pay slip</v>
          </cell>
          <cell r="E20" t="str">
            <v>SURNAME</v>
          </cell>
          <cell r="F20" t="str">
            <v>POSITION</v>
          </cell>
          <cell r="G20" t="str">
            <v>DEPARTEMENT</v>
          </cell>
          <cell r="H20" t="str">
            <v>START DATE</v>
          </cell>
          <cell r="I20" t="str">
            <v>CL</v>
          </cell>
          <cell r="J20" t="str">
            <v>UNP</v>
          </cell>
          <cell r="K20" t="str">
            <v>SS</v>
          </cell>
          <cell r="L20" t="str">
            <v>SICK LEAVE</v>
          </cell>
          <cell r="M20" t="str">
            <v>VACATION days</v>
          </cell>
        </row>
        <row r="21">
          <cell r="D21" t="str">
            <v>E0046</v>
          </cell>
          <cell r="E21" t="str">
            <v>SYLVIE KAMBAU MUJINGA</v>
          </cell>
          <cell r="F21" t="str">
            <v>EAM &amp; Director of Finance</v>
          </cell>
          <cell r="G21" t="str">
            <v>FINANCE</v>
          </cell>
          <cell r="H21">
            <v>41813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D22" t="str">
            <v>07194</v>
          </cell>
          <cell r="E22" t="str">
            <v xml:space="preserve">SYBIL KABWIZ MUTEB </v>
          </cell>
          <cell r="F22" t="str">
            <v>R &amp; Reserv. Manager</v>
          </cell>
          <cell r="G22" t="str">
            <v>RESERVATIONS</v>
          </cell>
          <cell r="H22">
            <v>43440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 t="str">
            <v>E0045</v>
          </cell>
          <cell r="E23" t="str">
            <v>YAWO KODZO LOLONYO</v>
          </cell>
          <cell r="F23" t="str">
            <v>Chef de Cuisine</v>
          </cell>
          <cell r="G23" t="str">
            <v>KITCHEN</v>
          </cell>
          <cell r="H23">
            <v>41807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11</v>
          </cell>
        </row>
        <row r="26">
          <cell r="I26">
            <v>0</v>
          </cell>
          <cell r="J26">
            <v>0</v>
          </cell>
          <cell r="K26">
            <v>12</v>
          </cell>
          <cell r="L26">
            <v>2</v>
          </cell>
          <cell r="M26">
            <v>18</v>
          </cell>
        </row>
        <row r="30">
          <cell r="G30" t="str">
            <v>Director of Finance</v>
          </cell>
        </row>
        <row r="33">
          <cell r="E33" t="str">
            <v>PAYROLL ADVISE CHINESE</v>
          </cell>
          <cell r="F33">
            <v>45351</v>
          </cell>
        </row>
        <row r="34">
          <cell r="D34" t="str">
            <v>ID N./Pay slip</v>
          </cell>
          <cell r="E34" t="str">
            <v>SURNAME</v>
          </cell>
          <cell r="F34" t="str">
            <v>POSITION</v>
          </cell>
          <cell r="G34" t="str">
            <v>DEPARTEMENT</v>
          </cell>
          <cell r="H34" t="str">
            <v>START DATE</v>
          </cell>
          <cell r="I34" t="str">
            <v>CL</v>
          </cell>
          <cell r="J34" t="str">
            <v>UNP</v>
          </cell>
          <cell r="K34" t="str">
            <v>SS</v>
          </cell>
          <cell r="L34" t="str">
            <v>SICK LEAVE</v>
          </cell>
          <cell r="M34" t="str">
            <v>VACATION days</v>
          </cell>
        </row>
        <row r="35">
          <cell r="D35" t="str">
            <v>E0011</v>
          </cell>
          <cell r="E35" t="str">
            <v xml:space="preserve">ZHU JING LU </v>
          </cell>
          <cell r="F35" t="str">
            <v>Duty Engeneering</v>
          </cell>
          <cell r="G35" t="str">
            <v>ENGINEERING</v>
          </cell>
          <cell r="H35">
            <v>41183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E0019</v>
          </cell>
          <cell r="E36" t="str">
            <v xml:space="preserve">YANG XING ZE </v>
          </cell>
          <cell r="F36" t="str">
            <v>Director of Engineering</v>
          </cell>
          <cell r="G36" t="str">
            <v>ENGINEERING</v>
          </cell>
          <cell r="H36">
            <v>41366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D37" t="str">
            <v>E0015</v>
          </cell>
          <cell r="E37" t="str">
            <v>LI LITONG Nancy</v>
          </cell>
          <cell r="F37" t="str">
            <v>Staff Affairs Supervisor</v>
          </cell>
          <cell r="G37" t="str">
            <v>HUMAN RESSOURCES</v>
          </cell>
          <cell r="H37">
            <v>41183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 t="str">
            <v>E0096</v>
          </cell>
          <cell r="E38" t="str">
            <v>CHEUNG CHI ON Alex</v>
          </cell>
          <cell r="F38" t="str">
            <v>Asian Chef</v>
          </cell>
          <cell r="G38" t="str">
            <v>KITCHEN</v>
          </cell>
          <cell r="H38">
            <v>43683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 t="str">
            <v>E0111</v>
          </cell>
          <cell r="E39" t="str">
            <v>WANG HEMING</v>
          </cell>
          <cell r="F39" t="str">
            <v>Mason Supervisor</v>
          </cell>
          <cell r="G39" t="str">
            <v>ENGINEERING</v>
          </cell>
          <cell r="H39">
            <v>44425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 t="str">
            <v>E0120</v>
          </cell>
          <cell r="E40" t="str">
            <v>HAN YOUCHAI</v>
          </cell>
          <cell r="F40" t="str">
            <v>Gym Center manager</v>
          </cell>
          <cell r="G40" t="str">
            <v>FITNESS CENTRE</v>
          </cell>
          <cell r="H40">
            <v>45061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5">
          <cell r="F45" t="str">
            <v>Director of Finance</v>
          </cell>
          <cell r="G45" t="str">
            <v>Director of Finance</v>
          </cell>
        </row>
        <row r="50">
          <cell r="I50" t="str">
            <v>CL</v>
          </cell>
          <cell r="J50" t="str">
            <v>UNP</v>
          </cell>
          <cell r="K50" t="str">
            <v>SS</v>
          </cell>
          <cell r="L50" t="str">
            <v>SICK LEAVE</v>
          </cell>
          <cell r="M50" t="str">
            <v>VACATION days</v>
          </cell>
        </row>
        <row r="51">
          <cell r="E51" t="str">
            <v>TOTAL EXPATRIATES PAYROLL</v>
          </cell>
          <cell r="I51">
            <v>0</v>
          </cell>
          <cell r="J51">
            <v>0</v>
          </cell>
          <cell r="K51">
            <v>12</v>
          </cell>
          <cell r="L51">
            <v>2</v>
          </cell>
          <cell r="M51">
            <v>18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">
          <cell r="A2" t="str">
            <v>MONTHLY FCH PAYROLL INDICATORS</v>
          </cell>
        </row>
        <row r="4">
          <cell r="A4" t="str">
            <v>DEPARTMENT</v>
          </cell>
          <cell r="B4" t="str">
            <v>(All)</v>
          </cell>
        </row>
        <row r="5">
          <cell r="A5" t="str">
            <v>MONTH</v>
          </cell>
          <cell r="B5" t="str">
            <v>(All)</v>
          </cell>
        </row>
        <row r="6">
          <cell r="A6" t="str">
            <v>ID</v>
          </cell>
          <cell r="B6" t="str">
            <v>NAMES</v>
          </cell>
          <cell r="C6" t="str">
            <v>Sum of Tot SS</v>
          </cell>
          <cell r="D6" t="str">
            <v>Sum of Tot U</v>
          </cell>
        </row>
        <row r="7">
          <cell r="C7" t="str">
            <v>Values</v>
          </cell>
        </row>
        <row r="8">
          <cell r="A8" t="str">
            <v>ID</v>
          </cell>
          <cell r="B8" t="str">
            <v>NAMES</v>
          </cell>
          <cell r="C8" t="str">
            <v>Sum of Tot SS</v>
          </cell>
          <cell r="D8" t="str">
            <v>Sum of Tot U</v>
          </cell>
          <cell r="E8" t="str">
            <v>Sum of TOTAL UNPAID</v>
          </cell>
        </row>
        <row r="9">
          <cell r="A9" t="str">
            <v>(blank)</v>
          </cell>
          <cell r="B9" t="str">
            <v>(blank)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E0099</v>
          </cell>
          <cell r="B10" t="str">
            <v>FARHAAD BABOORALLY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E0088</v>
          </cell>
          <cell r="B11" t="str">
            <v>ANDRE GEORGES SAROUFIM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E0049</v>
          </cell>
          <cell r="B12" t="str">
            <v>SAMIR ZOUGAR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E0045</v>
          </cell>
          <cell r="B13" t="str">
            <v>YAWO KODZO LOLONYO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E0096</v>
          </cell>
          <cell r="B14" t="str">
            <v>CHEUNG CHI ON Alex</v>
          </cell>
          <cell r="C14">
            <v>0</v>
          </cell>
          <cell r="D14">
            <v>2</v>
          </cell>
          <cell r="E14">
            <v>2</v>
          </cell>
        </row>
        <row r="15">
          <cell r="A15" t="str">
            <v>E0108</v>
          </cell>
          <cell r="B15" t="str">
            <v>JANIL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E0109</v>
          </cell>
          <cell r="B16" t="str">
            <v>NAGEN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E0112</v>
          </cell>
          <cell r="B17" t="str">
            <v>MEYAKHAN MUHHAMAD SALMAKHAN</v>
          </cell>
          <cell r="C17">
            <v>9</v>
          </cell>
          <cell r="D17">
            <v>4</v>
          </cell>
          <cell r="E17">
            <v>13</v>
          </cell>
        </row>
        <row r="18">
          <cell r="A18" t="str">
            <v>E0102</v>
          </cell>
          <cell r="B18" t="str">
            <v>GADIDCHE ABDI MOHAMED</v>
          </cell>
          <cell r="C18">
            <v>4</v>
          </cell>
          <cell r="D18">
            <v>0</v>
          </cell>
          <cell r="E18">
            <v>4</v>
          </cell>
        </row>
        <row r="19">
          <cell r="A19" t="str">
            <v>E0113</v>
          </cell>
          <cell r="B19" t="str">
            <v>BHUPESH MUDULI KUMAR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E0046</v>
          </cell>
          <cell r="B20" t="str">
            <v>SYLVIE KAMBAU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E0019</v>
          </cell>
          <cell r="B21" t="str">
            <v xml:space="preserve">YANG XING ZE 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E0117</v>
          </cell>
          <cell r="B22" t="str">
            <v>PRAMOD KUMAR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E0011</v>
          </cell>
          <cell r="B23" t="str">
            <v xml:space="preserve">ZHU JING LU 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07194</v>
          </cell>
          <cell r="B24" t="str">
            <v>SYBIL KABWIZ M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E0115</v>
          </cell>
          <cell r="B25" t="str">
            <v>NIDZA BABOURALLY</v>
          </cell>
          <cell r="C25">
            <v>22</v>
          </cell>
          <cell r="D25">
            <v>0</v>
          </cell>
          <cell r="E25">
            <v>22</v>
          </cell>
        </row>
        <row r="26">
          <cell r="A26" t="str">
            <v>E0015</v>
          </cell>
          <cell r="B26" t="str">
            <v>LI LITONG NANCY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E0105</v>
          </cell>
          <cell r="B27" t="str">
            <v>Mohamed Rached Belghith</v>
          </cell>
          <cell r="C27">
            <v>0</v>
          </cell>
          <cell r="D27">
            <v>0</v>
          </cell>
          <cell r="E27">
            <v>0</v>
          </cell>
        </row>
        <row r="28">
          <cell r="A28" t="str">
            <v>E0118</v>
          </cell>
          <cell r="B28" t="str">
            <v>MOATAZ</v>
          </cell>
          <cell r="C28">
            <v>0</v>
          </cell>
          <cell r="D28">
            <v>3</v>
          </cell>
          <cell r="E28">
            <v>3</v>
          </cell>
        </row>
        <row r="29">
          <cell r="A29" t="str">
            <v>E0119</v>
          </cell>
          <cell r="B29" t="str">
            <v>MINLA JENNIRE MADO</v>
          </cell>
          <cell r="C29">
            <v>0</v>
          </cell>
          <cell r="D29">
            <v>6</v>
          </cell>
          <cell r="E29">
            <v>6</v>
          </cell>
        </row>
        <row r="30">
          <cell r="A30" t="str">
            <v>E0120</v>
          </cell>
          <cell r="B30" t="str">
            <v>HAN YOUCHAI</v>
          </cell>
          <cell r="C30">
            <v>0</v>
          </cell>
          <cell r="D30">
            <v>12</v>
          </cell>
          <cell r="E30">
            <v>12</v>
          </cell>
        </row>
        <row r="31">
          <cell r="A31" t="str">
            <v>E0111</v>
          </cell>
          <cell r="B31" t="str">
            <v>WANG HEMIN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>Grand Total</v>
          </cell>
          <cell r="C32">
            <v>35</v>
          </cell>
          <cell r="D32">
            <v>27</v>
          </cell>
          <cell r="E32">
            <v>62</v>
          </cell>
        </row>
      </sheetData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F950-6AE8-4929-973A-0FD0F220734F}">
  <sheetPr>
    <pageSetUpPr fitToPage="1"/>
  </sheetPr>
  <dimension ref="A1:CH55"/>
  <sheetViews>
    <sheetView tabSelected="1" zoomScale="80" zoomScaleNormal="80" workbookViewId="0">
      <pane xSplit="4" ySplit="7" topLeftCell="AI8" activePane="bottomRight" state="frozen"/>
      <selection activeCell="B4" sqref="B4"/>
      <selection pane="topRight" activeCell="B4" sqref="B4"/>
      <selection pane="bottomLeft" activeCell="B4" sqref="B4"/>
      <selection pane="bottomRight" activeCell="CQ25" sqref="CQ25"/>
    </sheetView>
  </sheetViews>
  <sheetFormatPr defaultColWidth="9.140625" defaultRowHeight="15" outlineLevelRow="1" outlineLevelCol="1"/>
  <cols>
    <col min="1" max="1" width="8.85546875" style="1" customWidth="1" outlineLevel="1"/>
    <col min="2" max="2" width="28.5703125" style="1" customWidth="1"/>
    <col min="3" max="3" width="28.42578125" style="1" customWidth="1" outlineLevel="1"/>
    <col min="4" max="4" width="5.85546875" style="1" customWidth="1"/>
    <col min="5" max="5" width="12.140625" style="2" customWidth="1" outlineLevel="1"/>
    <col min="6" max="7" width="14.28515625" style="3" customWidth="1" outlineLevel="1"/>
    <col min="8" max="8" width="14.85546875" style="3" customWidth="1" outlineLevel="1"/>
    <col min="9" max="9" width="13.42578125" style="3" customWidth="1" outlineLevel="1" collapsed="1"/>
    <col min="10" max="10" width="11.28515625" style="2" customWidth="1" outlineLevel="1"/>
    <col min="11" max="11" width="13.42578125" customWidth="1" outlineLevel="1" collapsed="1"/>
    <col min="12" max="12" width="11.7109375" customWidth="1" outlineLevel="1"/>
    <col min="13" max="13" width="12.140625" customWidth="1"/>
    <col min="14" max="14" width="13.28515625" customWidth="1"/>
    <col min="15" max="15" width="11.28515625" customWidth="1" outlineLevel="1"/>
    <col min="16" max="16" width="12.85546875" customWidth="1" outlineLevel="1"/>
    <col min="17" max="17" width="12.7109375" customWidth="1" outlineLevel="1"/>
    <col min="18" max="18" width="12.42578125" customWidth="1" outlineLevel="1"/>
    <col min="19" max="19" width="13.140625" customWidth="1" outlineLevel="1"/>
    <col min="20" max="20" width="12.7109375" customWidth="1" outlineLevel="1"/>
    <col min="21" max="21" width="12.28515625" customWidth="1" outlineLevel="1"/>
    <col min="22" max="23" width="13.140625" customWidth="1" outlineLevel="1"/>
    <col min="24" max="24" width="12.7109375" customWidth="1" outlineLevel="1"/>
    <col min="25" max="27" width="11.28515625" customWidth="1" outlineLevel="1"/>
    <col min="28" max="28" width="9.28515625" customWidth="1"/>
    <col min="29" max="29" width="11.28515625" style="1" customWidth="1" outlineLevel="1"/>
    <col min="30" max="30" width="12.85546875" style="1" customWidth="1" outlineLevel="1"/>
    <col min="31" max="31" width="12.7109375" style="1" customWidth="1" outlineLevel="1"/>
    <col min="32" max="32" width="12.42578125" style="1" customWidth="1" outlineLevel="1"/>
    <col min="33" max="33" width="13.140625" style="1" customWidth="1" outlineLevel="1"/>
    <col min="34" max="34" width="12.7109375" style="1" customWidth="1" outlineLevel="1"/>
    <col min="35" max="35" width="12.28515625" style="1" customWidth="1" outlineLevel="1"/>
    <col min="36" max="37" width="13.140625" style="1" customWidth="1" outlineLevel="1"/>
    <col min="38" max="38" width="12.7109375" style="1" customWidth="1" outlineLevel="1"/>
    <col min="39" max="39" width="12.85546875" style="1" customWidth="1" outlineLevel="1"/>
    <col min="40" max="40" width="13.140625" style="1" customWidth="1" outlineLevel="1"/>
    <col min="41" max="41" width="16.28515625" bestFit="1" customWidth="1"/>
    <col min="42" max="42" width="12.28515625" customWidth="1"/>
    <col min="43" max="43" width="21.42578125" style="1" bestFit="1" customWidth="1"/>
    <col min="44" max="44" width="16.5703125" customWidth="1"/>
    <col min="45" max="46" width="16.7109375" customWidth="1"/>
    <col min="47" max="56" width="16.7109375" customWidth="1" outlineLevel="1"/>
    <col min="57" max="57" width="20" style="5" customWidth="1"/>
    <col min="58" max="59" width="17.42578125" customWidth="1"/>
    <col min="60" max="60" width="19.42578125" bestFit="1" customWidth="1" outlineLevel="1"/>
    <col min="61" max="62" width="17.42578125" customWidth="1" outlineLevel="1"/>
    <col min="63" max="63" width="20" bestFit="1" customWidth="1" outlineLevel="1"/>
    <col min="64" max="69" width="17.42578125" customWidth="1" outlineLevel="1"/>
    <col min="70" max="70" width="17.140625" customWidth="1"/>
    <col min="71" max="71" width="3.7109375" customWidth="1"/>
    <col min="72" max="72" width="16.28515625" style="6" bestFit="1" customWidth="1"/>
    <col min="73" max="73" width="19.140625" style="1" customWidth="1"/>
    <col min="74" max="74" width="14.7109375" customWidth="1"/>
    <col min="75" max="76" width="18.7109375" customWidth="1"/>
    <col min="77" max="77" width="15.7109375" customWidth="1"/>
    <col min="78" max="78" width="16.28515625" customWidth="1"/>
    <col min="79" max="79" width="14.28515625" bestFit="1" customWidth="1"/>
    <col min="80" max="80" width="17.7109375" customWidth="1"/>
    <col min="81" max="82" width="14.28515625" customWidth="1"/>
    <col min="83" max="83" width="17.140625" customWidth="1"/>
    <col min="84" max="84" width="15" bestFit="1" customWidth="1"/>
    <col min="85" max="85" width="16.28515625" bestFit="1" customWidth="1"/>
    <col min="86" max="86" width="17.7109375" customWidth="1"/>
    <col min="87" max="16384" width="9.140625" style="1"/>
  </cols>
  <sheetData>
    <row r="1" spans="1:86" ht="15.75" thickBot="1">
      <c r="J1" s="4">
        <v>45657</v>
      </c>
    </row>
    <row r="2" spans="1:86">
      <c r="A2" s="7" t="s">
        <v>0</v>
      </c>
      <c r="B2" s="7"/>
      <c r="C2" s="7"/>
      <c r="AJ2" s="8">
        <f>+IF(ISERROR(VLOOKUP($A2,'[1]Salaries List'!$D:$M,10,0)),0,(VLOOKUP($A2,'[1]Salaries List'!$D:$M,10,0)))</f>
        <v>0</v>
      </c>
      <c r="AQ2" s="9">
        <v>231311</v>
      </c>
      <c r="BT2" s="9">
        <v>231530</v>
      </c>
    </row>
    <row r="3" spans="1:86" s="14" customFormat="1" outlineLevel="1">
      <c r="A3" s="10" t="s">
        <v>1</v>
      </c>
      <c r="B3" s="10"/>
      <c r="C3" s="10"/>
      <c r="D3" s="11">
        <v>1</v>
      </c>
      <c r="E3" s="12">
        <f>+D3+1</f>
        <v>2</v>
      </c>
      <c r="F3" s="12">
        <f t="shared" ref="F3:BQ3" si="0">+E3+1</f>
        <v>3</v>
      </c>
      <c r="G3" s="12">
        <f>+J3+1</f>
        <v>7</v>
      </c>
      <c r="H3" s="12">
        <f>+F3+1</f>
        <v>4</v>
      </c>
      <c r="I3" s="12">
        <f t="shared" si="0"/>
        <v>5</v>
      </c>
      <c r="J3" s="12">
        <f t="shared" si="0"/>
        <v>6</v>
      </c>
      <c r="K3" s="13">
        <f>+G3+1</f>
        <v>8</v>
      </c>
      <c r="L3" s="13">
        <f t="shared" si="0"/>
        <v>9</v>
      </c>
      <c r="M3" s="13">
        <f t="shared" si="0"/>
        <v>10</v>
      </c>
      <c r="N3" s="13">
        <f t="shared" si="0"/>
        <v>11</v>
      </c>
      <c r="O3" s="13">
        <f t="shared" si="0"/>
        <v>12</v>
      </c>
      <c r="P3" s="13">
        <f t="shared" si="0"/>
        <v>13</v>
      </c>
      <c r="Q3" s="13">
        <f t="shared" si="0"/>
        <v>14</v>
      </c>
      <c r="R3" s="13">
        <f t="shared" si="0"/>
        <v>15</v>
      </c>
      <c r="S3" s="13">
        <f t="shared" si="0"/>
        <v>16</v>
      </c>
      <c r="T3" s="13">
        <f t="shared" si="0"/>
        <v>17</v>
      </c>
      <c r="U3" s="13">
        <f t="shared" si="0"/>
        <v>18</v>
      </c>
      <c r="V3" s="13">
        <f t="shared" si="0"/>
        <v>19</v>
      </c>
      <c r="W3" s="13">
        <f t="shared" si="0"/>
        <v>20</v>
      </c>
      <c r="X3" s="13">
        <f t="shared" si="0"/>
        <v>21</v>
      </c>
      <c r="Y3" s="13">
        <f t="shared" si="0"/>
        <v>22</v>
      </c>
      <c r="Z3" s="13">
        <f t="shared" si="0"/>
        <v>23</v>
      </c>
      <c r="AA3" s="13"/>
      <c r="AB3" s="13">
        <f>+Z3+1</f>
        <v>24</v>
      </c>
      <c r="AC3" s="12">
        <f t="shared" si="0"/>
        <v>25</v>
      </c>
      <c r="AD3" s="12">
        <f t="shared" si="0"/>
        <v>26</v>
      </c>
      <c r="AE3" s="12">
        <f t="shared" si="0"/>
        <v>27</v>
      </c>
      <c r="AF3" s="12">
        <f t="shared" si="0"/>
        <v>28</v>
      </c>
      <c r="AG3" s="12">
        <f t="shared" si="0"/>
        <v>29</v>
      </c>
      <c r="AH3" s="12">
        <f t="shared" si="0"/>
        <v>30</v>
      </c>
      <c r="AI3" s="12">
        <f t="shared" si="0"/>
        <v>31</v>
      </c>
      <c r="AJ3" s="12">
        <f t="shared" si="0"/>
        <v>32</v>
      </c>
      <c r="AK3" s="12">
        <f t="shared" si="0"/>
        <v>33</v>
      </c>
      <c r="AL3" s="12">
        <f t="shared" si="0"/>
        <v>34</v>
      </c>
      <c r="AM3" s="12">
        <f t="shared" si="0"/>
        <v>35</v>
      </c>
      <c r="AN3" s="12">
        <f t="shared" si="0"/>
        <v>36</v>
      </c>
      <c r="AO3" s="13">
        <f t="shared" si="0"/>
        <v>37</v>
      </c>
      <c r="AP3" s="13">
        <f t="shared" si="0"/>
        <v>38</v>
      </c>
      <c r="AQ3" s="12">
        <f t="shared" si="0"/>
        <v>39</v>
      </c>
      <c r="AR3" s="13">
        <f t="shared" si="0"/>
        <v>40</v>
      </c>
      <c r="AS3" s="13">
        <f t="shared" si="0"/>
        <v>41</v>
      </c>
      <c r="AT3" s="13">
        <f t="shared" si="0"/>
        <v>42</v>
      </c>
      <c r="AU3" s="13">
        <f t="shared" si="0"/>
        <v>43</v>
      </c>
      <c r="AV3" s="13">
        <f t="shared" si="0"/>
        <v>44</v>
      </c>
      <c r="AW3" s="13">
        <f t="shared" si="0"/>
        <v>45</v>
      </c>
      <c r="AX3" s="13">
        <f t="shared" si="0"/>
        <v>46</v>
      </c>
      <c r="AY3" s="13">
        <f t="shared" si="0"/>
        <v>47</v>
      </c>
      <c r="AZ3" s="13">
        <f t="shared" si="0"/>
        <v>48</v>
      </c>
      <c r="BA3" s="13">
        <f t="shared" si="0"/>
        <v>49</v>
      </c>
      <c r="BB3" s="13">
        <f t="shared" si="0"/>
        <v>50</v>
      </c>
      <c r="BC3" s="13">
        <f t="shared" si="0"/>
        <v>51</v>
      </c>
      <c r="BD3" s="13">
        <f t="shared" si="0"/>
        <v>52</v>
      </c>
      <c r="BE3" s="13">
        <f t="shared" si="0"/>
        <v>53</v>
      </c>
      <c r="BF3" s="13">
        <f t="shared" si="0"/>
        <v>54</v>
      </c>
      <c r="BG3" s="13">
        <f t="shared" si="0"/>
        <v>55</v>
      </c>
      <c r="BH3" s="13">
        <f t="shared" si="0"/>
        <v>56</v>
      </c>
      <c r="BI3" s="13">
        <f t="shared" si="0"/>
        <v>57</v>
      </c>
      <c r="BJ3" s="13">
        <f t="shared" si="0"/>
        <v>58</v>
      </c>
      <c r="BK3" s="13">
        <f t="shared" si="0"/>
        <v>59</v>
      </c>
      <c r="BL3" s="13">
        <f t="shared" si="0"/>
        <v>60</v>
      </c>
      <c r="BM3" s="13">
        <f t="shared" si="0"/>
        <v>61</v>
      </c>
      <c r="BN3" s="13">
        <f t="shared" si="0"/>
        <v>62</v>
      </c>
      <c r="BO3" s="13">
        <f t="shared" si="0"/>
        <v>63</v>
      </c>
      <c r="BP3" s="13">
        <f t="shared" si="0"/>
        <v>64</v>
      </c>
      <c r="BQ3" s="13">
        <f t="shared" si="0"/>
        <v>65</v>
      </c>
      <c r="BR3" s="13">
        <f t="shared" ref="BR3:CH3" si="1">+BQ3+1</f>
        <v>66</v>
      </c>
      <c r="BS3" s="13">
        <f t="shared" si="1"/>
        <v>67</v>
      </c>
      <c r="BT3" s="12">
        <f t="shared" si="1"/>
        <v>68</v>
      </c>
      <c r="BU3" s="12">
        <f t="shared" si="1"/>
        <v>69</v>
      </c>
      <c r="BV3" s="13">
        <f>+BU3+1</f>
        <v>70</v>
      </c>
      <c r="BW3" s="13">
        <f t="shared" si="1"/>
        <v>71</v>
      </c>
      <c r="BX3" s="13">
        <f t="shared" si="1"/>
        <v>72</v>
      </c>
      <c r="BY3" s="13">
        <f t="shared" si="1"/>
        <v>73</v>
      </c>
      <c r="BZ3" s="13">
        <f t="shared" si="1"/>
        <v>74</v>
      </c>
      <c r="CA3" s="13">
        <f t="shared" si="1"/>
        <v>75</v>
      </c>
      <c r="CB3" s="13">
        <f t="shared" si="1"/>
        <v>76</v>
      </c>
      <c r="CC3" s="13">
        <f t="shared" si="1"/>
        <v>77</v>
      </c>
      <c r="CD3" s="13">
        <f t="shared" si="1"/>
        <v>78</v>
      </c>
      <c r="CE3" s="13">
        <f t="shared" si="1"/>
        <v>79</v>
      </c>
      <c r="CF3" s="13">
        <f t="shared" si="1"/>
        <v>80</v>
      </c>
      <c r="CG3" s="13">
        <f t="shared" si="1"/>
        <v>81</v>
      </c>
      <c r="CH3" s="13">
        <f t="shared" si="1"/>
        <v>82</v>
      </c>
    </row>
    <row r="4" spans="1:86" s="24" customFormat="1" outlineLevel="1">
      <c r="A4" s="15" t="s">
        <v>2</v>
      </c>
      <c r="B4" s="16"/>
      <c r="C4" s="16"/>
      <c r="D4" s="16"/>
      <c r="E4" s="17"/>
      <c r="F4" s="18"/>
      <c r="G4" s="18"/>
      <c r="H4" s="18"/>
      <c r="I4" s="18"/>
      <c r="J4" s="17"/>
      <c r="K4" s="19"/>
      <c r="L4" s="19"/>
      <c r="M4" s="20"/>
      <c r="N4" s="21" t="s">
        <v>3</v>
      </c>
      <c r="O4" s="22">
        <f>+DAY(O6)</f>
        <v>31</v>
      </c>
      <c r="P4" s="22">
        <f t="shared" ref="P4:Z4" si="2">+DAY(P6)</f>
        <v>28</v>
      </c>
      <c r="Q4" s="22">
        <f t="shared" si="2"/>
        <v>31</v>
      </c>
      <c r="R4" s="22">
        <f t="shared" si="2"/>
        <v>30</v>
      </c>
      <c r="S4" s="22">
        <f t="shared" si="2"/>
        <v>31</v>
      </c>
      <c r="T4" s="22">
        <f t="shared" si="2"/>
        <v>30</v>
      </c>
      <c r="U4" s="22">
        <f t="shared" si="2"/>
        <v>31</v>
      </c>
      <c r="V4" s="22">
        <f t="shared" si="2"/>
        <v>31</v>
      </c>
      <c r="W4" s="22">
        <f t="shared" si="2"/>
        <v>30</v>
      </c>
      <c r="X4" s="22">
        <f t="shared" si="2"/>
        <v>31</v>
      </c>
      <c r="Y4" s="22">
        <f t="shared" si="2"/>
        <v>30</v>
      </c>
      <c r="Z4" s="22">
        <f t="shared" si="2"/>
        <v>31</v>
      </c>
      <c r="AA4" s="22"/>
      <c r="AB4" s="23"/>
      <c r="AO4" s="25"/>
      <c r="AP4" s="23"/>
      <c r="AQ4" s="26"/>
      <c r="AR4" s="20"/>
      <c r="AS4" s="27">
        <f t="shared" ref="AS4:BD4" si="3">+MONTH(AS5)</f>
        <v>1</v>
      </c>
      <c r="AT4" s="27">
        <f t="shared" si="3"/>
        <v>2</v>
      </c>
      <c r="AU4" s="27">
        <f t="shared" si="3"/>
        <v>3</v>
      </c>
      <c r="AV4" s="27">
        <f t="shared" si="3"/>
        <v>4</v>
      </c>
      <c r="AW4" s="27">
        <f t="shared" si="3"/>
        <v>5</v>
      </c>
      <c r="AX4" s="27">
        <f t="shared" si="3"/>
        <v>6</v>
      </c>
      <c r="AY4" s="27">
        <f t="shared" si="3"/>
        <v>7</v>
      </c>
      <c r="AZ4" s="27">
        <f t="shared" si="3"/>
        <v>8</v>
      </c>
      <c r="BA4" s="27">
        <f t="shared" si="3"/>
        <v>9</v>
      </c>
      <c r="BB4" s="27">
        <f t="shared" si="3"/>
        <v>10</v>
      </c>
      <c r="BC4" s="27">
        <f t="shared" si="3"/>
        <v>11</v>
      </c>
      <c r="BD4" s="27">
        <f t="shared" si="3"/>
        <v>12</v>
      </c>
      <c r="BE4" s="25"/>
      <c r="BF4" s="27">
        <f t="shared" ref="BF4:BQ4" si="4">+MONTH(BF5)</f>
        <v>1</v>
      </c>
      <c r="BG4" s="27">
        <f t="shared" si="4"/>
        <v>2</v>
      </c>
      <c r="BH4" s="27">
        <f t="shared" si="4"/>
        <v>3</v>
      </c>
      <c r="BI4" s="27">
        <f t="shared" si="4"/>
        <v>4</v>
      </c>
      <c r="BJ4" s="27">
        <f t="shared" si="4"/>
        <v>5</v>
      </c>
      <c r="BK4" s="27">
        <f t="shared" si="4"/>
        <v>6</v>
      </c>
      <c r="BL4" s="27">
        <f t="shared" si="4"/>
        <v>7</v>
      </c>
      <c r="BM4" s="27">
        <f t="shared" si="4"/>
        <v>8</v>
      </c>
      <c r="BN4" s="27">
        <f t="shared" si="4"/>
        <v>9</v>
      </c>
      <c r="BO4" s="27">
        <f t="shared" si="4"/>
        <v>10</v>
      </c>
      <c r="BP4" s="27">
        <f t="shared" si="4"/>
        <v>11</v>
      </c>
      <c r="BQ4" s="27">
        <f t="shared" si="4"/>
        <v>12</v>
      </c>
      <c r="BR4" s="25"/>
      <c r="BS4" s="23"/>
      <c r="BT4" s="28"/>
      <c r="BU4" s="26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</row>
    <row r="5" spans="1:86" s="24" customFormat="1" outlineLevel="1">
      <c r="B5" s="29"/>
      <c r="E5" s="17"/>
      <c r="F5" s="18"/>
      <c r="G5" s="18"/>
      <c r="H5" s="18"/>
      <c r="I5" s="18"/>
      <c r="J5" s="17"/>
      <c r="K5" s="19"/>
      <c r="L5" s="19"/>
      <c r="M5" s="20"/>
      <c r="N5" s="20"/>
      <c r="O5" s="19">
        <v>45292</v>
      </c>
      <c r="P5" s="19">
        <v>45323</v>
      </c>
      <c r="Q5" s="19">
        <v>45352</v>
      </c>
      <c r="R5" s="19">
        <v>45383</v>
      </c>
      <c r="S5" s="19">
        <v>45413</v>
      </c>
      <c r="T5" s="19">
        <v>45444</v>
      </c>
      <c r="U5" s="19">
        <v>45474</v>
      </c>
      <c r="V5" s="19">
        <v>45505</v>
      </c>
      <c r="W5" s="19">
        <v>45536</v>
      </c>
      <c r="X5" s="19">
        <v>45566</v>
      </c>
      <c r="Y5" s="19">
        <v>45597</v>
      </c>
      <c r="Z5" s="19">
        <v>45627</v>
      </c>
      <c r="AA5" s="19"/>
      <c r="AB5" s="23"/>
      <c r="AC5" s="18">
        <f t="shared" ref="AC5:AN6" si="5">O5</f>
        <v>45292</v>
      </c>
      <c r="AD5" s="18">
        <f t="shared" si="5"/>
        <v>45323</v>
      </c>
      <c r="AE5" s="18">
        <f t="shared" si="5"/>
        <v>45352</v>
      </c>
      <c r="AF5" s="18">
        <f t="shared" si="5"/>
        <v>45383</v>
      </c>
      <c r="AG5" s="18">
        <f t="shared" si="5"/>
        <v>45413</v>
      </c>
      <c r="AH5" s="18">
        <f t="shared" si="5"/>
        <v>45444</v>
      </c>
      <c r="AI5" s="18">
        <f t="shared" si="5"/>
        <v>45474</v>
      </c>
      <c r="AJ5" s="18">
        <f t="shared" si="5"/>
        <v>45505</v>
      </c>
      <c r="AK5" s="18">
        <f t="shared" si="5"/>
        <v>45536</v>
      </c>
      <c r="AL5" s="18">
        <f t="shared" si="5"/>
        <v>45566</v>
      </c>
      <c r="AM5" s="18">
        <f t="shared" si="5"/>
        <v>45597</v>
      </c>
      <c r="AN5" s="18">
        <f t="shared" si="5"/>
        <v>45627</v>
      </c>
      <c r="AO5" s="25"/>
      <c r="AP5" s="23"/>
      <c r="AQ5" s="26"/>
      <c r="AR5" s="20"/>
      <c r="AS5" s="19">
        <f t="shared" ref="AS5:BD6" si="6">O5</f>
        <v>45292</v>
      </c>
      <c r="AT5" s="19">
        <f t="shared" si="6"/>
        <v>45323</v>
      </c>
      <c r="AU5" s="19">
        <f t="shared" si="6"/>
        <v>45352</v>
      </c>
      <c r="AV5" s="19">
        <f t="shared" si="6"/>
        <v>45383</v>
      </c>
      <c r="AW5" s="19">
        <f t="shared" si="6"/>
        <v>45413</v>
      </c>
      <c r="AX5" s="19">
        <f t="shared" si="6"/>
        <v>45444</v>
      </c>
      <c r="AY5" s="19">
        <f t="shared" si="6"/>
        <v>45474</v>
      </c>
      <c r="AZ5" s="19">
        <f t="shared" si="6"/>
        <v>45505</v>
      </c>
      <c r="BA5" s="19">
        <f t="shared" si="6"/>
        <v>45536</v>
      </c>
      <c r="BB5" s="19">
        <f t="shared" si="6"/>
        <v>45566</v>
      </c>
      <c r="BC5" s="19">
        <f t="shared" si="6"/>
        <v>45597</v>
      </c>
      <c r="BD5" s="19">
        <f t="shared" si="6"/>
        <v>45627</v>
      </c>
      <c r="BE5" s="25"/>
      <c r="BF5" s="19">
        <f t="shared" ref="BF5:BQ6" si="7">O5</f>
        <v>45292</v>
      </c>
      <c r="BG5" s="19">
        <f t="shared" si="7"/>
        <v>45323</v>
      </c>
      <c r="BH5" s="19">
        <f t="shared" si="7"/>
        <v>45352</v>
      </c>
      <c r="BI5" s="19">
        <f t="shared" si="7"/>
        <v>45383</v>
      </c>
      <c r="BJ5" s="19">
        <f t="shared" si="7"/>
        <v>45413</v>
      </c>
      <c r="BK5" s="19">
        <f t="shared" si="7"/>
        <v>45444</v>
      </c>
      <c r="BL5" s="19">
        <f t="shared" si="7"/>
        <v>45474</v>
      </c>
      <c r="BM5" s="19">
        <f t="shared" si="7"/>
        <v>45505</v>
      </c>
      <c r="BN5" s="19">
        <f t="shared" si="7"/>
        <v>45536</v>
      </c>
      <c r="BO5" s="19">
        <f t="shared" si="7"/>
        <v>45566</v>
      </c>
      <c r="BP5" s="19">
        <f t="shared" si="7"/>
        <v>45597</v>
      </c>
      <c r="BQ5" s="19">
        <f t="shared" si="7"/>
        <v>45627</v>
      </c>
      <c r="BR5" s="25"/>
      <c r="BS5" s="23"/>
      <c r="BT5" s="28"/>
      <c r="BU5" s="26"/>
      <c r="BV5" s="19">
        <f t="shared" ref="BV5:CG6" si="8">O5</f>
        <v>45292</v>
      </c>
      <c r="BW5" s="19">
        <f t="shared" si="8"/>
        <v>45323</v>
      </c>
      <c r="BX5" s="19">
        <f t="shared" si="8"/>
        <v>45352</v>
      </c>
      <c r="BY5" s="19">
        <f t="shared" si="8"/>
        <v>45383</v>
      </c>
      <c r="BZ5" s="19">
        <f t="shared" si="8"/>
        <v>45413</v>
      </c>
      <c r="CA5" s="19">
        <f t="shared" si="8"/>
        <v>45444</v>
      </c>
      <c r="CB5" s="19">
        <f t="shared" si="8"/>
        <v>45474</v>
      </c>
      <c r="CC5" s="19">
        <f t="shared" si="8"/>
        <v>45505</v>
      </c>
      <c r="CD5" s="19">
        <f t="shared" si="8"/>
        <v>45536</v>
      </c>
      <c r="CE5" s="19">
        <f t="shared" si="8"/>
        <v>45566</v>
      </c>
      <c r="CF5" s="19">
        <f t="shared" si="8"/>
        <v>45597</v>
      </c>
      <c r="CG5" s="19">
        <f t="shared" si="8"/>
        <v>45627</v>
      </c>
      <c r="CH5" s="23"/>
    </row>
    <row r="6" spans="1:86" s="24" customFormat="1" ht="15.75" outlineLevel="1" thickBot="1">
      <c r="A6" s="30" t="s">
        <v>4</v>
      </c>
      <c r="B6" s="30" t="s">
        <v>4</v>
      </c>
      <c r="C6" s="30" t="s">
        <v>4</v>
      </c>
      <c r="D6" s="30" t="s">
        <v>4</v>
      </c>
      <c r="E6" s="30" t="s">
        <v>4</v>
      </c>
      <c r="F6" s="30" t="s">
        <v>4</v>
      </c>
      <c r="G6" s="30" t="s">
        <v>4</v>
      </c>
      <c r="H6" s="30" t="s">
        <v>4</v>
      </c>
      <c r="I6" s="30" t="s">
        <v>4</v>
      </c>
      <c r="J6" s="30" t="s">
        <v>4</v>
      </c>
      <c r="K6" s="31"/>
      <c r="L6" s="32"/>
      <c r="M6" s="33"/>
      <c r="N6" s="34"/>
      <c r="O6" s="32">
        <v>45322</v>
      </c>
      <c r="P6" s="32">
        <v>45350</v>
      </c>
      <c r="Q6" s="32">
        <v>45382</v>
      </c>
      <c r="R6" s="32">
        <v>45412</v>
      </c>
      <c r="S6" s="32">
        <v>45443</v>
      </c>
      <c r="T6" s="32">
        <v>45473</v>
      </c>
      <c r="U6" s="32">
        <v>45504</v>
      </c>
      <c r="V6" s="32">
        <v>45535</v>
      </c>
      <c r="W6" s="32">
        <v>45565</v>
      </c>
      <c r="X6" s="32">
        <v>45596</v>
      </c>
      <c r="Y6" s="32">
        <v>45626</v>
      </c>
      <c r="Z6" s="32">
        <v>45657</v>
      </c>
      <c r="AA6" s="32"/>
      <c r="AB6" s="35"/>
      <c r="AC6" s="36">
        <f t="shared" si="5"/>
        <v>45322</v>
      </c>
      <c r="AD6" s="36">
        <f t="shared" si="5"/>
        <v>45350</v>
      </c>
      <c r="AE6" s="36">
        <f t="shared" si="5"/>
        <v>45382</v>
      </c>
      <c r="AF6" s="36">
        <f t="shared" si="5"/>
        <v>45412</v>
      </c>
      <c r="AG6" s="36">
        <f t="shared" si="5"/>
        <v>45443</v>
      </c>
      <c r="AH6" s="36">
        <f t="shared" si="5"/>
        <v>45473</v>
      </c>
      <c r="AI6" s="36">
        <f t="shared" si="5"/>
        <v>45504</v>
      </c>
      <c r="AJ6" s="36">
        <f t="shared" si="5"/>
        <v>45535</v>
      </c>
      <c r="AK6" s="36">
        <f t="shared" si="5"/>
        <v>45565</v>
      </c>
      <c r="AL6" s="36">
        <f t="shared" si="5"/>
        <v>45596</v>
      </c>
      <c r="AM6" s="36">
        <f t="shared" si="5"/>
        <v>45626</v>
      </c>
      <c r="AN6" s="36">
        <f t="shared" si="5"/>
        <v>45657</v>
      </c>
      <c r="AO6" s="31"/>
      <c r="AP6" s="23"/>
      <c r="AQ6" s="37"/>
      <c r="AR6" s="20"/>
      <c r="AS6" s="19">
        <f t="shared" si="6"/>
        <v>45322</v>
      </c>
      <c r="AT6" s="19">
        <f t="shared" si="6"/>
        <v>45350</v>
      </c>
      <c r="AU6" s="19">
        <f t="shared" si="6"/>
        <v>45382</v>
      </c>
      <c r="AV6" s="19">
        <f t="shared" si="6"/>
        <v>45412</v>
      </c>
      <c r="AW6" s="19">
        <f t="shared" si="6"/>
        <v>45443</v>
      </c>
      <c r="AX6" s="19">
        <f t="shared" si="6"/>
        <v>45473</v>
      </c>
      <c r="AY6" s="19">
        <f t="shared" si="6"/>
        <v>45504</v>
      </c>
      <c r="AZ6" s="19">
        <f t="shared" si="6"/>
        <v>45535</v>
      </c>
      <c r="BA6" s="19">
        <f t="shared" si="6"/>
        <v>45565</v>
      </c>
      <c r="BB6" s="19">
        <f t="shared" si="6"/>
        <v>45596</v>
      </c>
      <c r="BC6" s="19">
        <f t="shared" si="6"/>
        <v>45626</v>
      </c>
      <c r="BD6" s="19">
        <f t="shared" si="6"/>
        <v>45657</v>
      </c>
      <c r="BE6" s="25"/>
      <c r="BF6" s="19">
        <f t="shared" si="7"/>
        <v>45322</v>
      </c>
      <c r="BG6" s="19">
        <f t="shared" si="7"/>
        <v>45350</v>
      </c>
      <c r="BH6" s="19">
        <f t="shared" si="7"/>
        <v>45382</v>
      </c>
      <c r="BI6" s="19">
        <f t="shared" si="7"/>
        <v>45412</v>
      </c>
      <c r="BJ6" s="19">
        <f t="shared" si="7"/>
        <v>45443</v>
      </c>
      <c r="BK6" s="19">
        <f t="shared" si="7"/>
        <v>45473</v>
      </c>
      <c r="BL6" s="19">
        <f t="shared" si="7"/>
        <v>45504</v>
      </c>
      <c r="BM6" s="19">
        <f t="shared" si="7"/>
        <v>45535</v>
      </c>
      <c r="BN6" s="19">
        <f t="shared" si="7"/>
        <v>45565</v>
      </c>
      <c r="BO6" s="19">
        <f t="shared" si="7"/>
        <v>45596</v>
      </c>
      <c r="BP6" s="19">
        <f t="shared" si="7"/>
        <v>45626</v>
      </c>
      <c r="BQ6" s="19">
        <f t="shared" si="7"/>
        <v>45657</v>
      </c>
      <c r="BR6" s="25"/>
      <c r="BS6" s="23"/>
      <c r="BT6" s="28"/>
      <c r="BU6" s="26"/>
      <c r="BV6" s="19">
        <f t="shared" si="8"/>
        <v>45322</v>
      </c>
      <c r="BW6" s="19">
        <f t="shared" si="8"/>
        <v>45350</v>
      </c>
      <c r="BX6" s="19">
        <f t="shared" si="8"/>
        <v>45382</v>
      </c>
      <c r="BY6" s="19">
        <f t="shared" si="8"/>
        <v>45412</v>
      </c>
      <c r="BZ6" s="19">
        <f t="shared" si="8"/>
        <v>45443</v>
      </c>
      <c r="CA6" s="19">
        <f t="shared" si="8"/>
        <v>45473</v>
      </c>
      <c r="CB6" s="19">
        <f t="shared" si="8"/>
        <v>45504</v>
      </c>
      <c r="CC6" s="19">
        <f t="shared" si="8"/>
        <v>45535</v>
      </c>
      <c r="CD6" s="19">
        <f t="shared" si="8"/>
        <v>45565</v>
      </c>
      <c r="CE6" s="19">
        <f t="shared" si="8"/>
        <v>45596</v>
      </c>
      <c r="CF6" s="19">
        <f t="shared" si="8"/>
        <v>45626</v>
      </c>
      <c r="CG6" s="19">
        <f t="shared" si="8"/>
        <v>45657</v>
      </c>
      <c r="CH6" s="23"/>
    </row>
    <row r="7" spans="1:86" s="61" customFormat="1" ht="60" customHeight="1" thickBot="1">
      <c r="A7" s="38" t="s">
        <v>5</v>
      </c>
      <c r="B7" s="39" t="s">
        <v>6</v>
      </c>
      <c r="C7" s="39" t="s">
        <v>7</v>
      </c>
      <c r="D7" s="39" t="s">
        <v>8</v>
      </c>
      <c r="E7" s="40" t="s">
        <v>9</v>
      </c>
      <c r="F7" s="41" t="s">
        <v>10</v>
      </c>
      <c r="G7" s="41" t="s">
        <v>11</v>
      </c>
      <c r="H7" s="42" t="s">
        <v>12</v>
      </c>
      <c r="I7" s="41" t="s">
        <v>13</v>
      </c>
      <c r="J7" s="40" t="s">
        <v>14</v>
      </c>
      <c r="K7" s="43" t="s">
        <v>15</v>
      </c>
      <c r="L7" s="44" t="s">
        <v>16</v>
      </c>
      <c r="M7" s="45" t="s">
        <v>17</v>
      </c>
      <c r="N7" s="46" t="s">
        <v>18</v>
      </c>
      <c r="O7" s="47" t="s">
        <v>19</v>
      </c>
      <c r="P7" s="47" t="s">
        <v>20</v>
      </c>
      <c r="Q7" s="47" t="s">
        <v>21</v>
      </c>
      <c r="R7" s="47" t="s">
        <v>22</v>
      </c>
      <c r="S7" s="47" t="s">
        <v>23</v>
      </c>
      <c r="T7" s="47" t="s">
        <v>24</v>
      </c>
      <c r="U7" s="47" t="s">
        <v>25</v>
      </c>
      <c r="V7" s="47" t="s">
        <v>26</v>
      </c>
      <c r="W7" s="47" t="s">
        <v>27</v>
      </c>
      <c r="X7" s="47" t="s">
        <v>28</v>
      </c>
      <c r="Y7" s="47" t="s">
        <v>29</v>
      </c>
      <c r="Z7" s="48" t="s">
        <v>30</v>
      </c>
      <c r="AA7" s="48"/>
      <c r="AB7" s="49" t="s">
        <v>31</v>
      </c>
      <c r="AC7" s="39" t="s">
        <v>19</v>
      </c>
      <c r="AD7" s="39" t="s">
        <v>20</v>
      </c>
      <c r="AE7" s="39" t="s">
        <v>21</v>
      </c>
      <c r="AF7" s="39" t="s">
        <v>22</v>
      </c>
      <c r="AG7" s="39" t="s">
        <v>23</v>
      </c>
      <c r="AH7" s="39" t="s">
        <v>24</v>
      </c>
      <c r="AI7" s="39" t="s">
        <v>25</v>
      </c>
      <c r="AJ7" s="39" t="s">
        <v>26</v>
      </c>
      <c r="AK7" s="39" t="s">
        <v>27</v>
      </c>
      <c r="AL7" s="39" t="s">
        <v>28</v>
      </c>
      <c r="AM7" s="39" t="s">
        <v>29</v>
      </c>
      <c r="AN7" s="39" t="s">
        <v>30</v>
      </c>
      <c r="AO7" s="50" t="s">
        <v>32</v>
      </c>
      <c r="AP7" s="51">
        <v>1</v>
      </c>
      <c r="AQ7" s="52" t="s">
        <v>33</v>
      </c>
      <c r="AR7" s="53" t="s">
        <v>34</v>
      </c>
      <c r="AS7" s="54" t="s">
        <v>19</v>
      </c>
      <c r="AT7" s="54" t="s">
        <v>20</v>
      </c>
      <c r="AU7" s="54" t="s">
        <v>21</v>
      </c>
      <c r="AV7" s="54" t="s">
        <v>22</v>
      </c>
      <c r="AW7" s="54" t="s">
        <v>23</v>
      </c>
      <c r="AX7" s="54" t="s">
        <v>24</v>
      </c>
      <c r="AY7" s="54" t="s">
        <v>25</v>
      </c>
      <c r="AZ7" s="54" t="s">
        <v>26</v>
      </c>
      <c r="BA7" s="54" t="s">
        <v>27</v>
      </c>
      <c r="BB7" s="54" t="s">
        <v>28</v>
      </c>
      <c r="BC7" s="54" t="s">
        <v>29</v>
      </c>
      <c r="BD7" s="54" t="s">
        <v>30</v>
      </c>
      <c r="BE7" s="55" t="s">
        <v>35</v>
      </c>
      <c r="BF7" s="54" t="s">
        <v>19</v>
      </c>
      <c r="BG7" s="54" t="s">
        <v>20</v>
      </c>
      <c r="BH7" s="54" t="s">
        <v>21</v>
      </c>
      <c r="BI7" s="54" t="s">
        <v>22</v>
      </c>
      <c r="BJ7" s="54" t="s">
        <v>23</v>
      </c>
      <c r="BK7" s="54" t="s">
        <v>24</v>
      </c>
      <c r="BL7" s="54" t="s">
        <v>25</v>
      </c>
      <c r="BM7" s="54" t="s">
        <v>26</v>
      </c>
      <c r="BN7" s="54" t="s">
        <v>27</v>
      </c>
      <c r="BO7" s="54" t="s">
        <v>28</v>
      </c>
      <c r="BP7" s="54" t="s">
        <v>29</v>
      </c>
      <c r="BQ7" s="54" t="s">
        <v>30</v>
      </c>
      <c r="BR7" s="56" t="s">
        <v>36</v>
      </c>
      <c r="BS7" s="51"/>
      <c r="BT7" s="57" t="s">
        <v>37</v>
      </c>
      <c r="BU7" s="58" t="s">
        <v>38</v>
      </c>
      <c r="BV7" s="59" t="s">
        <v>19</v>
      </c>
      <c r="BW7" s="59" t="s">
        <v>20</v>
      </c>
      <c r="BX7" s="59" t="s">
        <v>21</v>
      </c>
      <c r="BY7" s="59" t="s">
        <v>22</v>
      </c>
      <c r="BZ7" s="59" t="s">
        <v>23</v>
      </c>
      <c r="CA7" s="59" t="s">
        <v>24</v>
      </c>
      <c r="CB7" s="59" t="s">
        <v>25</v>
      </c>
      <c r="CC7" s="59" t="s">
        <v>26</v>
      </c>
      <c r="CD7" s="59" t="s">
        <v>27</v>
      </c>
      <c r="CE7" s="59" t="s">
        <v>28</v>
      </c>
      <c r="CF7" s="59" t="s">
        <v>29</v>
      </c>
      <c r="CG7" s="59" t="s">
        <v>30</v>
      </c>
      <c r="CH7" s="60" t="s">
        <v>39</v>
      </c>
    </row>
    <row r="8" spans="1:86" s="88" customFormat="1" ht="19.5" customHeight="1">
      <c r="A8" s="62" t="s">
        <v>194</v>
      </c>
      <c r="B8" s="63" t="s">
        <v>40</v>
      </c>
      <c r="C8" s="63" t="s">
        <v>41</v>
      </c>
      <c r="D8" s="64">
        <v>140</v>
      </c>
      <c r="E8" s="65">
        <f>+VLOOKUP(A8,'PROV.13E MOIS ET BONUS'!$C:$I,7,0)</f>
        <v>1000</v>
      </c>
      <c r="F8" s="66">
        <v>43440</v>
      </c>
      <c r="G8" s="67" t="s">
        <v>42</v>
      </c>
      <c r="H8" s="66">
        <f t="shared" ref="H8:H23" si="9">+IF(YEAR(F8)&lt;YEAR($O$5),$O$5,F8)</f>
        <v>45292</v>
      </c>
      <c r="I8" s="67">
        <v>44986</v>
      </c>
      <c r="J8" s="68">
        <v>2800</v>
      </c>
      <c r="K8" s="69">
        <f t="shared" ref="K8:K27" si="10">DATEDIF(F8,$J$1,"m")/12</f>
        <v>6</v>
      </c>
      <c r="L8" s="69">
        <f t="shared" ref="L8:L27" si="11">IF(K8&lt;5,0,IF(OR(K8=5,K8&lt;6),1,IF(OR(K8&gt;=6,K8&lt;10),0,IF(OR(K8=10,K8&lt;11),1,IF(OR(K8&gt;=11,K8&lt;15),0,IF(OR(K8=15,K8&lt;16),1,IF(OR(K8&gt;=16,K8&lt;20),0,IF(OR(K8=20,K8&lt;21),1,IF(OR(K8&gt;=21,K8&lt;25),0)))))))))</f>
        <v>0</v>
      </c>
      <c r="M8" s="70">
        <v>13.5</v>
      </c>
      <c r="N8" s="71">
        <f t="shared" ref="N8:N18" si="12">SUM(O8:Z8)</f>
        <v>31</v>
      </c>
      <c r="O8" s="72">
        <f t="shared" ref="O8:Z23" si="13">+IF(AND(AND(AND($G8="",$K8&gt;=5,$K8&lt;10,MONTH($F8)=MONTH(O$5)))),2.5+1,+IF(AND(AND($K8=5,$G8="",MONTH($F8)=MONTH(O$5))),2.5,+IF(AND(AND(AND($G8="",$K8&gt;=10,$K8&lt;15,MONTH($F8)=MONTH(O$5)))),2.5+2,+IF(AND(AND(AND($G8="",$K8&gt;=15,$K8&lt;20,MONTH($F8)=MONTH(O$5)))),2.5+3,+IF(AND(AND($K8=10,$G8="",MONTH($F8)=MONTH(O$5))),2.5,+IF(AND($H8&gt;O$5,MONTH($H8)=MONTH(O$5)),2.5/30*(O$4-DAY($H8)),+IF(AND(MONTH($H8)&lt;MONTH(O$5),$G8=""),2.5,+IF(AND($H8=$O$5,$G8=""),2.5,IF($G8&lt;O$5,0,IF(MONTH($G8)=MONTH(O$5),2.5/30*($G8-O$5),2.5))))))))))</f>
        <v>2.5</v>
      </c>
      <c r="P8" s="72">
        <f t="shared" si="13"/>
        <v>2.5</v>
      </c>
      <c r="Q8" s="72">
        <f t="shared" si="13"/>
        <v>2.5</v>
      </c>
      <c r="R8" s="72">
        <f t="shared" si="13"/>
        <v>2.5</v>
      </c>
      <c r="S8" s="72">
        <f t="shared" si="13"/>
        <v>2.5</v>
      </c>
      <c r="T8" s="72">
        <f t="shared" si="13"/>
        <v>2.5</v>
      </c>
      <c r="U8" s="72">
        <f t="shared" si="13"/>
        <v>2.5</v>
      </c>
      <c r="V8" s="72">
        <f t="shared" si="13"/>
        <v>2.5</v>
      </c>
      <c r="W8" s="72">
        <f t="shared" si="13"/>
        <v>2.5</v>
      </c>
      <c r="X8" s="72">
        <f t="shared" si="13"/>
        <v>2.5</v>
      </c>
      <c r="Y8" s="72">
        <f t="shared" si="13"/>
        <v>2.5</v>
      </c>
      <c r="Z8" s="72">
        <f t="shared" si="13"/>
        <v>3.5</v>
      </c>
      <c r="AA8" s="73">
        <f>+M8+N8</f>
        <v>44.5</v>
      </c>
      <c r="AB8" s="71">
        <f t="shared" ref="AB8:AB15" si="14">SUM(AC8:AN8)</f>
        <v>0</v>
      </c>
      <c r="AC8" s="74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6"/>
      <c r="AO8" s="77">
        <f t="shared" ref="AO8:AO27" si="15">+M8+N8-AB8</f>
        <v>44.5</v>
      </c>
      <c r="AP8" s="78"/>
      <c r="AQ8" s="79">
        <v>4840.3846153846152</v>
      </c>
      <c r="AR8" s="71">
        <f>SUM(AS8:BD8)</f>
        <v>3338.4615384615381</v>
      </c>
      <c r="AS8" s="80">
        <f t="shared" ref="AS8:BD24" si="16">+IF($I8="",$E8/26*O8,IF(MONTH($I8)=MONTH(AS$5),$J8/26*O8,IF(AND($I8&lt;AS$5,(MONTH($I8)&lt;&gt;MONTH(AS$5))),$J8/26*O8,$E8/26*O8)))</f>
        <v>269.23076923076923</v>
      </c>
      <c r="AT8" s="72">
        <f t="shared" si="16"/>
        <v>269.23076923076923</v>
      </c>
      <c r="AU8" s="72">
        <f t="shared" si="16"/>
        <v>269.23076923076923</v>
      </c>
      <c r="AV8" s="72">
        <f t="shared" si="16"/>
        <v>269.23076923076923</v>
      </c>
      <c r="AW8" s="72">
        <f t="shared" si="16"/>
        <v>269.23076923076923</v>
      </c>
      <c r="AX8" s="72">
        <f t="shared" si="16"/>
        <v>269.23076923076923</v>
      </c>
      <c r="AY8" s="72">
        <f t="shared" si="16"/>
        <v>269.23076923076923</v>
      </c>
      <c r="AZ8" s="72">
        <f t="shared" si="16"/>
        <v>269.23076923076923</v>
      </c>
      <c r="BA8" s="72">
        <f t="shared" si="16"/>
        <v>269.23076923076923</v>
      </c>
      <c r="BB8" s="72">
        <f t="shared" si="16"/>
        <v>269.23076923076923</v>
      </c>
      <c r="BC8" s="72">
        <f t="shared" si="16"/>
        <v>269.23076923076923</v>
      </c>
      <c r="BD8" s="72">
        <f t="shared" si="16"/>
        <v>376.92307692307691</v>
      </c>
      <c r="BE8" s="81">
        <f t="shared" ref="BE8:BE11" si="17">SUM(BF8:BQ8)</f>
        <v>0</v>
      </c>
      <c r="BF8" s="82">
        <f t="shared" ref="BF8:BQ23" si="18">(+IF($I8="",$E8/26*AC8,IF(MONTH($I8)=MONTH(BF$5),$J8/26*AC8,IF(AND($I8&lt;BF$5,(MONTH($I8)&lt;&gt;MONTH(BF$5))),$J8/26*AC8,$E8/26*AC8))))*-1</f>
        <v>0</v>
      </c>
      <c r="BG8" s="83">
        <f t="shared" si="18"/>
        <v>0</v>
      </c>
      <c r="BH8" s="83">
        <f t="shared" si="18"/>
        <v>0</v>
      </c>
      <c r="BI8" s="83">
        <f t="shared" si="18"/>
        <v>0</v>
      </c>
      <c r="BJ8" s="83">
        <f t="shared" si="18"/>
        <v>0</v>
      </c>
      <c r="BK8" s="83">
        <f t="shared" si="18"/>
        <v>0</v>
      </c>
      <c r="BL8" s="83">
        <f t="shared" si="18"/>
        <v>0</v>
      </c>
      <c r="BM8" s="83">
        <f t="shared" si="18"/>
        <v>0</v>
      </c>
      <c r="BN8" s="83">
        <f t="shared" si="18"/>
        <v>0</v>
      </c>
      <c r="BO8" s="83">
        <f t="shared" si="18"/>
        <v>0</v>
      </c>
      <c r="BP8" s="83">
        <f t="shared" si="18"/>
        <v>0</v>
      </c>
      <c r="BQ8" s="83">
        <f t="shared" si="18"/>
        <v>0</v>
      </c>
      <c r="BR8" s="84">
        <f>+AQ8+AR8+BE8</f>
        <v>8178.8461538461534</v>
      </c>
      <c r="BS8" s="83"/>
      <c r="BT8" s="85">
        <v>0</v>
      </c>
      <c r="BU8" s="85">
        <v>0</v>
      </c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7"/>
      <c r="CH8" s="84">
        <f>+BU8+SUM(BV8:CG8)</f>
        <v>0</v>
      </c>
    </row>
    <row r="9" spans="1:86" s="92" customFormat="1" ht="21" customHeight="1">
      <c r="A9" s="90" t="s">
        <v>195</v>
      </c>
      <c r="B9" s="91" t="s">
        <v>43</v>
      </c>
      <c r="C9" s="92" t="s">
        <v>44</v>
      </c>
      <c r="D9" s="93">
        <v>620</v>
      </c>
      <c r="E9" s="89">
        <f>+VLOOKUP(A9,'PROV.13E MOIS ET BONUS'!$C:$I,7,0)</f>
        <v>1100</v>
      </c>
      <c r="F9" s="94">
        <v>41813</v>
      </c>
      <c r="G9" s="95" t="s">
        <v>42</v>
      </c>
      <c r="H9" s="96">
        <f t="shared" si="9"/>
        <v>45292</v>
      </c>
      <c r="I9" s="97" t="s">
        <v>42</v>
      </c>
      <c r="J9" s="98" t="s">
        <v>42</v>
      </c>
      <c r="K9" s="82">
        <f>DATEDIF(F9,$J$1,"m")/12</f>
        <v>10.5</v>
      </c>
      <c r="L9" s="82">
        <f t="shared" si="11"/>
        <v>0</v>
      </c>
      <c r="M9" s="99">
        <v>36</v>
      </c>
      <c r="N9" s="100">
        <f t="shared" si="12"/>
        <v>32</v>
      </c>
      <c r="O9" s="82">
        <f t="shared" si="13"/>
        <v>2.5</v>
      </c>
      <c r="P9" s="82">
        <f t="shared" si="13"/>
        <v>2.5</v>
      </c>
      <c r="Q9" s="82">
        <f t="shared" si="13"/>
        <v>2.5</v>
      </c>
      <c r="R9" s="82">
        <f t="shared" si="13"/>
        <v>2.5</v>
      </c>
      <c r="S9" s="82">
        <f t="shared" si="13"/>
        <v>2.5</v>
      </c>
      <c r="T9" s="82">
        <f t="shared" si="13"/>
        <v>4.5</v>
      </c>
      <c r="U9" s="82">
        <f t="shared" si="13"/>
        <v>2.5</v>
      </c>
      <c r="V9" s="82">
        <f t="shared" si="13"/>
        <v>2.5</v>
      </c>
      <c r="W9" s="82">
        <f t="shared" si="13"/>
        <v>2.5</v>
      </c>
      <c r="X9" s="82">
        <f t="shared" si="13"/>
        <v>2.5</v>
      </c>
      <c r="Y9" s="82">
        <f t="shared" si="13"/>
        <v>2.5</v>
      </c>
      <c r="Z9" s="82">
        <f t="shared" si="13"/>
        <v>2.5</v>
      </c>
      <c r="AA9" s="101">
        <f t="shared" ref="AA9:AA27" si="19">+M9+N9</f>
        <v>68</v>
      </c>
      <c r="AB9" s="100">
        <f t="shared" si="14"/>
        <v>0</v>
      </c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3">
        <f t="shared" si="15"/>
        <v>68</v>
      </c>
      <c r="AP9" s="78"/>
      <c r="AQ9" s="104">
        <v>17019.230769230766</v>
      </c>
      <c r="AR9" s="100">
        <f t="shared" ref="AR9:AR22" si="20">SUM(AS9:BD9)</f>
        <v>1353.8461538461536</v>
      </c>
      <c r="AS9" s="105">
        <f t="shared" si="16"/>
        <v>105.76923076923077</v>
      </c>
      <c r="AT9" s="105">
        <f t="shared" si="16"/>
        <v>105.76923076923077</v>
      </c>
      <c r="AU9" s="105">
        <f t="shared" si="16"/>
        <v>105.76923076923077</v>
      </c>
      <c r="AV9" s="82">
        <f t="shared" si="16"/>
        <v>105.76923076923077</v>
      </c>
      <c r="AW9" s="105">
        <f t="shared" si="16"/>
        <v>105.76923076923077</v>
      </c>
      <c r="AX9" s="82">
        <f t="shared" si="16"/>
        <v>190.38461538461539</v>
      </c>
      <c r="AY9" s="82">
        <f t="shared" si="16"/>
        <v>105.76923076923077</v>
      </c>
      <c r="AZ9" s="82">
        <f t="shared" si="16"/>
        <v>105.76923076923077</v>
      </c>
      <c r="BA9" s="82">
        <f t="shared" si="16"/>
        <v>105.76923076923077</v>
      </c>
      <c r="BB9" s="82">
        <f t="shared" si="16"/>
        <v>105.76923076923077</v>
      </c>
      <c r="BC9" s="82">
        <f t="shared" si="16"/>
        <v>105.76923076923077</v>
      </c>
      <c r="BD9" s="82">
        <f t="shared" si="16"/>
        <v>105.76923076923077</v>
      </c>
      <c r="BE9" s="106">
        <f t="shared" si="17"/>
        <v>0</v>
      </c>
      <c r="BF9" s="82">
        <f t="shared" si="18"/>
        <v>0</v>
      </c>
      <c r="BG9" s="82">
        <f t="shared" si="18"/>
        <v>0</v>
      </c>
      <c r="BH9" s="82">
        <f t="shared" si="18"/>
        <v>0</v>
      </c>
      <c r="BI9" s="82">
        <f t="shared" si="18"/>
        <v>0</v>
      </c>
      <c r="BJ9" s="82">
        <f t="shared" si="18"/>
        <v>0</v>
      </c>
      <c r="BK9" s="82">
        <f t="shared" si="18"/>
        <v>0</v>
      </c>
      <c r="BL9" s="82">
        <f t="shared" si="18"/>
        <v>0</v>
      </c>
      <c r="BM9" s="82">
        <f t="shared" si="18"/>
        <v>0</v>
      </c>
      <c r="BN9" s="82">
        <f t="shared" si="18"/>
        <v>0</v>
      </c>
      <c r="BO9" s="82">
        <f t="shared" si="18"/>
        <v>0</v>
      </c>
      <c r="BP9" s="82">
        <f t="shared" si="18"/>
        <v>0</v>
      </c>
      <c r="BQ9" s="82">
        <f t="shared" si="18"/>
        <v>0</v>
      </c>
      <c r="BR9" s="107">
        <f t="shared" ref="BR9:BR27" si="21">+AQ9+AR9+BE9</f>
        <v>18373.076923076918</v>
      </c>
      <c r="BS9" s="108"/>
      <c r="BT9" s="109">
        <v>1500</v>
      </c>
      <c r="BU9" s="109">
        <v>3000.0000000000005</v>
      </c>
      <c r="BV9" s="110">
        <f>+$BT9/12</f>
        <v>125</v>
      </c>
      <c r="BW9" s="82">
        <f t="shared" ref="BW9:CG24" si="22">+($BT9-$BV9)/11</f>
        <v>125</v>
      </c>
      <c r="BX9" s="82">
        <f t="shared" si="22"/>
        <v>125</v>
      </c>
      <c r="BY9" s="82">
        <f t="shared" si="22"/>
        <v>125</v>
      </c>
      <c r="BZ9" s="82">
        <f t="shared" si="22"/>
        <v>125</v>
      </c>
      <c r="CA9" s="82">
        <f t="shared" si="22"/>
        <v>125</v>
      </c>
      <c r="CB9" s="82">
        <f t="shared" si="22"/>
        <v>125</v>
      </c>
      <c r="CC9" s="82">
        <f t="shared" si="22"/>
        <v>125</v>
      </c>
      <c r="CD9" s="82">
        <f t="shared" si="22"/>
        <v>125</v>
      </c>
      <c r="CE9" s="82">
        <f t="shared" si="22"/>
        <v>125</v>
      </c>
      <c r="CF9" s="82">
        <f t="shared" si="22"/>
        <v>125</v>
      </c>
      <c r="CG9" s="82">
        <f t="shared" si="22"/>
        <v>125</v>
      </c>
      <c r="CH9" s="111">
        <f>SUM(BV9:CG9)</f>
        <v>1500</v>
      </c>
    </row>
    <row r="10" spans="1:86" s="112" customFormat="1" ht="21" customHeight="1">
      <c r="A10" s="90" t="s">
        <v>196</v>
      </c>
      <c r="B10" s="112" t="s">
        <v>45</v>
      </c>
      <c r="C10" s="112" t="s">
        <v>46</v>
      </c>
      <c r="D10" s="113">
        <v>281</v>
      </c>
      <c r="E10" s="114">
        <f>+VLOOKUP(A10,'PROV.13E MOIS ET BONUS'!$C:$I,7,0)</f>
        <v>1200</v>
      </c>
      <c r="F10" s="94">
        <v>41807</v>
      </c>
      <c r="G10" s="115" t="s">
        <v>42</v>
      </c>
      <c r="H10" s="96">
        <f t="shared" si="9"/>
        <v>45292</v>
      </c>
      <c r="I10" s="97" t="s">
        <v>42</v>
      </c>
      <c r="J10" s="116" t="s">
        <v>42</v>
      </c>
      <c r="K10" s="82">
        <f t="shared" si="10"/>
        <v>10.5</v>
      </c>
      <c r="L10" s="82">
        <f t="shared" si="11"/>
        <v>0</v>
      </c>
      <c r="M10" s="99">
        <v>35.5</v>
      </c>
      <c r="N10" s="100">
        <f t="shared" si="12"/>
        <v>32</v>
      </c>
      <c r="O10" s="82">
        <f t="shared" si="13"/>
        <v>2.5</v>
      </c>
      <c r="P10" s="82">
        <f t="shared" si="13"/>
        <v>2.5</v>
      </c>
      <c r="Q10" s="82">
        <f t="shared" si="13"/>
        <v>2.5</v>
      </c>
      <c r="R10" s="82">
        <f t="shared" si="13"/>
        <v>2.5</v>
      </c>
      <c r="S10" s="82">
        <f t="shared" si="13"/>
        <v>2.5</v>
      </c>
      <c r="T10" s="82">
        <f t="shared" si="13"/>
        <v>4.5</v>
      </c>
      <c r="U10" s="82">
        <f t="shared" si="13"/>
        <v>2.5</v>
      </c>
      <c r="V10" s="82">
        <f t="shared" si="13"/>
        <v>2.5</v>
      </c>
      <c r="W10" s="82">
        <f t="shared" si="13"/>
        <v>2.5</v>
      </c>
      <c r="X10" s="82">
        <f t="shared" si="13"/>
        <v>2.5</v>
      </c>
      <c r="Y10" s="82">
        <f t="shared" si="13"/>
        <v>2.5</v>
      </c>
      <c r="Z10" s="82">
        <f t="shared" si="13"/>
        <v>2.5</v>
      </c>
      <c r="AA10" s="101">
        <f t="shared" si="19"/>
        <v>67.5</v>
      </c>
      <c r="AB10" s="100">
        <f t="shared" si="14"/>
        <v>11</v>
      </c>
      <c r="AC10" s="102"/>
      <c r="AD10" s="102">
        <v>11</v>
      </c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3">
        <f>+M10+N10-AB10</f>
        <v>56.5</v>
      </c>
      <c r="AP10" s="78"/>
      <c r="AQ10" s="104">
        <v>9336.3461538461524</v>
      </c>
      <c r="AR10" s="100">
        <f t="shared" si="20"/>
        <v>1476.9230769230771</v>
      </c>
      <c r="AS10" s="105">
        <f t="shared" si="16"/>
        <v>115.38461538461539</v>
      </c>
      <c r="AT10" s="105">
        <f t="shared" si="16"/>
        <v>115.38461538461539</v>
      </c>
      <c r="AU10" s="105">
        <f t="shared" si="16"/>
        <v>115.38461538461539</v>
      </c>
      <c r="AV10" s="82">
        <f t="shared" si="16"/>
        <v>115.38461538461539</v>
      </c>
      <c r="AW10" s="105">
        <f t="shared" si="16"/>
        <v>115.38461538461539</v>
      </c>
      <c r="AX10" s="82">
        <f t="shared" si="16"/>
        <v>207.69230769230768</v>
      </c>
      <c r="AY10" s="82">
        <f t="shared" si="16"/>
        <v>115.38461538461539</v>
      </c>
      <c r="AZ10" s="82">
        <f t="shared" si="16"/>
        <v>115.38461538461539</v>
      </c>
      <c r="BA10" s="82">
        <f t="shared" si="16"/>
        <v>115.38461538461539</v>
      </c>
      <c r="BB10" s="82">
        <f t="shared" si="16"/>
        <v>115.38461538461539</v>
      </c>
      <c r="BC10" s="82">
        <f t="shared" si="16"/>
        <v>115.38461538461539</v>
      </c>
      <c r="BD10" s="82">
        <f t="shared" si="16"/>
        <v>115.38461538461539</v>
      </c>
      <c r="BE10" s="106">
        <f t="shared" si="17"/>
        <v>-507.69230769230768</v>
      </c>
      <c r="BF10" s="82">
        <f t="shared" si="18"/>
        <v>0</v>
      </c>
      <c r="BG10" s="82">
        <f t="shared" si="18"/>
        <v>-507.69230769230768</v>
      </c>
      <c r="BH10" s="82">
        <f t="shared" si="18"/>
        <v>0</v>
      </c>
      <c r="BI10" s="82">
        <f t="shared" si="18"/>
        <v>0</v>
      </c>
      <c r="BJ10" s="82">
        <f t="shared" si="18"/>
        <v>0</v>
      </c>
      <c r="BK10" s="82">
        <f t="shared" si="18"/>
        <v>0</v>
      </c>
      <c r="BL10" s="82">
        <f t="shared" si="18"/>
        <v>0</v>
      </c>
      <c r="BM10" s="82">
        <f t="shared" si="18"/>
        <v>0</v>
      </c>
      <c r="BN10" s="82">
        <f t="shared" si="18"/>
        <v>0</v>
      </c>
      <c r="BO10" s="82">
        <f t="shared" si="18"/>
        <v>0</v>
      </c>
      <c r="BP10" s="82">
        <f t="shared" si="18"/>
        <v>0</v>
      </c>
      <c r="BQ10" s="82">
        <f t="shared" si="18"/>
        <v>0</v>
      </c>
      <c r="BR10" s="107">
        <f t="shared" si="21"/>
        <v>10305.576923076922</v>
      </c>
      <c r="BS10" s="117"/>
      <c r="BT10" s="109">
        <v>1700</v>
      </c>
      <c r="BU10" s="109">
        <v>4600.0033333333331</v>
      </c>
      <c r="BV10" s="82">
        <f t="shared" ref="BV10:BV27" si="23">+$BT10/12</f>
        <v>141.66666666666666</v>
      </c>
      <c r="BW10" s="82">
        <f t="shared" si="22"/>
        <v>141.66666666666666</v>
      </c>
      <c r="BX10" s="82">
        <f t="shared" si="22"/>
        <v>141.66666666666666</v>
      </c>
      <c r="BY10" s="82">
        <f t="shared" si="22"/>
        <v>141.66666666666666</v>
      </c>
      <c r="BZ10" s="82">
        <f t="shared" si="22"/>
        <v>141.66666666666666</v>
      </c>
      <c r="CA10" s="82">
        <f t="shared" si="22"/>
        <v>141.66666666666666</v>
      </c>
      <c r="CB10" s="82">
        <f t="shared" si="22"/>
        <v>141.66666666666666</v>
      </c>
      <c r="CC10" s="82">
        <f t="shared" si="22"/>
        <v>141.66666666666666</v>
      </c>
      <c r="CD10" s="82">
        <f t="shared" si="22"/>
        <v>141.66666666666666</v>
      </c>
      <c r="CE10" s="82">
        <f t="shared" si="22"/>
        <v>141.66666666666666</v>
      </c>
      <c r="CF10" s="82">
        <f t="shared" si="22"/>
        <v>141.66666666666666</v>
      </c>
      <c r="CG10" s="82">
        <f t="shared" si="22"/>
        <v>141.66666666666666</v>
      </c>
      <c r="CH10" s="111">
        <f t="shared" ref="CH10:CH27" si="24">+BU10+SUM(BV10:CG10)</f>
        <v>6300.0033333333331</v>
      </c>
    </row>
    <row r="11" spans="1:86" s="112" customFormat="1" ht="21" customHeight="1">
      <c r="A11" s="90" t="s">
        <v>197</v>
      </c>
      <c r="B11" s="112" t="s">
        <v>47</v>
      </c>
      <c r="C11" s="112" t="s">
        <v>48</v>
      </c>
      <c r="D11" s="113">
        <v>281</v>
      </c>
      <c r="E11" s="114">
        <f>+VLOOKUP(A11,'PROV.13E MOIS ET BONUS'!$C:$I,7,0)</f>
        <v>1300</v>
      </c>
      <c r="F11" s="94">
        <v>41939</v>
      </c>
      <c r="G11" s="115" t="s">
        <v>42</v>
      </c>
      <c r="H11" s="96">
        <f t="shared" si="9"/>
        <v>45292</v>
      </c>
      <c r="I11" s="97" t="s">
        <v>42</v>
      </c>
      <c r="J11" s="116" t="s">
        <v>42</v>
      </c>
      <c r="K11" s="82">
        <f t="shared" si="10"/>
        <v>10.166666666666666</v>
      </c>
      <c r="L11" s="82">
        <f t="shared" si="11"/>
        <v>0</v>
      </c>
      <c r="M11" s="99">
        <v>10</v>
      </c>
      <c r="N11" s="100">
        <f t="shared" si="12"/>
        <v>32</v>
      </c>
      <c r="O11" s="82">
        <f t="shared" si="13"/>
        <v>2.5</v>
      </c>
      <c r="P11" s="82">
        <f t="shared" si="13"/>
        <v>2.5</v>
      </c>
      <c r="Q11" s="82">
        <f t="shared" si="13"/>
        <v>2.5</v>
      </c>
      <c r="R11" s="82">
        <f t="shared" si="13"/>
        <v>2.5</v>
      </c>
      <c r="S11" s="82">
        <f t="shared" si="13"/>
        <v>2.5</v>
      </c>
      <c r="T11" s="82">
        <f t="shared" si="13"/>
        <v>2.5</v>
      </c>
      <c r="U11" s="82">
        <f t="shared" si="13"/>
        <v>2.5</v>
      </c>
      <c r="V11" s="82">
        <f t="shared" si="13"/>
        <v>2.5</v>
      </c>
      <c r="W11" s="82">
        <f t="shared" si="13"/>
        <v>2.5</v>
      </c>
      <c r="X11" s="82">
        <f t="shared" si="13"/>
        <v>4.5</v>
      </c>
      <c r="Y11" s="82">
        <f t="shared" si="13"/>
        <v>2.5</v>
      </c>
      <c r="Z11" s="82">
        <f t="shared" si="13"/>
        <v>2.5</v>
      </c>
      <c r="AA11" s="101">
        <f t="shared" si="19"/>
        <v>42</v>
      </c>
      <c r="AB11" s="100">
        <f t="shared" si="14"/>
        <v>0</v>
      </c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3">
        <f>+M11+N11-AB11</f>
        <v>42</v>
      </c>
      <c r="AP11" s="78"/>
      <c r="AQ11" s="104">
        <v>4000.0000000000009</v>
      </c>
      <c r="AR11" s="100">
        <f t="shared" si="20"/>
        <v>1600</v>
      </c>
      <c r="AS11" s="105">
        <f t="shared" si="16"/>
        <v>125</v>
      </c>
      <c r="AT11" s="105">
        <f t="shared" si="16"/>
        <v>125</v>
      </c>
      <c r="AU11" s="105">
        <f t="shared" si="16"/>
        <v>125</v>
      </c>
      <c r="AV11" s="82">
        <f t="shared" si="16"/>
        <v>125</v>
      </c>
      <c r="AW11" s="105">
        <f t="shared" si="16"/>
        <v>125</v>
      </c>
      <c r="AX11" s="82">
        <f t="shared" si="16"/>
        <v>125</v>
      </c>
      <c r="AY11" s="82">
        <f t="shared" si="16"/>
        <v>125</v>
      </c>
      <c r="AZ11" s="82">
        <f t="shared" si="16"/>
        <v>125</v>
      </c>
      <c r="BA11" s="82">
        <f t="shared" si="16"/>
        <v>125</v>
      </c>
      <c r="BB11" s="82">
        <f t="shared" si="16"/>
        <v>225</v>
      </c>
      <c r="BC11" s="82">
        <f t="shared" si="16"/>
        <v>125</v>
      </c>
      <c r="BD11" s="82">
        <f t="shared" si="16"/>
        <v>125</v>
      </c>
      <c r="BE11" s="106">
        <f t="shared" si="17"/>
        <v>0</v>
      </c>
      <c r="BF11" s="82">
        <f t="shared" si="18"/>
        <v>0</v>
      </c>
      <c r="BG11" s="82">
        <f t="shared" si="18"/>
        <v>0</v>
      </c>
      <c r="BH11" s="82">
        <f t="shared" si="18"/>
        <v>0</v>
      </c>
      <c r="BI11" s="82">
        <f t="shared" si="18"/>
        <v>0</v>
      </c>
      <c r="BJ11" s="82">
        <f t="shared" si="18"/>
        <v>0</v>
      </c>
      <c r="BK11" s="82">
        <f t="shared" si="18"/>
        <v>0</v>
      </c>
      <c r="BL11" s="82">
        <f t="shared" si="18"/>
        <v>0</v>
      </c>
      <c r="BM11" s="82">
        <f t="shared" si="18"/>
        <v>0</v>
      </c>
      <c r="BN11" s="82">
        <f t="shared" si="18"/>
        <v>0</v>
      </c>
      <c r="BO11" s="82">
        <f t="shared" si="18"/>
        <v>0</v>
      </c>
      <c r="BP11" s="82">
        <f t="shared" si="18"/>
        <v>0</v>
      </c>
      <c r="BQ11" s="82">
        <f t="shared" si="18"/>
        <v>0</v>
      </c>
      <c r="BR11" s="107">
        <f t="shared" si="21"/>
        <v>5600.0000000000009</v>
      </c>
      <c r="BS11" s="117"/>
      <c r="BT11" s="109">
        <v>1700</v>
      </c>
      <c r="BU11" s="109">
        <v>3939.9966666666669</v>
      </c>
      <c r="BV11" s="82">
        <f t="shared" si="23"/>
        <v>141.66666666666666</v>
      </c>
      <c r="BW11" s="82">
        <f t="shared" si="22"/>
        <v>141.66666666666666</v>
      </c>
      <c r="BX11" s="82">
        <f t="shared" si="22"/>
        <v>141.66666666666666</v>
      </c>
      <c r="BY11" s="82">
        <f t="shared" si="22"/>
        <v>141.66666666666666</v>
      </c>
      <c r="BZ11" s="82">
        <f t="shared" si="22"/>
        <v>141.66666666666666</v>
      </c>
      <c r="CA11" s="82">
        <f t="shared" si="22"/>
        <v>141.66666666666666</v>
      </c>
      <c r="CB11" s="82">
        <f t="shared" si="22"/>
        <v>141.66666666666666</v>
      </c>
      <c r="CC11" s="82">
        <f t="shared" si="22"/>
        <v>141.66666666666666</v>
      </c>
      <c r="CD11" s="82">
        <f t="shared" si="22"/>
        <v>141.66666666666666</v>
      </c>
      <c r="CE11" s="82">
        <f t="shared" si="22"/>
        <v>141.66666666666666</v>
      </c>
      <c r="CF11" s="82">
        <f t="shared" si="22"/>
        <v>141.66666666666666</v>
      </c>
      <c r="CG11" s="82">
        <f t="shared" si="22"/>
        <v>141.66666666666666</v>
      </c>
      <c r="CH11" s="111">
        <f t="shared" si="24"/>
        <v>5639.9966666666669</v>
      </c>
    </row>
    <row r="12" spans="1:86" s="112" customFormat="1" ht="21" customHeight="1">
      <c r="A12" s="90" t="s">
        <v>198</v>
      </c>
      <c r="B12" s="112" t="s">
        <v>49</v>
      </c>
      <c r="C12" s="112" t="s">
        <v>50</v>
      </c>
      <c r="D12" s="113">
        <v>290</v>
      </c>
      <c r="E12" s="114">
        <f>+VLOOKUP(A12,'PROV.13E MOIS ET BONUS'!$C:$I,7,0)</f>
        <v>1400</v>
      </c>
      <c r="F12" s="94">
        <v>43282</v>
      </c>
      <c r="G12" s="115"/>
      <c r="H12" s="96">
        <f t="shared" si="9"/>
        <v>45292</v>
      </c>
      <c r="I12" s="97" t="s">
        <v>42</v>
      </c>
      <c r="J12" s="116" t="s">
        <v>42</v>
      </c>
      <c r="K12" s="82">
        <f t="shared" si="10"/>
        <v>6.416666666666667</v>
      </c>
      <c r="L12" s="118">
        <f t="shared" si="11"/>
        <v>0</v>
      </c>
      <c r="M12" s="99">
        <v>77</v>
      </c>
      <c r="N12" s="100">
        <f t="shared" si="12"/>
        <v>31</v>
      </c>
      <c r="O12" s="82">
        <f t="shared" si="13"/>
        <v>2.5</v>
      </c>
      <c r="P12" s="82">
        <f t="shared" si="13"/>
        <v>2.5</v>
      </c>
      <c r="Q12" s="82">
        <f t="shared" si="13"/>
        <v>2.5</v>
      </c>
      <c r="R12" s="82">
        <f t="shared" si="13"/>
        <v>2.5</v>
      </c>
      <c r="S12" s="82">
        <f t="shared" si="13"/>
        <v>2.5</v>
      </c>
      <c r="T12" s="82">
        <f t="shared" si="13"/>
        <v>2.5</v>
      </c>
      <c r="U12" s="82">
        <f t="shared" si="13"/>
        <v>3.5</v>
      </c>
      <c r="V12" s="82">
        <f t="shared" si="13"/>
        <v>2.5</v>
      </c>
      <c r="W12" s="82">
        <f t="shared" si="13"/>
        <v>2.5</v>
      </c>
      <c r="X12" s="82">
        <f t="shared" si="13"/>
        <v>2.5</v>
      </c>
      <c r="Y12" s="82">
        <f t="shared" si="13"/>
        <v>2.5</v>
      </c>
      <c r="Z12" s="82">
        <f t="shared" si="13"/>
        <v>2.5</v>
      </c>
      <c r="AA12" s="101">
        <f t="shared" si="19"/>
        <v>108</v>
      </c>
      <c r="AB12" s="100">
        <f t="shared" si="14"/>
        <v>0</v>
      </c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3">
        <f t="shared" si="15"/>
        <v>108</v>
      </c>
      <c r="AP12" s="78"/>
      <c r="AQ12" s="104">
        <v>17884.615384615383</v>
      </c>
      <c r="AR12" s="119">
        <f t="shared" si="20"/>
        <v>1669.2307692307688</v>
      </c>
      <c r="AS12" s="105">
        <f t="shared" si="16"/>
        <v>134.61538461538461</v>
      </c>
      <c r="AT12" s="105">
        <f t="shared" si="16"/>
        <v>134.61538461538461</v>
      </c>
      <c r="AU12" s="105">
        <f t="shared" si="16"/>
        <v>134.61538461538461</v>
      </c>
      <c r="AV12" s="82">
        <f t="shared" si="16"/>
        <v>134.61538461538461</v>
      </c>
      <c r="AW12" s="105">
        <f t="shared" si="16"/>
        <v>134.61538461538461</v>
      </c>
      <c r="AX12" s="82">
        <f t="shared" si="16"/>
        <v>134.61538461538461</v>
      </c>
      <c r="AY12" s="82">
        <f t="shared" si="16"/>
        <v>188.46153846153845</v>
      </c>
      <c r="AZ12" s="82">
        <f t="shared" si="16"/>
        <v>134.61538461538461</v>
      </c>
      <c r="BA12" s="82">
        <f t="shared" si="16"/>
        <v>134.61538461538461</v>
      </c>
      <c r="BB12" s="82">
        <f t="shared" si="16"/>
        <v>134.61538461538461</v>
      </c>
      <c r="BC12" s="82">
        <f t="shared" si="16"/>
        <v>134.61538461538461</v>
      </c>
      <c r="BD12" s="82">
        <f t="shared" si="16"/>
        <v>134.61538461538461</v>
      </c>
      <c r="BE12" s="106">
        <f t="shared" ref="BE12:BE22" si="25">SUM(BF12:BQ12)</f>
        <v>0</v>
      </c>
      <c r="BF12" s="82">
        <f t="shared" si="18"/>
        <v>0</v>
      </c>
      <c r="BG12" s="82">
        <f t="shared" si="18"/>
        <v>0</v>
      </c>
      <c r="BH12" s="82">
        <f t="shared" si="18"/>
        <v>0</v>
      </c>
      <c r="BI12" s="82">
        <f t="shared" si="18"/>
        <v>0</v>
      </c>
      <c r="BJ12" s="82">
        <f t="shared" si="18"/>
        <v>0</v>
      </c>
      <c r="BK12" s="82">
        <f t="shared" si="18"/>
        <v>0</v>
      </c>
      <c r="BL12" s="82">
        <f t="shared" si="18"/>
        <v>0</v>
      </c>
      <c r="BM12" s="82">
        <f t="shared" si="18"/>
        <v>0</v>
      </c>
      <c r="BN12" s="82">
        <f t="shared" si="18"/>
        <v>0</v>
      </c>
      <c r="BO12" s="82">
        <f t="shared" si="18"/>
        <v>0</v>
      </c>
      <c r="BP12" s="82">
        <f t="shared" si="18"/>
        <v>0</v>
      </c>
      <c r="BQ12" s="82">
        <f t="shared" si="18"/>
        <v>0</v>
      </c>
      <c r="BR12" s="107">
        <f t="shared" si="21"/>
        <v>19553.846153846152</v>
      </c>
      <c r="BS12" s="117"/>
      <c r="BT12" s="109">
        <v>1700</v>
      </c>
      <c r="BU12" s="109">
        <v>6600</v>
      </c>
      <c r="BV12" s="82">
        <f t="shared" si="23"/>
        <v>141.66666666666666</v>
      </c>
      <c r="BW12" s="82">
        <f t="shared" si="22"/>
        <v>141.66666666666666</v>
      </c>
      <c r="BX12" s="82">
        <f t="shared" si="22"/>
        <v>141.66666666666666</v>
      </c>
      <c r="BY12" s="82">
        <f t="shared" si="22"/>
        <v>141.66666666666666</v>
      </c>
      <c r="BZ12" s="82">
        <f t="shared" si="22"/>
        <v>141.66666666666666</v>
      </c>
      <c r="CA12" s="82">
        <f t="shared" si="22"/>
        <v>141.66666666666666</v>
      </c>
      <c r="CB12" s="82">
        <f t="shared" si="22"/>
        <v>141.66666666666666</v>
      </c>
      <c r="CC12" s="82">
        <f t="shared" si="22"/>
        <v>141.66666666666666</v>
      </c>
      <c r="CD12" s="82">
        <f t="shared" si="22"/>
        <v>141.66666666666666</v>
      </c>
      <c r="CE12" s="82">
        <f t="shared" si="22"/>
        <v>141.66666666666666</v>
      </c>
      <c r="CF12" s="82">
        <f t="shared" si="22"/>
        <v>141.66666666666666</v>
      </c>
      <c r="CG12" s="82">
        <f t="shared" si="22"/>
        <v>141.66666666666666</v>
      </c>
      <c r="CH12" s="111">
        <f t="shared" si="24"/>
        <v>8300</v>
      </c>
    </row>
    <row r="13" spans="1:86" s="112" customFormat="1" ht="21" customHeight="1">
      <c r="A13" s="90" t="s">
        <v>199</v>
      </c>
      <c r="B13" s="112" t="s">
        <v>51</v>
      </c>
      <c r="C13" s="112" t="s">
        <v>52</v>
      </c>
      <c r="D13" s="120">
        <v>610</v>
      </c>
      <c r="E13" s="114">
        <f>+VLOOKUP(A13,'PROV.13E MOIS ET BONUS'!$C:$I,7,0)</f>
        <v>1500</v>
      </c>
      <c r="F13" s="121">
        <v>43736</v>
      </c>
      <c r="G13" s="115"/>
      <c r="H13" s="96">
        <f t="shared" si="9"/>
        <v>45292</v>
      </c>
      <c r="I13" s="97"/>
      <c r="J13" s="116"/>
      <c r="K13" s="82">
        <f t="shared" si="10"/>
        <v>5.25</v>
      </c>
      <c r="L13" s="118">
        <f t="shared" si="11"/>
        <v>1</v>
      </c>
      <c r="M13" s="99">
        <v>93.5</v>
      </c>
      <c r="N13" s="100">
        <f t="shared" si="12"/>
        <v>31</v>
      </c>
      <c r="O13" s="82">
        <f t="shared" si="13"/>
        <v>2.5</v>
      </c>
      <c r="P13" s="82">
        <f t="shared" si="13"/>
        <v>2.5</v>
      </c>
      <c r="Q13" s="82">
        <f t="shared" si="13"/>
        <v>2.5</v>
      </c>
      <c r="R13" s="82">
        <f t="shared" si="13"/>
        <v>2.5</v>
      </c>
      <c r="S13" s="82">
        <f t="shared" si="13"/>
        <v>2.5</v>
      </c>
      <c r="T13" s="82">
        <f t="shared" si="13"/>
        <v>2.5</v>
      </c>
      <c r="U13" s="82">
        <f t="shared" si="13"/>
        <v>2.5</v>
      </c>
      <c r="V13" s="82">
        <f t="shared" si="13"/>
        <v>2.5</v>
      </c>
      <c r="W13" s="82">
        <f t="shared" si="13"/>
        <v>3.5</v>
      </c>
      <c r="X13" s="82">
        <f t="shared" si="13"/>
        <v>2.5</v>
      </c>
      <c r="Y13" s="82">
        <f t="shared" si="13"/>
        <v>2.5</v>
      </c>
      <c r="Z13" s="82">
        <f t="shared" si="13"/>
        <v>2.5</v>
      </c>
      <c r="AA13" s="101">
        <f t="shared" si="19"/>
        <v>124.5</v>
      </c>
      <c r="AB13" s="100">
        <f t="shared" si="14"/>
        <v>12</v>
      </c>
      <c r="AC13" s="102">
        <v>12</v>
      </c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3">
        <f t="shared" si="15"/>
        <v>112.5</v>
      </c>
      <c r="AP13" s="78"/>
      <c r="AQ13" s="104">
        <v>36396.153846153851</v>
      </c>
      <c r="AR13" s="119">
        <f t="shared" ref="AR13:AR14" si="26">SUM(AS13:BD13)</f>
        <v>1788.4615384615388</v>
      </c>
      <c r="AS13" s="105">
        <f t="shared" si="16"/>
        <v>144.23076923076923</v>
      </c>
      <c r="AT13" s="105">
        <f t="shared" si="16"/>
        <v>144.23076923076923</v>
      </c>
      <c r="AU13" s="105">
        <f t="shared" si="16"/>
        <v>144.23076923076923</v>
      </c>
      <c r="AV13" s="82">
        <f t="shared" si="16"/>
        <v>144.23076923076923</v>
      </c>
      <c r="AW13" s="105">
        <f t="shared" si="16"/>
        <v>144.23076923076923</v>
      </c>
      <c r="AX13" s="82">
        <f t="shared" si="16"/>
        <v>144.23076923076923</v>
      </c>
      <c r="AY13" s="82">
        <f t="shared" si="16"/>
        <v>144.23076923076923</v>
      </c>
      <c r="AZ13" s="82">
        <f t="shared" si="16"/>
        <v>144.23076923076923</v>
      </c>
      <c r="BA13" s="82">
        <f t="shared" si="16"/>
        <v>201.92307692307693</v>
      </c>
      <c r="BB13" s="82">
        <f t="shared" si="16"/>
        <v>144.23076923076923</v>
      </c>
      <c r="BC13" s="82">
        <f t="shared" si="16"/>
        <v>144.23076923076923</v>
      </c>
      <c r="BD13" s="82">
        <f t="shared" si="16"/>
        <v>144.23076923076923</v>
      </c>
      <c r="BE13" s="106">
        <f t="shared" si="25"/>
        <v>-692.30769230769238</v>
      </c>
      <c r="BF13" s="82">
        <f t="shared" si="18"/>
        <v>-692.30769230769238</v>
      </c>
      <c r="BG13" s="82">
        <f t="shared" si="18"/>
        <v>0</v>
      </c>
      <c r="BH13" s="82">
        <f t="shared" si="18"/>
        <v>0</v>
      </c>
      <c r="BI13" s="82">
        <f t="shared" si="18"/>
        <v>0</v>
      </c>
      <c r="BJ13" s="82">
        <f t="shared" si="18"/>
        <v>0</v>
      </c>
      <c r="BK13" s="82">
        <f t="shared" si="18"/>
        <v>0</v>
      </c>
      <c r="BL13" s="82">
        <f t="shared" si="18"/>
        <v>0</v>
      </c>
      <c r="BM13" s="82">
        <f t="shared" si="18"/>
        <v>0</v>
      </c>
      <c r="BN13" s="82">
        <f t="shared" si="18"/>
        <v>0</v>
      </c>
      <c r="BO13" s="82">
        <f t="shared" si="18"/>
        <v>0</v>
      </c>
      <c r="BP13" s="82">
        <f t="shared" si="18"/>
        <v>0</v>
      </c>
      <c r="BQ13" s="82">
        <f t="shared" si="18"/>
        <v>0</v>
      </c>
      <c r="BR13" s="107">
        <f t="shared" si="21"/>
        <v>37492.307692307695</v>
      </c>
      <c r="BS13" s="117"/>
      <c r="BT13" s="109">
        <v>5000</v>
      </c>
      <c r="BU13" s="109">
        <v>7800</v>
      </c>
      <c r="BV13" s="82">
        <f t="shared" si="23"/>
        <v>416.66666666666669</v>
      </c>
      <c r="BW13" s="82">
        <f t="shared" si="22"/>
        <v>416.66666666666663</v>
      </c>
      <c r="BX13" s="82">
        <f t="shared" si="22"/>
        <v>416.66666666666663</v>
      </c>
      <c r="BY13" s="82">
        <f t="shared" si="22"/>
        <v>416.66666666666663</v>
      </c>
      <c r="BZ13" s="82">
        <f t="shared" si="22"/>
        <v>416.66666666666663</v>
      </c>
      <c r="CA13" s="82">
        <f t="shared" si="22"/>
        <v>416.66666666666663</v>
      </c>
      <c r="CB13" s="82">
        <f t="shared" si="22"/>
        <v>416.66666666666663</v>
      </c>
      <c r="CC13" s="82">
        <f t="shared" si="22"/>
        <v>416.66666666666663</v>
      </c>
      <c r="CD13" s="82">
        <f t="shared" si="22"/>
        <v>416.66666666666663</v>
      </c>
      <c r="CE13" s="82">
        <f t="shared" si="22"/>
        <v>416.66666666666663</v>
      </c>
      <c r="CF13" s="82">
        <f t="shared" si="22"/>
        <v>416.66666666666663</v>
      </c>
      <c r="CG13" s="82">
        <f t="shared" si="22"/>
        <v>416.66666666666663</v>
      </c>
      <c r="CH13" s="111">
        <f t="shared" si="24"/>
        <v>12800</v>
      </c>
    </row>
    <row r="14" spans="1:86" s="112" customFormat="1" ht="21" customHeight="1">
      <c r="A14" s="90" t="s">
        <v>200</v>
      </c>
      <c r="B14" s="112" t="s">
        <v>53</v>
      </c>
      <c r="C14" s="112" t="s">
        <v>54</v>
      </c>
      <c r="D14" s="113">
        <v>710</v>
      </c>
      <c r="E14" s="114">
        <f>+VLOOKUP(A14,'PROV.13E MOIS ET BONUS'!$C:$I,7,0)</f>
        <v>1600</v>
      </c>
      <c r="F14" s="94">
        <v>43785</v>
      </c>
      <c r="G14" s="115" t="s">
        <v>42</v>
      </c>
      <c r="H14" s="96">
        <f t="shared" si="9"/>
        <v>45292</v>
      </c>
      <c r="I14" s="97"/>
      <c r="J14" s="116"/>
      <c r="K14" s="82">
        <f t="shared" si="10"/>
        <v>5.083333333333333</v>
      </c>
      <c r="L14" s="118">
        <f t="shared" si="11"/>
        <v>1</v>
      </c>
      <c r="M14" s="99">
        <v>-0.5</v>
      </c>
      <c r="N14" s="100">
        <f t="shared" si="12"/>
        <v>31</v>
      </c>
      <c r="O14" s="82">
        <f t="shared" si="13"/>
        <v>2.5</v>
      </c>
      <c r="P14" s="82">
        <f t="shared" si="13"/>
        <v>2.5</v>
      </c>
      <c r="Q14" s="82">
        <f t="shared" si="13"/>
        <v>2.5</v>
      </c>
      <c r="R14" s="82">
        <f t="shared" si="13"/>
        <v>2.5</v>
      </c>
      <c r="S14" s="82">
        <f t="shared" si="13"/>
        <v>2.5</v>
      </c>
      <c r="T14" s="82">
        <f t="shared" si="13"/>
        <v>2.5</v>
      </c>
      <c r="U14" s="82">
        <f t="shared" si="13"/>
        <v>2.5</v>
      </c>
      <c r="V14" s="82">
        <f t="shared" si="13"/>
        <v>2.5</v>
      </c>
      <c r="W14" s="82">
        <f t="shared" si="13"/>
        <v>2.5</v>
      </c>
      <c r="X14" s="82">
        <f t="shared" si="13"/>
        <v>2.5</v>
      </c>
      <c r="Y14" s="82">
        <f t="shared" si="13"/>
        <v>3.5</v>
      </c>
      <c r="Z14" s="82">
        <f t="shared" si="13"/>
        <v>2.5</v>
      </c>
      <c r="AA14" s="101">
        <f t="shared" si="19"/>
        <v>30.5</v>
      </c>
      <c r="AB14" s="100">
        <f t="shared" si="14"/>
        <v>1</v>
      </c>
      <c r="AC14" s="102"/>
      <c r="AD14" s="102">
        <v>1</v>
      </c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3">
        <f t="shared" si="15"/>
        <v>29.5</v>
      </c>
      <c r="AP14" s="78"/>
      <c r="AQ14" s="104">
        <v>5855.7692307692305</v>
      </c>
      <c r="AR14" s="119">
        <f t="shared" si="26"/>
        <v>1907.6923076923076</v>
      </c>
      <c r="AS14" s="105">
        <f t="shared" si="16"/>
        <v>153.84615384615384</v>
      </c>
      <c r="AT14" s="105">
        <f t="shared" si="16"/>
        <v>153.84615384615384</v>
      </c>
      <c r="AU14" s="105">
        <f t="shared" si="16"/>
        <v>153.84615384615384</v>
      </c>
      <c r="AV14" s="82">
        <f t="shared" si="16"/>
        <v>153.84615384615384</v>
      </c>
      <c r="AW14" s="105">
        <f t="shared" si="16"/>
        <v>153.84615384615384</v>
      </c>
      <c r="AX14" s="82">
        <f t="shared" si="16"/>
        <v>153.84615384615384</v>
      </c>
      <c r="AY14" s="82">
        <f t="shared" si="16"/>
        <v>153.84615384615384</v>
      </c>
      <c r="AZ14" s="82">
        <f t="shared" si="16"/>
        <v>153.84615384615384</v>
      </c>
      <c r="BA14" s="82">
        <f t="shared" si="16"/>
        <v>153.84615384615384</v>
      </c>
      <c r="BB14" s="82">
        <f t="shared" si="16"/>
        <v>153.84615384615384</v>
      </c>
      <c r="BC14" s="82">
        <f t="shared" si="16"/>
        <v>215.38461538461539</v>
      </c>
      <c r="BD14" s="82">
        <f t="shared" si="16"/>
        <v>153.84615384615384</v>
      </c>
      <c r="BE14" s="106">
        <f t="shared" si="25"/>
        <v>-61.53846153846154</v>
      </c>
      <c r="BF14" s="82">
        <f t="shared" si="18"/>
        <v>0</v>
      </c>
      <c r="BG14" s="82">
        <f t="shared" si="18"/>
        <v>-61.53846153846154</v>
      </c>
      <c r="BH14" s="82">
        <f t="shared" si="18"/>
        <v>0</v>
      </c>
      <c r="BI14" s="82">
        <f t="shared" si="18"/>
        <v>0</v>
      </c>
      <c r="BJ14" s="82">
        <f t="shared" si="18"/>
        <v>0</v>
      </c>
      <c r="BK14" s="82">
        <f t="shared" si="18"/>
        <v>0</v>
      </c>
      <c r="BL14" s="82">
        <f t="shared" si="18"/>
        <v>0</v>
      </c>
      <c r="BM14" s="82">
        <f t="shared" si="18"/>
        <v>0</v>
      </c>
      <c r="BN14" s="82">
        <f t="shared" si="18"/>
        <v>0</v>
      </c>
      <c r="BO14" s="82">
        <f t="shared" si="18"/>
        <v>0</v>
      </c>
      <c r="BP14" s="82">
        <f t="shared" si="18"/>
        <v>0</v>
      </c>
      <c r="BQ14" s="82">
        <f t="shared" si="18"/>
        <v>0</v>
      </c>
      <c r="BR14" s="107">
        <f t="shared" si="21"/>
        <v>7701.9230769230762</v>
      </c>
      <c r="BS14" s="117"/>
      <c r="BT14" s="109">
        <v>1700</v>
      </c>
      <c r="BU14" s="109">
        <v>3960</v>
      </c>
      <c r="BV14" s="82">
        <f t="shared" si="23"/>
        <v>141.66666666666666</v>
      </c>
      <c r="BW14" s="82">
        <f t="shared" si="22"/>
        <v>141.66666666666666</v>
      </c>
      <c r="BX14" s="82">
        <f t="shared" si="22"/>
        <v>141.66666666666666</v>
      </c>
      <c r="BY14" s="82">
        <f t="shared" si="22"/>
        <v>141.66666666666666</v>
      </c>
      <c r="BZ14" s="82">
        <f t="shared" si="22"/>
        <v>141.66666666666666</v>
      </c>
      <c r="CA14" s="82">
        <f t="shared" si="22"/>
        <v>141.66666666666666</v>
      </c>
      <c r="CB14" s="82">
        <f t="shared" si="22"/>
        <v>141.66666666666666</v>
      </c>
      <c r="CC14" s="82">
        <f t="shared" si="22"/>
        <v>141.66666666666666</v>
      </c>
      <c r="CD14" s="82">
        <f t="shared" si="22"/>
        <v>141.66666666666666</v>
      </c>
      <c r="CE14" s="82">
        <f t="shared" si="22"/>
        <v>141.66666666666666</v>
      </c>
      <c r="CF14" s="82">
        <f t="shared" si="22"/>
        <v>141.66666666666666</v>
      </c>
      <c r="CG14" s="82">
        <f t="shared" si="22"/>
        <v>141.66666666666666</v>
      </c>
      <c r="CH14" s="111">
        <f t="shared" si="24"/>
        <v>5660</v>
      </c>
    </row>
    <row r="15" spans="1:86" s="112" customFormat="1" ht="21" customHeight="1">
      <c r="A15" s="90" t="s">
        <v>201</v>
      </c>
      <c r="B15" s="112" t="s">
        <v>55</v>
      </c>
      <c r="C15" s="112" t="s">
        <v>56</v>
      </c>
      <c r="D15" s="113">
        <v>290</v>
      </c>
      <c r="E15" s="114">
        <f>+VLOOKUP(A15,'PROV.13E MOIS ET BONUS'!$C:$I,7,0)</f>
        <v>1700</v>
      </c>
      <c r="F15" s="94">
        <v>44169</v>
      </c>
      <c r="G15" s="115"/>
      <c r="H15" s="96">
        <f t="shared" si="9"/>
        <v>45292</v>
      </c>
      <c r="I15" s="97"/>
      <c r="J15" s="116"/>
      <c r="K15" s="82">
        <f t="shared" si="10"/>
        <v>4</v>
      </c>
      <c r="L15" s="118">
        <f t="shared" si="11"/>
        <v>0</v>
      </c>
      <c r="M15" s="99">
        <v>-10.299999999999997</v>
      </c>
      <c r="N15" s="100">
        <f t="shared" si="12"/>
        <v>30</v>
      </c>
      <c r="O15" s="82">
        <f t="shared" si="13"/>
        <v>2.5</v>
      </c>
      <c r="P15" s="82">
        <f t="shared" si="13"/>
        <v>2.5</v>
      </c>
      <c r="Q15" s="82">
        <f t="shared" si="13"/>
        <v>2.5</v>
      </c>
      <c r="R15" s="82">
        <f t="shared" si="13"/>
        <v>2.5</v>
      </c>
      <c r="S15" s="82">
        <f t="shared" si="13"/>
        <v>2.5</v>
      </c>
      <c r="T15" s="82">
        <f t="shared" si="13"/>
        <v>2.5</v>
      </c>
      <c r="U15" s="82">
        <f t="shared" si="13"/>
        <v>2.5</v>
      </c>
      <c r="V15" s="82">
        <f t="shared" si="13"/>
        <v>2.5</v>
      </c>
      <c r="W15" s="82">
        <f t="shared" si="13"/>
        <v>2.5</v>
      </c>
      <c r="X15" s="82">
        <f t="shared" si="13"/>
        <v>2.5</v>
      </c>
      <c r="Y15" s="82">
        <f t="shared" si="13"/>
        <v>2.5</v>
      </c>
      <c r="Z15" s="82">
        <f t="shared" si="13"/>
        <v>2.5</v>
      </c>
      <c r="AA15" s="101">
        <f t="shared" si="19"/>
        <v>19.700000000000003</v>
      </c>
      <c r="AB15" s="100">
        <f t="shared" si="14"/>
        <v>5</v>
      </c>
      <c r="AC15" s="102">
        <v>5</v>
      </c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3">
        <f t="shared" si="15"/>
        <v>14.700000000000003</v>
      </c>
      <c r="AP15" s="78"/>
      <c r="AQ15" s="104">
        <v>4362.3076923076924</v>
      </c>
      <c r="AR15" s="119">
        <f t="shared" ref="AR15" si="27">SUM(AS15:BD15)</f>
        <v>1961.5384615384619</v>
      </c>
      <c r="AS15" s="105">
        <f t="shared" si="16"/>
        <v>163.46153846153845</v>
      </c>
      <c r="AT15" s="105">
        <f t="shared" si="16"/>
        <v>163.46153846153845</v>
      </c>
      <c r="AU15" s="105">
        <f t="shared" si="16"/>
        <v>163.46153846153845</v>
      </c>
      <c r="AV15" s="82">
        <f t="shared" si="16"/>
        <v>163.46153846153845</v>
      </c>
      <c r="AW15" s="105">
        <f t="shared" si="16"/>
        <v>163.46153846153845</v>
      </c>
      <c r="AX15" s="82">
        <f t="shared" si="16"/>
        <v>163.46153846153845</v>
      </c>
      <c r="AY15" s="82">
        <f t="shared" si="16"/>
        <v>163.46153846153845</v>
      </c>
      <c r="AZ15" s="82">
        <f t="shared" si="16"/>
        <v>163.46153846153845</v>
      </c>
      <c r="BA15" s="82">
        <f t="shared" si="16"/>
        <v>163.46153846153845</v>
      </c>
      <c r="BB15" s="82">
        <f t="shared" si="16"/>
        <v>163.46153846153845</v>
      </c>
      <c r="BC15" s="82">
        <f t="shared" si="16"/>
        <v>163.46153846153845</v>
      </c>
      <c r="BD15" s="82">
        <f t="shared" si="16"/>
        <v>163.46153846153845</v>
      </c>
      <c r="BE15" s="106">
        <f>SUM(BF15:BQ15)</f>
        <v>-326.92307692307691</v>
      </c>
      <c r="BF15" s="82">
        <f t="shared" si="18"/>
        <v>-326.92307692307691</v>
      </c>
      <c r="BG15" s="82">
        <f t="shared" si="18"/>
        <v>0</v>
      </c>
      <c r="BH15" s="82">
        <f t="shared" si="18"/>
        <v>0</v>
      </c>
      <c r="BI15" s="82">
        <f t="shared" si="18"/>
        <v>0</v>
      </c>
      <c r="BJ15" s="82">
        <f t="shared" si="18"/>
        <v>0</v>
      </c>
      <c r="BK15" s="82">
        <f t="shared" si="18"/>
        <v>0</v>
      </c>
      <c r="BL15" s="82">
        <f t="shared" si="18"/>
        <v>0</v>
      </c>
      <c r="BM15" s="82">
        <f t="shared" si="18"/>
        <v>0</v>
      </c>
      <c r="BN15" s="82">
        <f t="shared" si="18"/>
        <v>0</v>
      </c>
      <c r="BO15" s="82">
        <f t="shared" si="18"/>
        <v>0</v>
      </c>
      <c r="BP15" s="82">
        <f t="shared" si="18"/>
        <v>0</v>
      </c>
      <c r="BQ15" s="82">
        <f t="shared" si="18"/>
        <v>0</v>
      </c>
      <c r="BR15" s="107">
        <f t="shared" si="21"/>
        <v>5996.9230769230771</v>
      </c>
      <c r="BS15" s="117"/>
      <c r="BT15" s="109">
        <v>1500</v>
      </c>
      <c r="BU15" s="109">
        <v>3000</v>
      </c>
      <c r="BV15" s="82">
        <f t="shared" si="23"/>
        <v>125</v>
      </c>
      <c r="BW15" s="82">
        <f t="shared" si="22"/>
        <v>125</v>
      </c>
      <c r="BX15" s="82">
        <f t="shared" si="22"/>
        <v>125</v>
      </c>
      <c r="BY15" s="82">
        <f t="shared" si="22"/>
        <v>125</v>
      </c>
      <c r="BZ15" s="82">
        <f t="shared" si="22"/>
        <v>125</v>
      </c>
      <c r="CA15" s="82">
        <f t="shared" si="22"/>
        <v>125</v>
      </c>
      <c r="CB15" s="82">
        <f t="shared" si="22"/>
        <v>125</v>
      </c>
      <c r="CC15" s="82">
        <f t="shared" si="22"/>
        <v>125</v>
      </c>
      <c r="CD15" s="82">
        <f t="shared" si="22"/>
        <v>125</v>
      </c>
      <c r="CE15" s="82">
        <f t="shared" si="22"/>
        <v>125</v>
      </c>
      <c r="CF15" s="82">
        <f t="shared" si="22"/>
        <v>125</v>
      </c>
      <c r="CG15" s="82">
        <f t="shared" si="22"/>
        <v>125</v>
      </c>
      <c r="CH15" s="111">
        <f t="shared" si="24"/>
        <v>4500</v>
      </c>
    </row>
    <row r="16" spans="1:86" s="112" customFormat="1" ht="21" customHeight="1">
      <c r="A16" s="90" t="s">
        <v>202</v>
      </c>
      <c r="B16" s="112" t="s">
        <v>58</v>
      </c>
      <c r="C16" s="112" t="s">
        <v>59</v>
      </c>
      <c r="D16" s="113">
        <v>810</v>
      </c>
      <c r="E16" s="114">
        <f>+VLOOKUP(A16,'PROV.13E MOIS ET BONUS'!$C:$I,7,0)</f>
        <v>1800</v>
      </c>
      <c r="F16" s="94">
        <v>41183</v>
      </c>
      <c r="G16" s="115" t="s">
        <v>42</v>
      </c>
      <c r="H16" s="96">
        <f t="shared" si="9"/>
        <v>45292</v>
      </c>
      <c r="I16" s="97"/>
      <c r="J16" s="116"/>
      <c r="K16" s="82">
        <f t="shared" si="10"/>
        <v>12.166666666666666</v>
      </c>
      <c r="L16" s="118">
        <f t="shared" si="11"/>
        <v>0</v>
      </c>
      <c r="M16" s="99">
        <v>-16</v>
      </c>
      <c r="N16" s="100">
        <f t="shared" si="12"/>
        <v>32</v>
      </c>
      <c r="O16" s="82">
        <f t="shared" si="13"/>
        <v>2.5</v>
      </c>
      <c r="P16" s="82">
        <f t="shared" si="13"/>
        <v>2.5</v>
      </c>
      <c r="Q16" s="82">
        <f t="shared" si="13"/>
        <v>2.5</v>
      </c>
      <c r="R16" s="82">
        <f t="shared" si="13"/>
        <v>2.5</v>
      </c>
      <c r="S16" s="82">
        <f t="shared" si="13"/>
        <v>2.5</v>
      </c>
      <c r="T16" s="82">
        <f t="shared" si="13"/>
        <v>2.5</v>
      </c>
      <c r="U16" s="82">
        <f t="shared" si="13"/>
        <v>2.5</v>
      </c>
      <c r="V16" s="82">
        <f t="shared" si="13"/>
        <v>2.5</v>
      </c>
      <c r="W16" s="82">
        <f t="shared" si="13"/>
        <v>2.5</v>
      </c>
      <c r="X16" s="82">
        <f t="shared" si="13"/>
        <v>4.5</v>
      </c>
      <c r="Y16" s="82">
        <f t="shared" si="13"/>
        <v>2.5</v>
      </c>
      <c r="Z16" s="82">
        <f t="shared" si="13"/>
        <v>2.5</v>
      </c>
      <c r="AA16" s="101">
        <f t="shared" si="19"/>
        <v>16</v>
      </c>
      <c r="AB16" s="100">
        <f t="shared" ref="AB16:AB18" si="28">SUM(AC16:AN16)</f>
        <v>0</v>
      </c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3">
        <f t="shared" si="15"/>
        <v>16</v>
      </c>
      <c r="AP16" s="78"/>
      <c r="AQ16" s="104">
        <v>8780.7692307692305</v>
      </c>
      <c r="AR16" s="119">
        <f t="shared" si="20"/>
        <v>2215.3846153846152</v>
      </c>
      <c r="AS16" s="105">
        <f t="shared" si="16"/>
        <v>173.07692307692307</v>
      </c>
      <c r="AT16" s="105">
        <f t="shared" si="16"/>
        <v>173.07692307692307</v>
      </c>
      <c r="AU16" s="105">
        <f t="shared" si="16"/>
        <v>173.07692307692307</v>
      </c>
      <c r="AV16" s="82">
        <f t="shared" si="16"/>
        <v>173.07692307692307</v>
      </c>
      <c r="AW16" s="105">
        <f t="shared" si="16"/>
        <v>173.07692307692307</v>
      </c>
      <c r="AX16" s="82">
        <f t="shared" si="16"/>
        <v>173.07692307692307</v>
      </c>
      <c r="AY16" s="82">
        <f t="shared" si="16"/>
        <v>173.07692307692307</v>
      </c>
      <c r="AZ16" s="82">
        <f t="shared" si="16"/>
        <v>173.07692307692307</v>
      </c>
      <c r="BA16" s="82">
        <f t="shared" si="16"/>
        <v>173.07692307692307</v>
      </c>
      <c r="BB16" s="82">
        <f t="shared" si="16"/>
        <v>311.53846153846155</v>
      </c>
      <c r="BC16" s="82">
        <f t="shared" si="16"/>
        <v>173.07692307692307</v>
      </c>
      <c r="BD16" s="82">
        <f t="shared" si="16"/>
        <v>173.07692307692307</v>
      </c>
      <c r="BE16" s="106">
        <f t="shared" si="25"/>
        <v>0</v>
      </c>
      <c r="BF16" s="82">
        <f t="shared" si="18"/>
        <v>0</v>
      </c>
      <c r="BG16" s="82">
        <f t="shared" si="18"/>
        <v>0</v>
      </c>
      <c r="BH16" s="82">
        <f t="shared" si="18"/>
        <v>0</v>
      </c>
      <c r="BI16" s="82">
        <f t="shared" si="18"/>
        <v>0</v>
      </c>
      <c r="BJ16" s="82">
        <f t="shared" si="18"/>
        <v>0</v>
      </c>
      <c r="BK16" s="82">
        <f t="shared" si="18"/>
        <v>0</v>
      </c>
      <c r="BL16" s="82">
        <f t="shared" si="18"/>
        <v>0</v>
      </c>
      <c r="BM16" s="82">
        <f t="shared" si="18"/>
        <v>0</v>
      </c>
      <c r="BN16" s="82">
        <f t="shared" si="18"/>
        <v>0</v>
      </c>
      <c r="BO16" s="82">
        <f t="shared" si="18"/>
        <v>0</v>
      </c>
      <c r="BP16" s="82">
        <f t="shared" si="18"/>
        <v>0</v>
      </c>
      <c r="BQ16" s="82">
        <f t="shared" si="18"/>
        <v>0</v>
      </c>
      <c r="BR16" s="107">
        <f t="shared" si="21"/>
        <v>10996.153846153846</v>
      </c>
      <c r="BS16" s="117"/>
      <c r="BT16" s="109">
        <v>3000</v>
      </c>
      <c r="BU16" s="109">
        <v>9197.0312499999982</v>
      </c>
      <c r="BV16" s="82">
        <f t="shared" si="23"/>
        <v>250</v>
      </c>
      <c r="BW16" s="82">
        <f t="shared" si="22"/>
        <v>250</v>
      </c>
      <c r="BX16" s="82">
        <f t="shared" si="22"/>
        <v>250</v>
      </c>
      <c r="BY16" s="82">
        <f t="shared" si="22"/>
        <v>250</v>
      </c>
      <c r="BZ16" s="82">
        <f t="shared" si="22"/>
        <v>250</v>
      </c>
      <c r="CA16" s="82">
        <f t="shared" si="22"/>
        <v>250</v>
      </c>
      <c r="CB16" s="82">
        <f t="shared" si="22"/>
        <v>250</v>
      </c>
      <c r="CC16" s="82">
        <f t="shared" si="22"/>
        <v>250</v>
      </c>
      <c r="CD16" s="82">
        <f t="shared" si="22"/>
        <v>250</v>
      </c>
      <c r="CE16" s="82">
        <f t="shared" si="22"/>
        <v>250</v>
      </c>
      <c r="CF16" s="82">
        <f t="shared" si="22"/>
        <v>250</v>
      </c>
      <c r="CG16" s="82">
        <f t="shared" si="22"/>
        <v>250</v>
      </c>
      <c r="CH16" s="111">
        <f t="shared" si="24"/>
        <v>12197.031249999998</v>
      </c>
    </row>
    <row r="17" spans="1:86" s="112" customFormat="1" ht="21" customHeight="1">
      <c r="A17" s="90" t="s">
        <v>203</v>
      </c>
      <c r="B17" s="112" t="s">
        <v>61</v>
      </c>
      <c r="C17" s="112" t="s">
        <v>62</v>
      </c>
      <c r="D17" s="122">
        <v>810</v>
      </c>
      <c r="E17" s="114">
        <f>+VLOOKUP(A17,'PROV.13E MOIS ET BONUS'!$C:$I,7,0)</f>
        <v>1900</v>
      </c>
      <c r="F17" s="121">
        <v>41366</v>
      </c>
      <c r="G17" s="115" t="s">
        <v>42</v>
      </c>
      <c r="H17" s="96">
        <f t="shared" si="9"/>
        <v>45292</v>
      </c>
      <c r="I17" s="97"/>
      <c r="J17" s="116"/>
      <c r="K17" s="82">
        <f t="shared" si="10"/>
        <v>11.666666666666666</v>
      </c>
      <c r="L17" s="82">
        <f t="shared" si="11"/>
        <v>0</v>
      </c>
      <c r="M17" s="99">
        <v>35</v>
      </c>
      <c r="N17" s="100">
        <f t="shared" si="12"/>
        <v>32</v>
      </c>
      <c r="O17" s="82">
        <f t="shared" si="13"/>
        <v>2.5</v>
      </c>
      <c r="P17" s="82">
        <f t="shared" si="13"/>
        <v>2.5</v>
      </c>
      <c r="Q17" s="82">
        <f t="shared" si="13"/>
        <v>2.5</v>
      </c>
      <c r="R17" s="82">
        <f t="shared" si="13"/>
        <v>4.5</v>
      </c>
      <c r="S17" s="82">
        <f t="shared" si="13"/>
        <v>2.5</v>
      </c>
      <c r="T17" s="82">
        <f t="shared" si="13"/>
        <v>2.5</v>
      </c>
      <c r="U17" s="82">
        <f t="shared" si="13"/>
        <v>2.5</v>
      </c>
      <c r="V17" s="82">
        <f t="shared" si="13"/>
        <v>2.5</v>
      </c>
      <c r="W17" s="82">
        <f t="shared" si="13"/>
        <v>2.5</v>
      </c>
      <c r="X17" s="82">
        <f t="shared" si="13"/>
        <v>2.5</v>
      </c>
      <c r="Y17" s="82">
        <f t="shared" si="13"/>
        <v>2.5</v>
      </c>
      <c r="Z17" s="82">
        <f t="shared" si="13"/>
        <v>2.5</v>
      </c>
      <c r="AA17" s="101">
        <f t="shared" si="19"/>
        <v>67</v>
      </c>
      <c r="AB17" s="100">
        <f t="shared" si="28"/>
        <v>4</v>
      </c>
      <c r="AC17" s="102">
        <v>4</v>
      </c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3">
        <f t="shared" si="15"/>
        <v>63</v>
      </c>
      <c r="AP17" s="78"/>
      <c r="AQ17" s="104">
        <v>9692.3076923076933</v>
      </c>
      <c r="AR17" s="100">
        <f t="shared" si="20"/>
        <v>2338.4615384615381</v>
      </c>
      <c r="AS17" s="105">
        <f t="shared" si="16"/>
        <v>182.69230769230771</v>
      </c>
      <c r="AT17" s="105">
        <f t="shared" si="16"/>
        <v>182.69230769230771</v>
      </c>
      <c r="AU17" s="105">
        <f t="shared" si="16"/>
        <v>182.69230769230771</v>
      </c>
      <c r="AV17" s="82">
        <f t="shared" si="16"/>
        <v>328.84615384615387</v>
      </c>
      <c r="AW17" s="105">
        <f t="shared" si="16"/>
        <v>182.69230769230771</v>
      </c>
      <c r="AX17" s="82">
        <f t="shared" si="16"/>
        <v>182.69230769230771</v>
      </c>
      <c r="AY17" s="82">
        <f t="shared" si="16"/>
        <v>182.69230769230771</v>
      </c>
      <c r="AZ17" s="82">
        <f t="shared" si="16"/>
        <v>182.69230769230771</v>
      </c>
      <c r="BA17" s="82">
        <f t="shared" si="16"/>
        <v>182.69230769230771</v>
      </c>
      <c r="BB17" s="82">
        <f t="shared" si="16"/>
        <v>182.69230769230771</v>
      </c>
      <c r="BC17" s="82">
        <f t="shared" si="16"/>
        <v>182.69230769230771</v>
      </c>
      <c r="BD17" s="82">
        <f t="shared" si="16"/>
        <v>182.69230769230771</v>
      </c>
      <c r="BE17" s="106">
        <f t="shared" si="25"/>
        <v>-292.30769230769232</v>
      </c>
      <c r="BF17" s="82">
        <f t="shared" si="18"/>
        <v>-292.30769230769232</v>
      </c>
      <c r="BG17" s="82">
        <f t="shared" si="18"/>
        <v>0</v>
      </c>
      <c r="BH17" s="82">
        <f t="shared" si="18"/>
        <v>0</v>
      </c>
      <c r="BI17" s="82">
        <f t="shared" si="18"/>
        <v>0</v>
      </c>
      <c r="BJ17" s="82">
        <f t="shared" si="18"/>
        <v>0</v>
      </c>
      <c r="BK17" s="82">
        <f t="shared" si="18"/>
        <v>0</v>
      </c>
      <c r="BL17" s="82">
        <f t="shared" si="18"/>
        <v>0</v>
      </c>
      <c r="BM17" s="82">
        <f t="shared" si="18"/>
        <v>0</v>
      </c>
      <c r="BN17" s="82">
        <f t="shared" si="18"/>
        <v>0</v>
      </c>
      <c r="BO17" s="82">
        <f t="shared" si="18"/>
        <v>0</v>
      </c>
      <c r="BP17" s="82">
        <f t="shared" si="18"/>
        <v>0</v>
      </c>
      <c r="BQ17" s="82">
        <f t="shared" si="18"/>
        <v>0</v>
      </c>
      <c r="BR17" s="107">
        <f t="shared" si="21"/>
        <v>11738.461538461539</v>
      </c>
      <c r="BS17" s="117"/>
      <c r="BT17" s="109">
        <f>3000+1700</f>
        <v>4700</v>
      </c>
      <c r="BU17" s="109">
        <v>6653.3333333333339</v>
      </c>
      <c r="BV17" s="82">
        <f t="shared" si="23"/>
        <v>391.66666666666669</v>
      </c>
      <c r="BW17" s="82">
        <f t="shared" si="22"/>
        <v>391.66666666666663</v>
      </c>
      <c r="BX17" s="82">
        <f t="shared" si="22"/>
        <v>391.66666666666663</v>
      </c>
      <c r="BY17" s="82">
        <f t="shared" si="22"/>
        <v>391.66666666666663</v>
      </c>
      <c r="BZ17" s="82">
        <f t="shared" si="22"/>
        <v>391.66666666666663</v>
      </c>
      <c r="CA17" s="82">
        <f t="shared" si="22"/>
        <v>391.66666666666663</v>
      </c>
      <c r="CB17" s="82">
        <f t="shared" si="22"/>
        <v>391.66666666666663</v>
      </c>
      <c r="CC17" s="82">
        <f t="shared" si="22"/>
        <v>391.66666666666663</v>
      </c>
      <c r="CD17" s="82">
        <f t="shared" si="22"/>
        <v>391.66666666666663</v>
      </c>
      <c r="CE17" s="82">
        <f t="shared" si="22"/>
        <v>391.66666666666663</v>
      </c>
      <c r="CF17" s="82">
        <f t="shared" si="22"/>
        <v>391.66666666666663</v>
      </c>
      <c r="CG17" s="82">
        <f t="shared" si="22"/>
        <v>391.66666666666663</v>
      </c>
      <c r="CH17" s="111">
        <f t="shared" si="24"/>
        <v>11353.333333333332</v>
      </c>
    </row>
    <row r="18" spans="1:86" s="112" customFormat="1" ht="21" customHeight="1">
      <c r="A18" s="90" t="s">
        <v>57</v>
      </c>
      <c r="B18" s="112" t="s">
        <v>64</v>
      </c>
      <c r="C18" s="112" t="s">
        <v>65</v>
      </c>
      <c r="D18" s="122">
        <v>971</v>
      </c>
      <c r="E18" s="114">
        <f>+VLOOKUP(A18,'PROV.13E MOIS ET BONUS'!$C:$I,7,0)</f>
        <v>2000</v>
      </c>
      <c r="F18" s="94">
        <v>41183</v>
      </c>
      <c r="G18" s="115" t="s">
        <v>42</v>
      </c>
      <c r="H18" s="96">
        <f t="shared" si="9"/>
        <v>45292</v>
      </c>
      <c r="I18" s="97"/>
      <c r="J18" s="116"/>
      <c r="K18" s="82">
        <f t="shared" si="10"/>
        <v>12.166666666666666</v>
      </c>
      <c r="L18" s="82">
        <f t="shared" si="11"/>
        <v>0</v>
      </c>
      <c r="M18" s="99">
        <v>67</v>
      </c>
      <c r="N18" s="100">
        <f t="shared" si="12"/>
        <v>32</v>
      </c>
      <c r="O18" s="82">
        <f t="shared" si="13"/>
        <v>2.5</v>
      </c>
      <c r="P18" s="82">
        <f t="shared" si="13"/>
        <v>2.5</v>
      </c>
      <c r="Q18" s="82">
        <f t="shared" si="13"/>
        <v>2.5</v>
      </c>
      <c r="R18" s="82">
        <f t="shared" si="13"/>
        <v>2.5</v>
      </c>
      <c r="S18" s="82">
        <f t="shared" si="13"/>
        <v>2.5</v>
      </c>
      <c r="T18" s="82">
        <f t="shared" si="13"/>
        <v>2.5</v>
      </c>
      <c r="U18" s="82">
        <f t="shared" si="13"/>
        <v>2.5</v>
      </c>
      <c r="V18" s="82">
        <f t="shared" si="13"/>
        <v>2.5</v>
      </c>
      <c r="W18" s="82">
        <f t="shared" si="13"/>
        <v>2.5</v>
      </c>
      <c r="X18" s="82">
        <f t="shared" si="13"/>
        <v>4.5</v>
      </c>
      <c r="Y18" s="82">
        <f t="shared" si="13"/>
        <v>2.5</v>
      </c>
      <c r="Z18" s="82">
        <f t="shared" si="13"/>
        <v>2.5</v>
      </c>
      <c r="AA18" s="101">
        <f t="shared" si="19"/>
        <v>99</v>
      </c>
      <c r="AB18" s="100">
        <f t="shared" si="28"/>
        <v>0</v>
      </c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3">
        <f t="shared" si="15"/>
        <v>99</v>
      </c>
      <c r="AP18" s="78"/>
      <c r="AQ18" s="104">
        <v>4578.4615384615381</v>
      </c>
      <c r="AR18" s="100">
        <f t="shared" si="20"/>
        <v>2461.5384615384619</v>
      </c>
      <c r="AS18" s="105">
        <f t="shared" si="16"/>
        <v>192.30769230769229</v>
      </c>
      <c r="AT18" s="105">
        <f t="shared" si="16"/>
        <v>192.30769230769229</v>
      </c>
      <c r="AU18" s="105">
        <f t="shared" si="16"/>
        <v>192.30769230769229</v>
      </c>
      <c r="AV18" s="82">
        <f t="shared" si="16"/>
        <v>192.30769230769229</v>
      </c>
      <c r="AW18" s="105">
        <f t="shared" si="16"/>
        <v>192.30769230769229</v>
      </c>
      <c r="AX18" s="82">
        <f t="shared" si="16"/>
        <v>192.30769230769229</v>
      </c>
      <c r="AY18" s="82">
        <f t="shared" si="16"/>
        <v>192.30769230769229</v>
      </c>
      <c r="AZ18" s="82">
        <f t="shared" si="16"/>
        <v>192.30769230769229</v>
      </c>
      <c r="BA18" s="82">
        <f t="shared" si="16"/>
        <v>192.30769230769229</v>
      </c>
      <c r="BB18" s="82">
        <f t="shared" si="16"/>
        <v>346.15384615384613</v>
      </c>
      <c r="BC18" s="82">
        <f t="shared" si="16"/>
        <v>192.30769230769229</v>
      </c>
      <c r="BD18" s="82">
        <f t="shared" si="16"/>
        <v>192.30769230769229</v>
      </c>
      <c r="BE18" s="106">
        <f t="shared" si="25"/>
        <v>0</v>
      </c>
      <c r="BF18" s="82">
        <f t="shared" si="18"/>
        <v>0</v>
      </c>
      <c r="BG18" s="82">
        <f t="shared" si="18"/>
        <v>0</v>
      </c>
      <c r="BH18" s="82">
        <f t="shared" si="18"/>
        <v>0</v>
      </c>
      <c r="BI18" s="82">
        <f t="shared" si="18"/>
        <v>0</v>
      </c>
      <c r="BJ18" s="82">
        <f t="shared" si="18"/>
        <v>0</v>
      </c>
      <c r="BK18" s="82">
        <f t="shared" si="18"/>
        <v>0</v>
      </c>
      <c r="BL18" s="82">
        <f t="shared" si="18"/>
        <v>0</v>
      </c>
      <c r="BM18" s="82">
        <f t="shared" si="18"/>
        <v>0</v>
      </c>
      <c r="BN18" s="82">
        <f t="shared" si="18"/>
        <v>0</v>
      </c>
      <c r="BO18" s="82">
        <f t="shared" si="18"/>
        <v>0</v>
      </c>
      <c r="BP18" s="82">
        <f t="shared" si="18"/>
        <v>0</v>
      </c>
      <c r="BQ18" s="82">
        <f t="shared" si="18"/>
        <v>0</v>
      </c>
      <c r="BR18" s="107">
        <f t="shared" si="21"/>
        <v>7040</v>
      </c>
      <c r="BS18" s="117"/>
      <c r="BT18" s="109">
        <v>3000</v>
      </c>
      <c r="BU18" s="109">
        <v>7106.666666666667</v>
      </c>
      <c r="BV18" s="82">
        <f t="shared" si="23"/>
        <v>250</v>
      </c>
      <c r="BW18" s="82">
        <f t="shared" si="22"/>
        <v>250</v>
      </c>
      <c r="BX18" s="82">
        <f t="shared" si="22"/>
        <v>250</v>
      </c>
      <c r="BY18" s="82">
        <f t="shared" si="22"/>
        <v>250</v>
      </c>
      <c r="BZ18" s="82">
        <f t="shared" si="22"/>
        <v>250</v>
      </c>
      <c r="CA18" s="82">
        <f t="shared" si="22"/>
        <v>250</v>
      </c>
      <c r="CB18" s="82">
        <f t="shared" si="22"/>
        <v>250</v>
      </c>
      <c r="CC18" s="82">
        <f t="shared" si="22"/>
        <v>250</v>
      </c>
      <c r="CD18" s="82">
        <f t="shared" si="22"/>
        <v>250</v>
      </c>
      <c r="CE18" s="82">
        <f t="shared" si="22"/>
        <v>250</v>
      </c>
      <c r="CF18" s="82">
        <f t="shared" si="22"/>
        <v>250</v>
      </c>
      <c r="CG18" s="82">
        <f t="shared" si="22"/>
        <v>250</v>
      </c>
      <c r="CH18" s="111">
        <f t="shared" si="24"/>
        <v>10106.666666666668</v>
      </c>
    </row>
    <row r="19" spans="1:86" s="112" customFormat="1" ht="21" customHeight="1">
      <c r="A19" s="90" t="s">
        <v>204</v>
      </c>
      <c r="B19" s="112" t="s">
        <v>66</v>
      </c>
      <c r="C19" s="112" t="s">
        <v>67</v>
      </c>
      <c r="D19" s="122">
        <v>281</v>
      </c>
      <c r="E19" s="114">
        <f>+VLOOKUP(A19,'PROV.13E MOIS ET BONUS'!$C:$I,7,0)</f>
        <v>2100</v>
      </c>
      <c r="F19" s="121">
        <v>43683</v>
      </c>
      <c r="G19" s="115"/>
      <c r="H19" s="96">
        <f t="shared" si="9"/>
        <v>45292</v>
      </c>
      <c r="I19" s="97">
        <v>45017</v>
      </c>
      <c r="J19" s="116">
        <v>3800</v>
      </c>
      <c r="K19" s="82">
        <f t="shared" si="10"/>
        <v>5.333333333333333</v>
      </c>
      <c r="L19" s="82">
        <f t="shared" si="11"/>
        <v>1</v>
      </c>
      <c r="M19" s="99">
        <v>17</v>
      </c>
      <c r="N19" s="100">
        <f>SUM(O19:Z19)</f>
        <v>31</v>
      </c>
      <c r="O19" s="123">
        <f t="shared" si="13"/>
        <v>2.5</v>
      </c>
      <c r="P19" s="82">
        <f t="shared" si="13"/>
        <v>2.5</v>
      </c>
      <c r="Q19" s="82">
        <f t="shared" si="13"/>
        <v>2.5</v>
      </c>
      <c r="R19" s="82">
        <f t="shared" si="13"/>
        <v>2.5</v>
      </c>
      <c r="S19" s="82">
        <f t="shared" si="13"/>
        <v>2.5</v>
      </c>
      <c r="T19" s="82">
        <f t="shared" si="13"/>
        <v>2.5</v>
      </c>
      <c r="U19" s="82">
        <f t="shared" si="13"/>
        <v>2.5</v>
      </c>
      <c r="V19" s="82">
        <f t="shared" si="13"/>
        <v>3.5</v>
      </c>
      <c r="W19" s="82">
        <f t="shared" si="13"/>
        <v>2.5</v>
      </c>
      <c r="X19" s="82">
        <f t="shared" si="13"/>
        <v>2.5</v>
      </c>
      <c r="Y19" s="82">
        <f t="shared" si="13"/>
        <v>2.5</v>
      </c>
      <c r="Z19" s="82">
        <f t="shared" si="13"/>
        <v>2.5</v>
      </c>
      <c r="AA19" s="101">
        <f t="shared" si="19"/>
        <v>48</v>
      </c>
      <c r="AB19" s="100">
        <f>SUM(AC19:AN19)</f>
        <v>0</v>
      </c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3">
        <f t="shared" si="15"/>
        <v>48</v>
      </c>
      <c r="AP19" s="78"/>
      <c r="AQ19" s="104">
        <v>5682.6923076923076</v>
      </c>
      <c r="AR19" s="100">
        <f t="shared" si="20"/>
        <v>4530.7692307692305</v>
      </c>
      <c r="AS19" s="105">
        <f t="shared" si="16"/>
        <v>365.38461538461542</v>
      </c>
      <c r="AT19" s="105">
        <f t="shared" si="16"/>
        <v>365.38461538461542</v>
      </c>
      <c r="AU19" s="105">
        <f t="shared" si="16"/>
        <v>365.38461538461542</v>
      </c>
      <c r="AV19" s="82">
        <f t="shared" si="16"/>
        <v>365.38461538461542</v>
      </c>
      <c r="AW19" s="105">
        <f t="shared" si="16"/>
        <v>365.38461538461542</v>
      </c>
      <c r="AX19" s="82">
        <f t="shared" si="16"/>
        <v>365.38461538461542</v>
      </c>
      <c r="AY19" s="82">
        <f t="shared" si="16"/>
        <v>365.38461538461542</v>
      </c>
      <c r="AZ19" s="82">
        <f t="shared" si="16"/>
        <v>511.53846153846155</v>
      </c>
      <c r="BA19" s="82">
        <f t="shared" si="16"/>
        <v>365.38461538461542</v>
      </c>
      <c r="BB19" s="82">
        <f t="shared" si="16"/>
        <v>365.38461538461542</v>
      </c>
      <c r="BC19" s="82">
        <f t="shared" si="16"/>
        <v>365.38461538461542</v>
      </c>
      <c r="BD19" s="82">
        <f t="shared" si="16"/>
        <v>365.38461538461542</v>
      </c>
      <c r="BE19" s="106">
        <f t="shared" si="25"/>
        <v>0</v>
      </c>
      <c r="BF19" s="82">
        <f t="shared" si="18"/>
        <v>0</v>
      </c>
      <c r="BG19" s="82">
        <f t="shared" si="18"/>
        <v>0</v>
      </c>
      <c r="BH19" s="82">
        <f t="shared" si="18"/>
        <v>0</v>
      </c>
      <c r="BI19" s="82">
        <f t="shared" si="18"/>
        <v>0</v>
      </c>
      <c r="BJ19" s="82">
        <f t="shared" si="18"/>
        <v>0</v>
      </c>
      <c r="BK19" s="82">
        <f t="shared" si="18"/>
        <v>0</v>
      </c>
      <c r="BL19" s="82">
        <f t="shared" si="18"/>
        <v>0</v>
      </c>
      <c r="BM19" s="82">
        <f t="shared" si="18"/>
        <v>0</v>
      </c>
      <c r="BN19" s="82">
        <f t="shared" si="18"/>
        <v>0</v>
      </c>
      <c r="BO19" s="82">
        <f t="shared" si="18"/>
        <v>0</v>
      </c>
      <c r="BP19" s="82">
        <f t="shared" si="18"/>
        <v>0</v>
      </c>
      <c r="BQ19" s="82">
        <f t="shared" si="18"/>
        <v>0</v>
      </c>
      <c r="BR19" s="107">
        <f t="shared" si="21"/>
        <v>10213.461538461539</v>
      </c>
      <c r="BS19" s="117"/>
      <c r="BT19" s="109">
        <v>3000</v>
      </c>
      <c r="BU19" s="109">
        <v>8675</v>
      </c>
      <c r="BV19" s="82">
        <f t="shared" si="23"/>
        <v>250</v>
      </c>
      <c r="BW19" s="82">
        <f t="shared" si="22"/>
        <v>250</v>
      </c>
      <c r="BX19" s="82">
        <f t="shared" si="22"/>
        <v>250</v>
      </c>
      <c r="BY19" s="82">
        <f t="shared" si="22"/>
        <v>250</v>
      </c>
      <c r="BZ19" s="82">
        <f t="shared" si="22"/>
        <v>250</v>
      </c>
      <c r="CA19" s="82">
        <f t="shared" si="22"/>
        <v>250</v>
      </c>
      <c r="CB19" s="82">
        <f t="shared" si="22"/>
        <v>250</v>
      </c>
      <c r="CC19" s="82">
        <f t="shared" si="22"/>
        <v>250</v>
      </c>
      <c r="CD19" s="82">
        <f t="shared" si="22"/>
        <v>250</v>
      </c>
      <c r="CE19" s="82">
        <f t="shared" si="22"/>
        <v>250</v>
      </c>
      <c r="CF19" s="82">
        <f t="shared" si="22"/>
        <v>250</v>
      </c>
      <c r="CG19" s="82">
        <f t="shared" si="22"/>
        <v>250</v>
      </c>
      <c r="CH19" s="111">
        <f t="shared" si="24"/>
        <v>11675</v>
      </c>
    </row>
    <row r="20" spans="1:86" s="112" customFormat="1" ht="21" customHeight="1">
      <c r="A20" s="90" t="s">
        <v>205</v>
      </c>
      <c r="B20" s="112" t="s">
        <v>68</v>
      </c>
      <c r="C20" s="112" t="s">
        <v>56</v>
      </c>
      <c r="D20" s="122">
        <v>290</v>
      </c>
      <c r="E20" s="114">
        <f>+VLOOKUP(A20,'PROV.13E MOIS ET BONUS'!$C:$I,7,0)</f>
        <v>2200</v>
      </c>
      <c r="F20" s="121">
        <v>44249</v>
      </c>
      <c r="G20" s="115"/>
      <c r="H20" s="96">
        <f>+IF(YEAR(F20)&lt;YEAR($O$5),$O$5,F20)</f>
        <v>45292</v>
      </c>
      <c r="I20" s="97">
        <v>44979</v>
      </c>
      <c r="J20" s="116">
        <v>2000</v>
      </c>
      <c r="K20" s="82">
        <f>DATEDIF(F20,$J$1,"m")/12</f>
        <v>3.8333333333333335</v>
      </c>
      <c r="L20" s="82">
        <f>IF(K20&lt;5,0,IF(OR(K20=5,K20&lt;6),1,IF(OR(K20&gt;=6,K20&lt;10),0,IF(OR(K20=10,K20&lt;11),1,IF(OR(K20&gt;=11,K20&lt;15),0,IF(OR(K20=15,K20&lt;16),1,IF(OR(K20&gt;=16,K20&lt;20),0,IF(OR(K20=20,K20&lt;21),1,IF(OR(K20&gt;=21,K20&lt;25),0)))))))))</f>
        <v>0</v>
      </c>
      <c r="M20" s="99">
        <v>6</v>
      </c>
      <c r="N20" s="100">
        <f>SUM(O20:Z20)</f>
        <v>30</v>
      </c>
      <c r="O20" s="123">
        <f t="shared" si="13"/>
        <v>2.5</v>
      </c>
      <c r="P20" s="82">
        <f t="shared" si="13"/>
        <v>2.5</v>
      </c>
      <c r="Q20" s="82">
        <f t="shared" si="13"/>
        <v>2.5</v>
      </c>
      <c r="R20" s="82">
        <f t="shared" si="13"/>
        <v>2.5</v>
      </c>
      <c r="S20" s="82">
        <f t="shared" si="13"/>
        <v>2.5</v>
      </c>
      <c r="T20" s="82">
        <f t="shared" si="13"/>
        <v>2.5</v>
      </c>
      <c r="U20" s="82">
        <f t="shared" si="13"/>
        <v>2.5</v>
      </c>
      <c r="V20" s="82">
        <f t="shared" si="13"/>
        <v>2.5</v>
      </c>
      <c r="W20" s="82">
        <f t="shared" si="13"/>
        <v>2.5</v>
      </c>
      <c r="X20" s="82">
        <f t="shared" si="13"/>
        <v>2.5</v>
      </c>
      <c r="Y20" s="82">
        <f t="shared" si="13"/>
        <v>2.5</v>
      </c>
      <c r="Z20" s="82">
        <f t="shared" si="13"/>
        <v>2.5</v>
      </c>
      <c r="AA20" s="101">
        <f t="shared" si="19"/>
        <v>36</v>
      </c>
      <c r="AB20" s="100">
        <f>SUM(AC20:AN20)</f>
        <v>0</v>
      </c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3">
        <f>+M20+N20-AB20</f>
        <v>36</v>
      </c>
      <c r="AP20" s="78"/>
      <c r="AQ20" s="104">
        <v>3991.4584615384615</v>
      </c>
      <c r="AR20" s="100">
        <f>SUM(AS20:BD20)</f>
        <v>2307.6923076923081</v>
      </c>
      <c r="AS20" s="105">
        <f>+IF($I20="",$E20/26*O20,IF(MONTH($I20)=MONTH(AS$5),$J20/26*O20,IF(AND($I20&lt;AS$5,(MONTH($I20)&lt;&gt;MONTH(AS$5))),$J20/26*O20,$E20/26*O20)))</f>
        <v>192.30769230769229</v>
      </c>
      <c r="AT20" s="105">
        <f>+IF($I20="",$E20/26*P20,IF(MONTH($I20)=MONTH(AT$5),$J20/26*P20,IF(AND($I20&lt;AT$5,(MONTH($I20)&lt;&gt;MONTH(AT$5))),$J20/26*P20,$E20/26*P20)))</f>
        <v>192.30769230769229</v>
      </c>
      <c r="AU20" s="105">
        <f>+IF($I20="",$E20/26*Q20,IF(MONTH($I20)=MONTH(AU$5),$J20/26*Q20,IF(AND($I20&lt;AU$5,(MONTH($I20)&lt;&gt;MONTH(AU$5))),$J20/26*Q20,$E20/26*Q20)))</f>
        <v>192.30769230769229</v>
      </c>
      <c r="AV20" s="82">
        <f t="shared" si="16"/>
        <v>192.30769230769229</v>
      </c>
      <c r="AW20" s="105">
        <f t="shared" si="16"/>
        <v>192.30769230769229</v>
      </c>
      <c r="AX20" s="82">
        <f t="shared" si="16"/>
        <v>192.30769230769229</v>
      </c>
      <c r="AY20" s="82">
        <f t="shared" si="16"/>
        <v>192.30769230769229</v>
      </c>
      <c r="AZ20" s="82">
        <f t="shared" si="16"/>
        <v>192.30769230769229</v>
      </c>
      <c r="BA20" s="82">
        <f t="shared" si="16"/>
        <v>192.30769230769229</v>
      </c>
      <c r="BB20" s="82">
        <f t="shared" si="16"/>
        <v>192.30769230769229</v>
      </c>
      <c r="BC20" s="82">
        <f t="shared" si="16"/>
        <v>192.30769230769229</v>
      </c>
      <c r="BD20" s="82">
        <f t="shared" si="16"/>
        <v>192.30769230769229</v>
      </c>
      <c r="BE20" s="106">
        <f>SUM(BF20:BQ20)</f>
        <v>0</v>
      </c>
      <c r="BF20" s="82">
        <f t="shared" si="18"/>
        <v>0</v>
      </c>
      <c r="BG20" s="82">
        <f t="shared" si="18"/>
        <v>0</v>
      </c>
      <c r="BH20" s="82">
        <f t="shared" si="18"/>
        <v>0</v>
      </c>
      <c r="BI20" s="82">
        <f t="shared" si="18"/>
        <v>0</v>
      </c>
      <c r="BJ20" s="82">
        <f t="shared" si="18"/>
        <v>0</v>
      </c>
      <c r="BK20" s="82">
        <f t="shared" si="18"/>
        <v>0</v>
      </c>
      <c r="BL20" s="82">
        <f t="shared" si="18"/>
        <v>0</v>
      </c>
      <c r="BM20" s="82">
        <f t="shared" si="18"/>
        <v>0</v>
      </c>
      <c r="BN20" s="82">
        <f t="shared" si="18"/>
        <v>0</v>
      </c>
      <c r="BO20" s="82">
        <f t="shared" si="18"/>
        <v>0</v>
      </c>
      <c r="BP20" s="82">
        <f t="shared" si="18"/>
        <v>0</v>
      </c>
      <c r="BQ20" s="82">
        <f t="shared" si="18"/>
        <v>0</v>
      </c>
      <c r="BR20" s="107">
        <f>+AQ20+AR20+BE20</f>
        <v>6299.1507692307696</v>
      </c>
      <c r="BS20" s="117"/>
      <c r="BT20" s="109">
        <v>1500</v>
      </c>
      <c r="BU20" s="109">
        <v>5183.3333333333339</v>
      </c>
      <c r="BV20" s="82">
        <f t="shared" si="23"/>
        <v>125</v>
      </c>
      <c r="BW20" s="82">
        <f t="shared" si="22"/>
        <v>125</v>
      </c>
      <c r="BX20" s="82">
        <f t="shared" si="22"/>
        <v>125</v>
      </c>
      <c r="BY20" s="82">
        <f t="shared" si="22"/>
        <v>125</v>
      </c>
      <c r="BZ20" s="82">
        <f t="shared" si="22"/>
        <v>125</v>
      </c>
      <c r="CA20" s="82">
        <f t="shared" si="22"/>
        <v>125</v>
      </c>
      <c r="CB20" s="82">
        <f t="shared" si="22"/>
        <v>125</v>
      </c>
      <c r="CC20" s="82">
        <f t="shared" si="22"/>
        <v>125</v>
      </c>
      <c r="CD20" s="82">
        <f t="shared" si="22"/>
        <v>125</v>
      </c>
      <c r="CE20" s="82">
        <f t="shared" si="22"/>
        <v>125</v>
      </c>
      <c r="CF20" s="82">
        <f t="shared" si="22"/>
        <v>125</v>
      </c>
      <c r="CG20" s="82">
        <f t="shared" si="22"/>
        <v>125</v>
      </c>
      <c r="CH20" s="111">
        <f t="shared" si="24"/>
        <v>6683.3333333333339</v>
      </c>
    </row>
    <row r="21" spans="1:86" s="127" customFormat="1" ht="21" customHeight="1">
      <c r="A21" s="90" t="s">
        <v>206</v>
      </c>
      <c r="B21" s="112" t="s">
        <v>69</v>
      </c>
      <c r="C21" s="112" t="s">
        <v>70</v>
      </c>
      <c r="D21" s="122">
        <v>810</v>
      </c>
      <c r="E21" s="114">
        <f>+VLOOKUP(A21,'PROV.13E MOIS ET BONUS'!$C:$I,7,0)</f>
        <v>2300</v>
      </c>
      <c r="F21" s="121">
        <v>44425</v>
      </c>
      <c r="G21" s="124"/>
      <c r="H21" s="96">
        <f t="shared" si="9"/>
        <v>45292</v>
      </c>
      <c r="I21" s="97"/>
      <c r="J21" s="125"/>
      <c r="K21" s="82">
        <f t="shared" si="10"/>
        <v>3.3333333333333335</v>
      </c>
      <c r="L21" s="82">
        <f t="shared" si="11"/>
        <v>0</v>
      </c>
      <c r="M21" s="99">
        <v>10</v>
      </c>
      <c r="N21" s="100">
        <f t="shared" ref="N21:N22" si="29">SUM(O21:Z21)</f>
        <v>30</v>
      </c>
      <c r="O21" s="123">
        <f t="shared" si="13"/>
        <v>2.5</v>
      </c>
      <c r="P21" s="82">
        <f t="shared" si="13"/>
        <v>2.5</v>
      </c>
      <c r="Q21" s="82">
        <f t="shared" si="13"/>
        <v>2.5</v>
      </c>
      <c r="R21" s="82">
        <f t="shared" si="13"/>
        <v>2.5</v>
      </c>
      <c r="S21" s="82">
        <f t="shared" si="13"/>
        <v>2.5</v>
      </c>
      <c r="T21" s="82">
        <f t="shared" si="13"/>
        <v>2.5</v>
      </c>
      <c r="U21" s="82">
        <f t="shared" si="13"/>
        <v>2.5</v>
      </c>
      <c r="V21" s="82">
        <f t="shared" si="13"/>
        <v>2.5</v>
      </c>
      <c r="W21" s="82">
        <f t="shared" si="13"/>
        <v>2.5</v>
      </c>
      <c r="X21" s="82">
        <f t="shared" si="13"/>
        <v>2.5</v>
      </c>
      <c r="Y21" s="82">
        <f t="shared" si="13"/>
        <v>2.5</v>
      </c>
      <c r="Z21" s="82">
        <f t="shared" si="13"/>
        <v>2.5</v>
      </c>
      <c r="AA21" s="101">
        <f t="shared" si="19"/>
        <v>40</v>
      </c>
      <c r="AB21" s="100">
        <f t="shared" ref="AB21:AB22" si="30">SUM(AC21:AN21)</f>
        <v>0</v>
      </c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3">
        <f t="shared" si="15"/>
        <v>40</v>
      </c>
      <c r="AP21" s="78"/>
      <c r="AQ21" s="104">
        <v>2951.1656923076926</v>
      </c>
      <c r="AR21" s="100">
        <f t="shared" si="20"/>
        <v>2653.8461538461538</v>
      </c>
      <c r="AS21" s="105">
        <f t="shared" si="16"/>
        <v>221.15384615384616</v>
      </c>
      <c r="AT21" s="105">
        <f t="shared" si="16"/>
        <v>221.15384615384616</v>
      </c>
      <c r="AU21" s="105">
        <f t="shared" si="16"/>
        <v>221.15384615384616</v>
      </c>
      <c r="AV21" s="82">
        <f t="shared" si="16"/>
        <v>221.15384615384616</v>
      </c>
      <c r="AW21" s="105">
        <f t="shared" si="16"/>
        <v>221.15384615384616</v>
      </c>
      <c r="AX21" s="82">
        <f t="shared" si="16"/>
        <v>221.15384615384616</v>
      </c>
      <c r="AY21" s="82">
        <f t="shared" si="16"/>
        <v>221.15384615384616</v>
      </c>
      <c r="AZ21" s="82">
        <f t="shared" si="16"/>
        <v>221.15384615384616</v>
      </c>
      <c r="BA21" s="82">
        <f t="shared" si="16"/>
        <v>221.15384615384616</v>
      </c>
      <c r="BB21" s="82">
        <f t="shared" si="16"/>
        <v>221.15384615384616</v>
      </c>
      <c r="BC21" s="82">
        <f t="shared" si="16"/>
        <v>221.15384615384616</v>
      </c>
      <c r="BD21" s="82">
        <f t="shared" si="16"/>
        <v>221.15384615384616</v>
      </c>
      <c r="BE21" s="106">
        <f>SUM(BF21:BQ21)</f>
        <v>0</v>
      </c>
      <c r="BF21" s="82">
        <f t="shared" si="18"/>
        <v>0</v>
      </c>
      <c r="BG21" s="82">
        <f t="shared" si="18"/>
        <v>0</v>
      </c>
      <c r="BH21" s="82">
        <f t="shared" si="18"/>
        <v>0</v>
      </c>
      <c r="BI21" s="82">
        <f t="shared" si="18"/>
        <v>0</v>
      </c>
      <c r="BJ21" s="82">
        <f t="shared" si="18"/>
        <v>0</v>
      </c>
      <c r="BK21" s="82">
        <f t="shared" si="18"/>
        <v>0</v>
      </c>
      <c r="BL21" s="82">
        <f t="shared" si="18"/>
        <v>0</v>
      </c>
      <c r="BM21" s="82">
        <f t="shared" si="18"/>
        <v>0</v>
      </c>
      <c r="BN21" s="82">
        <f t="shared" si="18"/>
        <v>0</v>
      </c>
      <c r="BO21" s="82">
        <f t="shared" si="18"/>
        <v>0</v>
      </c>
      <c r="BP21" s="82">
        <f t="shared" si="18"/>
        <v>0</v>
      </c>
      <c r="BQ21" s="82">
        <f t="shared" si="18"/>
        <v>0</v>
      </c>
      <c r="BR21" s="107">
        <f>+AQ21+AR21+BE21</f>
        <v>5605.0118461538459</v>
      </c>
      <c r="BS21" s="126"/>
      <c r="BT21" s="109">
        <v>3000</v>
      </c>
      <c r="BU21" s="109">
        <v>4925.0000000000009</v>
      </c>
      <c r="BV21" s="82">
        <f t="shared" si="23"/>
        <v>250</v>
      </c>
      <c r="BW21" s="82">
        <f t="shared" si="22"/>
        <v>250</v>
      </c>
      <c r="BX21" s="82">
        <f t="shared" si="22"/>
        <v>250</v>
      </c>
      <c r="BY21" s="82">
        <f t="shared" si="22"/>
        <v>250</v>
      </c>
      <c r="BZ21" s="82">
        <f t="shared" si="22"/>
        <v>250</v>
      </c>
      <c r="CA21" s="82">
        <f t="shared" si="22"/>
        <v>250</v>
      </c>
      <c r="CB21" s="82">
        <f t="shared" si="22"/>
        <v>250</v>
      </c>
      <c r="CC21" s="82">
        <f t="shared" si="22"/>
        <v>250</v>
      </c>
      <c r="CD21" s="82">
        <f t="shared" si="22"/>
        <v>250</v>
      </c>
      <c r="CE21" s="82">
        <f t="shared" si="22"/>
        <v>250</v>
      </c>
      <c r="CF21" s="82">
        <f t="shared" si="22"/>
        <v>250</v>
      </c>
      <c r="CG21" s="82">
        <f t="shared" si="22"/>
        <v>250</v>
      </c>
      <c r="CH21" s="111">
        <f t="shared" si="24"/>
        <v>7925.0000000000009</v>
      </c>
    </row>
    <row r="22" spans="1:86" s="127" customFormat="1" ht="21" customHeight="1">
      <c r="A22" s="90" t="s">
        <v>63</v>
      </c>
      <c r="B22" s="112" t="s">
        <v>71</v>
      </c>
      <c r="C22" s="112" t="s">
        <v>72</v>
      </c>
      <c r="D22" s="122">
        <v>281</v>
      </c>
      <c r="E22" s="114">
        <f>+VLOOKUP(A22,'PROV.13E MOIS ET BONUS'!$C:$I,7,0)</f>
        <v>2400</v>
      </c>
      <c r="F22" s="128">
        <v>44480</v>
      </c>
      <c r="G22" s="124"/>
      <c r="H22" s="96">
        <f t="shared" si="9"/>
        <v>45292</v>
      </c>
      <c r="I22" s="129">
        <v>45231</v>
      </c>
      <c r="J22" s="130">
        <v>4000</v>
      </c>
      <c r="K22" s="82">
        <f t="shared" si="10"/>
        <v>3.1666666666666665</v>
      </c>
      <c r="L22" s="82">
        <f t="shared" si="11"/>
        <v>0</v>
      </c>
      <c r="M22" s="99">
        <v>0</v>
      </c>
      <c r="N22" s="100">
        <f t="shared" si="29"/>
        <v>30</v>
      </c>
      <c r="O22" s="123">
        <f t="shared" si="13"/>
        <v>2.5</v>
      </c>
      <c r="P22" s="82">
        <f t="shared" si="13"/>
        <v>2.5</v>
      </c>
      <c r="Q22" s="82">
        <f t="shared" si="13"/>
        <v>2.5</v>
      </c>
      <c r="R22" s="82">
        <f t="shared" si="13"/>
        <v>2.5</v>
      </c>
      <c r="S22" s="82">
        <f t="shared" si="13"/>
        <v>2.5</v>
      </c>
      <c r="T22" s="82">
        <f t="shared" si="13"/>
        <v>2.5</v>
      </c>
      <c r="U22" s="82">
        <f t="shared" si="13"/>
        <v>2.5</v>
      </c>
      <c r="V22" s="82">
        <f t="shared" si="13"/>
        <v>2.5</v>
      </c>
      <c r="W22" s="82">
        <f t="shared" si="13"/>
        <v>2.5</v>
      </c>
      <c r="X22" s="82">
        <f t="shared" si="13"/>
        <v>2.5</v>
      </c>
      <c r="Y22" s="82">
        <f t="shared" si="13"/>
        <v>2.5</v>
      </c>
      <c r="Z22" s="82">
        <f t="shared" si="13"/>
        <v>2.5</v>
      </c>
      <c r="AA22" s="101">
        <f t="shared" si="19"/>
        <v>30</v>
      </c>
      <c r="AB22" s="100">
        <f t="shared" si="30"/>
        <v>0</v>
      </c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3">
        <f t="shared" si="15"/>
        <v>30</v>
      </c>
      <c r="AP22" s="78"/>
      <c r="AQ22" s="104">
        <v>4518.8461538461543</v>
      </c>
      <c r="AR22" s="100">
        <f t="shared" si="20"/>
        <v>4615.3846153846162</v>
      </c>
      <c r="AS22" s="105">
        <f t="shared" si="16"/>
        <v>384.61538461538458</v>
      </c>
      <c r="AT22" s="105">
        <f t="shared" si="16"/>
        <v>384.61538461538458</v>
      </c>
      <c r="AU22" s="105">
        <f t="shared" si="16"/>
        <v>384.61538461538458</v>
      </c>
      <c r="AV22" s="82">
        <f t="shared" si="16"/>
        <v>384.61538461538458</v>
      </c>
      <c r="AW22" s="105">
        <f t="shared" si="16"/>
        <v>384.61538461538458</v>
      </c>
      <c r="AX22" s="82">
        <f t="shared" si="16"/>
        <v>384.61538461538458</v>
      </c>
      <c r="AY22" s="82">
        <f t="shared" si="16"/>
        <v>384.61538461538458</v>
      </c>
      <c r="AZ22" s="82">
        <f t="shared" si="16"/>
        <v>384.61538461538458</v>
      </c>
      <c r="BA22" s="82">
        <f t="shared" si="16"/>
        <v>384.61538461538458</v>
      </c>
      <c r="BB22" s="82">
        <f t="shared" si="16"/>
        <v>384.61538461538458</v>
      </c>
      <c r="BC22" s="82">
        <f t="shared" si="16"/>
        <v>384.61538461538458</v>
      </c>
      <c r="BD22" s="82">
        <f t="shared" si="16"/>
        <v>384.61538461538458</v>
      </c>
      <c r="BE22" s="106">
        <f t="shared" si="25"/>
        <v>0</v>
      </c>
      <c r="BF22" s="82">
        <f t="shared" si="18"/>
        <v>0</v>
      </c>
      <c r="BG22" s="82">
        <f t="shared" si="18"/>
        <v>0</v>
      </c>
      <c r="BH22" s="82">
        <f t="shared" si="18"/>
        <v>0</v>
      </c>
      <c r="BI22" s="82">
        <f t="shared" si="18"/>
        <v>0</v>
      </c>
      <c r="BJ22" s="82">
        <f t="shared" si="18"/>
        <v>0</v>
      </c>
      <c r="BK22" s="82">
        <f t="shared" si="18"/>
        <v>0</v>
      </c>
      <c r="BL22" s="82">
        <f t="shared" si="18"/>
        <v>0</v>
      </c>
      <c r="BM22" s="82">
        <f t="shared" si="18"/>
        <v>0</v>
      </c>
      <c r="BN22" s="82">
        <f t="shared" si="18"/>
        <v>0</v>
      </c>
      <c r="BO22" s="82">
        <f t="shared" si="18"/>
        <v>0</v>
      </c>
      <c r="BP22" s="82">
        <f t="shared" si="18"/>
        <v>0</v>
      </c>
      <c r="BQ22" s="82">
        <f t="shared" si="18"/>
        <v>0</v>
      </c>
      <c r="BR22" s="107">
        <f t="shared" si="21"/>
        <v>9134.2307692307695</v>
      </c>
      <c r="BS22" s="126"/>
      <c r="BT22" s="109">
        <v>1500</v>
      </c>
      <c r="BU22" s="109">
        <v>3416.666666666667</v>
      </c>
      <c r="BV22" s="82">
        <f t="shared" si="23"/>
        <v>125</v>
      </c>
      <c r="BW22" s="82">
        <f t="shared" si="22"/>
        <v>125</v>
      </c>
      <c r="BX22" s="82">
        <f t="shared" si="22"/>
        <v>125</v>
      </c>
      <c r="BY22" s="82">
        <f t="shared" si="22"/>
        <v>125</v>
      </c>
      <c r="BZ22" s="82">
        <f t="shared" si="22"/>
        <v>125</v>
      </c>
      <c r="CA22" s="82">
        <f t="shared" si="22"/>
        <v>125</v>
      </c>
      <c r="CB22" s="82">
        <f t="shared" si="22"/>
        <v>125</v>
      </c>
      <c r="CC22" s="82">
        <f t="shared" si="22"/>
        <v>125</v>
      </c>
      <c r="CD22" s="82">
        <f t="shared" si="22"/>
        <v>125</v>
      </c>
      <c r="CE22" s="82">
        <f t="shared" si="22"/>
        <v>125</v>
      </c>
      <c r="CF22" s="82">
        <f t="shared" si="22"/>
        <v>125</v>
      </c>
      <c r="CG22" s="82">
        <f t="shared" si="22"/>
        <v>125</v>
      </c>
      <c r="CH22" s="111">
        <f t="shared" si="24"/>
        <v>4916.666666666667</v>
      </c>
    </row>
    <row r="23" spans="1:86" s="127" customFormat="1" ht="21" customHeight="1">
      <c r="A23" s="90" t="s">
        <v>207</v>
      </c>
      <c r="B23" s="112" t="s">
        <v>73</v>
      </c>
      <c r="C23" s="112" t="s">
        <v>74</v>
      </c>
      <c r="D23" s="122">
        <v>660</v>
      </c>
      <c r="E23" s="114">
        <f>+VLOOKUP(A23,'PROV.13E MOIS ET BONUS'!$C:$I,7,0)</f>
        <v>2500</v>
      </c>
      <c r="F23" s="128">
        <v>44495</v>
      </c>
      <c r="G23" s="124"/>
      <c r="H23" s="96">
        <f t="shared" si="9"/>
        <v>45292</v>
      </c>
      <c r="I23" s="129"/>
      <c r="J23" s="130"/>
      <c r="K23" s="82">
        <f t="shared" si="10"/>
        <v>3.1666666666666665</v>
      </c>
      <c r="L23" s="82">
        <f t="shared" si="11"/>
        <v>0</v>
      </c>
      <c r="M23" s="99">
        <v>22</v>
      </c>
      <c r="N23" s="100">
        <f t="shared" ref="N23:N27" si="31">SUM(O23:Z23)</f>
        <v>30</v>
      </c>
      <c r="O23" s="123">
        <f t="shared" si="13"/>
        <v>2.5</v>
      </c>
      <c r="P23" s="82">
        <f t="shared" si="13"/>
        <v>2.5</v>
      </c>
      <c r="Q23" s="82">
        <f t="shared" si="13"/>
        <v>2.5</v>
      </c>
      <c r="R23" s="82">
        <f t="shared" si="13"/>
        <v>2.5</v>
      </c>
      <c r="S23" s="82">
        <f t="shared" si="13"/>
        <v>2.5</v>
      </c>
      <c r="T23" s="82">
        <f t="shared" si="13"/>
        <v>2.5</v>
      </c>
      <c r="U23" s="82">
        <f t="shared" si="13"/>
        <v>2.5</v>
      </c>
      <c r="V23" s="82">
        <f t="shared" si="13"/>
        <v>2.5</v>
      </c>
      <c r="W23" s="82">
        <f t="shared" si="13"/>
        <v>2.5</v>
      </c>
      <c r="X23" s="82">
        <f t="shared" si="13"/>
        <v>2.5</v>
      </c>
      <c r="Y23" s="82">
        <f t="shared" si="13"/>
        <v>2.5</v>
      </c>
      <c r="Z23" s="82">
        <f t="shared" si="13"/>
        <v>2.5</v>
      </c>
      <c r="AA23" s="101">
        <f t="shared" si="19"/>
        <v>52</v>
      </c>
      <c r="AB23" s="100">
        <f t="shared" ref="AB23:AB27" si="32">SUM(AC23:AN23)</f>
        <v>0</v>
      </c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3">
        <f t="shared" si="15"/>
        <v>52</v>
      </c>
      <c r="AP23" s="78"/>
      <c r="AQ23" s="104">
        <v>4711.0897435897432</v>
      </c>
      <c r="AR23" s="100">
        <f t="shared" ref="AR23" si="33">SUM(AS23:BD23)</f>
        <v>2884.6153846153848</v>
      </c>
      <c r="AS23" s="105">
        <f t="shared" si="16"/>
        <v>240.38461538461542</v>
      </c>
      <c r="AT23" s="105">
        <f t="shared" si="16"/>
        <v>240.38461538461542</v>
      </c>
      <c r="AU23" s="105">
        <f t="shared" si="16"/>
        <v>240.38461538461542</v>
      </c>
      <c r="AV23" s="82">
        <f t="shared" si="16"/>
        <v>240.38461538461542</v>
      </c>
      <c r="AW23" s="105">
        <f t="shared" si="16"/>
        <v>240.38461538461542</v>
      </c>
      <c r="AX23" s="82">
        <f t="shared" si="16"/>
        <v>240.38461538461542</v>
      </c>
      <c r="AY23" s="82">
        <f t="shared" si="16"/>
        <v>240.38461538461542</v>
      </c>
      <c r="AZ23" s="82">
        <f t="shared" si="16"/>
        <v>240.38461538461542</v>
      </c>
      <c r="BA23" s="82">
        <f t="shared" si="16"/>
        <v>240.38461538461542</v>
      </c>
      <c r="BB23" s="82">
        <f t="shared" si="16"/>
        <v>240.38461538461542</v>
      </c>
      <c r="BC23" s="82">
        <f t="shared" si="16"/>
        <v>240.38461538461542</v>
      </c>
      <c r="BD23" s="82">
        <f t="shared" si="16"/>
        <v>240.38461538461542</v>
      </c>
      <c r="BE23" s="106">
        <f t="shared" ref="BE23:BE27" si="34">SUM(BF23:BQ23)</f>
        <v>0</v>
      </c>
      <c r="BF23" s="82">
        <f t="shared" si="18"/>
        <v>0</v>
      </c>
      <c r="BG23" s="82">
        <f t="shared" si="18"/>
        <v>0</v>
      </c>
      <c r="BH23" s="82">
        <f t="shared" si="18"/>
        <v>0</v>
      </c>
      <c r="BI23" s="82">
        <f t="shared" si="18"/>
        <v>0</v>
      </c>
      <c r="BJ23" s="82">
        <f t="shared" si="18"/>
        <v>0</v>
      </c>
      <c r="BK23" s="82">
        <f t="shared" si="18"/>
        <v>0</v>
      </c>
      <c r="BL23" s="82">
        <f t="shared" si="18"/>
        <v>0</v>
      </c>
      <c r="BM23" s="82">
        <f t="shared" si="18"/>
        <v>0</v>
      </c>
      <c r="BN23" s="82">
        <f t="shared" si="18"/>
        <v>0</v>
      </c>
      <c r="BO23" s="82">
        <f t="shared" si="18"/>
        <v>0</v>
      </c>
      <c r="BP23" s="82">
        <f t="shared" si="18"/>
        <v>0</v>
      </c>
      <c r="BQ23" s="82">
        <f t="shared" si="18"/>
        <v>0</v>
      </c>
      <c r="BR23" s="107">
        <f t="shared" si="21"/>
        <v>7595.7051282051279</v>
      </c>
      <c r="BS23" s="126"/>
      <c r="BT23" s="109">
        <v>3000</v>
      </c>
      <c r="BU23" s="109">
        <v>4500</v>
      </c>
      <c r="BV23" s="82">
        <f t="shared" si="23"/>
        <v>250</v>
      </c>
      <c r="BW23" s="82">
        <f t="shared" si="22"/>
        <v>250</v>
      </c>
      <c r="BX23" s="82">
        <f t="shared" si="22"/>
        <v>250</v>
      </c>
      <c r="BY23" s="82">
        <f t="shared" si="22"/>
        <v>250</v>
      </c>
      <c r="BZ23" s="82">
        <f t="shared" si="22"/>
        <v>250</v>
      </c>
      <c r="CA23" s="82">
        <f t="shared" si="22"/>
        <v>250</v>
      </c>
      <c r="CB23" s="82">
        <f t="shared" si="22"/>
        <v>250</v>
      </c>
      <c r="CC23" s="82">
        <f t="shared" si="22"/>
        <v>250</v>
      </c>
      <c r="CD23" s="82">
        <f t="shared" si="22"/>
        <v>250</v>
      </c>
      <c r="CE23" s="82">
        <f t="shared" si="22"/>
        <v>250</v>
      </c>
      <c r="CF23" s="82">
        <f t="shared" si="22"/>
        <v>250</v>
      </c>
      <c r="CG23" s="82">
        <f t="shared" si="22"/>
        <v>250</v>
      </c>
      <c r="CH23" s="111">
        <f t="shared" si="24"/>
        <v>7500</v>
      </c>
    </row>
    <row r="24" spans="1:86" s="127" customFormat="1" ht="21" customHeight="1">
      <c r="A24" s="90" t="s">
        <v>208</v>
      </c>
      <c r="B24" s="112" t="s">
        <v>75</v>
      </c>
      <c r="C24" s="112" t="s">
        <v>76</v>
      </c>
      <c r="D24" s="122">
        <v>630</v>
      </c>
      <c r="E24" s="114">
        <f>+VLOOKUP(A24,'PROV.13E MOIS ET BONUS'!$C:$I,7,0)</f>
        <v>2600</v>
      </c>
      <c r="F24" s="128">
        <v>44653</v>
      </c>
      <c r="G24" s="124"/>
      <c r="H24" s="96">
        <f>+IF(YEAR(F24)&lt;YEAR($R$5),$O$5,F24)</f>
        <v>45292</v>
      </c>
      <c r="I24" s="129"/>
      <c r="J24" s="130"/>
      <c r="K24" s="82">
        <f t="shared" si="10"/>
        <v>2.6666666666666665</v>
      </c>
      <c r="L24" s="82">
        <f t="shared" si="11"/>
        <v>0</v>
      </c>
      <c r="M24" s="99">
        <v>1.5033333333333303</v>
      </c>
      <c r="N24" s="100">
        <f t="shared" si="31"/>
        <v>30</v>
      </c>
      <c r="O24" s="123">
        <f t="shared" ref="O24:Z29" si="35">+IF(AND(AND(AND($G24="",$K24&gt;=5,$K24&lt;10,MONTH($F24)=MONTH(O$5)))),2.5+1,+IF(AND(AND($K24=5,$G24="",MONTH($F24)=MONTH(O$5))),2.5,+IF(AND(AND(AND($G24="",$K24&gt;=10,$K24&lt;15,MONTH($F24)=MONTH(O$5)))),2.5+2,+IF(AND(AND(AND($G24="",$K24&gt;=15,$K24&lt;20,MONTH($F24)=MONTH(O$5)))),2.5+3,+IF(AND(AND($K24=10,$G24="",MONTH($F24)=MONTH(O$5))),2.5,+IF(AND($H24&gt;O$5,MONTH($H24)=MONTH(O$5)),2.5/30*(O$4-DAY($H24)),+IF(AND(MONTH($H24)&lt;MONTH(O$5),$G24=""),2.5,+IF(AND($H24=$O$5,$G24=""),2.5,IF($G24&lt;O$5,0,IF(MONTH($G24)=MONTH(O$5),2.5/30*($G24-O$5),2.5))))))))))</f>
        <v>2.5</v>
      </c>
      <c r="P24" s="82">
        <f t="shared" si="35"/>
        <v>2.5</v>
      </c>
      <c r="Q24" s="82">
        <f t="shared" si="35"/>
        <v>2.5</v>
      </c>
      <c r="R24" s="82">
        <f t="shared" si="35"/>
        <v>2.5</v>
      </c>
      <c r="S24" s="82">
        <f t="shared" si="35"/>
        <v>2.5</v>
      </c>
      <c r="T24" s="82">
        <f t="shared" si="35"/>
        <v>2.5</v>
      </c>
      <c r="U24" s="82">
        <f t="shared" si="35"/>
        <v>2.5</v>
      </c>
      <c r="V24" s="82">
        <f t="shared" si="35"/>
        <v>2.5</v>
      </c>
      <c r="W24" s="82">
        <f t="shared" si="35"/>
        <v>2.5</v>
      </c>
      <c r="X24" s="82">
        <f t="shared" si="35"/>
        <v>2.5</v>
      </c>
      <c r="Y24" s="82">
        <f t="shared" si="35"/>
        <v>2.5</v>
      </c>
      <c r="Z24" s="82">
        <f t="shared" si="35"/>
        <v>2.5</v>
      </c>
      <c r="AA24" s="101">
        <f t="shared" si="19"/>
        <v>31.50333333333333</v>
      </c>
      <c r="AB24" s="100">
        <f t="shared" si="32"/>
        <v>0</v>
      </c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3">
        <f t="shared" si="15"/>
        <v>31.50333333333333</v>
      </c>
      <c r="AP24" s="78"/>
      <c r="AQ24" s="104">
        <v>5538.461538461539</v>
      </c>
      <c r="AR24" s="100">
        <f t="shared" ref="AR24:AR27" si="36">SUM(AS24:BD24)</f>
        <v>3000</v>
      </c>
      <c r="AS24" s="105">
        <f t="shared" si="16"/>
        <v>250</v>
      </c>
      <c r="AT24" s="105">
        <f t="shared" si="16"/>
        <v>250</v>
      </c>
      <c r="AU24" s="105">
        <f t="shared" si="16"/>
        <v>250</v>
      </c>
      <c r="AV24" s="82">
        <f t="shared" si="16"/>
        <v>250</v>
      </c>
      <c r="AW24" s="105">
        <f t="shared" si="16"/>
        <v>250</v>
      </c>
      <c r="AX24" s="82">
        <f t="shared" si="16"/>
        <v>250</v>
      </c>
      <c r="AY24" s="82">
        <f t="shared" si="16"/>
        <v>250</v>
      </c>
      <c r="AZ24" s="82">
        <f t="shared" si="16"/>
        <v>250</v>
      </c>
      <c r="BA24" s="82">
        <f t="shared" si="16"/>
        <v>250</v>
      </c>
      <c r="BB24" s="82">
        <f t="shared" si="16"/>
        <v>250</v>
      </c>
      <c r="BC24" s="82">
        <f t="shared" si="16"/>
        <v>250</v>
      </c>
      <c r="BD24" s="82">
        <f t="shared" si="16"/>
        <v>250</v>
      </c>
      <c r="BE24" s="106">
        <f t="shared" si="34"/>
        <v>0</v>
      </c>
      <c r="BF24" s="82">
        <f t="shared" ref="BF24:BQ27" si="37">(+IF($I24="",$E24/26*AC24,IF(MONTH($I24)=MONTH(BF$5),$J24/26*AC24,IF(AND($I24&lt;BF$5,(MONTH($I24)&lt;&gt;MONTH(BF$5))),$J24/26*AC24,$E24/26*AC24))))*-1</f>
        <v>0</v>
      </c>
      <c r="BG24" s="82">
        <f t="shared" si="37"/>
        <v>0</v>
      </c>
      <c r="BH24" s="82">
        <f t="shared" si="37"/>
        <v>0</v>
      </c>
      <c r="BI24" s="82">
        <f t="shared" si="37"/>
        <v>0</v>
      </c>
      <c r="BJ24" s="82">
        <f t="shared" si="37"/>
        <v>0</v>
      </c>
      <c r="BK24" s="82">
        <f t="shared" si="37"/>
        <v>0</v>
      </c>
      <c r="BL24" s="82">
        <f t="shared" si="37"/>
        <v>0</v>
      </c>
      <c r="BM24" s="82">
        <f t="shared" si="37"/>
        <v>0</v>
      </c>
      <c r="BN24" s="82">
        <f t="shared" si="37"/>
        <v>0</v>
      </c>
      <c r="BO24" s="82">
        <f t="shared" si="37"/>
        <v>0</v>
      </c>
      <c r="BP24" s="82">
        <f t="shared" si="37"/>
        <v>0</v>
      </c>
      <c r="BQ24" s="82">
        <f t="shared" si="37"/>
        <v>0</v>
      </c>
      <c r="BR24" s="107">
        <f t="shared" si="21"/>
        <v>8538.461538461539</v>
      </c>
      <c r="BS24" s="126"/>
      <c r="BT24" s="131">
        <v>0</v>
      </c>
      <c r="BU24" s="109">
        <v>0</v>
      </c>
      <c r="BV24" s="82">
        <f t="shared" si="23"/>
        <v>0</v>
      </c>
      <c r="BW24" s="82">
        <f t="shared" si="22"/>
        <v>0</v>
      </c>
      <c r="BX24" s="82">
        <f t="shared" si="22"/>
        <v>0</v>
      </c>
      <c r="BY24" s="82">
        <f t="shared" si="22"/>
        <v>0</v>
      </c>
      <c r="BZ24" s="82">
        <f t="shared" si="22"/>
        <v>0</v>
      </c>
      <c r="CA24" s="82">
        <f t="shared" si="22"/>
        <v>0</v>
      </c>
      <c r="CB24" s="82">
        <f t="shared" si="22"/>
        <v>0</v>
      </c>
      <c r="CC24" s="82">
        <f t="shared" si="22"/>
        <v>0</v>
      </c>
      <c r="CD24" s="82">
        <f t="shared" si="22"/>
        <v>0</v>
      </c>
      <c r="CE24" s="82">
        <f t="shared" si="22"/>
        <v>0</v>
      </c>
      <c r="CF24" s="82">
        <f t="shared" si="22"/>
        <v>0</v>
      </c>
      <c r="CG24" s="82">
        <f t="shared" si="22"/>
        <v>0</v>
      </c>
      <c r="CH24" s="111">
        <f t="shared" si="24"/>
        <v>0</v>
      </c>
    </row>
    <row r="25" spans="1:86" s="127" customFormat="1" ht="21" customHeight="1">
      <c r="A25" s="90" t="s">
        <v>209</v>
      </c>
      <c r="B25" s="112" t="s">
        <v>77</v>
      </c>
      <c r="C25" s="112" t="s">
        <v>78</v>
      </c>
      <c r="D25" s="122">
        <v>120</v>
      </c>
      <c r="E25" s="114">
        <f>+VLOOKUP(A25,'PROV.13E MOIS ET BONUS'!$C:$I,7,0)</f>
        <v>2700</v>
      </c>
      <c r="F25" s="128">
        <v>45050</v>
      </c>
      <c r="G25" s="124"/>
      <c r="H25" s="96">
        <f t="shared" ref="H25:H27" si="38">+IF(YEAR(F25)&lt;YEAR($R$5),$O$5,F25)</f>
        <v>45292</v>
      </c>
      <c r="I25" s="129"/>
      <c r="J25" s="130"/>
      <c r="K25" s="82">
        <f t="shared" si="10"/>
        <v>1.5833333333333333</v>
      </c>
      <c r="L25" s="82">
        <f t="shared" si="11"/>
        <v>0</v>
      </c>
      <c r="M25" s="99">
        <v>0.25</v>
      </c>
      <c r="N25" s="100">
        <f t="shared" si="31"/>
        <v>30</v>
      </c>
      <c r="O25" s="123">
        <f t="shared" si="35"/>
        <v>2.5</v>
      </c>
      <c r="P25" s="82">
        <f t="shared" si="35"/>
        <v>2.5</v>
      </c>
      <c r="Q25" s="82">
        <f t="shared" si="35"/>
        <v>2.5</v>
      </c>
      <c r="R25" s="82">
        <f t="shared" si="35"/>
        <v>2.5</v>
      </c>
      <c r="S25" s="82">
        <f t="shared" si="35"/>
        <v>2.5</v>
      </c>
      <c r="T25" s="82">
        <f t="shared" si="35"/>
        <v>2.5</v>
      </c>
      <c r="U25" s="82">
        <f t="shared" si="35"/>
        <v>2.5</v>
      </c>
      <c r="V25" s="82">
        <f t="shared" si="35"/>
        <v>2.5</v>
      </c>
      <c r="W25" s="82">
        <f t="shared" si="35"/>
        <v>2.5</v>
      </c>
      <c r="X25" s="82">
        <f t="shared" si="35"/>
        <v>2.5</v>
      </c>
      <c r="Y25" s="82">
        <f t="shared" si="35"/>
        <v>2.5</v>
      </c>
      <c r="Z25" s="82">
        <f t="shared" si="35"/>
        <v>2.5</v>
      </c>
      <c r="AA25" s="101">
        <f t="shared" si="19"/>
        <v>30.25</v>
      </c>
      <c r="AB25" s="100">
        <f t="shared" si="32"/>
        <v>11</v>
      </c>
      <c r="AC25" s="102">
        <v>5</v>
      </c>
      <c r="AD25" s="102">
        <v>6</v>
      </c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3">
        <f t="shared" si="15"/>
        <v>19.25</v>
      </c>
      <c r="AP25" s="78"/>
      <c r="AQ25" s="104">
        <v>1701.9230769230774</v>
      </c>
      <c r="AR25" s="100">
        <f t="shared" si="36"/>
        <v>3115.3846153846157</v>
      </c>
      <c r="AS25" s="105">
        <f t="shared" ref="AS25:BD27" si="39">+IF($I25="",$E25/26*O25,IF(MONTH($I25)=MONTH(AS$5),$J25/26*O25,IF(AND($I25&lt;AS$5,(MONTH($I25)&lt;&gt;MONTH(AS$5))),$J25/26*O25,$E25/26*O25)))</f>
        <v>259.61538461538458</v>
      </c>
      <c r="AT25" s="105">
        <f t="shared" si="39"/>
        <v>259.61538461538458</v>
      </c>
      <c r="AU25" s="105">
        <f t="shared" si="39"/>
        <v>259.61538461538458</v>
      </c>
      <c r="AV25" s="82">
        <f t="shared" si="39"/>
        <v>259.61538461538458</v>
      </c>
      <c r="AW25" s="105">
        <f t="shared" si="39"/>
        <v>259.61538461538458</v>
      </c>
      <c r="AX25" s="82">
        <f t="shared" si="39"/>
        <v>259.61538461538458</v>
      </c>
      <c r="AY25" s="82">
        <f t="shared" si="39"/>
        <v>259.61538461538458</v>
      </c>
      <c r="AZ25" s="82">
        <f t="shared" si="39"/>
        <v>259.61538461538458</v>
      </c>
      <c r="BA25" s="82">
        <f t="shared" si="39"/>
        <v>259.61538461538458</v>
      </c>
      <c r="BB25" s="82">
        <f t="shared" si="39"/>
        <v>259.61538461538458</v>
      </c>
      <c r="BC25" s="82">
        <f t="shared" si="39"/>
        <v>259.61538461538458</v>
      </c>
      <c r="BD25" s="82">
        <f t="shared" si="39"/>
        <v>259.61538461538458</v>
      </c>
      <c r="BE25" s="106">
        <f t="shared" si="34"/>
        <v>-1142.3076923076924</v>
      </c>
      <c r="BF25" s="82">
        <f t="shared" si="37"/>
        <v>-519.23076923076917</v>
      </c>
      <c r="BG25" s="82">
        <f t="shared" si="37"/>
        <v>-623.07692307692309</v>
      </c>
      <c r="BH25" s="82">
        <f t="shared" si="37"/>
        <v>0</v>
      </c>
      <c r="BI25" s="82">
        <f t="shared" si="37"/>
        <v>0</v>
      </c>
      <c r="BJ25" s="82">
        <f t="shared" si="37"/>
        <v>0</v>
      </c>
      <c r="BK25" s="82">
        <f t="shared" si="37"/>
        <v>0</v>
      </c>
      <c r="BL25" s="82">
        <f t="shared" si="37"/>
        <v>0</v>
      </c>
      <c r="BM25" s="82">
        <f t="shared" si="37"/>
        <v>0</v>
      </c>
      <c r="BN25" s="82">
        <f t="shared" si="37"/>
        <v>0</v>
      </c>
      <c r="BO25" s="82">
        <f t="shared" si="37"/>
        <v>0</v>
      </c>
      <c r="BP25" s="82">
        <f t="shared" si="37"/>
        <v>0</v>
      </c>
      <c r="BQ25" s="82">
        <f t="shared" si="37"/>
        <v>0</v>
      </c>
      <c r="BR25" s="107">
        <f t="shared" si="21"/>
        <v>3675.0000000000009</v>
      </c>
      <c r="BS25" s="126"/>
      <c r="BT25" s="109">
        <v>1500</v>
      </c>
      <c r="BU25" s="109">
        <v>1199.9999999999998</v>
      </c>
      <c r="BV25" s="82">
        <f t="shared" si="23"/>
        <v>125</v>
      </c>
      <c r="BW25" s="82">
        <f t="shared" ref="BW25:CG42" si="40">+($BT25-$BV25)/11</f>
        <v>125</v>
      </c>
      <c r="BX25" s="82">
        <f t="shared" si="40"/>
        <v>125</v>
      </c>
      <c r="BY25" s="82">
        <f t="shared" si="40"/>
        <v>125</v>
      </c>
      <c r="BZ25" s="82">
        <f t="shared" si="40"/>
        <v>125</v>
      </c>
      <c r="CA25" s="82">
        <f t="shared" si="40"/>
        <v>125</v>
      </c>
      <c r="CB25" s="82">
        <f t="shared" si="40"/>
        <v>125</v>
      </c>
      <c r="CC25" s="82">
        <f t="shared" si="40"/>
        <v>125</v>
      </c>
      <c r="CD25" s="82">
        <f t="shared" si="40"/>
        <v>125</v>
      </c>
      <c r="CE25" s="82">
        <f t="shared" si="40"/>
        <v>125</v>
      </c>
      <c r="CF25" s="82">
        <f t="shared" si="40"/>
        <v>125</v>
      </c>
      <c r="CG25" s="82">
        <f t="shared" si="40"/>
        <v>125</v>
      </c>
      <c r="CH25" s="111">
        <f t="shared" si="24"/>
        <v>2700</v>
      </c>
    </row>
    <row r="26" spans="1:86" s="127" customFormat="1" ht="21" customHeight="1">
      <c r="A26" s="90" t="s">
        <v>60</v>
      </c>
      <c r="B26" s="112" t="s">
        <v>79</v>
      </c>
      <c r="C26" s="112" t="s">
        <v>80</v>
      </c>
      <c r="D26" s="122">
        <v>120</v>
      </c>
      <c r="E26" s="114">
        <f>+VLOOKUP(A26,'PROV.13E MOIS ET BONUS'!$C:$I,7,0)</f>
        <v>2800</v>
      </c>
      <c r="F26" s="128">
        <v>45053</v>
      </c>
      <c r="G26" s="124"/>
      <c r="H26" s="96">
        <f t="shared" si="38"/>
        <v>45292</v>
      </c>
      <c r="I26" s="129"/>
      <c r="J26" s="130"/>
      <c r="K26" s="82">
        <f t="shared" si="10"/>
        <v>1.5833333333333333</v>
      </c>
      <c r="L26" s="82">
        <f t="shared" si="11"/>
        <v>0</v>
      </c>
      <c r="M26" s="99">
        <v>6</v>
      </c>
      <c r="N26" s="100">
        <f t="shared" si="31"/>
        <v>30</v>
      </c>
      <c r="O26" s="123">
        <f t="shared" si="35"/>
        <v>2.5</v>
      </c>
      <c r="P26" s="82">
        <f t="shared" si="35"/>
        <v>2.5</v>
      </c>
      <c r="Q26" s="82">
        <f t="shared" si="35"/>
        <v>2.5</v>
      </c>
      <c r="R26" s="82">
        <f t="shared" si="35"/>
        <v>2.5</v>
      </c>
      <c r="S26" s="82">
        <f t="shared" si="35"/>
        <v>2.5</v>
      </c>
      <c r="T26" s="82">
        <f t="shared" si="35"/>
        <v>2.5</v>
      </c>
      <c r="U26" s="82">
        <f t="shared" si="35"/>
        <v>2.5</v>
      </c>
      <c r="V26" s="82">
        <f t="shared" si="35"/>
        <v>2.5</v>
      </c>
      <c r="W26" s="82">
        <f t="shared" si="35"/>
        <v>2.5</v>
      </c>
      <c r="X26" s="82">
        <f t="shared" si="35"/>
        <v>2.5</v>
      </c>
      <c r="Y26" s="82">
        <f t="shared" si="35"/>
        <v>2.5</v>
      </c>
      <c r="Z26" s="82">
        <f t="shared" si="35"/>
        <v>2.5</v>
      </c>
      <c r="AA26" s="101">
        <f t="shared" si="19"/>
        <v>36</v>
      </c>
      <c r="AB26" s="100">
        <f t="shared" si="32"/>
        <v>4</v>
      </c>
      <c r="AC26" s="102">
        <v>4</v>
      </c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3">
        <f t="shared" si="15"/>
        <v>32</v>
      </c>
      <c r="AP26" s="78"/>
      <c r="AQ26" s="104">
        <v>775</v>
      </c>
      <c r="AR26" s="100">
        <f t="shared" si="36"/>
        <v>3230.76923076923</v>
      </c>
      <c r="AS26" s="105">
        <f t="shared" si="39"/>
        <v>269.23076923076923</v>
      </c>
      <c r="AT26" s="105">
        <f t="shared" si="39"/>
        <v>269.23076923076923</v>
      </c>
      <c r="AU26" s="105">
        <f t="shared" si="39"/>
        <v>269.23076923076923</v>
      </c>
      <c r="AV26" s="82">
        <f t="shared" si="39"/>
        <v>269.23076923076923</v>
      </c>
      <c r="AW26" s="105">
        <f t="shared" si="39"/>
        <v>269.23076923076923</v>
      </c>
      <c r="AX26" s="82">
        <f t="shared" si="39"/>
        <v>269.23076923076923</v>
      </c>
      <c r="AY26" s="82">
        <f t="shared" si="39"/>
        <v>269.23076923076923</v>
      </c>
      <c r="AZ26" s="82">
        <f t="shared" si="39"/>
        <v>269.23076923076923</v>
      </c>
      <c r="BA26" s="82">
        <f t="shared" si="39"/>
        <v>269.23076923076923</v>
      </c>
      <c r="BB26" s="82">
        <f t="shared" si="39"/>
        <v>269.23076923076923</v>
      </c>
      <c r="BC26" s="82">
        <f t="shared" si="39"/>
        <v>269.23076923076923</v>
      </c>
      <c r="BD26" s="82">
        <f t="shared" si="39"/>
        <v>269.23076923076923</v>
      </c>
      <c r="BE26" s="106">
        <f t="shared" si="34"/>
        <v>-430.76923076923077</v>
      </c>
      <c r="BF26" s="82">
        <f t="shared" si="37"/>
        <v>-430.76923076923077</v>
      </c>
      <c r="BG26" s="82">
        <f t="shared" si="37"/>
        <v>0</v>
      </c>
      <c r="BH26" s="82">
        <f t="shared" si="37"/>
        <v>0</v>
      </c>
      <c r="BI26" s="82">
        <f t="shared" si="37"/>
        <v>0</v>
      </c>
      <c r="BJ26" s="82">
        <f t="shared" si="37"/>
        <v>0</v>
      </c>
      <c r="BK26" s="82">
        <f t="shared" si="37"/>
        <v>0</v>
      </c>
      <c r="BL26" s="82">
        <f t="shared" si="37"/>
        <v>0</v>
      </c>
      <c r="BM26" s="82">
        <f t="shared" si="37"/>
        <v>0</v>
      </c>
      <c r="BN26" s="82">
        <f t="shared" si="37"/>
        <v>0</v>
      </c>
      <c r="BO26" s="82">
        <f t="shared" si="37"/>
        <v>0</v>
      </c>
      <c r="BP26" s="82">
        <f t="shared" si="37"/>
        <v>0</v>
      </c>
      <c r="BQ26" s="82">
        <f t="shared" si="37"/>
        <v>0</v>
      </c>
      <c r="BR26" s="107">
        <f t="shared" si="21"/>
        <v>3574.9999999999991</v>
      </c>
      <c r="BS26" s="126"/>
      <c r="BT26" s="109">
        <v>1500</v>
      </c>
      <c r="BU26" s="109">
        <v>1199.9999999999998</v>
      </c>
      <c r="BV26" s="82">
        <f t="shared" si="23"/>
        <v>125</v>
      </c>
      <c r="BW26" s="82">
        <f t="shared" si="40"/>
        <v>125</v>
      </c>
      <c r="BX26" s="82">
        <f t="shared" si="40"/>
        <v>125</v>
      </c>
      <c r="BY26" s="82">
        <f t="shared" si="40"/>
        <v>125</v>
      </c>
      <c r="BZ26" s="82">
        <f t="shared" si="40"/>
        <v>125</v>
      </c>
      <c r="CA26" s="82">
        <f t="shared" si="40"/>
        <v>125</v>
      </c>
      <c r="CB26" s="82">
        <f t="shared" si="40"/>
        <v>125</v>
      </c>
      <c r="CC26" s="82">
        <f t="shared" si="40"/>
        <v>125</v>
      </c>
      <c r="CD26" s="82">
        <f t="shared" si="40"/>
        <v>125</v>
      </c>
      <c r="CE26" s="82">
        <f t="shared" si="40"/>
        <v>125</v>
      </c>
      <c r="CF26" s="82">
        <f t="shared" si="40"/>
        <v>125</v>
      </c>
      <c r="CG26" s="82">
        <f t="shared" si="40"/>
        <v>125</v>
      </c>
      <c r="CH26" s="111">
        <f t="shared" si="24"/>
        <v>2700</v>
      </c>
    </row>
    <row r="27" spans="1:86" s="127" customFormat="1" ht="21" customHeight="1">
      <c r="A27" s="90" t="s">
        <v>210</v>
      </c>
      <c r="B27" s="112" t="s">
        <v>81</v>
      </c>
      <c r="C27" s="112" t="s">
        <v>82</v>
      </c>
      <c r="D27" s="132">
        <v>960</v>
      </c>
      <c r="E27" s="114">
        <f>+VLOOKUP(A27,'PROV.13E MOIS ET BONUS'!$C:$I,7,0)</f>
        <v>2900</v>
      </c>
      <c r="F27" s="128">
        <v>45061</v>
      </c>
      <c r="G27" s="124"/>
      <c r="H27" s="96">
        <f t="shared" si="38"/>
        <v>45292</v>
      </c>
      <c r="I27" s="129"/>
      <c r="J27" s="130"/>
      <c r="K27" s="82">
        <f t="shared" si="10"/>
        <v>1.5833333333333333</v>
      </c>
      <c r="L27" s="82">
        <f t="shared" si="11"/>
        <v>0</v>
      </c>
      <c r="M27" s="99">
        <v>17.50333333333333</v>
      </c>
      <c r="N27" s="100">
        <f t="shared" si="31"/>
        <v>30</v>
      </c>
      <c r="O27" s="123">
        <f t="shared" si="35"/>
        <v>2.5</v>
      </c>
      <c r="P27" s="82">
        <f t="shared" si="35"/>
        <v>2.5</v>
      </c>
      <c r="Q27" s="82">
        <f t="shared" si="35"/>
        <v>2.5</v>
      </c>
      <c r="R27" s="82">
        <f t="shared" si="35"/>
        <v>2.5</v>
      </c>
      <c r="S27" s="82">
        <f t="shared" si="35"/>
        <v>2.5</v>
      </c>
      <c r="T27" s="82">
        <f t="shared" si="35"/>
        <v>2.5</v>
      </c>
      <c r="U27" s="82">
        <f t="shared" si="35"/>
        <v>2.5</v>
      </c>
      <c r="V27" s="82">
        <f t="shared" si="35"/>
        <v>2.5</v>
      </c>
      <c r="W27" s="82">
        <f t="shared" si="35"/>
        <v>2.5</v>
      </c>
      <c r="X27" s="82">
        <f t="shared" si="35"/>
        <v>2.5</v>
      </c>
      <c r="Y27" s="82">
        <f t="shared" si="35"/>
        <v>2.5</v>
      </c>
      <c r="Z27" s="82">
        <f t="shared" si="35"/>
        <v>2.5</v>
      </c>
      <c r="AA27" s="101">
        <f t="shared" si="19"/>
        <v>47.50333333333333</v>
      </c>
      <c r="AB27" s="100">
        <f t="shared" si="32"/>
        <v>0</v>
      </c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3">
        <f t="shared" si="15"/>
        <v>47.50333333333333</v>
      </c>
      <c r="AP27" s="78"/>
      <c r="AQ27" s="104">
        <v>1448.7179487179487</v>
      </c>
      <c r="AR27" s="100">
        <f t="shared" si="36"/>
        <v>3346.1538461538457</v>
      </c>
      <c r="AS27" s="105">
        <f t="shared" si="39"/>
        <v>278.84615384615381</v>
      </c>
      <c r="AT27" s="105">
        <f t="shared" si="39"/>
        <v>278.84615384615381</v>
      </c>
      <c r="AU27" s="105">
        <f t="shared" si="39"/>
        <v>278.84615384615381</v>
      </c>
      <c r="AV27" s="82">
        <f t="shared" si="39"/>
        <v>278.84615384615381</v>
      </c>
      <c r="AW27" s="105">
        <f t="shared" si="39"/>
        <v>278.84615384615381</v>
      </c>
      <c r="AX27" s="82">
        <f t="shared" si="39"/>
        <v>278.84615384615381</v>
      </c>
      <c r="AY27" s="82">
        <f t="shared" si="39"/>
        <v>278.84615384615381</v>
      </c>
      <c r="AZ27" s="82">
        <f t="shared" si="39"/>
        <v>278.84615384615381</v>
      </c>
      <c r="BA27" s="82">
        <f t="shared" si="39"/>
        <v>278.84615384615381</v>
      </c>
      <c r="BB27" s="82">
        <f t="shared" si="39"/>
        <v>278.84615384615381</v>
      </c>
      <c r="BC27" s="82">
        <f t="shared" si="39"/>
        <v>278.84615384615381</v>
      </c>
      <c r="BD27" s="82">
        <f t="shared" si="39"/>
        <v>278.84615384615381</v>
      </c>
      <c r="BE27" s="106">
        <f t="shared" si="34"/>
        <v>0</v>
      </c>
      <c r="BF27" s="82">
        <f t="shared" si="37"/>
        <v>0</v>
      </c>
      <c r="BG27" s="82">
        <f t="shared" si="37"/>
        <v>0</v>
      </c>
      <c r="BH27" s="82">
        <f t="shared" si="37"/>
        <v>0</v>
      </c>
      <c r="BI27" s="82">
        <f t="shared" si="37"/>
        <v>0</v>
      </c>
      <c r="BJ27" s="82">
        <f t="shared" si="37"/>
        <v>0</v>
      </c>
      <c r="BK27" s="82">
        <f t="shared" si="37"/>
        <v>0</v>
      </c>
      <c r="BL27" s="82">
        <f t="shared" si="37"/>
        <v>0</v>
      </c>
      <c r="BM27" s="82">
        <f t="shared" si="37"/>
        <v>0</v>
      </c>
      <c r="BN27" s="82">
        <f t="shared" si="37"/>
        <v>0</v>
      </c>
      <c r="BO27" s="82">
        <f t="shared" si="37"/>
        <v>0</v>
      </c>
      <c r="BP27" s="82">
        <f t="shared" si="37"/>
        <v>0</v>
      </c>
      <c r="BQ27" s="82">
        <f t="shared" si="37"/>
        <v>0</v>
      </c>
      <c r="BR27" s="107">
        <f t="shared" si="21"/>
        <v>4794.8717948717949</v>
      </c>
      <c r="BS27" s="126"/>
      <c r="BT27" s="109">
        <v>3000</v>
      </c>
      <c r="BU27" s="109">
        <v>3000.0000000000005</v>
      </c>
      <c r="BV27" s="82">
        <f t="shared" si="23"/>
        <v>250</v>
      </c>
      <c r="BW27" s="82">
        <f t="shared" si="40"/>
        <v>250</v>
      </c>
      <c r="BX27" s="82">
        <f t="shared" si="40"/>
        <v>250</v>
      </c>
      <c r="BY27" s="82">
        <f t="shared" si="40"/>
        <v>250</v>
      </c>
      <c r="BZ27" s="82">
        <f t="shared" si="40"/>
        <v>250</v>
      </c>
      <c r="CA27" s="82">
        <f t="shared" si="40"/>
        <v>250</v>
      </c>
      <c r="CB27" s="82">
        <f t="shared" si="40"/>
        <v>250</v>
      </c>
      <c r="CC27" s="82">
        <f t="shared" si="40"/>
        <v>250</v>
      </c>
      <c r="CD27" s="82">
        <f t="shared" si="40"/>
        <v>250</v>
      </c>
      <c r="CE27" s="82">
        <f t="shared" si="40"/>
        <v>250</v>
      </c>
      <c r="CF27" s="82">
        <f t="shared" si="40"/>
        <v>250</v>
      </c>
      <c r="CG27" s="82">
        <f t="shared" si="40"/>
        <v>250</v>
      </c>
      <c r="CH27" s="111">
        <f t="shared" si="24"/>
        <v>6000</v>
      </c>
    </row>
    <row r="28" spans="1:86" s="127" customFormat="1" ht="21" customHeight="1" thickBot="1">
      <c r="A28" s="133"/>
      <c r="B28" s="134"/>
      <c r="C28" s="134"/>
      <c r="D28" s="135"/>
      <c r="E28" s="136"/>
      <c r="F28" s="137"/>
      <c r="G28" s="138"/>
      <c r="H28" s="139"/>
      <c r="I28" s="140"/>
      <c r="J28" s="141"/>
      <c r="K28" s="142"/>
      <c r="L28" s="142"/>
      <c r="M28" s="143"/>
      <c r="N28" s="144"/>
      <c r="O28" s="145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6"/>
      <c r="AA28" s="146"/>
      <c r="AB28" s="144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03"/>
      <c r="AP28" s="148"/>
      <c r="AQ28" s="149"/>
      <c r="AR28" s="144"/>
      <c r="AS28" s="150"/>
      <c r="AT28" s="150"/>
      <c r="AU28" s="150"/>
      <c r="AV28" s="142"/>
      <c r="AW28" s="150"/>
      <c r="AX28" s="142"/>
      <c r="AY28" s="142"/>
      <c r="AZ28" s="142"/>
      <c r="BA28" s="142"/>
      <c r="BB28" s="142"/>
      <c r="BC28" s="142"/>
      <c r="BD28" s="142"/>
      <c r="BE28" s="151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52"/>
      <c r="BS28" s="153"/>
      <c r="BT28" s="154"/>
      <c r="BU28" s="154"/>
      <c r="BV28" s="142"/>
      <c r="BW28" s="142"/>
      <c r="BX28" s="142"/>
      <c r="BY28" s="142"/>
      <c r="BZ28" s="142"/>
      <c r="CA28" s="142"/>
      <c r="CB28" s="142"/>
      <c r="CC28" s="142"/>
      <c r="CD28" s="142"/>
      <c r="CE28" s="142"/>
      <c r="CF28" s="142"/>
      <c r="CG28" s="142"/>
      <c r="CH28" s="155"/>
    </row>
    <row r="29" spans="1:86" s="127" customFormat="1" ht="21" customHeight="1">
      <c r="A29" s="157" t="s">
        <v>83</v>
      </c>
      <c r="B29" s="112"/>
      <c r="C29" s="112"/>
      <c r="D29" s="122"/>
      <c r="E29" s="114"/>
      <c r="F29" s="128"/>
      <c r="G29" s="124"/>
      <c r="H29" s="96"/>
      <c r="I29" s="129"/>
      <c r="J29" s="130"/>
      <c r="K29" s="82"/>
      <c r="L29" s="82"/>
      <c r="M29" s="99"/>
      <c r="N29" s="100"/>
      <c r="O29" s="123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118"/>
      <c r="AA29" s="118"/>
      <c r="AB29" s="100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58"/>
      <c r="AP29" s="78"/>
      <c r="AQ29" s="159"/>
      <c r="AR29" s="100"/>
      <c r="AS29" s="105"/>
      <c r="AT29" s="105"/>
      <c r="AU29" s="105"/>
      <c r="AV29" s="82"/>
      <c r="AW29" s="105"/>
      <c r="AX29" s="82"/>
      <c r="AY29" s="82"/>
      <c r="AZ29" s="82"/>
      <c r="BA29" s="82"/>
      <c r="BB29" s="82"/>
      <c r="BC29" s="82"/>
      <c r="BD29" s="82"/>
      <c r="BE29" s="106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107"/>
      <c r="BS29" s="126"/>
      <c r="BT29" s="160"/>
      <c r="BU29" s="160">
        <v>0</v>
      </c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111"/>
    </row>
    <row r="30" spans="1:86" s="112" customFormat="1" ht="21" customHeight="1">
      <c r="A30" s="90" t="s">
        <v>211</v>
      </c>
      <c r="B30" s="112" t="s">
        <v>84</v>
      </c>
      <c r="C30" s="112" t="s">
        <v>85</v>
      </c>
      <c r="D30" s="113">
        <v>120</v>
      </c>
      <c r="E30" s="114">
        <f>+VLOOKUP(A30,'PROV.13E MOIS ET BONUS'!$C:$I,7,0)</f>
        <v>3000</v>
      </c>
      <c r="F30" s="94">
        <v>44075</v>
      </c>
      <c r="G30" s="115">
        <v>45016</v>
      </c>
      <c r="H30" s="96">
        <f t="shared" ref="H30:H32" si="41">+IF(YEAR(F30)&lt;YEAR($O$5),$O$5,F30)</f>
        <v>45292</v>
      </c>
      <c r="I30" s="97"/>
      <c r="J30" s="116"/>
      <c r="K30" s="82">
        <f t="shared" ref="K30:K32" si="42">DATEDIF(F30,$J$1,"m")/12</f>
        <v>4.25</v>
      </c>
      <c r="L30" s="118">
        <f t="shared" ref="L30:L32" si="43">IF(K30&lt;5,0,IF(OR(K30=5,K30&lt;6),1,IF(OR(K30&gt;=6,K30&lt;10),0,IF(OR(K30=10,K30&lt;11),1,IF(OR(K30&gt;=11,K30&lt;15),0,IF(OR(K30=15,K30&lt;16),1,IF(OR(K30&gt;=16,K30&lt;20),0,IF(OR(K30=20,K30&lt;21),1,IF(OR(K30&gt;=21,K30&lt;25),0)))))))))</f>
        <v>0</v>
      </c>
      <c r="M30" s="99">
        <v>2</v>
      </c>
      <c r="N30" s="100">
        <f t="shared" ref="N30" si="44">SUM(O30:Z30)</f>
        <v>0</v>
      </c>
      <c r="O30" s="82">
        <f t="shared" ref="O30:Z31" si="45">+IF(AND(AND(AND($G30="",$K30&gt;=5,$K30&lt;10,MONTH($F30)=MONTH(O$5)))),2.5+1,+IF(AND(AND($K30=5,$G30="",MONTH($F30)=MONTH(O$5))),2.5,+IF(AND(AND(AND($G30="",$K30&gt;=10,$K30&lt;15,MONTH($F30)=MONTH(O$5)))),2.5+2,+IF(AND(AND(AND($G30="",$K30&gt;=15,$K30&lt;20,MONTH($F30)=MONTH(O$5)))),2.5+3,+IF(AND(AND($K30=10,$G30="",MONTH($F30)=MONTH(O$5))),2.5,+IF(AND($H30&gt;O$5,MONTH($H30)=MONTH(O$5)),2.5/30*(O$4-DAY($H30)),+IF(AND(MONTH($H30)&lt;MONTH(O$5),$G30=""),2.5,+IF(AND($H30=$O$5,$G30=""),2.5,IF($G30&lt;O$5,0,IF(MONTH($G30)=MONTH(O$5),2.5/30*($G30-O$5),2.5))))))))))</f>
        <v>0</v>
      </c>
      <c r="P30" s="82">
        <f t="shared" si="45"/>
        <v>0</v>
      </c>
      <c r="Q30" s="82">
        <f t="shared" si="45"/>
        <v>0</v>
      </c>
      <c r="R30" s="82">
        <f t="shared" si="45"/>
        <v>0</v>
      </c>
      <c r="S30" s="82">
        <f t="shared" si="45"/>
        <v>0</v>
      </c>
      <c r="T30" s="82">
        <f t="shared" si="45"/>
        <v>0</v>
      </c>
      <c r="U30" s="82">
        <f t="shared" si="45"/>
        <v>0</v>
      </c>
      <c r="V30" s="82">
        <f t="shared" si="45"/>
        <v>0</v>
      </c>
      <c r="W30" s="82">
        <f t="shared" si="45"/>
        <v>0</v>
      </c>
      <c r="X30" s="82">
        <f t="shared" si="45"/>
        <v>0</v>
      </c>
      <c r="Y30" s="82">
        <f t="shared" si="45"/>
        <v>0</v>
      </c>
      <c r="Z30" s="82">
        <f t="shared" si="45"/>
        <v>0</v>
      </c>
      <c r="AA30" s="101">
        <f t="shared" ref="AA30:AA31" si="46">+M30+N30</f>
        <v>2</v>
      </c>
      <c r="AB30" s="100">
        <f t="shared" ref="AB30" si="47">SUM(AC30:AN30)</f>
        <v>0</v>
      </c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3">
        <f t="shared" ref="AO30:AO32" si="48">+M30+N30-AB30</f>
        <v>2</v>
      </c>
      <c r="AP30" s="78"/>
      <c r="AQ30" s="104">
        <v>76.923076923077133</v>
      </c>
      <c r="AR30" s="119">
        <f t="shared" ref="AR30" si="49">SUM(AS30:BD30)</f>
        <v>0</v>
      </c>
      <c r="AS30" s="105">
        <f t="shared" ref="AS30:BD34" si="50">+IF($I30="",$E30/26*O30,IF(MONTH($I30)=MONTH(AS$5),$J30/26*O30,IF(AND($I30&lt;AS$5,(MONTH($I30)&lt;&gt;MONTH(AS$5))),$J30/26*O30,$E30/26*O30)))</f>
        <v>0</v>
      </c>
      <c r="AT30" s="105">
        <f t="shared" si="50"/>
        <v>0</v>
      </c>
      <c r="AU30" s="105">
        <f t="shared" si="50"/>
        <v>0</v>
      </c>
      <c r="AV30" s="82">
        <f t="shared" si="50"/>
        <v>0</v>
      </c>
      <c r="AW30" s="105">
        <f t="shared" si="50"/>
        <v>0</v>
      </c>
      <c r="AX30" s="82">
        <f t="shared" si="50"/>
        <v>0</v>
      </c>
      <c r="AY30" s="82">
        <f t="shared" si="50"/>
        <v>0</v>
      </c>
      <c r="AZ30" s="82">
        <f t="shared" si="50"/>
        <v>0</v>
      </c>
      <c r="BA30" s="82">
        <f t="shared" si="50"/>
        <v>0</v>
      </c>
      <c r="BB30" s="82">
        <f t="shared" si="50"/>
        <v>0</v>
      </c>
      <c r="BC30" s="82">
        <f t="shared" si="50"/>
        <v>0</v>
      </c>
      <c r="BD30" s="82">
        <f t="shared" si="50"/>
        <v>0</v>
      </c>
      <c r="BE30" s="106">
        <f t="shared" ref="BE30" si="51">SUM(BF30:BQ30)</f>
        <v>0</v>
      </c>
      <c r="BF30" s="82">
        <f t="shared" ref="BF30:BQ34" si="52">(+IF($I30="",$E30/26*AC30,IF(MONTH($I30)=MONTH(BF$5),$J30/26*AC30,IF(AND($I30&lt;BF$5,(MONTH($I30)&lt;&gt;MONTH(BF$5))),$J30/26*AC30,$E30/26*AC30))))*-1</f>
        <v>0</v>
      </c>
      <c r="BG30" s="82">
        <f t="shared" si="52"/>
        <v>0</v>
      </c>
      <c r="BH30" s="82">
        <f t="shared" si="52"/>
        <v>0</v>
      </c>
      <c r="BI30" s="82">
        <f t="shared" si="52"/>
        <v>0</v>
      </c>
      <c r="BJ30" s="82">
        <f t="shared" si="52"/>
        <v>0</v>
      </c>
      <c r="BK30" s="82">
        <f t="shared" si="52"/>
        <v>0</v>
      </c>
      <c r="BL30" s="82">
        <f t="shared" si="52"/>
        <v>0</v>
      </c>
      <c r="BM30" s="82">
        <f t="shared" si="52"/>
        <v>0</v>
      </c>
      <c r="BN30" s="82">
        <f t="shared" si="52"/>
        <v>0</v>
      </c>
      <c r="BO30" s="82">
        <f t="shared" si="52"/>
        <v>0</v>
      </c>
      <c r="BP30" s="82">
        <f t="shared" si="52"/>
        <v>0</v>
      </c>
      <c r="BQ30" s="82">
        <f t="shared" si="52"/>
        <v>0</v>
      </c>
      <c r="BR30" s="107">
        <f t="shared" ref="BR30:BR34" si="53">+AQ30+AR30+BE30</f>
        <v>76.923076923077133</v>
      </c>
      <c r="BS30" s="117"/>
      <c r="BT30" s="109">
        <v>1700</v>
      </c>
      <c r="BU30" s="109">
        <v>3833.333333333333</v>
      </c>
      <c r="BV30" s="161"/>
      <c r="BW30" s="161">
        <f>-BU30</f>
        <v>-3833.333333333333</v>
      </c>
      <c r="BX30" s="161"/>
      <c r="BY30" s="161"/>
      <c r="BZ30" s="161"/>
      <c r="CA30" s="161"/>
      <c r="CB30" s="161"/>
      <c r="CC30" s="161"/>
      <c r="CD30" s="161"/>
      <c r="CE30" s="161"/>
      <c r="CF30" s="161"/>
      <c r="CG30" s="161"/>
      <c r="CH30" s="111">
        <f>+BU30+SUM(BV30:CG30)</f>
        <v>0</v>
      </c>
    </row>
    <row r="31" spans="1:86" s="127" customFormat="1" ht="21" customHeight="1">
      <c r="A31" s="90" t="s">
        <v>212</v>
      </c>
      <c r="B31" s="112" t="s">
        <v>86</v>
      </c>
      <c r="C31" s="112" t="s">
        <v>87</v>
      </c>
      <c r="D31" s="122">
        <v>810</v>
      </c>
      <c r="E31" s="114">
        <f>+VLOOKUP(A31,'PROV.13E MOIS ET BONUS'!$C:$I,7,0)</f>
        <v>3100</v>
      </c>
      <c r="F31" s="128">
        <v>44657</v>
      </c>
      <c r="G31" s="162">
        <v>45016</v>
      </c>
      <c r="H31" s="96">
        <f t="shared" si="41"/>
        <v>45292</v>
      </c>
      <c r="I31" s="129"/>
      <c r="J31" s="130"/>
      <c r="K31" s="82">
        <f t="shared" si="42"/>
        <v>2.6666666666666665</v>
      </c>
      <c r="L31" s="82">
        <f t="shared" si="43"/>
        <v>0</v>
      </c>
      <c r="M31" s="99">
        <v>22.5</v>
      </c>
      <c r="N31" s="100">
        <f>SUM(O31:Z31)</f>
        <v>0</v>
      </c>
      <c r="O31" s="123">
        <f t="shared" si="45"/>
        <v>0</v>
      </c>
      <c r="P31" s="82">
        <f t="shared" si="45"/>
        <v>0</v>
      </c>
      <c r="Q31" s="82">
        <f t="shared" si="45"/>
        <v>0</v>
      </c>
      <c r="R31" s="82">
        <f t="shared" si="45"/>
        <v>0</v>
      </c>
      <c r="S31" s="82">
        <f t="shared" si="45"/>
        <v>0</v>
      </c>
      <c r="T31" s="82">
        <f t="shared" si="45"/>
        <v>0</v>
      </c>
      <c r="U31" s="82">
        <f t="shared" si="45"/>
        <v>0</v>
      </c>
      <c r="V31" s="82">
        <f t="shared" si="45"/>
        <v>0</v>
      </c>
      <c r="W31" s="82">
        <f t="shared" si="45"/>
        <v>0</v>
      </c>
      <c r="X31" s="82">
        <f t="shared" si="45"/>
        <v>0</v>
      </c>
      <c r="Y31" s="82">
        <f t="shared" si="45"/>
        <v>0</v>
      </c>
      <c r="Z31" s="82">
        <f t="shared" si="45"/>
        <v>0</v>
      </c>
      <c r="AA31" s="101">
        <f t="shared" si="46"/>
        <v>22.5</v>
      </c>
      <c r="AB31" s="100">
        <f t="shared" ref="AB31" si="54">SUM(AC31:AN31)</f>
        <v>0</v>
      </c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3">
        <f t="shared" si="48"/>
        <v>22.5</v>
      </c>
      <c r="AP31" s="78"/>
      <c r="AQ31" s="159">
        <v>0</v>
      </c>
      <c r="AR31" s="100">
        <f t="shared" ref="AR31" si="55">SUM(AS31:BD31)</f>
        <v>0</v>
      </c>
      <c r="AS31" s="105">
        <f t="shared" si="50"/>
        <v>0</v>
      </c>
      <c r="AT31" s="105">
        <f t="shared" si="50"/>
        <v>0</v>
      </c>
      <c r="AU31" s="105">
        <f t="shared" si="50"/>
        <v>0</v>
      </c>
      <c r="AV31" s="82">
        <f t="shared" si="50"/>
        <v>0</v>
      </c>
      <c r="AW31" s="105">
        <f t="shared" si="50"/>
        <v>0</v>
      </c>
      <c r="AX31" s="82">
        <f t="shared" si="50"/>
        <v>0</v>
      </c>
      <c r="AY31" s="82">
        <f t="shared" si="50"/>
        <v>0</v>
      </c>
      <c r="AZ31" s="82">
        <f t="shared" si="50"/>
        <v>0</v>
      </c>
      <c r="BA31" s="82">
        <f t="shared" si="50"/>
        <v>0</v>
      </c>
      <c r="BB31" s="82">
        <f t="shared" si="50"/>
        <v>0</v>
      </c>
      <c r="BC31" s="82">
        <f t="shared" si="50"/>
        <v>0</v>
      </c>
      <c r="BD31" s="82">
        <f t="shared" si="50"/>
        <v>0</v>
      </c>
      <c r="BE31" s="106">
        <f t="shared" ref="BE31" si="56">SUM(BF31:BQ31)</f>
        <v>0</v>
      </c>
      <c r="BF31" s="82">
        <f t="shared" si="52"/>
        <v>0</v>
      </c>
      <c r="BG31" s="82">
        <f t="shared" si="52"/>
        <v>0</v>
      </c>
      <c r="BH31" s="82">
        <f t="shared" si="52"/>
        <v>0</v>
      </c>
      <c r="BI31" s="82">
        <f t="shared" si="52"/>
        <v>0</v>
      </c>
      <c r="BJ31" s="82">
        <f t="shared" si="52"/>
        <v>0</v>
      </c>
      <c r="BK31" s="82">
        <f t="shared" si="52"/>
        <v>0</v>
      </c>
      <c r="BL31" s="82">
        <f t="shared" si="52"/>
        <v>0</v>
      </c>
      <c r="BM31" s="82">
        <f t="shared" si="52"/>
        <v>0</v>
      </c>
      <c r="BN31" s="82">
        <f t="shared" si="52"/>
        <v>0</v>
      </c>
      <c r="BO31" s="82">
        <f t="shared" si="52"/>
        <v>0</v>
      </c>
      <c r="BP31" s="82">
        <f t="shared" si="52"/>
        <v>0</v>
      </c>
      <c r="BQ31" s="82">
        <f t="shared" si="52"/>
        <v>0</v>
      </c>
      <c r="BR31" s="107">
        <f t="shared" si="53"/>
        <v>0</v>
      </c>
      <c r="BS31" s="126"/>
      <c r="BT31" s="109">
        <v>3000</v>
      </c>
      <c r="BU31" s="109">
        <v>3193.181818181818</v>
      </c>
      <c r="BV31" s="161"/>
      <c r="BW31" s="161">
        <f t="shared" ref="BW31:BW34" si="57">-BU31</f>
        <v>-3193.181818181818</v>
      </c>
      <c r="BX31" s="161"/>
      <c r="BY31" s="161"/>
      <c r="BZ31" s="161"/>
      <c r="CA31" s="161"/>
      <c r="CB31" s="161"/>
      <c r="CC31" s="161"/>
      <c r="CD31" s="161"/>
      <c r="CE31" s="161"/>
      <c r="CF31" s="161"/>
      <c r="CG31" s="161"/>
      <c r="CH31" s="111">
        <f>+BU31+SUM(BV31:CG31)</f>
        <v>0</v>
      </c>
    </row>
    <row r="32" spans="1:86" s="112" customFormat="1" ht="21" customHeight="1">
      <c r="A32" s="90" t="s">
        <v>213</v>
      </c>
      <c r="B32" s="112" t="s">
        <v>88</v>
      </c>
      <c r="C32" s="112" t="s">
        <v>89</v>
      </c>
      <c r="D32" s="122">
        <v>810</v>
      </c>
      <c r="E32" s="114">
        <f>+VLOOKUP(A32,'PROV.13E MOIS ET BONUS'!$C:$I,7,0)</f>
        <v>3200</v>
      </c>
      <c r="F32" s="121"/>
      <c r="G32" s="115"/>
      <c r="H32" s="96">
        <f t="shared" si="41"/>
        <v>45292</v>
      </c>
      <c r="I32" s="97"/>
      <c r="J32" s="116"/>
      <c r="K32" s="82">
        <f t="shared" si="42"/>
        <v>124.91666666666667</v>
      </c>
      <c r="L32" s="82">
        <f t="shared" si="43"/>
        <v>0</v>
      </c>
      <c r="M32" s="99"/>
      <c r="N32" s="100">
        <f t="shared" ref="N32" si="58">SUM(O32:Z32)</f>
        <v>0</v>
      </c>
      <c r="O32" s="123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118"/>
      <c r="AA32" s="118"/>
      <c r="AB32" s="100">
        <f t="shared" ref="AB32" si="59">SUM(AC32:AN32)</f>
        <v>0</v>
      </c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3">
        <f t="shared" si="48"/>
        <v>0</v>
      </c>
      <c r="AP32" s="78"/>
      <c r="AQ32" s="104"/>
      <c r="AR32" s="100">
        <f t="shared" ref="AR32" si="60">SUM(AS32:BD32)</f>
        <v>0</v>
      </c>
      <c r="AS32" s="105">
        <f t="shared" si="50"/>
        <v>0</v>
      </c>
      <c r="AT32" s="105">
        <f t="shared" si="50"/>
        <v>0</v>
      </c>
      <c r="AU32" s="105">
        <f t="shared" si="50"/>
        <v>0</v>
      </c>
      <c r="AV32" s="82">
        <f t="shared" si="50"/>
        <v>0</v>
      </c>
      <c r="AW32" s="105">
        <f t="shared" si="50"/>
        <v>0</v>
      </c>
      <c r="AX32" s="82">
        <f t="shared" si="50"/>
        <v>0</v>
      </c>
      <c r="AY32" s="82">
        <f t="shared" si="50"/>
        <v>0</v>
      </c>
      <c r="AZ32" s="82">
        <f t="shared" si="50"/>
        <v>0</v>
      </c>
      <c r="BA32" s="82">
        <f t="shared" si="50"/>
        <v>0</v>
      </c>
      <c r="BB32" s="82">
        <f t="shared" si="50"/>
        <v>0</v>
      </c>
      <c r="BC32" s="82">
        <f t="shared" si="50"/>
        <v>0</v>
      </c>
      <c r="BD32" s="82">
        <f t="shared" si="50"/>
        <v>0</v>
      </c>
      <c r="BE32" s="106">
        <f t="shared" ref="BE32" si="61">SUM(BF32:BQ32)</f>
        <v>0</v>
      </c>
      <c r="BF32" s="82">
        <f t="shared" si="52"/>
        <v>0</v>
      </c>
      <c r="BG32" s="82">
        <f t="shared" si="52"/>
        <v>0</v>
      </c>
      <c r="BH32" s="82">
        <f t="shared" si="52"/>
        <v>0</v>
      </c>
      <c r="BI32" s="82">
        <f t="shared" si="52"/>
        <v>0</v>
      </c>
      <c r="BJ32" s="82">
        <f t="shared" si="52"/>
        <v>0</v>
      </c>
      <c r="BK32" s="82">
        <v>0</v>
      </c>
      <c r="BL32" s="82">
        <v>0</v>
      </c>
      <c r="BM32" s="82">
        <f t="shared" si="52"/>
        <v>0</v>
      </c>
      <c r="BN32" s="82">
        <f t="shared" si="52"/>
        <v>0</v>
      </c>
      <c r="BO32" s="82">
        <f t="shared" si="52"/>
        <v>0</v>
      </c>
      <c r="BP32" s="82">
        <f t="shared" si="52"/>
        <v>0</v>
      </c>
      <c r="BQ32" s="82">
        <f t="shared" si="52"/>
        <v>0</v>
      </c>
      <c r="BR32" s="107">
        <f t="shared" si="53"/>
        <v>0</v>
      </c>
      <c r="BS32" s="117"/>
      <c r="BT32" s="109"/>
      <c r="BU32" s="163">
        <v>860.20333333333383</v>
      </c>
      <c r="BV32" s="161"/>
      <c r="BW32" s="161">
        <f t="shared" si="57"/>
        <v>-860.20333333333383</v>
      </c>
      <c r="BX32" s="161"/>
      <c r="BY32" s="161"/>
      <c r="BZ32" s="161"/>
      <c r="CA32" s="161"/>
      <c r="CB32" s="161"/>
      <c r="CC32" s="161"/>
      <c r="CD32" s="161"/>
      <c r="CE32" s="161"/>
      <c r="CF32" s="161"/>
      <c r="CG32" s="161"/>
      <c r="CH32" s="111">
        <f>+BU32+SUM(BV32:CG32)</f>
        <v>0</v>
      </c>
    </row>
    <row r="33" spans="1:86" s="127" customFormat="1" ht="21" customHeight="1">
      <c r="A33" s="90" t="s">
        <v>214</v>
      </c>
      <c r="B33" s="112" t="s">
        <v>90</v>
      </c>
      <c r="C33" s="112" t="s">
        <v>91</v>
      </c>
      <c r="D33" s="122">
        <v>650</v>
      </c>
      <c r="E33" s="114">
        <f>+VLOOKUP(A33,'PROV.13E MOIS ET BONUS'!$C:$I,7,0)</f>
        <v>3300</v>
      </c>
      <c r="F33" s="128">
        <v>44264</v>
      </c>
      <c r="G33" s="162">
        <v>44777</v>
      </c>
      <c r="H33" s="96">
        <f>+IF(YEAR(F33)&lt;YEAR($O$5),$O$5,F33)</f>
        <v>45292</v>
      </c>
      <c r="I33" s="129"/>
      <c r="J33" s="130"/>
      <c r="K33" s="82">
        <f>DATEDIF(F33,$J$1,"m")/12</f>
        <v>3.75</v>
      </c>
      <c r="L33" s="82">
        <f>IF(K33&lt;5,0,IF(OR(K33=5,K33&lt;6),1,IF(OR(K33&gt;=6,K33&lt;10),0,IF(OR(K33=10,K33&lt;11),1,IF(OR(K33&gt;=11,K33&lt;15),0,IF(OR(K33=15,K33&lt;16),1,IF(OR(K33&gt;=16,K33&lt;20),0,IF(OR(K33=20,K33&lt;21),1,IF(OR(K33&gt;=21,K33&lt;25),0)))))))))</f>
        <v>0</v>
      </c>
      <c r="M33" s="99"/>
      <c r="N33" s="100">
        <f>SUM(O33:Z33)</f>
        <v>0</v>
      </c>
      <c r="O33" s="123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118"/>
      <c r="AA33" s="118"/>
      <c r="AB33" s="100">
        <f>SUM(AC33:AN33)</f>
        <v>0</v>
      </c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3">
        <f>+M33+N33-AB33</f>
        <v>0</v>
      </c>
      <c r="AP33" s="78"/>
      <c r="AQ33" s="159"/>
      <c r="AR33" s="100">
        <f>SUM(AS33:BD33)</f>
        <v>0</v>
      </c>
      <c r="AS33" s="105">
        <f t="shared" si="50"/>
        <v>0</v>
      </c>
      <c r="AT33" s="105">
        <f t="shared" si="50"/>
        <v>0</v>
      </c>
      <c r="AU33" s="105">
        <f t="shared" si="50"/>
        <v>0</v>
      </c>
      <c r="AV33" s="82">
        <f t="shared" si="50"/>
        <v>0</v>
      </c>
      <c r="AW33" s="105">
        <f t="shared" si="50"/>
        <v>0</v>
      </c>
      <c r="AX33" s="82">
        <f t="shared" si="50"/>
        <v>0</v>
      </c>
      <c r="AY33" s="82">
        <f t="shared" si="50"/>
        <v>0</v>
      </c>
      <c r="AZ33" s="82">
        <f t="shared" si="50"/>
        <v>0</v>
      </c>
      <c r="BA33" s="82">
        <f t="shared" si="50"/>
        <v>0</v>
      </c>
      <c r="BB33" s="82">
        <f t="shared" si="50"/>
        <v>0</v>
      </c>
      <c r="BC33" s="82">
        <f t="shared" si="50"/>
        <v>0</v>
      </c>
      <c r="BD33" s="82">
        <f t="shared" si="50"/>
        <v>0</v>
      </c>
      <c r="BE33" s="106">
        <f>SUM(BF33:BQ33)</f>
        <v>0</v>
      </c>
      <c r="BF33" s="82">
        <f t="shared" si="52"/>
        <v>0</v>
      </c>
      <c r="BG33" s="82">
        <f t="shared" si="52"/>
        <v>0</v>
      </c>
      <c r="BH33" s="82">
        <f t="shared" si="52"/>
        <v>0</v>
      </c>
      <c r="BI33" s="82">
        <f t="shared" si="52"/>
        <v>0</v>
      </c>
      <c r="BJ33" s="82">
        <f t="shared" si="52"/>
        <v>0</v>
      </c>
      <c r="BK33" s="82">
        <f>(+IF($I33="",$E33/26*AH33,IF(MONTH($I33)=MONTH(BK$5),$J33/26*AH33,IF(AND($I33&lt;BK$5,(MONTH($I33)&lt;&gt;MONTH(BK$5))),$J33/26*AH33,$E33/26*AH33))))*-1</f>
        <v>0</v>
      </c>
      <c r="BL33" s="82">
        <f>(+IF($I33="",$E33/26*AI33,IF(MONTH($I33)=MONTH(BL$5),$J33/26*AI33,IF(AND($I33&lt;BL$5,(MONTH($I33)&lt;&gt;MONTH(BL$5))),$J33/26*AI33,$E33/26*AI33))))*-1</f>
        <v>0</v>
      </c>
      <c r="BM33" s="82">
        <f t="shared" si="52"/>
        <v>0</v>
      </c>
      <c r="BN33" s="82">
        <f t="shared" si="52"/>
        <v>0</v>
      </c>
      <c r="BO33" s="82">
        <f t="shared" si="52"/>
        <v>0</v>
      </c>
      <c r="BP33" s="82">
        <f t="shared" si="52"/>
        <v>0</v>
      </c>
      <c r="BQ33" s="82">
        <f t="shared" si="52"/>
        <v>0</v>
      </c>
      <c r="BR33" s="107">
        <f t="shared" si="53"/>
        <v>0</v>
      </c>
      <c r="BS33" s="126"/>
      <c r="BT33" s="109"/>
      <c r="BU33" s="163">
        <v>400.07000000000005</v>
      </c>
      <c r="BV33" s="161"/>
      <c r="BW33" s="161">
        <f t="shared" si="57"/>
        <v>-400.07000000000005</v>
      </c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11">
        <f>+BU33+SUM(BV33:CG33)</f>
        <v>0</v>
      </c>
    </row>
    <row r="34" spans="1:86" s="112" customFormat="1" ht="21" customHeight="1">
      <c r="A34" s="90" t="s">
        <v>215</v>
      </c>
      <c r="B34" s="112" t="s">
        <v>92</v>
      </c>
      <c r="C34" s="112" t="s">
        <v>93</v>
      </c>
      <c r="D34" s="122">
        <v>290</v>
      </c>
      <c r="E34" s="114">
        <f>+VLOOKUP(A34,'PROV.13E MOIS ET BONUS'!$C:$I,7,0)</f>
        <v>14600</v>
      </c>
      <c r="F34" s="121"/>
      <c r="G34" s="115"/>
      <c r="H34" s="96">
        <f>+IF(YEAR(F34)&lt;YEAR($O$5),$O$5,F34)</f>
        <v>45292</v>
      </c>
      <c r="I34" s="97"/>
      <c r="J34" s="116"/>
      <c r="K34" s="82">
        <f>DATEDIF(F34,$J$1,"m")/12</f>
        <v>124.91666666666667</v>
      </c>
      <c r="L34" s="82">
        <f>IF(K34&lt;5,0,IF(OR(K34=5,K34&lt;6),1,IF(OR(K34&gt;=6,K34&lt;10),0,IF(OR(K34=10,K34&lt;11),1,IF(OR(K34&gt;=11,K34&lt;15),0,IF(OR(K34=15,K34&lt;16),1,IF(OR(K34&gt;=16,K34&lt;20),0,IF(OR(K34=20,K34&lt;21),1,IF(OR(K34&gt;=21,K34&lt;25),0)))))))))</f>
        <v>0</v>
      </c>
      <c r="M34" s="99"/>
      <c r="N34" s="100">
        <f>SUM(O34:Z34)</f>
        <v>0</v>
      </c>
      <c r="O34" s="123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118"/>
      <c r="AA34" s="118"/>
      <c r="AB34" s="100">
        <f>SUM(AC34:AN34)</f>
        <v>0</v>
      </c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3">
        <f>+M34+N34-AB34</f>
        <v>0</v>
      </c>
      <c r="AP34" s="78"/>
      <c r="AQ34" s="104"/>
      <c r="AR34" s="100">
        <f>SUM(AS34:BD34)</f>
        <v>0</v>
      </c>
      <c r="AS34" s="105">
        <f t="shared" si="50"/>
        <v>0</v>
      </c>
      <c r="AT34" s="105">
        <f t="shared" si="50"/>
        <v>0</v>
      </c>
      <c r="AU34" s="105">
        <f t="shared" si="50"/>
        <v>0</v>
      </c>
      <c r="AV34" s="82">
        <f t="shared" si="50"/>
        <v>0</v>
      </c>
      <c r="AW34" s="105">
        <f t="shared" si="50"/>
        <v>0</v>
      </c>
      <c r="AX34" s="82">
        <f t="shared" si="50"/>
        <v>0</v>
      </c>
      <c r="AY34" s="82">
        <f t="shared" si="50"/>
        <v>0</v>
      </c>
      <c r="AZ34" s="82">
        <f t="shared" si="50"/>
        <v>0</v>
      </c>
      <c r="BA34" s="82">
        <f t="shared" si="50"/>
        <v>0</v>
      </c>
      <c r="BB34" s="82">
        <f t="shared" si="50"/>
        <v>0</v>
      </c>
      <c r="BC34" s="82">
        <f t="shared" si="50"/>
        <v>0</v>
      </c>
      <c r="BD34" s="82">
        <f t="shared" si="50"/>
        <v>0</v>
      </c>
      <c r="BE34" s="106">
        <f>SUM(BF34:BQ34)</f>
        <v>0</v>
      </c>
      <c r="BF34" s="82">
        <f t="shared" si="52"/>
        <v>0</v>
      </c>
      <c r="BG34" s="82">
        <f t="shared" si="52"/>
        <v>0</v>
      </c>
      <c r="BH34" s="82">
        <f t="shared" si="52"/>
        <v>0</v>
      </c>
      <c r="BI34" s="82">
        <f t="shared" si="52"/>
        <v>0</v>
      </c>
      <c r="BJ34" s="82">
        <f t="shared" si="52"/>
        <v>0</v>
      </c>
      <c r="BK34" s="82">
        <f>(+IF($I34="",$E34/26*AH34,IF(MONTH($I34)=MONTH(BK$5),$J34/26*AH34,IF(AND($I34&lt;BK$5,(MONTH($I34)&lt;&gt;MONTH(BK$5))),$J34/26*AH34,$E34/26*AH34))))*-1</f>
        <v>0</v>
      </c>
      <c r="BL34" s="82">
        <f>(+IF($I34="",$E34/26*AI34,IF(MONTH($I34)=MONTH(BL$5),$J34/26*AI34,IF(AND($I34&lt;BL$5,(MONTH($I34)&lt;&gt;MONTH(BL$5))),$J34/26*AI34,$E34/26*AI34))))*-1</f>
        <v>0</v>
      </c>
      <c r="BM34" s="82">
        <f t="shared" si="52"/>
        <v>0</v>
      </c>
      <c r="BN34" s="82">
        <f t="shared" si="52"/>
        <v>0</v>
      </c>
      <c r="BO34" s="82">
        <f t="shared" si="52"/>
        <v>0</v>
      </c>
      <c r="BP34" s="82">
        <f t="shared" si="52"/>
        <v>0</v>
      </c>
      <c r="BQ34" s="82">
        <f t="shared" si="52"/>
        <v>0</v>
      </c>
      <c r="BR34" s="107">
        <f t="shared" si="53"/>
        <v>0</v>
      </c>
      <c r="BS34" s="117"/>
      <c r="BT34" s="109"/>
      <c r="BU34" s="163">
        <v>1500</v>
      </c>
      <c r="BV34" s="161"/>
      <c r="BW34" s="161">
        <f t="shared" si="57"/>
        <v>-1500</v>
      </c>
      <c r="BX34" s="161"/>
      <c r="BY34" s="161"/>
      <c r="BZ34" s="161"/>
      <c r="CA34" s="161"/>
      <c r="CB34" s="161"/>
      <c r="CC34" s="161"/>
      <c r="CD34" s="161"/>
      <c r="CE34" s="161"/>
      <c r="CF34" s="161"/>
      <c r="CG34" s="161"/>
      <c r="CH34" s="111">
        <f>+BU34+SUM(BV34:CG34)</f>
        <v>0</v>
      </c>
    </row>
    <row r="35" spans="1:86" s="112" customFormat="1" ht="21" customHeight="1" thickBot="1">
      <c r="A35" s="134"/>
      <c r="B35" s="134"/>
      <c r="C35" s="134"/>
      <c r="D35" s="164"/>
      <c r="E35" s="136"/>
      <c r="F35" s="165"/>
      <c r="G35" s="165"/>
      <c r="H35" s="139"/>
      <c r="I35" s="139"/>
      <c r="J35" s="136"/>
      <c r="K35" s="142"/>
      <c r="L35" s="142"/>
      <c r="M35" s="143"/>
      <c r="N35" s="144"/>
      <c r="O35" s="145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6"/>
      <c r="AA35" s="146"/>
      <c r="AB35" s="144"/>
      <c r="AC35" s="166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67"/>
      <c r="AP35" s="78"/>
      <c r="AQ35" s="149"/>
      <c r="AR35" s="144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51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52"/>
      <c r="BS35" s="168"/>
      <c r="BT35" s="154"/>
      <c r="BU35" s="154"/>
      <c r="BV35" s="142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55"/>
    </row>
    <row r="36" spans="1:86" s="182" customFormat="1" ht="21" customHeight="1" thickBot="1">
      <c r="A36" s="169"/>
      <c r="B36" s="170"/>
      <c r="C36" s="170"/>
      <c r="D36" s="156"/>
      <c r="E36" s="136"/>
      <c r="F36" s="171"/>
      <c r="G36" s="172"/>
      <c r="H36" s="173"/>
      <c r="I36" s="174"/>
      <c r="J36" s="175"/>
      <c r="K36" s="146"/>
      <c r="L36" s="146"/>
      <c r="M36" s="143"/>
      <c r="N36" s="144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4"/>
      <c r="AC36" s="147" t="s">
        <v>42</v>
      </c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67"/>
      <c r="AP36" s="176"/>
      <c r="AQ36" s="177"/>
      <c r="AR36" s="144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106"/>
      <c r="BF36" s="178"/>
      <c r="BG36" s="178"/>
      <c r="BH36" s="178"/>
      <c r="BI36" s="178"/>
      <c r="BJ36" s="178"/>
      <c r="BK36" s="178"/>
      <c r="BL36" s="178"/>
      <c r="BM36" s="178"/>
      <c r="BN36" s="178"/>
      <c r="BO36" s="178"/>
      <c r="BP36" s="178"/>
      <c r="BQ36" s="178"/>
      <c r="BR36" s="107"/>
      <c r="BS36" s="179"/>
      <c r="BT36" s="154"/>
      <c r="BU36" s="180"/>
      <c r="BV36" s="142"/>
      <c r="BW36" s="142"/>
      <c r="BX36" s="142"/>
      <c r="BY36" s="142"/>
      <c r="BZ36" s="142"/>
      <c r="CA36" s="142"/>
      <c r="CB36" s="181"/>
      <c r="CC36" s="142"/>
      <c r="CD36" s="142"/>
      <c r="CE36" s="142"/>
      <c r="CF36" s="142"/>
      <c r="CG36" s="142"/>
      <c r="CH36" s="155"/>
    </row>
    <row r="37" spans="1:86" s="92" customFormat="1" ht="27" customHeight="1" thickBot="1">
      <c r="E37" s="183">
        <f>SUM(E8:E36)</f>
        <v>66200</v>
      </c>
      <c r="F37" s="94"/>
      <c r="G37" s="94"/>
      <c r="H37" s="94"/>
      <c r="I37" s="94"/>
      <c r="J37" s="89"/>
      <c r="K37" s="184"/>
      <c r="L37" s="184"/>
      <c r="M37" s="185">
        <f t="shared" ref="M37:Z37" si="62">SUM(M8:M36)</f>
        <v>445.45666666666665</v>
      </c>
      <c r="N37" s="186">
        <f t="shared" si="62"/>
        <v>617</v>
      </c>
      <c r="O37" s="187">
        <f t="shared" si="62"/>
        <v>50</v>
      </c>
      <c r="P37" s="187">
        <f t="shared" si="62"/>
        <v>50</v>
      </c>
      <c r="Q37" s="187">
        <f t="shared" si="62"/>
        <v>50</v>
      </c>
      <c r="R37" s="187">
        <f t="shared" si="62"/>
        <v>52</v>
      </c>
      <c r="S37" s="187">
        <f t="shared" si="62"/>
        <v>50</v>
      </c>
      <c r="T37" s="187">
        <f t="shared" si="62"/>
        <v>54</v>
      </c>
      <c r="U37" s="187">
        <f t="shared" si="62"/>
        <v>51</v>
      </c>
      <c r="V37" s="187">
        <f t="shared" si="62"/>
        <v>51</v>
      </c>
      <c r="W37" s="187">
        <f t="shared" si="62"/>
        <v>51</v>
      </c>
      <c r="X37" s="187">
        <f t="shared" si="62"/>
        <v>56</v>
      </c>
      <c r="Y37" s="187">
        <f t="shared" si="62"/>
        <v>51</v>
      </c>
      <c r="Z37" s="188">
        <f t="shared" si="62"/>
        <v>51</v>
      </c>
      <c r="AA37" s="188"/>
      <c r="AB37" s="188">
        <f t="shared" ref="AB37:AO37" si="63">SUM(AB8:AB36)</f>
        <v>48</v>
      </c>
      <c r="AC37" s="189">
        <f t="shared" si="63"/>
        <v>30</v>
      </c>
      <c r="AD37" s="189">
        <f t="shared" si="63"/>
        <v>18</v>
      </c>
      <c r="AE37" s="189">
        <f t="shared" si="63"/>
        <v>0</v>
      </c>
      <c r="AF37" s="189">
        <f t="shared" si="63"/>
        <v>0</v>
      </c>
      <c r="AG37" s="189">
        <f t="shared" si="63"/>
        <v>0</v>
      </c>
      <c r="AH37" s="189">
        <f t="shared" si="63"/>
        <v>0</v>
      </c>
      <c r="AI37" s="189">
        <f t="shared" si="63"/>
        <v>0</v>
      </c>
      <c r="AJ37" s="189">
        <f t="shared" si="63"/>
        <v>0</v>
      </c>
      <c r="AK37" s="189">
        <f t="shared" si="63"/>
        <v>0</v>
      </c>
      <c r="AL37" s="189">
        <f t="shared" si="63"/>
        <v>0</v>
      </c>
      <c r="AM37" s="189">
        <f t="shared" si="63"/>
        <v>0</v>
      </c>
      <c r="AN37" s="189">
        <f t="shared" si="63"/>
        <v>0</v>
      </c>
      <c r="AO37" s="190">
        <f t="shared" si="63"/>
        <v>1014.4566666666667</v>
      </c>
      <c r="AP37" s="191"/>
      <c r="AQ37" s="192">
        <v>104725.83</v>
      </c>
      <c r="AR37" s="193">
        <f t="shared" ref="AR37:BR37" si="64">SUM(AR8:AR36)</f>
        <v>51796.153846153837</v>
      </c>
      <c r="AS37" s="194">
        <f t="shared" si="64"/>
        <v>4221.1538461538457</v>
      </c>
      <c r="AT37" s="194">
        <f t="shared" si="64"/>
        <v>4221.1538461538457</v>
      </c>
      <c r="AU37" s="194">
        <f t="shared" si="64"/>
        <v>4221.1538461538457</v>
      </c>
      <c r="AV37" s="194">
        <f t="shared" si="64"/>
        <v>4367.3076923076924</v>
      </c>
      <c r="AW37" s="194">
        <f t="shared" si="64"/>
        <v>4221.1538461538457</v>
      </c>
      <c r="AX37" s="194">
        <f t="shared" si="64"/>
        <v>4398.0769230769238</v>
      </c>
      <c r="AY37" s="194">
        <f t="shared" si="64"/>
        <v>4275</v>
      </c>
      <c r="AZ37" s="194">
        <f t="shared" si="64"/>
        <v>4367.3076923076924</v>
      </c>
      <c r="BA37" s="194">
        <f t="shared" si="64"/>
        <v>4278.8461538461543</v>
      </c>
      <c r="BB37" s="194">
        <f t="shared" si="64"/>
        <v>4613.461538461539</v>
      </c>
      <c r="BC37" s="194">
        <f t="shared" si="64"/>
        <v>4282.6923076923085</v>
      </c>
      <c r="BD37" s="195">
        <f t="shared" si="64"/>
        <v>4328.8461538461543</v>
      </c>
      <c r="BE37" s="196">
        <f t="shared" si="64"/>
        <v>-3453.8461538461538</v>
      </c>
      <c r="BF37" s="194">
        <f t="shared" si="64"/>
        <v>-2261.5384615384619</v>
      </c>
      <c r="BG37" s="194">
        <f t="shared" si="64"/>
        <v>-1192.3076923076924</v>
      </c>
      <c r="BH37" s="194">
        <f t="shared" si="64"/>
        <v>0</v>
      </c>
      <c r="BI37" s="194">
        <f t="shared" si="64"/>
        <v>0</v>
      </c>
      <c r="BJ37" s="194">
        <f t="shared" si="64"/>
        <v>0</v>
      </c>
      <c r="BK37" s="194">
        <f t="shared" si="64"/>
        <v>0</v>
      </c>
      <c r="BL37" s="194">
        <f t="shared" si="64"/>
        <v>0</v>
      </c>
      <c r="BM37" s="194">
        <f t="shared" si="64"/>
        <v>0</v>
      </c>
      <c r="BN37" s="194">
        <f t="shared" si="64"/>
        <v>0</v>
      </c>
      <c r="BO37" s="194">
        <f t="shared" si="64"/>
        <v>0</v>
      </c>
      <c r="BP37" s="194">
        <f t="shared" si="64"/>
        <v>0</v>
      </c>
      <c r="BQ37" s="194">
        <f t="shared" si="64"/>
        <v>0</v>
      </c>
      <c r="BR37" s="197">
        <f t="shared" si="64"/>
        <v>202484.93184615381</v>
      </c>
      <c r="BS37" s="198"/>
      <c r="BT37" s="199"/>
      <c r="BU37" s="199">
        <f t="shared" ref="BU37:CH37" si="65">SUM(BU8:BU36)</f>
        <v>97743.819734848497</v>
      </c>
      <c r="BV37" s="200">
        <f t="shared" si="65"/>
        <v>3625</v>
      </c>
      <c r="BW37" s="200">
        <f>SUM(BW8:BW36)</f>
        <v>-6161.7884848484846</v>
      </c>
      <c r="BX37" s="200">
        <f t="shared" si="65"/>
        <v>3625</v>
      </c>
      <c r="BY37" s="200">
        <f t="shared" si="65"/>
        <v>3625</v>
      </c>
      <c r="BZ37" s="200">
        <f t="shared" si="65"/>
        <v>3625</v>
      </c>
      <c r="CA37" s="200">
        <f t="shared" si="65"/>
        <v>3625</v>
      </c>
      <c r="CB37" s="200">
        <f t="shared" si="65"/>
        <v>3625</v>
      </c>
      <c r="CC37" s="200">
        <f t="shared" si="65"/>
        <v>3625</v>
      </c>
      <c r="CD37" s="200">
        <f t="shared" si="65"/>
        <v>3625</v>
      </c>
      <c r="CE37" s="200">
        <f t="shared" si="65"/>
        <v>3625</v>
      </c>
      <c r="CF37" s="200">
        <f t="shared" si="65"/>
        <v>3625</v>
      </c>
      <c r="CG37" s="200">
        <f t="shared" si="65"/>
        <v>3625</v>
      </c>
      <c r="CH37" s="201">
        <f t="shared" si="65"/>
        <v>128457.03125</v>
      </c>
    </row>
    <row r="38" spans="1:86" s="92" customFormat="1" ht="30.95" customHeight="1" thickBot="1">
      <c r="E38" s="89"/>
      <c r="F38" s="94"/>
      <c r="G38" s="94"/>
      <c r="H38" s="94"/>
      <c r="I38" s="94"/>
      <c r="J38" s="89"/>
      <c r="K38" s="184"/>
      <c r="L38" s="184"/>
      <c r="M38" s="176"/>
      <c r="N38" s="176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O38" s="202"/>
      <c r="AP38" s="108"/>
      <c r="AQ38" s="203"/>
      <c r="AR38" s="204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  <c r="BD38" s="205"/>
      <c r="BE38" s="202"/>
      <c r="BF38" s="205"/>
      <c r="BG38" s="205"/>
      <c r="BH38" s="205"/>
      <c r="BI38" s="205"/>
      <c r="BJ38" s="205"/>
      <c r="BK38" s="205"/>
      <c r="BL38" s="205"/>
      <c r="BM38" s="205"/>
      <c r="BN38" s="205"/>
      <c r="BO38" s="205"/>
      <c r="BP38" s="205"/>
      <c r="BQ38" s="205"/>
      <c r="BR38" s="206"/>
      <c r="BS38" s="207"/>
      <c r="BT38" s="208"/>
      <c r="BU38" s="209"/>
      <c r="BV38" s="205"/>
      <c r="BW38" s="205"/>
      <c r="BX38" s="205"/>
      <c r="BY38" s="205"/>
      <c r="BZ38" s="205"/>
      <c r="CA38" s="205"/>
      <c r="CB38" s="205"/>
      <c r="CC38" s="205"/>
      <c r="CD38" s="205"/>
      <c r="CE38" s="205"/>
      <c r="CF38" s="205"/>
      <c r="CG38" s="205"/>
      <c r="CH38" s="108"/>
    </row>
    <row r="39" spans="1:86" s="92" customFormat="1" ht="25.5" customHeight="1" thickBot="1">
      <c r="E39" s="89"/>
      <c r="F39" s="94"/>
      <c r="G39" s="94"/>
      <c r="H39" s="94"/>
      <c r="I39" s="94"/>
      <c r="J39" s="89"/>
      <c r="K39" s="184"/>
      <c r="L39" s="184"/>
      <c r="M39" s="176"/>
      <c r="N39" s="176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O39" s="176"/>
      <c r="AP39" s="108"/>
      <c r="AQ39" s="202" t="s">
        <v>94</v>
      </c>
      <c r="AR39" s="210">
        <f>+AQ37</f>
        <v>104725.83</v>
      </c>
      <c r="AS39" s="211">
        <f>+AR39+AS37</f>
        <v>108946.98384615385</v>
      </c>
      <c r="AT39" s="211">
        <f>+AS39+AT37</f>
        <v>113168.13769230769</v>
      </c>
      <c r="AU39" s="211">
        <f t="shared" ref="AU39:BC39" si="66">+AT39+AU37</f>
        <v>117389.29153846153</v>
      </c>
      <c r="AV39" s="211">
        <f t="shared" si="66"/>
        <v>121756.59923076922</v>
      </c>
      <c r="AW39" s="211">
        <f t="shared" si="66"/>
        <v>125977.75307692307</v>
      </c>
      <c r="AX39" s="211">
        <f t="shared" si="66"/>
        <v>130375.82999999999</v>
      </c>
      <c r="AY39" s="211">
        <f t="shared" si="66"/>
        <v>134650.82999999999</v>
      </c>
      <c r="AZ39" s="211">
        <f t="shared" si="66"/>
        <v>139018.13769230768</v>
      </c>
      <c r="BA39" s="211">
        <f t="shared" si="66"/>
        <v>143296.98384615383</v>
      </c>
      <c r="BB39" s="211">
        <f t="shared" si="66"/>
        <v>147910.44538461536</v>
      </c>
      <c r="BC39" s="211">
        <f t="shared" si="66"/>
        <v>152193.13769230768</v>
      </c>
      <c r="BD39" s="211">
        <f>+BC39+BD37</f>
        <v>156521.98384615383</v>
      </c>
      <c r="BE39" s="202"/>
      <c r="BF39" s="210">
        <f>+AQ37+AS37+BF37</f>
        <v>106685.44538461538</v>
      </c>
      <c r="BG39" s="211">
        <f>+BF39+AT37+BG37</f>
        <v>109714.29153846153</v>
      </c>
      <c r="BH39" s="211">
        <f t="shared" ref="BH39:BQ39" si="67">+BG39+AU37+BH37</f>
        <v>113935.44538461538</v>
      </c>
      <c r="BI39" s="211">
        <f t="shared" si="67"/>
        <v>118302.75307692307</v>
      </c>
      <c r="BJ39" s="211">
        <f t="shared" si="67"/>
        <v>122523.90692307691</v>
      </c>
      <c r="BK39" s="211">
        <f t="shared" si="67"/>
        <v>126921.98384615383</v>
      </c>
      <c r="BL39" s="211">
        <f t="shared" si="67"/>
        <v>131196.98384615383</v>
      </c>
      <c r="BM39" s="211">
        <f t="shared" si="67"/>
        <v>135564.29153846152</v>
      </c>
      <c r="BN39" s="211">
        <f t="shared" si="67"/>
        <v>139843.13769230768</v>
      </c>
      <c r="BO39" s="211">
        <f t="shared" si="67"/>
        <v>144456.59923076921</v>
      </c>
      <c r="BP39" s="211">
        <f t="shared" si="67"/>
        <v>148739.29153846152</v>
      </c>
      <c r="BQ39" s="211">
        <f t="shared" si="67"/>
        <v>153068.13769230768</v>
      </c>
      <c r="BR39" s="206"/>
      <c r="BS39" s="108"/>
      <c r="BT39" s="208" t="s">
        <v>94</v>
      </c>
      <c r="BU39" s="210">
        <f>+BU37</f>
        <v>97743.819734848497</v>
      </c>
      <c r="BV39" s="211">
        <f>+BU39+BV37</f>
        <v>101368.8197348485</v>
      </c>
      <c r="BW39" s="211">
        <f t="shared" ref="BW39:CF39" si="68">+BV39+BW37</f>
        <v>95207.031250000015</v>
      </c>
      <c r="BX39" s="211">
        <f t="shared" si="68"/>
        <v>98832.031250000015</v>
      </c>
      <c r="BY39" s="211">
        <f t="shared" si="68"/>
        <v>102457.03125000001</v>
      </c>
      <c r="BZ39" s="211">
        <f t="shared" si="68"/>
        <v>106082.03125000001</v>
      </c>
      <c r="CA39" s="211">
        <f t="shared" si="68"/>
        <v>109707.03125000001</v>
      </c>
      <c r="CB39" s="211">
        <f t="shared" si="68"/>
        <v>113332.03125000001</v>
      </c>
      <c r="CC39" s="211">
        <f t="shared" si="68"/>
        <v>116957.03125000001</v>
      </c>
      <c r="CD39" s="211">
        <f t="shared" si="68"/>
        <v>120582.03125000001</v>
      </c>
      <c r="CE39" s="211">
        <f t="shared" si="68"/>
        <v>124207.03125000001</v>
      </c>
      <c r="CF39" s="211">
        <f t="shared" si="68"/>
        <v>127832.03125000001</v>
      </c>
      <c r="CG39" s="211">
        <f>+CF39+CG37</f>
        <v>131457.03125</v>
      </c>
      <c r="CH39" s="212">
        <f>+CH37-CG39</f>
        <v>-3000</v>
      </c>
    </row>
    <row r="40" spans="1:86" s="92" customFormat="1" ht="27" customHeight="1" thickBot="1">
      <c r="E40" s="89"/>
      <c r="F40" s="94"/>
      <c r="G40" s="94"/>
      <c r="H40" s="94"/>
      <c r="I40" s="94"/>
      <c r="J40" s="89"/>
      <c r="K40" s="184"/>
      <c r="L40" s="184"/>
      <c r="M40" s="176"/>
      <c r="N40" s="176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O40" s="176"/>
      <c r="AP40" s="108"/>
      <c r="AQ40" s="213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89">
        <f>+BD39-SUM(AQ37:AR37)</f>
        <v>0</v>
      </c>
      <c r="BE40" s="202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208"/>
      <c r="BV40" s="108"/>
      <c r="BW40" s="108"/>
      <c r="BX40" s="214"/>
      <c r="BY40" s="108"/>
      <c r="BZ40" s="108"/>
      <c r="CA40" s="108"/>
      <c r="CB40" s="108"/>
      <c r="CC40" s="108"/>
      <c r="CD40" s="108"/>
      <c r="CE40" s="108"/>
      <c r="CF40" s="108"/>
      <c r="CG40" s="108"/>
      <c r="CH40" s="108"/>
    </row>
    <row r="41" spans="1:86" s="92" customFormat="1" ht="42.75" customHeight="1" thickBot="1">
      <c r="E41" s="89"/>
      <c r="F41" s="94"/>
      <c r="G41" s="94"/>
      <c r="H41" s="94"/>
      <c r="I41" s="94"/>
      <c r="J41" s="89"/>
      <c r="K41" s="184"/>
      <c r="L41" s="184"/>
      <c r="M41" s="191"/>
      <c r="N41" s="191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O41" s="108"/>
      <c r="AP41" s="108"/>
      <c r="AQ41" s="108"/>
      <c r="AR41" s="108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6" t="s">
        <v>95</v>
      </c>
      <c r="BF41" s="217">
        <v>103109.48</v>
      </c>
      <c r="BG41" s="217">
        <v>108698.14</v>
      </c>
      <c r="BH41" s="217"/>
      <c r="BI41" s="217"/>
      <c r="BJ41" s="217"/>
      <c r="BK41" s="217"/>
      <c r="BL41" s="217"/>
      <c r="BM41" s="217"/>
      <c r="BN41" s="217"/>
      <c r="BO41" s="217"/>
      <c r="BP41" s="217"/>
      <c r="BQ41" s="217"/>
      <c r="BR41" s="212">
        <f>+BQ41-BR37</f>
        <v>-202484.93184615381</v>
      </c>
      <c r="BS41" s="108"/>
      <c r="BT41" s="208"/>
      <c r="BU41" s="218" t="s">
        <v>96</v>
      </c>
      <c r="BV41" s="217">
        <v>143374.24</v>
      </c>
      <c r="BW41" s="217">
        <v>150582.82</v>
      </c>
      <c r="BX41" s="217"/>
      <c r="BY41" s="217"/>
      <c r="BZ41" s="217"/>
      <c r="CA41" s="217"/>
      <c r="CB41" s="217"/>
      <c r="CC41" s="217"/>
      <c r="CD41" s="217"/>
      <c r="CE41" s="217"/>
      <c r="CF41" s="217"/>
      <c r="CG41" s="217"/>
      <c r="CH41" s="219"/>
    </row>
    <row r="42" spans="1:86" s="92" customFormat="1" ht="30.95" customHeight="1">
      <c r="E42" s="89"/>
      <c r="F42" s="94"/>
      <c r="G42" s="94"/>
      <c r="H42" s="94"/>
      <c r="I42" s="94"/>
      <c r="J42" s="89"/>
      <c r="K42" s="184"/>
      <c r="L42" s="184"/>
      <c r="M42" s="191"/>
      <c r="N42" s="191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O42" s="108"/>
      <c r="AP42" s="108"/>
      <c r="AQ42" s="89"/>
      <c r="AS42" s="219"/>
      <c r="AT42" s="219"/>
      <c r="AU42" s="219"/>
      <c r="AV42" s="219"/>
      <c r="AW42" s="219"/>
      <c r="AX42" s="219"/>
      <c r="AY42" s="219"/>
      <c r="AZ42" s="219"/>
      <c r="BA42" s="219"/>
      <c r="BB42" s="219"/>
      <c r="BC42" s="219"/>
      <c r="BD42" s="219"/>
      <c r="BE42" s="220" t="s">
        <v>97</v>
      </c>
      <c r="BF42" s="89">
        <f>+BF39-BF41</f>
        <v>3575.9653846153815</v>
      </c>
      <c r="BG42" s="89">
        <f t="shared" ref="BG42:BQ42" si="69">+BG39-BG41</f>
        <v>1016.1515384615341</v>
      </c>
      <c r="BH42" s="89">
        <f t="shared" si="69"/>
        <v>113935.44538461538</v>
      </c>
      <c r="BI42" s="89">
        <f t="shared" si="69"/>
        <v>118302.75307692307</v>
      </c>
      <c r="BJ42" s="89">
        <f t="shared" si="69"/>
        <v>122523.90692307691</v>
      </c>
      <c r="BK42" s="89">
        <f t="shared" si="69"/>
        <v>126921.98384615383</v>
      </c>
      <c r="BL42" s="89">
        <f t="shared" si="69"/>
        <v>131196.98384615383</v>
      </c>
      <c r="BM42" s="89">
        <f t="shared" si="69"/>
        <v>135564.29153846152</v>
      </c>
      <c r="BN42" s="89">
        <f t="shared" si="69"/>
        <v>139843.13769230768</v>
      </c>
      <c r="BO42" s="89">
        <f t="shared" si="69"/>
        <v>144456.59923076921</v>
      </c>
      <c r="BP42" s="89">
        <f t="shared" si="69"/>
        <v>148739.29153846152</v>
      </c>
      <c r="BQ42" s="89">
        <f t="shared" si="69"/>
        <v>153068.13769230768</v>
      </c>
      <c r="BR42" s="219"/>
      <c r="BS42" s="108"/>
      <c r="BT42" s="208"/>
      <c r="BU42" s="220" t="s">
        <v>97</v>
      </c>
      <c r="BV42" s="89">
        <f>+BV39-BV41</f>
        <v>-42005.420265151493</v>
      </c>
      <c r="BW42" s="89">
        <f t="shared" ref="BW42:CG42" si="70">+BW39-BW41</f>
        <v>-55375.788749999992</v>
      </c>
      <c r="BX42" s="89">
        <f t="shared" si="70"/>
        <v>98832.031250000015</v>
      </c>
      <c r="BY42" s="89">
        <f t="shared" si="70"/>
        <v>102457.03125000001</v>
      </c>
      <c r="BZ42" s="89">
        <f t="shared" si="70"/>
        <v>106082.03125000001</v>
      </c>
      <c r="CA42" s="89">
        <f t="shared" si="70"/>
        <v>109707.03125000001</v>
      </c>
      <c r="CB42" s="89">
        <f t="shared" si="70"/>
        <v>113332.03125000001</v>
      </c>
      <c r="CC42" s="89">
        <f t="shared" si="70"/>
        <v>116957.03125000001</v>
      </c>
      <c r="CD42" s="89">
        <f t="shared" si="70"/>
        <v>120582.03125000001</v>
      </c>
      <c r="CE42" s="89">
        <f t="shared" si="70"/>
        <v>124207.03125000001</v>
      </c>
      <c r="CF42" s="89">
        <f t="shared" si="70"/>
        <v>127832.03125000001</v>
      </c>
      <c r="CG42" s="89">
        <f t="shared" si="70"/>
        <v>131457.03125</v>
      </c>
      <c r="CH42" s="219"/>
    </row>
    <row r="43" spans="1:86" ht="15.75">
      <c r="AT43" s="221"/>
      <c r="AY43" s="222"/>
      <c r="BA43" s="222"/>
      <c r="BD43" s="219"/>
      <c r="BE43" s="223"/>
      <c r="BH43" s="224"/>
      <c r="BI43" s="224"/>
      <c r="BJ43" s="224"/>
      <c r="BK43" s="224"/>
      <c r="BL43" s="224"/>
      <c r="BR43" s="219"/>
      <c r="CB43" s="222"/>
      <c r="CC43" s="222"/>
    </row>
    <row r="44" spans="1:86">
      <c r="AT44" s="221"/>
      <c r="AZ44" s="222"/>
      <c r="BA44" s="222"/>
      <c r="BE44" s="223"/>
      <c r="BH44" s="224"/>
      <c r="BI44" s="224"/>
      <c r="BJ44" s="224"/>
      <c r="BK44" s="224"/>
      <c r="BL44" s="224"/>
    </row>
    <row r="45" spans="1:86">
      <c r="AT45" s="221"/>
      <c r="AZ45" s="222"/>
      <c r="BA45" s="222"/>
      <c r="BE45" s="223"/>
      <c r="BF45" s="222"/>
      <c r="BG45" s="222"/>
      <c r="BH45" s="224"/>
      <c r="BI45" s="224"/>
      <c r="BJ45" s="224"/>
      <c r="BK45" s="224"/>
      <c r="BL45" s="224"/>
    </row>
    <row r="46" spans="1:86">
      <c r="AT46" s="221"/>
      <c r="AY46" s="222"/>
      <c r="BA46" s="222"/>
      <c r="BE46" s="223"/>
      <c r="BH46" s="224"/>
      <c r="BI46" s="224"/>
      <c r="BJ46" s="224"/>
      <c r="BK46" s="224"/>
      <c r="BL46" s="224"/>
      <c r="CA46" s="222"/>
    </row>
    <row r="47" spans="1:86">
      <c r="BF47" s="222"/>
      <c r="BG47" s="222"/>
      <c r="BH47" s="224"/>
      <c r="BI47" s="224"/>
      <c r="BJ47" s="224"/>
      <c r="BK47" s="224"/>
      <c r="BL47" s="224"/>
    </row>
    <row r="48" spans="1:86">
      <c r="BI48" s="224"/>
      <c r="BJ48" s="224"/>
      <c r="BK48" s="224"/>
      <c r="BL48" s="224"/>
    </row>
    <row r="49" spans="58:61">
      <c r="BF49" s="224"/>
      <c r="BG49" s="224"/>
      <c r="BH49" s="224"/>
      <c r="BI49" s="224"/>
    </row>
    <row r="51" spans="58:61">
      <c r="BF51" s="225"/>
      <c r="BG51" s="225"/>
      <c r="BH51" s="225"/>
      <c r="BI51" s="225"/>
    </row>
    <row r="52" spans="58:61">
      <c r="BF52" s="226"/>
    </row>
    <row r="53" spans="58:61">
      <c r="BF53" s="222"/>
      <c r="BH53" s="222"/>
    </row>
    <row r="55" spans="58:61">
      <c r="BF55" s="225"/>
      <c r="BG55" s="225"/>
      <c r="BH55" s="225"/>
      <c r="BI55" s="225"/>
    </row>
  </sheetData>
  <sheetProtection formatCells="0" formatColumns="0" formatRows="0" insertColumns="0" insertRows="0" deleteColumns="0" deleteRows="0" sort="0" autoFilter="0"/>
  <protectedRanges>
    <protectedRange sqref="A7:J7" name="Range1"/>
  </protectedRanges>
  <autoFilter ref="A7:CH42" xr:uid="{00000000-0009-0000-0000-000015000000}"/>
  <phoneticPr fontId="68" type="noConversion"/>
  <conditionalFormatting sqref="M9:M36 BR9:BR36">
    <cfRule type="cellIs" dxfId="42" priority="6" operator="lessThan">
      <formula>0</formula>
    </cfRule>
  </conditionalFormatting>
  <conditionalFormatting sqref="N36 AO36 BE36 BR36 CH36">
    <cfRule type="cellIs" dxfId="41" priority="29" operator="greaterThan">
      <formula>0</formula>
    </cfRule>
  </conditionalFormatting>
  <conditionalFormatting sqref="O8:AA8 AA9:AA27">
    <cfRule type="cellIs" dxfId="40" priority="28" operator="equal">
      <formula>2.5</formula>
    </cfRule>
  </conditionalFormatting>
  <conditionalFormatting sqref="O8:AA36">
    <cfRule type="cellIs" dxfId="39" priority="4" operator="greaterThan">
      <formula>2.5</formula>
    </cfRule>
  </conditionalFormatting>
  <conditionalFormatting sqref="AA30:AA31">
    <cfRule type="cellIs" dxfId="38" priority="9" operator="equal">
      <formula>2.5</formula>
    </cfRule>
  </conditionalFormatting>
  <conditionalFormatting sqref="AC15">
    <cfRule type="cellIs" dxfId="37" priority="20" operator="greaterThan">
      <formula>0</formula>
    </cfRule>
  </conditionalFormatting>
  <conditionalFormatting sqref="AC8:AJ11 AK8:AN12 AD12:AJ12 AC13:AN13 AD14:AN16">
    <cfRule type="cellIs" dxfId="36" priority="30" operator="greaterThan">
      <formula>0</formula>
    </cfRule>
  </conditionalFormatting>
  <conditionalFormatting sqref="AC17:AN35">
    <cfRule type="cellIs" dxfId="35" priority="5" operator="greaterThan">
      <formula>0</formula>
    </cfRule>
  </conditionalFormatting>
  <conditionalFormatting sqref="AC13:AO31">
    <cfRule type="cellIs" dxfId="34" priority="8" operator="lessThan">
      <formula>0</formula>
    </cfRule>
  </conditionalFormatting>
  <conditionalFormatting sqref="AC32:AO35">
    <cfRule type="cellIs" dxfId="33" priority="27" operator="lessThan">
      <formula>0</formula>
    </cfRule>
  </conditionalFormatting>
  <conditionalFormatting sqref="AO4:AO12 BV8:CG8 AC8:AN12 AC36:AN36 AO36:AO1048576 AP41:AR41">
    <cfRule type="cellIs" dxfId="32" priority="31" operator="lessThan">
      <formula>0</formula>
    </cfRule>
  </conditionalFormatting>
  <conditionalFormatting sqref="AO9:AO27 AO36 AO32:AO34">
    <cfRule type="cellIs" dxfId="31" priority="32" operator="lessThan">
      <formula>0</formula>
    </cfRule>
  </conditionalFormatting>
  <conditionalFormatting sqref="AO28:AO31">
    <cfRule type="cellIs" dxfId="30" priority="11" operator="lessThan">
      <formula>0</formula>
    </cfRule>
  </conditionalFormatting>
  <conditionalFormatting sqref="AO35">
    <cfRule type="cellIs" dxfId="29" priority="26" operator="lessThan">
      <formula>0</formula>
    </cfRule>
  </conditionalFormatting>
  <conditionalFormatting sqref="AQ8:AQ35">
    <cfRule type="cellIs" dxfId="28" priority="2" operator="lessThan">
      <formula>0</formula>
    </cfRule>
  </conditionalFormatting>
  <conditionalFormatting sqref="BD40">
    <cfRule type="cellIs" dxfId="27" priority="13" operator="notEqual">
      <formula>0</formula>
    </cfRule>
  </conditionalFormatting>
  <conditionalFormatting sqref="BF8">
    <cfRule type="cellIs" dxfId="26" priority="12" operator="lessThan">
      <formula>0</formula>
    </cfRule>
  </conditionalFormatting>
  <conditionalFormatting sqref="BF9:BQ35">
    <cfRule type="cellIs" dxfId="25" priority="7" operator="lessThan">
      <formula>0</formula>
    </cfRule>
  </conditionalFormatting>
  <conditionalFormatting sqref="BF42:BQ42">
    <cfRule type="cellIs" dxfId="24" priority="15" operator="notEqual">
      <formula>0</formula>
    </cfRule>
  </conditionalFormatting>
  <conditionalFormatting sqref="BR41">
    <cfRule type="cellIs" dxfId="23" priority="18" operator="equal">
      <formula>0</formula>
    </cfRule>
    <cfRule type="cellIs" dxfId="22" priority="19" operator="notEqual">
      <formula>0</formula>
    </cfRule>
  </conditionalFormatting>
  <conditionalFormatting sqref="BV35:BX35 BZ35:CG35">
    <cfRule type="cellIs" dxfId="21" priority="25" operator="lessThan">
      <formula>0</formula>
    </cfRule>
  </conditionalFormatting>
  <conditionalFormatting sqref="BV42:CG42">
    <cfRule type="cellIs" dxfId="20" priority="14" operator="notEqual">
      <formula>0</formula>
    </cfRule>
  </conditionalFormatting>
  <conditionalFormatting sqref="BW9:CG9 BV10:CG35">
    <cfRule type="cellIs" dxfId="19" priority="10" operator="lessThan">
      <formula>0</formula>
    </cfRule>
  </conditionalFormatting>
  <conditionalFormatting sqref="BY35">
    <cfRule type="cellIs" dxfId="18" priority="24" operator="greaterThan">
      <formula>2.5</formula>
    </cfRule>
  </conditionalFormatting>
  <conditionalFormatting sqref="CH39">
    <cfRule type="cellIs" dxfId="17" priority="16" operator="equal">
      <formula>0</formula>
    </cfRule>
    <cfRule type="cellIs" dxfId="16" priority="17" operator="notEqual">
      <formula>0</formula>
    </cfRule>
  </conditionalFormatting>
  <pageMargins left="0.7" right="0.7" top="0.75" bottom="0.75" header="0.3" footer="0.3"/>
  <pageSetup paperSize="9" scale="12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641E-0419-44B1-A723-6156B9A7BAAD}">
  <sheetPr>
    <pageSetUpPr fitToPage="1"/>
  </sheetPr>
  <dimension ref="A1:BS60"/>
  <sheetViews>
    <sheetView view="pageBreakPreview" zoomScale="65" zoomScaleNormal="65" zoomScaleSheetLayoutView="65" workbookViewId="0">
      <pane xSplit="5" ySplit="8" topLeftCell="F9" activePane="bottomRight" state="frozen"/>
      <selection activeCell="B4" sqref="B4"/>
      <selection pane="topRight" activeCell="B4" sqref="B4"/>
      <selection pane="bottomLeft" activeCell="B4" sqref="B4"/>
      <selection pane="bottomRight" activeCell="G33" sqref="G33"/>
    </sheetView>
  </sheetViews>
  <sheetFormatPr defaultColWidth="9.140625" defaultRowHeight="26.25" customHeight="1" outlineLevelRow="1" outlineLevelCol="1"/>
  <cols>
    <col min="1" max="1" width="14" style="227" bestFit="1" customWidth="1" outlineLevel="1"/>
    <col min="2" max="2" width="8" style="228" customWidth="1"/>
    <col min="3" max="3" width="10" style="227" customWidth="1" outlineLevel="1"/>
    <col min="4" max="4" width="54" style="227" customWidth="1" outlineLevel="1"/>
    <col min="5" max="5" width="28.42578125" style="227" customWidth="1" outlineLevel="1"/>
    <col min="6" max="6" width="30.85546875" style="227" customWidth="1" outlineLevel="1"/>
    <col min="7" max="7" width="15.85546875" style="229" customWidth="1" outlineLevel="1"/>
    <col min="8" max="8" width="14.42578125" style="229" customWidth="1" outlineLevel="1"/>
    <col min="9" max="9" width="18.42578125" style="227" customWidth="1" outlineLevel="1"/>
    <col min="10" max="10" width="19.42578125" style="227" customWidth="1" outlineLevel="1"/>
    <col min="11" max="11" width="16.85546875" style="227" customWidth="1" outlineLevel="1"/>
    <col min="12" max="13" width="15.42578125" style="229" customWidth="1" outlineLevel="1"/>
    <col min="14" max="14" width="14.42578125" style="229" customWidth="1" outlineLevel="1"/>
    <col min="15" max="15" width="15.42578125" style="227" customWidth="1" outlineLevel="1"/>
    <col min="16" max="16" width="12.42578125" style="227" customWidth="1" outlineLevel="1"/>
    <col min="17" max="17" width="14.42578125" style="227" customWidth="1" outlineLevel="1"/>
    <col min="18" max="18" width="13.7109375" style="227" customWidth="1" outlineLevel="1"/>
    <col min="19" max="19" width="21" style="228" customWidth="1" outlineLevel="1"/>
    <col min="20" max="20" width="9.140625" style="230" customWidth="1" outlineLevel="1"/>
    <col min="21" max="21" width="20.140625" style="228" customWidth="1" outlineLevel="1"/>
    <col min="22" max="22" width="11.140625" style="228" customWidth="1" outlineLevel="1"/>
    <col min="23" max="23" width="19.5703125" style="228" customWidth="1" outlineLevel="1"/>
    <col min="24" max="24" width="20.140625" style="227" customWidth="1" outlineLevel="1"/>
    <col min="25" max="25" width="7" style="227" customWidth="1"/>
    <col min="26" max="26" width="12" style="227" customWidth="1" outlineLevel="1"/>
    <col min="27" max="37" width="12.5703125" style="227" customWidth="1" outlineLevel="1"/>
    <col min="38" max="38" width="15.28515625" style="227" customWidth="1" outlineLevel="1"/>
    <col min="39" max="39" width="8.28515625" style="227" customWidth="1"/>
    <col min="40" max="40" width="19.28515625" style="227" bestFit="1" customWidth="1"/>
    <col min="41" max="41" width="22.7109375" style="227" customWidth="1"/>
    <col min="42" max="46" width="22.85546875" style="227" customWidth="1"/>
    <col min="47" max="52" width="24.5703125" style="227" customWidth="1"/>
    <col min="53" max="53" width="19" style="227" customWidth="1"/>
    <col min="54" max="54" width="15.5703125" style="231" customWidth="1" outlineLevel="1"/>
    <col min="55" max="55" width="9.140625" style="227" customWidth="1"/>
    <col min="56" max="56" width="16.28515625" style="227" customWidth="1"/>
    <col min="57" max="57" width="21.42578125" style="227" bestFit="1" customWidth="1"/>
    <col min="58" max="60" width="19" style="227" customWidth="1"/>
    <col min="61" max="61" width="20.28515625" style="227" bestFit="1" customWidth="1"/>
    <col min="62" max="67" width="21.28515625" style="227" bestFit="1" customWidth="1"/>
    <col min="68" max="68" width="20.140625" style="227" bestFit="1" customWidth="1"/>
    <col min="69" max="69" width="20.140625" style="227" customWidth="1"/>
    <col min="70" max="70" width="14.5703125" style="231" bestFit="1" customWidth="1"/>
    <col min="71" max="71" width="16" style="227" bestFit="1" customWidth="1"/>
    <col min="72" max="16384" width="9.140625" style="227"/>
  </cols>
  <sheetData>
    <row r="1" spans="1:70" ht="26.25" customHeight="1">
      <c r="A1" s="227" t="s">
        <v>98</v>
      </c>
    </row>
    <row r="2" spans="1:70" s="232" customFormat="1" ht="26.25" hidden="1" customHeight="1" outlineLevel="1">
      <c r="B2" s="233"/>
      <c r="C2" s="231">
        <v>1</v>
      </c>
      <c r="D2" s="231">
        <f>+C2+1</f>
        <v>2</v>
      </c>
      <c r="E2" s="231">
        <f t="shared" ref="E2:X2" si="0">+D2+1</f>
        <v>3</v>
      </c>
      <c r="F2" s="231">
        <f t="shared" si="0"/>
        <v>4</v>
      </c>
      <c r="G2" s="231">
        <f t="shared" si="0"/>
        <v>5</v>
      </c>
      <c r="H2" s="231">
        <f t="shared" si="0"/>
        <v>6</v>
      </c>
      <c r="I2" s="231">
        <f t="shared" si="0"/>
        <v>7</v>
      </c>
      <c r="J2" s="231">
        <f t="shared" si="0"/>
        <v>8</v>
      </c>
      <c r="K2" s="231">
        <f t="shared" si="0"/>
        <v>9</v>
      </c>
      <c r="L2" s="231">
        <f t="shared" si="0"/>
        <v>10</v>
      </c>
      <c r="M2" s="231">
        <f t="shared" si="0"/>
        <v>11</v>
      </c>
      <c r="N2" s="231">
        <f t="shared" si="0"/>
        <v>12</v>
      </c>
      <c r="O2" s="231">
        <f t="shared" si="0"/>
        <v>13</v>
      </c>
      <c r="P2" s="231">
        <f t="shared" si="0"/>
        <v>14</v>
      </c>
      <c r="Q2" s="231">
        <f t="shared" si="0"/>
        <v>15</v>
      </c>
      <c r="R2" s="231">
        <f t="shared" si="0"/>
        <v>16</v>
      </c>
      <c r="S2" s="231">
        <f t="shared" si="0"/>
        <v>17</v>
      </c>
      <c r="T2" s="231">
        <f>+U2+1</f>
        <v>19</v>
      </c>
      <c r="U2" s="231">
        <f t="shared" ref="U2" si="1">+S2+1</f>
        <v>18</v>
      </c>
      <c r="V2" s="231"/>
      <c r="W2" s="231">
        <f>+T2+1</f>
        <v>20</v>
      </c>
      <c r="X2" s="231">
        <f t="shared" si="0"/>
        <v>21</v>
      </c>
      <c r="Y2" s="231"/>
      <c r="AM2" s="231"/>
      <c r="AN2" s="231"/>
      <c r="BB2" s="231"/>
      <c r="BD2" s="231"/>
      <c r="BR2" s="231"/>
    </row>
    <row r="3" spans="1:70" s="228" customFormat="1" ht="26.25" customHeight="1" collapsed="1">
      <c r="B3" s="234" t="s">
        <v>99</v>
      </c>
      <c r="E3" s="227"/>
      <c r="F3" s="227"/>
      <c r="G3" s="229"/>
      <c r="H3" s="229"/>
      <c r="I3" s="227"/>
      <c r="K3" s="227"/>
      <c r="L3" s="229"/>
      <c r="M3" s="229"/>
      <c r="N3" s="229"/>
      <c r="O3" s="227"/>
      <c r="P3" s="227"/>
      <c r="Q3" s="227"/>
      <c r="R3" s="227"/>
      <c r="T3" s="235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36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36"/>
    </row>
    <row r="4" spans="1:70" s="228" customFormat="1" ht="26.25" customHeight="1">
      <c r="B4" s="234"/>
      <c r="E4" s="227"/>
      <c r="F4" s="227"/>
      <c r="G4" s="229"/>
      <c r="H4" s="229"/>
      <c r="I4" s="227"/>
      <c r="J4" s="227"/>
      <c r="K4" s="227"/>
      <c r="L4" s="229"/>
      <c r="M4" s="229"/>
      <c r="N4" s="229"/>
      <c r="O4" s="227"/>
      <c r="P4" s="227"/>
      <c r="Q4" s="227"/>
      <c r="R4" s="227"/>
      <c r="T4" s="235"/>
      <c r="W4" s="235"/>
      <c r="Z4" s="237">
        <v>21</v>
      </c>
      <c r="AA4" s="231">
        <f>+Z4+1</f>
        <v>22</v>
      </c>
      <c r="AB4" s="231">
        <f t="shared" ref="AB4:AK5" si="2">+AA4+1</f>
        <v>23</v>
      </c>
      <c r="AC4" s="231">
        <f t="shared" si="2"/>
        <v>24</v>
      </c>
      <c r="AD4" s="231">
        <f t="shared" si="2"/>
        <v>25</v>
      </c>
      <c r="AE4" s="231">
        <f t="shared" si="2"/>
        <v>26</v>
      </c>
      <c r="AF4" s="231">
        <f t="shared" si="2"/>
        <v>27</v>
      </c>
      <c r="AG4" s="231">
        <f t="shared" si="2"/>
        <v>28</v>
      </c>
      <c r="AH4" s="231">
        <f t="shared" si="2"/>
        <v>29</v>
      </c>
      <c r="AI4" s="231">
        <f t="shared" si="2"/>
        <v>30</v>
      </c>
      <c r="AJ4" s="231">
        <f t="shared" si="2"/>
        <v>31</v>
      </c>
      <c r="AK4" s="231">
        <f t="shared" si="2"/>
        <v>32</v>
      </c>
      <c r="AL4" s="19"/>
      <c r="AO4" s="238" t="e">
        <f>+IF(AND($H4&gt;AO$6,MONTH($H4&lt;&gt;AO$6)),0,+IF(AND($H4&gt;AO$6,MONTH($H4=AO$6)),$J4/$AL4*DAY($H4),IF(AND($N4&lt;&gt;"",$N4&lt;AO$6),0,IF($L4="",$J4/$AL4*Z4,IF(MONTH($L4)=MONTH(AO$6),$M4/$AL4*Z4,IF(AND($L4&lt;AO$6,(MONTH($L4)&lt;&gt;MONTH(AO$6))),$M4/$AL4*Z4,$J4/$AL4*Z4))))))</f>
        <v>#DIV/0!</v>
      </c>
      <c r="AP4" s="238" t="e">
        <f t="shared" ref="AP4:AZ4" si="3">+IF(AND($H4&gt;AP$6,MONTH($H4&lt;&gt;AP$6)),0,+IF(AND($H4&gt;AP$6,MONTH($H4=AP$6)),$J4/$AL4*DAY($H4),IF(AND($N4&lt;&gt;"",$N4&lt;AP$6),0,IF($L4="",$J4/$AL4*AA4,IF(MONTH($L4)=MONTH(AP$6),$M4/$AL4*AA4,IF(AND($L4&lt;AP$6,(MONTH($L4)&lt;&gt;MONTH(AP$6))),$M4/$AL4*AA4,$J4/$AL4*AA4))))))</f>
        <v>#DIV/0!</v>
      </c>
      <c r="AQ4" s="238" t="e">
        <f t="shared" si="3"/>
        <v>#DIV/0!</v>
      </c>
      <c r="AR4" s="238" t="e">
        <f t="shared" si="3"/>
        <v>#DIV/0!</v>
      </c>
      <c r="AS4" s="238" t="e">
        <f t="shared" si="3"/>
        <v>#DIV/0!</v>
      </c>
      <c r="AT4" s="238" t="e">
        <f t="shared" si="3"/>
        <v>#DIV/0!</v>
      </c>
      <c r="AU4" s="238" t="e">
        <f t="shared" si="3"/>
        <v>#DIV/0!</v>
      </c>
      <c r="AV4" s="238" t="e">
        <f t="shared" si="3"/>
        <v>#DIV/0!</v>
      </c>
      <c r="AW4" s="238" t="e">
        <f t="shared" si="3"/>
        <v>#DIV/0!</v>
      </c>
      <c r="AX4" s="238" t="e">
        <f t="shared" si="3"/>
        <v>#DIV/0!</v>
      </c>
      <c r="AY4" s="238" t="e">
        <f t="shared" si="3"/>
        <v>#DIV/0!</v>
      </c>
      <c r="AZ4" s="238" t="e">
        <f t="shared" si="3"/>
        <v>#DIV/0!</v>
      </c>
      <c r="BA4" s="19"/>
      <c r="BB4" s="236"/>
      <c r="BE4" s="23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236"/>
    </row>
    <row r="5" spans="1:70" s="228" customFormat="1" ht="26.25" customHeight="1">
      <c r="B5" s="234"/>
      <c r="E5" s="227"/>
      <c r="F5" s="227"/>
      <c r="G5" s="229"/>
      <c r="H5" s="229"/>
      <c r="I5" s="227"/>
      <c r="J5" s="227"/>
      <c r="K5" s="227"/>
      <c r="L5" s="229"/>
      <c r="M5" s="229"/>
      <c r="N5" s="229"/>
      <c r="O5" s="227"/>
      <c r="P5" s="227"/>
      <c r="Q5" s="227"/>
      <c r="R5" s="227"/>
      <c r="T5" s="235"/>
      <c r="W5" s="235"/>
      <c r="Z5" s="231">
        <v>15</v>
      </c>
      <c r="AA5" s="231">
        <f>+Z5+1</f>
        <v>16</v>
      </c>
      <c r="AB5" s="231">
        <f t="shared" si="2"/>
        <v>17</v>
      </c>
      <c r="AC5" s="231">
        <f t="shared" si="2"/>
        <v>18</v>
      </c>
      <c r="AD5" s="231">
        <f t="shared" si="2"/>
        <v>19</v>
      </c>
      <c r="AE5" s="231">
        <f t="shared" si="2"/>
        <v>20</v>
      </c>
      <c r="AF5" s="231">
        <f t="shared" si="2"/>
        <v>21</v>
      </c>
      <c r="AG5" s="231">
        <f t="shared" si="2"/>
        <v>22</v>
      </c>
      <c r="AH5" s="231">
        <f t="shared" si="2"/>
        <v>23</v>
      </c>
      <c r="AI5" s="231">
        <f t="shared" si="2"/>
        <v>24</v>
      </c>
      <c r="AJ5" s="231">
        <f t="shared" si="2"/>
        <v>25</v>
      </c>
      <c r="AK5" s="231">
        <f t="shared" si="2"/>
        <v>26</v>
      </c>
      <c r="AL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236"/>
      <c r="BE5" s="239">
        <f>+BE7-BE6+1</f>
        <v>31</v>
      </c>
      <c r="BF5" s="239">
        <f t="shared" ref="BF5:BP5" si="4">+BF7-BF6+1</f>
        <v>28</v>
      </c>
      <c r="BG5" s="239">
        <f t="shared" si="4"/>
        <v>31</v>
      </c>
      <c r="BH5" s="239">
        <f t="shared" si="4"/>
        <v>30</v>
      </c>
      <c r="BI5" s="239">
        <f t="shared" si="4"/>
        <v>31</v>
      </c>
      <c r="BJ5" s="239">
        <f t="shared" si="4"/>
        <v>30</v>
      </c>
      <c r="BK5" s="239">
        <f t="shared" si="4"/>
        <v>31</v>
      </c>
      <c r="BL5" s="239">
        <f t="shared" si="4"/>
        <v>31</v>
      </c>
      <c r="BM5" s="239">
        <f t="shared" si="4"/>
        <v>30</v>
      </c>
      <c r="BN5" s="239">
        <f t="shared" si="4"/>
        <v>31</v>
      </c>
      <c r="BO5" s="239">
        <f t="shared" si="4"/>
        <v>30</v>
      </c>
      <c r="BP5" s="239">
        <f t="shared" si="4"/>
        <v>31</v>
      </c>
      <c r="BQ5" s="239">
        <f>+BP7-BE6+1</f>
        <v>366</v>
      </c>
      <c r="BR5" s="236"/>
    </row>
    <row r="6" spans="1:70" ht="26.25" customHeight="1" thickBot="1">
      <c r="J6" s="240">
        <v>1.2</v>
      </c>
      <c r="N6" s="241">
        <f>+O6-O7</f>
        <v>366</v>
      </c>
      <c r="O6" s="242">
        <v>45658</v>
      </c>
      <c r="S6" s="243">
        <v>517111</v>
      </c>
      <c r="U6" s="243">
        <v>517130</v>
      </c>
      <c r="V6" s="243"/>
      <c r="W6" s="244" t="s">
        <v>100</v>
      </c>
      <c r="X6" s="244"/>
      <c r="Y6" s="244"/>
      <c r="Z6" s="19">
        <v>45292</v>
      </c>
      <c r="AA6" s="19">
        <v>45323</v>
      </c>
      <c r="AB6" s="19">
        <v>45352</v>
      </c>
      <c r="AC6" s="19">
        <v>45383</v>
      </c>
      <c r="AD6" s="19">
        <v>45413</v>
      </c>
      <c r="AE6" s="19">
        <v>45444</v>
      </c>
      <c r="AF6" s="19">
        <v>45474</v>
      </c>
      <c r="AG6" s="19">
        <v>45505</v>
      </c>
      <c r="AH6" s="19">
        <v>45536</v>
      </c>
      <c r="AI6" s="19">
        <v>45566</v>
      </c>
      <c r="AJ6" s="19">
        <v>45597</v>
      </c>
      <c r="AK6" s="19">
        <v>45627</v>
      </c>
      <c r="AL6" s="19"/>
      <c r="AM6" s="244"/>
      <c r="AN6" s="244"/>
      <c r="AO6" s="19">
        <v>45292</v>
      </c>
      <c r="AP6" s="19">
        <v>45323</v>
      </c>
      <c r="AQ6" s="19">
        <v>45352</v>
      </c>
      <c r="AR6" s="19">
        <v>45383</v>
      </c>
      <c r="AS6" s="19">
        <v>45413</v>
      </c>
      <c r="AT6" s="19">
        <v>45444</v>
      </c>
      <c r="AU6" s="19">
        <v>45474</v>
      </c>
      <c r="AV6" s="19">
        <v>45505</v>
      </c>
      <c r="AW6" s="19">
        <v>45536</v>
      </c>
      <c r="AX6" s="19">
        <v>45566</v>
      </c>
      <c r="AY6" s="19">
        <v>45597</v>
      </c>
      <c r="AZ6" s="19">
        <v>45627</v>
      </c>
      <c r="BA6" s="19"/>
      <c r="BD6" s="244"/>
      <c r="BE6" s="19">
        <v>45292</v>
      </c>
      <c r="BF6" s="19">
        <v>45323</v>
      </c>
      <c r="BG6" s="19">
        <v>45352</v>
      </c>
      <c r="BH6" s="19">
        <v>45383</v>
      </c>
      <c r="BI6" s="19">
        <v>45413</v>
      </c>
      <c r="BJ6" s="19">
        <v>45444</v>
      </c>
      <c r="BK6" s="19">
        <v>45474</v>
      </c>
      <c r="BL6" s="19">
        <v>45505</v>
      </c>
      <c r="BM6" s="19">
        <v>45536</v>
      </c>
      <c r="BN6" s="19">
        <v>45566</v>
      </c>
      <c r="BO6" s="19">
        <v>45597</v>
      </c>
      <c r="BP6" s="19">
        <v>45627</v>
      </c>
      <c r="BQ6" s="19"/>
    </row>
    <row r="7" spans="1:70" ht="50.25" customHeight="1" thickBot="1">
      <c r="A7" s="227" t="s">
        <v>101</v>
      </c>
      <c r="B7" s="228" t="s">
        <v>8</v>
      </c>
      <c r="C7" s="245" t="s">
        <v>5</v>
      </c>
      <c r="D7" s="246" t="s">
        <v>102</v>
      </c>
      <c r="E7" s="247" t="s">
        <v>7</v>
      </c>
      <c r="F7" s="247" t="s">
        <v>103</v>
      </c>
      <c r="G7" s="242">
        <v>45292</v>
      </c>
      <c r="H7" s="248" t="s">
        <v>104</v>
      </c>
      <c r="I7" s="249" t="s">
        <v>105</v>
      </c>
      <c r="J7" s="249" t="s">
        <v>106</v>
      </c>
      <c r="K7" s="249" t="s">
        <v>107</v>
      </c>
      <c r="L7" s="248" t="s">
        <v>108</v>
      </c>
      <c r="M7" s="248" t="s">
        <v>109</v>
      </c>
      <c r="N7" s="248" t="s">
        <v>110</v>
      </c>
      <c r="O7" s="242">
        <f>+G7</f>
        <v>45292</v>
      </c>
      <c r="P7" s="248" t="s">
        <v>111</v>
      </c>
      <c r="Q7" s="250" t="s">
        <v>112</v>
      </c>
      <c r="R7" s="251" t="s">
        <v>113</v>
      </c>
      <c r="S7" s="252" t="s">
        <v>114</v>
      </c>
      <c r="T7" s="230" t="s">
        <v>115</v>
      </c>
      <c r="U7" s="252" t="s">
        <v>116</v>
      </c>
      <c r="V7" s="252" t="s">
        <v>117</v>
      </c>
      <c r="W7" s="252" t="s">
        <v>118</v>
      </c>
      <c r="X7" s="252" t="s">
        <v>119</v>
      </c>
      <c r="Y7" s="244"/>
      <c r="Z7" s="19">
        <v>45322</v>
      </c>
      <c r="AA7" s="19">
        <v>45350</v>
      </c>
      <c r="AB7" s="19">
        <v>45382</v>
      </c>
      <c r="AC7" s="19">
        <v>45412</v>
      </c>
      <c r="AD7" s="19">
        <v>45443</v>
      </c>
      <c r="AE7" s="19">
        <v>45473</v>
      </c>
      <c r="AF7" s="19">
        <v>45504</v>
      </c>
      <c r="AG7" s="19">
        <v>45535</v>
      </c>
      <c r="AH7" s="19">
        <v>45565</v>
      </c>
      <c r="AI7" s="19">
        <v>45596</v>
      </c>
      <c r="AJ7" s="19">
        <v>45626</v>
      </c>
      <c r="AK7" s="19">
        <v>45657</v>
      </c>
      <c r="AL7" s="19"/>
      <c r="AM7" s="244"/>
      <c r="AN7" s="253" t="s">
        <v>120</v>
      </c>
      <c r="AO7" s="19">
        <v>45322</v>
      </c>
      <c r="AP7" s="19">
        <v>45350</v>
      </c>
      <c r="AQ7" s="19">
        <v>45382</v>
      </c>
      <c r="AR7" s="19">
        <v>45412</v>
      </c>
      <c r="AS7" s="19">
        <v>45443</v>
      </c>
      <c r="AT7" s="19">
        <v>45473</v>
      </c>
      <c r="AU7" s="19">
        <v>45504</v>
      </c>
      <c r="AV7" s="19">
        <v>45535</v>
      </c>
      <c r="AW7" s="19">
        <v>45565</v>
      </c>
      <c r="AX7" s="19">
        <v>45596</v>
      </c>
      <c r="AY7" s="19">
        <v>45626</v>
      </c>
      <c r="AZ7" s="19">
        <v>45657</v>
      </c>
      <c r="BA7" s="254">
        <v>231121</v>
      </c>
      <c r="BD7" s="244" t="s">
        <v>121</v>
      </c>
      <c r="BE7" s="19">
        <v>45322</v>
      </c>
      <c r="BF7" s="19">
        <v>45350</v>
      </c>
      <c r="BG7" s="19">
        <v>45382</v>
      </c>
      <c r="BH7" s="19">
        <v>45412</v>
      </c>
      <c r="BI7" s="19">
        <v>45443</v>
      </c>
      <c r="BJ7" s="19">
        <v>45473</v>
      </c>
      <c r="BK7" s="19">
        <v>45504</v>
      </c>
      <c r="BL7" s="19">
        <v>45535</v>
      </c>
      <c r="BM7" s="19">
        <v>45565</v>
      </c>
      <c r="BN7" s="19">
        <v>45596</v>
      </c>
      <c r="BO7" s="19">
        <v>45626</v>
      </c>
      <c r="BP7" s="19">
        <v>45657</v>
      </c>
      <c r="BQ7" s="254">
        <v>231130</v>
      </c>
    </row>
    <row r="8" spans="1:70" ht="58.5" customHeight="1">
      <c r="C8" s="255"/>
      <c r="D8" s="256"/>
      <c r="E8" s="257"/>
      <c r="F8" s="257"/>
      <c r="G8" s="258"/>
      <c r="H8" s="258"/>
      <c r="I8" s="259"/>
      <c r="J8" s="260"/>
      <c r="K8" s="260"/>
      <c r="L8" s="261"/>
      <c r="M8" s="261"/>
      <c r="N8" s="262"/>
      <c r="O8" s="263"/>
      <c r="P8" s="263"/>
      <c r="Q8" s="263"/>
      <c r="R8" s="264"/>
      <c r="S8" s="265"/>
      <c r="U8" s="266"/>
      <c r="V8" s="266"/>
      <c r="W8" s="267"/>
      <c r="X8" s="267"/>
      <c r="Y8" s="268"/>
      <c r="Z8" s="269" t="s">
        <v>19</v>
      </c>
      <c r="AA8" s="269" t="s">
        <v>20</v>
      </c>
      <c r="AB8" s="269" t="s">
        <v>21</v>
      </c>
      <c r="AC8" s="269" t="s">
        <v>22</v>
      </c>
      <c r="AD8" s="269" t="s">
        <v>23</v>
      </c>
      <c r="AE8" s="269" t="s">
        <v>24</v>
      </c>
      <c r="AF8" s="269" t="s">
        <v>25</v>
      </c>
      <c r="AG8" s="269" t="s">
        <v>26</v>
      </c>
      <c r="AH8" s="269" t="s">
        <v>27</v>
      </c>
      <c r="AI8" s="269" t="s">
        <v>28</v>
      </c>
      <c r="AJ8" s="269" t="s">
        <v>29</v>
      </c>
      <c r="AK8" s="269" t="s">
        <v>30</v>
      </c>
      <c r="AL8" s="269" t="s">
        <v>122</v>
      </c>
      <c r="AM8" s="268"/>
      <c r="AN8" s="270" t="s">
        <v>123</v>
      </c>
      <c r="AO8" s="271" t="s">
        <v>19</v>
      </c>
      <c r="AP8" s="271" t="s">
        <v>20</v>
      </c>
      <c r="AQ8" s="271" t="s">
        <v>21</v>
      </c>
      <c r="AR8" s="271" t="s">
        <v>22</v>
      </c>
      <c r="AS8" s="271" t="s">
        <v>23</v>
      </c>
      <c r="AT8" s="271" t="s">
        <v>24</v>
      </c>
      <c r="AU8" s="271" t="s">
        <v>25</v>
      </c>
      <c r="AV8" s="271" t="s">
        <v>26</v>
      </c>
      <c r="AW8" s="271" t="s">
        <v>27</v>
      </c>
      <c r="AX8" s="271" t="s">
        <v>28</v>
      </c>
      <c r="AY8" s="271" t="s">
        <v>29</v>
      </c>
      <c r="AZ8" s="271" t="s">
        <v>30</v>
      </c>
      <c r="BA8" s="271" t="s">
        <v>124</v>
      </c>
      <c r="BB8" s="236" t="s">
        <v>125</v>
      </c>
      <c r="BD8" s="270" t="s">
        <v>123</v>
      </c>
      <c r="BE8" s="272" t="s">
        <v>19</v>
      </c>
      <c r="BF8" s="272" t="s">
        <v>20</v>
      </c>
      <c r="BG8" s="272" t="s">
        <v>21</v>
      </c>
      <c r="BH8" s="272" t="s">
        <v>22</v>
      </c>
      <c r="BI8" s="272" t="s">
        <v>23</v>
      </c>
      <c r="BJ8" s="272" t="s">
        <v>24</v>
      </c>
      <c r="BK8" s="272" t="s">
        <v>25</v>
      </c>
      <c r="BL8" s="272" t="s">
        <v>26</v>
      </c>
      <c r="BM8" s="272" t="s">
        <v>27</v>
      </c>
      <c r="BN8" s="272" t="s">
        <v>28</v>
      </c>
      <c r="BO8" s="272" t="s">
        <v>29</v>
      </c>
      <c r="BP8" s="272" t="s">
        <v>30</v>
      </c>
      <c r="BQ8" s="272" t="s">
        <v>126</v>
      </c>
      <c r="BR8" s="236" t="s">
        <v>125</v>
      </c>
    </row>
    <row r="9" spans="1:70" ht="31.5" customHeight="1">
      <c r="A9" s="227">
        <v>1</v>
      </c>
      <c r="B9" s="228">
        <v>610</v>
      </c>
      <c r="C9" s="273" t="s">
        <v>194</v>
      </c>
      <c r="D9" s="274"/>
      <c r="E9" s="275"/>
      <c r="F9" s="275"/>
      <c r="G9" s="276">
        <v>43736</v>
      </c>
      <c r="H9" s="276">
        <f>+IF(G9&lt;$G$7,$G$7,G9)</f>
        <v>45292</v>
      </c>
      <c r="I9" s="277">
        <v>1000</v>
      </c>
      <c r="J9" s="278">
        <v>15600</v>
      </c>
      <c r="K9" s="279"/>
      <c r="L9" s="280"/>
      <c r="M9" s="280"/>
      <c r="N9" s="281"/>
      <c r="O9" s="273">
        <f t="shared" ref="O9:O17" si="5">+IF(N9="",$O$6-H9-R9,N9-H9-R9)</f>
        <v>366</v>
      </c>
      <c r="P9" s="273">
        <f>+IF(L9="",0,$O$6-L9)</f>
        <v>0</v>
      </c>
      <c r="Q9" s="273">
        <f>+O9-P9</f>
        <v>366</v>
      </c>
      <c r="R9" s="282">
        <f>+IF(ISERROR(VLOOKUP($C9,[1]U!$A:$E,5,0)),0,(VLOOKUP($C9,[1]U!$A:$E,5,0)))</f>
        <v>0</v>
      </c>
      <c r="S9" s="283">
        <f t="shared" ref="S9:S17" si="6">+(I9/$N$6*Q9)+(J9/$N$6*P9)</f>
        <v>1000</v>
      </c>
      <c r="T9" s="284">
        <v>0.1</v>
      </c>
      <c r="U9" s="285">
        <f>(I9/26*Q9)*T9+(J9/26*P9)*T9</f>
        <v>1407.6923076923076</v>
      </c>
      <c r="V9" s="286">
        <v>1</v>
      </c>
      <c r="W9" s="285">
        <f>+U9*$V9</f>
        <v>1407.6923076923076</v>
      </c>
      <c r="X9" s="285">
        <f t="shared" ref="X9:X21" si="7">+S9+U9</f>
        <v>2407.6923076923076</v>
      </c>
      <c r="Y9" s="287"/>
      <c r="Z9" s="288">
        <f>+VLOOKUP(C9,'PROVISION VACANCES ET TICKETS'!A:O,15,0)</f>
        <v>2.5</v>
      </c>
      <c r="AA9" s="288">
        <f>+VLOOKUP(C9,'PROVISION VACANCES ET TICKETS'!A:P,16,0)</f>
        <v>2.5</v>
      </c>
      <c r="AB9" s="288">
        <f>+VLOOKUP(C9,'PROVISION VACANCES ET TICKETS'!A:Q,17,0)</f>
        <v>2.5</v>
      </c>
      <c r="AC9" s="288">
        <f>+VLOOKUP(C9,'PROVISION VACANCES ET TICKETS'!A:R,18,0)</f>
        <v>2.5</v>
      </c>
      <c r="AD9" s="288">
        <f>+VLOOKUP(C9,'PROVISION VACANCES ET TICKETS'!A:S,19,0)</f>
        <v>2.5</v>
      </c>
      <c r="AE9" s="288">
        <f>+VLOOKUP(C9,'PROVISION VACANCES ET TICKETS'!A:T,20,0)</f>
        <v>2.5</v>
      </c>
      <c r="AF9" s="288">
        <f>+VLOOKUP(C9,'PROVISION VACANCES ET TICKETS'!A:U,21,0)</f>
        <v>2.5</v>
      </c>
      <c r="AG9" s="288">
        <f>+VLOOKUP(C9,'PROVISION VACANCES ET TICKETS'!A:V,22,0)</f>
        <v>2.5</v>
      </c>
      <c r="AH9" s="288">
        <f>+VLOOKUP(C9,'PROVISION VACANCES ET TICKETS'!A:W,22,0)</f>
        <v>2.5</v>
      </c>
      <c r="AI9" s="288">
        <f>+VLOOKUP(C9,'PROVISION VACANCES ET TICKETS'!A:X,24,0)</f>
        <v>2.5</v>
      </c>
      <c r="AJ9" s="288">
        <f>+VLOOKUP(C9,'PROVISION VACANCES ET TICKETS'!A:Y,25,0)</f>
        <v>2.5</v>
      </c>
      <c r="AK9" s="288">
        <f>+VLOOKUP(C9,'PROVISION VACANCES ET TICKETS'!A:Z,26,0)</f>
        <v>3.5</v>
      </c>
      <c r="AL9" s="289">
        <f>SUM(Z9:AK9)</f>
        <v>31</v>
      </c>
      <c r="AM9" s="287"/>
      <c r="AN9" s="285">
        <v>0</v>
      </c>
      <c r="AO9" s="238">
        <f t="shared" ref="AO9:AZ22" si="8">+$S9/$AL9*Z9</f>
        <v>80.645161290322577</v>
      </c>
      <c r="AP9" s="238">
        <f t="shared" si="8"/>
        <v>80.645161290322577</v>
      </c>
      <c r="AQ9" s="238">
        <f t="shared" si="8"/>
        <v>80.645161290322577</v>
      </c>
      <c r="AR9" s="238">
        <f t="shared" si="8"/>
        <v>80.645161290322577</v>
      </c>
      <c r="AS9" s="238">
        <f t="shared" si="8"/>
        <v>80.645161290322577</v>
      </c>
      <c r="AT9" s="238">
        <f t="shared" si="8"/>
        <v>80.645161290322577</v>
      </c>
      <c r="AU9" s="238">
        <f t="shared" si="8"/>
        <v>80.645161290322577</v>
      </c>
      <c r="AV9" s="238">
        <f t="shared" si="8"/>
        <v>80.645161290322577</v>
      </c>
      <c r="AW9" s="238">
        <f t="shared" si="8"/>
        <v>80.645161290322577</v>
      </c>
      <c r="AX9" s="238">
        <f t="shared" si="8"/>
        <v>80.645161290322577</v>
      </c>
      <c r="AY9" s="238">
        <f t="shared" si="8"/>
        <v>80.645161290322577</v>
      </c>
      <c r="AZ9" s="238">
        <f t="shared" si="8"/>
        <v>112.90322580645162</v>
      </c>
      <c r="BA9" s="289">
        <f>SUM(AO9:AZ9)</f>
        <v>999.99999999999989</v>
      </c>
      <c r="BB9" s="290">
        <f t="shared" ref="BB9:BB23" si="9">+BA9-S9</f>
        <v>0</v>
      </c>
      <c r="BD9" s="285">
        <v>0</v>
      </c>
      <c r="BE9" s="238">
        <f>+IF($L9="",$I9/26*BE$5*$T9,IF(MONTH($L9)=MONTH(AO$7),$J9/26*BE$5*$T9,IF(AND($L9&lt;AO$7,(MONTH($L9)&lt;&gt;MONTH(AO$7))),$J9/26*BE$5*$T9,$I9/26*BE$5*$T9)))</f>
        <v>119.23076923076923</v>
      </c>
      <c r="BF9" s="238">
        <f t="shared" ref="BF9:BP17" si="10">+IF($L9="",$I9/26*BF$5*$T9,IF(MONTH($L9)=MONTH(AP$7),$J9/26*BF$5*$T9,IF(AND($L9&lt;AP$7,(MONTH($L9)&lt;&gt;MONTH(AP$7))),$J9/26*BF$5*$T9,$I9/26*BF$5*$T9)))</f>
        <v>107.69230769230769</v>
      </c>
      <c r="BG9" s="238">
        <f t="shared" si="10"/>
        <v>119.23076923076923</v>
      </c>
      <c r="BH9" s="238">
        <f t="shared" si="10"/>
        <v>115.38461538461539</v>
      </c>
      <c r="BI9" s="238">
        <f t="shared" si="10"/>
        <v>119.23076923076923</v>
      </c>
      <c r="BJ9" s="238">
        <f t="shared" si="10"/>
        <v>115.38461538461539</v>
      </c>
      <c r="BK9" s="238">
        <f t="shared" si="10"/>
        <v>119.23076923076923</v>
      </c>
      <c r="BL9" s="238">
        <f t="shared" si="10"/>
        <v>119.23076923076923</v>
      </c>
      <c r="BM9" s="238">
        <f t="shared" si="10"/>
        <v>115.38461538461539</v>
      </c>
      <c r="BN9" s="238">
        <f t="shared" si="10"/>
        <v>119.23076923076923</v>
      </c>
      <c r="BO9" s="238">
        <f t="shared" si="10"/>
        <v>115.38461538461539</v>
      </c>
      <c r="BP9" s="238">
        <f t="shared" si="10"/>
        <v>119.23076923076923</v>
      </c>
      <c r="BQ9" s="291">
        <f>SUM(BE9:BP9)</f>
        <v>1403.846153846154</v>
      </c>
      <c r="BR9" s="290">
        <f t="shared" ref="BR9:BR39" si="11">+BQ9-U9</f>
        <v>-3.8461538461535838</v>
      </c>
    </row>
    <row r="10" spans="1:70" ht="33" customHeight="1">
      <c r="A10" s="227">
        <v>2</v>
      </c>
      <c r="B10" s="228">
        <v>281</v>
      </c>
      <c r="C10" s="273" t="s">
        <v>195</v>
      </c>
      <c r="D10" s="292"/>
      <c r="E10" s="273"/>
      <c r="F10" s="273"/>
      <c r="G10" s="276">
        <v>41939</v>
      </c>
      <c r="H10" s="276">
        <f t="shared" ref="H10:H22" si="12">+IF(G10&lt;$G$7,$G$7,G10)</f>
        <v>45292</v>
      </c>
      <c r="I10" s="279">
        <f>+I9+100</f>
        <v>1100</v>
      </c>
      <c r="J10" s="278">
        <v>4000</v>
      </c>
      <c r="K10" s="279">
        <f t="shared" ref="K10:K17" si="13">+J10-I10</f>
        <v>2900</v>
      </c>
      <c r="L10" s="293"/>
      <c r="M10" s="293"/>
      <c r="N10" s="281"/>
      <c r="O10" s="273">
        <f t="shared" si="5"/>
        <v>366</v>
      </c>
      <c r="P10" s="273">
        <f t="shared" ref="P10:P17" si="14">+IF(L10="",0,$O$6-L10)</f>
        <v>0</v>
      </c>
      <c r="Q10" s="273">
        <f t="shared" ref="Q10:Q17" si="15">+O10-P10</f>
        <v>366</v>
      </c>
      <c r="R10" s="282">
        <f>+IF(ISERROR(VLOOKUP($C10,[1]U!$A:$E,5,0)),0,(VLOOKUP($C10,[1]U!$A:$E,5,0)))</f>
        <v>0</v>
      </c>
      <c r="S10" s="283">
        <f t="shared" si="6"/>
        <v>1100</v>
      </c>
      <c r="T10" s="294"/>
      <c r="U10" s="295"/>
      <c r="V10" s="295"/>
      <c r="W10" s="295">
        <f t="shared" ref="W10:W21" si="16">+U10*$V10</f>
        <v>0</v>
      </c>
      <c r="X10" s="285">
        <f t="shared" si="7"/>
        <v>1100</v>
      </c>
      <c r="Y10" s="287"/>
      <c r="Z10" s="288">
        <f>+VLOOKUP(C10,'PROVISION VACANCES ET TICKETS'!A:O,15,0)</f>
        <v>2.5</v>
      </c>
      <c r="AA10" s="288">
        <f>+VLOOKUP(C10,'PROVISION VACANCES ET TICKETS'!A:P,16,0)</f>
        <v>2.5</v>
      </c>
      <c r="AB10" s="288">
        <f>+VLOOKUP(C10,'PROVISION VACANCES ET TICKETS'!A:Q,17,0)</f>
        <v>2.5</v>
      </c>
      <c r="AC10" s="288">
        <f>+VLOOKUP(C10,'PROVISION VACANCES ET TICKETS'!A:R,18,0)</f>
        <v>2.5</v>
      </c>
      <c r="AD10" s="288">
        <f>+VLOOKUP(C10,'PROVISION VACANCES ET TICKETS'!A:S,19,0)</f>
        <v>2.5</v>
      </c>
      <c r="AE10" s="288">
        <f>+VLOOKUP(C10,'PROVISION VACANCES ET TICKETS'!A:T,20,0)</f>
        <v>4.5</v>
      </c>
      <c r="AF10" s="288">
        <f>+VLOOKUP(C10,'PROVISION VACANCES ET TICKETS'!A:U,21,0)</f>
        <v>2.5</v>
      </c>
      <c r="AG10" s="288">
        <f>+VLOOKUP(C10,'PROVISION VACANCES ET TICKETS'!A:V,22,0)</f>
        <v>2.5</v>
      </c>
      <c r="AH10" s="288">
        <f>+VLOOKUP(C10,'PROVISION VACANCES ET TICKETS'!A:W,22,0)</f>
        <v>2.5</v>
      </c>
      <c r="AI10" s="288">
        <f>+VLOOKUP(C10,'PROVISION VACANCES ET TICKETS'!A:X,24,0)</f>
        <v>2.5</v>
      </c>
      <c r="AJ10" s="288">
        <f>+VLOOKUP(C10,'PROVISION VACANCES ET TICKETS'!A:Y,25,0)</f>
        <v>2.5</v>
      </c>
      <c r="AK10" s="288">
        <f>+VLOOKUP(C10,'PROVISION VACANCES ET TICKETS'!A:Z,26,0)</f>
        <v>2.5</v>
      </c>
      <c r="AL10" s="289">
        <f t="shared" ref="AL10:AL16" si="17">SUM(Z10:AK10)</f>
        <v>32</v>
      </c>
      <c r="AM10" s="287"/>
      <c r="AN10" s="285">
        <v>0</v>
      </c>
      <c r="AO10" s="238">
        <f t="shared" si="8"/>
        <v>85.9375</v>
      </c>
      <c r="AP10" s="238">
        <f t="shared" si="8"/>
        <v>85.9375</v>
      </c>
      <c r="AQ10" s="238">
        <f t="shared" si="8"/>
        <v>85.9375</v>
      </c>
      <c r="AR10" s="238">
        <f t="shared" si="8"/>
        <v>85.9375</v>
      </c>
      <c r="AS10" s="238">
        <f t="shared" si="8"/>
        <v>85.9375</v>
      </c>
      <c r="AT10" s="238">
        <f t="shared" si="8"/>
        <v>154.6875</v>
      </c>
      <c r="AU10" s="238">
        <f t="shared" si="8"/>
        <v>85.9375</v>
      </c>
      <c r="AV10" s="238">
        <f t="shared" si="8"/>
        <v>85.9375</v>
      </c>
      <c r="AW10" s="238">
        <f t="shared" si="8"/>
        <v>85.9375</v>
      </c>
      <c r="AX10" s="238">
        <f t="shared" si="8"/>
        <v>85.9375</v>
      </c>
      <c r="AY10" s="238">
        <f t="shared" si="8"/>
        <v>85.9375</v>
      </c>
      <c r="AZ10" s="238">
        <f t="shared" si="8"/>
        <v>85.9375</v>
      </c>
      <c r="BA10" s="289">
        <f t="shared" ref="BA10:BA16" si="18">SUM(AO10:AZ10)</f>
        <v>1100</v>
      </c>
      <c r="BB10" s="290">
        <f t="shared" si="9"/>
        <v>0</v>
      </c>
      <c r="BD10" s="296">
        <v>0</v>
      </c>
      <c r="BE10" s="297">
        <f t="shared" ref="BE10:BE17" si="19">+IF($L10="",$I10/26*BE$5*$T10,IF(MONTH($L10)=MONTH(AO$7),$J10/26*BE$5*$T10,IF(AND($L10&lt;AO$7,(MONTH($L10)&lt;&gt;MONTH(AO$7))),$J10/26*BE$5*$T10,$I10/26*BE$5*$T10)))</f>
        <v>0</v>
      </c>
      <c r="BF10" s="297">
        <f t="shared" si="10"/>
        <v>0</v>
      </c>
      <c r="BG10" s="297">
        <f t="shared" si="10"/>
        <v>0</v>
      </c>
      <c r="BH10" s="297">
        <f t="shared" si="10"/>
        <v>0</v>
      </c>
      <c r="BI10" s="297">
        <f t="shared" si="10"/>
        <v>0</v>
      </c>
      <c r="BJ10" s="297">
        <f t="shared" si="10"/>
        <v>0</v>
      </c>
      <c r="BK10" s="297">
        <f t="shared" si="10"/>
        <v>0</v>
      </c>
      <c r="BL10" s="297">
        <f t="shared" si="10"/>
        <v>0</v>
      </c>
      <c r="BM10" s="297">
        <f t="shared" si="10"/>
        <v>0</v>
      </c>
      <c r="BN10" s="297">
        <f t="shared" si="10"/>
        <v>0</v>
      </c>
      <c r="BO10" s="297">
        <f t="shared" si="10"/>
        <v>0</v>
      </c>
      <c r="BP10" s="297">
        <f>+IF($L10="",$I10/26*BP$5*$T10,IF(MONTH($L10)=MONTH(AZ$7),$J10/26*BP$5*$T10,IF(AND($L10&lt;AZ$7,(MONTH($L10)&lt;&gt;MONTH(AZ$7))),$J10/26*BP$5*$T10,$I10/26*BP$5*$T10)))</f>
        <v>0</v>
      </c>
      <c r="BQ10" s="298">
        <f t="shared" ref="BQ10:BQ16" si="20">SUM(BE10:BP10)</f>
        <v>0</v>
      </c>
      <c r="BR10" s="290">
        <f t="shared" si="11"/>
        <v>0</v>
      </c>
    </row>
    <row r="11" spans="1:70" ht="43.5" customHeight="1">
      <c r="A11" s="227">
        <v>3</v>
      </c>
      <c r="B11" s="228">
        <v>290</v>
      </c>
      <c r="C11" s="273" t="s">
        <v>196</v>
      </c>
      <c r="D11" s="292"/>
      <c r="E11" s="273"/>
      <c r="F11" s="273"/>
      <c r="G11" s="276">
        <v>43282</v>
      </c>
      <c r="H11" s="276">
        <f t="shared" si="12"/>
        <v>45292</v>
      </c>
      <c r="I11" s="279">
        <f t="shared" ref="I11:I22" si="21">+I10+100</f>
        <v>1200</v>
      </c>
      <c r="J11" s="278">
        <v>5000</v>
      </c>
      <c r="K11" s="279">
        <f t="shared" si="13"/>
        <v>3800</v>
      </c>
      <c r="L11" s="293"/>
      <c r="M11" s="293"/>
      <c r="N11" s="281"/>
      <c r="O11" s="273">
        <f t="shared" si="5"/>
        <v>366</v>
      </c>
      <c r="P11" s="273">
        <f t="shared" si="14"/>
        <v>0</v>
      </c>
      <c r="Q11" s="273">
        <f t="shared" si="15"/>
        <v>366</v>
      </c>
      <c r="R11" s="282">
        <f>+IF(ISERROR(VLOOKUP($C11,[1]U!$A:$E,5,0)),0,(VLOOKUP($C11,[1]U!$A:$E,5,0)))</f>
        <v>0</v>
      </c>
      <c r="S11" s="283">
        <f t="shared" si="6"/>
        <v>1200</v>
      </c>
      <c r="T11" s="284">
        <v>0.1</v>
      </c>
      <c r="U11" s="285">
        <f>(I11/26*Q11)*T11+(J11/26*P11)*T11</f>
        <v>1689.2307692307693</v>
      </c>
      <c r="V11" s="286">
        <v>1</v>
      </c>
      <c r="W11" s="285">
        <f t="shared" si="16"/>
        <v>1689.2307692307693</v>
      </c>
      <c r="X11" s="285">
        <f t="shared" si="7"/>
        <v>2889.2307692307695</v>
      </c>
      <c r="Y11" s="287"/>
      <c r="Z11" s="288">
        <f>+VLOOKUP(C11,'PROVISION VACANCES ET TICKETS'!A:O,15,0)</f>
        <v>2.5</v>
      </c>
      <c r="AA11" s="288">
        <f>+VLOOKUP(C11,'PROVISION VACANCES ET TICKETS'!A:P,16,0)</f>
        <v>2.5</v>
      </c>
      <c r="AB11" s="288">
        <f>+VLOOKUP(C11,'PROVISION VACANCES ET TICKETS'!A:Q,17,0)</f>
        <v>2.5</v>
      </c>
      <c r="AC11" s="288">
        <f>+VLOOKUP(C11,'PROVISION VACANCES ET TICKETS'!A:R,18,0)</f>
        <v>2.5</v>
      </c>
      <c r="AD11" s="288">
        <f>+VLOOKUP(C11,'PROVISION VACANCES ET TICKETS'!A:S,19,0)</f>
        <v>2.5</v>
      </c>
      <c r="AE11" s="288">
        <f>+VLOOKUP(C11,'PROVISION VACANCES ET TICKETS'!A:T,20,0)</f>
        <v>4.5</v>
      </c>
      <c r="AF11" s="288">
        <f>+VLOOKUP(C11,'PROVISION VACANCES ET TICKETS'!A:U,21,0)</f>
        <v>2.5</v>
      </c>
      <c r="AG11" s="288">
        <f>+VLOOKUP(C11,'PROVISION VACANCES ET TICKETS'!A:V,22,0)</f>
        <v>2.5</v>
      </c>
      <c r="AH11" s="288">
        <f>+VLOOKUP(C11,'PROVISION VACANCES ET TICKETS'!A:W,22,0)</f>
        <v>2.5</v>
      </c>
      <c r="AI11" s="288">
        <f>+VLOOKUP(C11,'PROVISION VACANCES ET TICKETS'!A:X,24,0)</f>
        <v>2.5</v>
      </c>
      <c r="AJ11" s="288">
        <f>+VLOOKUP(C11,'PROVISION VACANCES ET TICKETS'!A:Y,25,0)</f>
        <v>2.5</v>
      </c>
      <c r="AK11" s="288">
        <f>+VLOOKUP(C11,'PROVISION VACANCES ET TICKETS'!A:Z,26,0)</f>
        <v>2.5</v>
      </c>
      <c r="AL11" s="289">
        <f t="shared" si="17"/>
        <v>32</v>
      </c>
      <c r="AM11" s="287"/>
      <c r="AN11" s="285">
        <v>0</v>
      </c>
      <c r="AO11" s="238">
        <f t="shared" si="8"/>
        <v>93.75</v>
      </c>
      <c r="AP11" s="238">
        <f t="shared" si="8"/>
        <v>93.75</v>
      </c>
      <c r="AQ11" s="238">
        <f t="shared" si="8"/>
        <v>93.75</v>
      </c>
      <c r="AR11" s="238">
        <f t="shared" si="8"/>
        <v>93.75</v>
      </c>
      <c r="AS11" s="238">
        <f t="shared" si="8"/>
        <v>93.75</v>
      </c>
      <c r="AT11" s="238">
        <f t="shared" si="8"/>
        <v>168.75</v>
      </c>
      <c r="AU11" s="238">
        <f t="shared" si="8"/>
        <v>93.75</v>
      </c>
      <c r="AV11" s="238">
        <f t="shared" si="8"/>
        <v>93.75</v>
      </c>
      <c r="AW11" s="238">
        <f t="shared" si="8"/>
        <v>93.75</v>
      </c>
      <c r="AX11" s="238">
        <f t="shared" si="8"/>
        <v>93.75</v>
      </c>
      <c r="AY11" s="238">
        <f t="shared" si="8"/>
        <v>93.75</v>
      </c>
      <c r="AZ11" s="238">
        <f t="shared" si="8"/>
        <v>93.75</v>
      </c>
      <c r="BA11" s="289">
        <f t="shared" si="18"/>
        <v>1200</v>
      </c>
      <c r="BB11" s="290">
        <f t="shared" si="9"/>
        <v>0</v>
      </c>
      <c r="BD11" s="285">
        <v>0</v>
      </c>
      <c r="BE11" s="238">
        <f t="shared" si="19"/>
        <v>143.07692307692307</v>
      </c>
      <c r="BF11" s="238">
        <f t="shared" si="10"/>
        <v>129.23076923076925</v>
      </c>
      <c r="BG11" s="238">
        <f t="shared" si="10"/>
        <v>143.07692307692307</v>
      </c>
      <c r="BH11" s="238">
        <f t="shared" si="10"/>
        <v>138.46153846153845</v>
      </c>
      <c r="BI11" s="238">
        <f t="shared" si="10"/>
        <v>143.07692307692307</v>
      </c>
      <c r="BJ11" s="238">
        <f t="shared" si="10"/>
        <v>138.46153846153845</v>
      </c>
      <c r="BK11" s="238">
        <f t="shared" si="10"/>
        <v>143.07692307692307</v>
      </c>
      <c r="BL11" s="238">
        <f t="shared" si="10"/>
        <v>143.07692307692307</v>
      </c>
      <c r="BM11" s="238">
        <f t="shared" si="10"/>
        <v>138.46153846153845</v>
      </c>
      <c r="BN11" s="238">
        <f t="shared" si="10"/>
        <v>143.07692307692307</v>
      </c>
      <c r="BO11" s="238">
        <f t="shared" si="10"/>
        <v>138.46153846153845</v>
      </c>
      <c r="BP11" s="238">
        <f>+IF($L11="",$I11/26*BP$5*$T11,IF(MONTH($L11)=MONTH(AZ$7),$J11/26*BP$5*$T11,IF(AND($L11&lt;AZ$7,(MONTH($L11)&lt;&gt;MONTH(AZ$7))),$J11/26*BP$5*$T11,$I11/26*BP$5*$T11)))</f>
        <v>143.07692307692307</v>
      </c>
      <c r="BQ11" s="291">
        <f t="shared" si="20"/>
        <v>1684.6153846153845</v>
      </c>
      <c r="BR11" s="290">
        <f t="shared" si="11"/>
        <v>-4.6153846153847553</v>
      </c>
    </row>
    <row r="12" spans="1:70" ht="36" customHeight="1">
      <c r="A12" s="227">
        <v>4</v>
      </c>
      <c r="B12" s="228">
        <v>710</v>
      </c>
      <c r="C12" s="273" t="s">
        <v>197</v>
      </c>
      <c r="D12" s="292"/>
      <c r="E12" s="273"/>
      <c r="F12" s="273"/>
      <c r="G12" s="276">
        <v>43785</v>
      </c>
      <c r="H12" s="276">
        <f t="shared" si="12"/>
        <v>45292</v>
      </c>
      <c r="I12" s="279">
        <f t="shared" si="21"/>
        <v>1300</v>
      </c>
      <c r="J12" s="278">
        <v>3500</v>
      </c>
      <c r="K12" s="279">
        <f t="shared" si="13"/>
        <v>2200</v>
      </c>
      <c r="L12" s="280"/>
      <c r="M12" s="280"/>
      <c r="N12" s="281"/>
      <c r="O12" s="273">
        <f t="shared" si="5"/>
        <v>366</v>
      </c>
      <c r="P12" s="273">
        <f t="shared" si="14"/>
        <v>0</v>
      </c>
      <c r="Q12" s="273">
        <f t="shared" si="15"/>
        <v>366</v>
      </c>
      <c r="R12" s="282">
        <v>0</v>
      </c>
      <c r="S12" s="283">
        <f t="shared" si="6"/>
        <v>1300</v>
      </c>
      <c r="T12" s="299">
        <v>0.1</v>
      </c>
      <c r="U12" s="285">
        <f>(I12/26*Q12)*T12+(J12/26*P12)*T12</f>
        <v>1830</v>
      </c>
      <c r="V12" s="286">
        <v>1</v>
      </c>
      <c r="W12" s="285">
        <f t="shared" si="16"/>
        <v>1830</v>
      </c>
      <c r="X12" s="285">
        <f t="shared" si="7"/>
        <v>3130</v>
      </c>
      <c r="Y12" s="287"/>
      <c r="Z12" s="288">
        <f>+VLOOKUP(C12,'PROVISION VACANCES ET TICKETS'!A:O,15,0)</f>
        <v>2.5</v>
      </c>
      <c r="AA12" s="288">
        <f>+VLOOKUP(C12,'PROVISION VACANCES ET TICKETS'!A:P,16,0)</f>
        <v>2.5</v>
      </c>
      <c r="AB12" s="288">
        <f>+VLOOKUP(C12,'PROVISION VACANCES ET TICKETS'!A:Q,17,0)</f>
        <v>2.5</v>
      </c>
      <c r="AC12" s="288">
        <f>+VLOOKUP(C12,'PROVISION VACANCES ET TICKETS'!A:R,18,0)</f>
        <v>2.5</v>
      </c>
      <c r="AD12" s="288">
        <f>+VLOOKUP(C12,'PROVISION VACANCES ET TICKETS'!A:S,19,0)</f>
        <v>2.5</v>
      </c>
      <c r="AE12" s="288">
        <f>+VLOOKUP(C12,'PROVISION VACANCES ET TICKETS'!A:T,20,0)</f>
        <v>2.5</v>
      </c>
      <c r="AF12" s="288">
        <f>+VLOOKUP(C12,'PROVISION VACANCES ET TICKETS'!A:U,21,0)</f>
        <v>2.5</v>
      </c>
      <c r="AG12" s="288">
        <f>+VLOOKUP(C12,'PROVISION VACANCES ET TICKETS'!A:V,22,0)</f>
        <v>2.5</v>
      </c>
      <c r="AH12" s="288">
        <f>+VLOOKUP(C12,'PROVISION VACANCES ET TICKETS'!A:W,22,0)</f>
        <v>2.5</v>
      </c>
      <c r="AI12" s="288">
        <f>+VLOOKUP(C12,'PROVISION VACANCES ET TICKETS'!A:X,24,0)</f>
        <v>4.5</v>
      </c>
      <c r="AJ12" s="288">
        <f>+VLOOKUP(C12,'PROVISION VACANCES ET TICKETS'!A:Y,25,0)</f>
        <v>2.5</v>
      </c>
      <c r="AK12" s="288">
        <f>+VLOOKUP(C12,'PROVISION VACANCES ET TICKETS'!A:Z,26,0)</f>
        <v>2.5</v>
      </c>
      <c r="AL12" s="289">
        <f t="shared" si="17"/>
        <v>32</v>
      </c>
      <c r="AM12" s="287"/>
      <c r="AN12" s="285">
        <v>0</v>
      </c>
      <c r="AO12" s="238">
        <f t="shared" si="8"/>
        <v>101.5625</v>
      </c>
      <c r="AP12" s="238">
        <f t="shared" si="8"/>
        <v>101.5625</v>
      </c>
      <c r="AQ12" s="238">
        <f t="shared" si="8"/>
        <v>101.5625</v>
      </c>
      <c r="AR12" s="238">
        <f t="shared" si="8"/>
        <v>101.5625</v>
      </c>
      <c r="AS12" s="238">
        <f t="shared" si="8"/>
        <v>101.5625</v>
      </c>
      <c r="AT12" s="238">
        <f t="shared" si="8"/>
        <v>101.5625</v>
      </c>
      <c r="AU12" s="238">
        <f t="shared" si="8"/>
        <v>101.5625</v>
      </c>
      <c r="AV12" s="238">
        <f t="shared" si="8"/>
        <v>101.5625</v>
      </c>
      <c r="AW12" s="238">
        <f t="shared" si="8"/>
        <v>101.5625</v>
      </c>
      <c r="AX12" s="238">
        <f t="shared" si="8"/>
        <v>182.8125</v>
      </c>
      <c r="AY12" s="238">
        <f t="shared" si="8"/>
        <v>101.5625</v>
      </c>
      <c r="AZ12" s="238">
        <f t="shared" si="8"/>
        <v>101.5625</v>
      </c>
      <c r="BA12" s="289">
        <f t="shared" si="18"/>
        <v>1300</v>
      </c>
      <c r="BB12" s="290">
        <f t="shared" si="9"/>
        <v>0</v>
      </c>
      <c r="BD12" s="285">
        <v>0</v>
      </c>
      <c r="BE12" s="238">
        <f t="shared" si="19"/>
        <v>155</v>
      </c>
      <c r="BF12" s="238">
        <f t="shared" si="10"/>
        <v>140</v>
      </c>
      <c r="BG12" s="238">
        <f t="shared" si="10"/>
        <v>155</v>
      </c>
      <c r="BH12" s="238">
        <f t="shared" si="10"/>
        <v>150</v>
      </c>
      <c r="BI12" s="238">
        <f t="shared" si="10"/>
        <v>155</v>
      </c>
      <c r="BJ12" s="238">
        <f t="shared" si="10"/>
        <v>150</v>
      </c>
      <c r="BK12" s="238">
        <f t="shared" si="10"/>
        <v>155</v>
      </c>
      <c r="BL12" s="238">
        <f t="shared" si="10"/>
        <v>155</v>
      </c>
      <c r="BM12" s="238">
        <f t="shared" si="10"/>
        <v>150</v>
      </c>
      <c r="BN12" s="238">
        <f t="shared" si="10"/>
        <v>155</v>
      </c>
      <c r="BO12" s="238">
        <f t="shared" si="10"/>
        <v>150</v>
      </c>
      <c r="BP12" s="238">
        <f>+IF($L12="",$I12/26*BP$5*$T12,IF(MONTH($L12)=MONTH(AZ$7),$J12/26*BP$5*$T12,IF(AND($L12&lt;AZ$7,(MONTH($L12)&lt;&gt;MONTH(AZ$7))),$J12/26*BP$5*$T12,$I12/26*BP$5*$T12)))</f>
        <v>155</v>
      </c>
      <c r="BQ12" s="291">
        <f t="shared" si="20"/>
        <v>1825</v>
      </c>
      <c r="BR12" s="290">
        <f t="shared" si="11"/>
        <v>-5</v>
      </c>
    </row>
    <row r="13" spans="1:70" ht="36" customHeight="1">
      <c r="A13" s="227">
        <v>6</v>
      </c>
      <c r="B13" s="228">
        <v>290</v>
      </c>
      <c r="C13" s="273" t="s">
        <v>198</v>
      </c>
      <c r="D13" s="292"/>
      <c r="E13" s="273"/>
      <c r="F13" s="273"/>
      <c r="G13" s="276">
        <v>44163</v>
      </c>
      <c r="H13" s="276">
        <f t="shared" si="12"/>
        <v>45292</v>
      </c>
      <c r="I13" s="279">
        <f t="shared" si="21"/>
        <v>1400</v>
      </c>
      <c r="J13" s="278">
        <v>2800</v>
      </c>
      <c r="K13" s="279">
        <f t="shared" si="13"/>
        <v>1400</v>
      </c>
      <c r="L13" s="280"/>
      <c r="M13" s="280"/>
      <c r="N13" s="281"/>
      <c r="O13" s="273">
        <f t="shared" si="5"/>
        <v>366</v>
      </c>
      <c r="P13" s="273">
        <f t="shared" si="14"/>
        <v>0</v>
      </c>
      <c r="Q13" s="273">
        <f t="shared" si="15"/>
        <v>366</v>
      </c>
      <c r="R13" s="282">
        <f>+IF(ISERROR(VLOOKUP($C13,[1]U!$A:$E,5,0)),0,(VLOOKUP($C13,[1]U!$A:$E,5,0)))</f>
        <v>0</v>
      </c>
      <c r="S13" s="283">
        <f t="shared" si="6"/>
        <v>1400</v>
      </c>
      <c r="T13" s="294"/>
      <c r="U13" s="295"/>
      <c r="V13" s="295"/>
      <c r="W13" s="295">
        <f t="shared" si="16"/>
        <v>0</v>
      </c>
      <c r="X13" s="285">
        <f t="shared" si="7"/>
        <v>1400</v>
      </c>
      <c r="Y13" s="287"/>
      <c r="Z13" s="288">
        <f>+VLOOKUP(C13,'PROVISION VACANCES ET TICKETS'!A:O,15,0)</f>
        <v>2.5</v>
      </c>
      <c r="AA13" s="288">
        <f>+VLOOKUP(C13,'PROVISION VACANCES ET TICKETS'!A:P,16,0)</f>
        <v>2.5</v>
      </c>
      <c r="AB13" s="288">
        <f>+VLOOKUP(C13,'PROVISION VACANCES ET TICKETS'!A:Q,17,0)</f>
        <v>2.5</v>
      </c>
      <c r="AC13" s="288">
        <f>+VLOOKUP(C13,'PROVISION VACANCES ET TICKETS'!A:R,18,0)</f>
        <v>2.5</v>
      </c>
      <c r="AD13" s="288">
        <f>+VLOOKUP(C13,'PROVISION VACANCES ET TICKETS'!A:S,19,0)</f>
        <v>2.5</v>
      </c>
      <c r="AE13" s="288">
        <f>+VLOOKUP(C13,'PROVISION VACANCES ET TICKETS'!A:T,20,0)</f>
        <v>2.5</v>
      </c>
      <c r="AF13" s="288">
        <f>+VLOOKUP(C13,'PROVISION VACANCES ET TICKETS'!A:U,21,0)</f>
        <v>3.5</v>
      </c>
      <c r="AG13" s="288">
        <f>+VLOOKUP(C13,'PROVISION VACANCES ET TICKETS'!A:V,22,0)</f>
        <v>2.5</v>
      </c>
      <c r="AH13" s="288">
        <f>+VLOOKUP(C13,'PROVISION VACANCES ET TICKETS'!A:W,22,0)</f>
        <v>2.5</v>
      </c>
      <c r="AI13" s="288">
        <f>+VLOOKUP(C13,'PROVISION VACANCES ET TICKETS'!A:X,24,0)</f>
        <v>2.5</v>
      </c>
      <c r="AJ13" s="288">
        <f>+VLOOKUP(C13,'PROVISION VACANCES ET TICKETS'!A:Y,25,0)</f>
        <v>2.5</v>
      </c>
      <c r="AK13" s="288">
        <f>+VLOOKUP(C13,'PROVISION VACANCES ET TICKETS'!A:Z,26,0)</f>
        <v>2.5</v>
      </c>
      <c r="AL13" s="289">
        <f t="shared" si="17"/>
        <v>31</v>
      </c>
      <c r="AM13" s="287"/>
      <c r="AN13" s="285">
        <v>0</v>
      </c>
      <c r="AO13" s="238">
        <f t="shared" si="8"/>
        <v>112.90322580645162</v>
      </c>
      <c r="AP13" s="238">
        <f t="shared" si="8"/>
        <v>112.90322580645162</v>
      </c>
      <c r="AQ13" s="238">
        <f t="shared" si="8"/>
        <v>112.90322580645162</v>
      </c>
      <c r="AR13" s="238">
        <f t="shared" si="8"/>
        <v>112.90322580645162</v>
      </c>
      <c r="AS13" s="238">
        <f t="shared" si="8"/>
        <v>112.90322580645162</v>
      </c>
      <c r="AT13" s="238">
        <f t="shared" si="8"/>
        <v>112.90322580645162</v>
      </c>
      <c r="AU13" s="238">
        <f t="shared" si="8"/>
        <v>158.06451612903226</v>
      </c>
      <c r="AV13" s="238">
        <f t="shared" si="8"/>
        <v>112.90322580645162</v>
      </c>
      <c r="AW13" s="238">
        <f t="shared" si="8"/>
        <v>112.90322580645162</v>
      </c>
      <c r="AX13" s="238">
        <f t="shared" si="8"/>
        <v>112.90322580645162</v>
      </c>
      <c r="AY13" s="238">
        <f t="shared" si="8"/>
        <v>112.90322580645162</v>
      </c>
      <c r="AZ13" s="238">
        <f t="shared" si="8"/>
        <v>112.90322580645162</v>
      </c>
      <c r="BA13" s="289">
        <f t="shared" si="18"/>
        <v>1400.0000000000002</v>
      </c>
      <c r="BB13" s="290">
        <f t="shared" si="9"/>
        <v>0</v>
      </c>
      <c r="BD13" s="296">
        <v>0</v>
      </c>
      <c r="BE13" s="297">
        <f t="shared" si="19"/>
        <v>0</v>
      </c>
      <c r="BF13" s="297">
        <f t="shared" si="10"/>
        <v>0</v>
      </c>
      <c r="BG13" s="297">
        <f t="shared" si="10"/>
        <v>0</v>
      </c>
      <c r="BH13" s="297">
        <f t="shared" si="10"/>
        <v>0</v>
      </c>
      <c r="BI13" s="297">
        <f t="shared" si="10"/>
        <v>0</v>
      </c>
      <c r="BJ13" s="297">
        <f t="shared" si="10"/>
        <v>0</v>
      </c>
      <c r="BK13" s="297">
        <f t="shared" si="10"/>
        <v>0</v>
      </c>
      <c r="BL13" s="297">
        <f t="shared" si="10"/>
        <v>0</v>
      </c>
      <c r="BM13" s="297">
        <f t="shared" si="10"/>
        <v>0</v>
      </c>
      <c r="BN13" s="297">
        <f t="shared" si="10"/>
        <v>0</v>
      </c>
      <c r="BO13" s="297">
        <f t="shared" si="10"/>
        <v>0</v>
      </c>
      <c r="BP13" s="297">
        <f t="shared" si="10"/>
        <v>0</v>
      </c>
      <c r="BQ13" s="298">
        <f t="shared" si="20"/>
        <v>0</v>
      </c>
      <c r="BR13" s="290">
        <f t="shared" si="11"/>
        <v>0</v>
      </c>
    </row>
    <row r="14" spans="1:70" ht="36" customHeight="1">
      <c r="A14" s="227">
        <v>12</v>
      </c>
      <c r="B14" s="228">
        <v>620</v>
      </c>
      <c r="C14" s="273" t="s">
        <v>199</v>
      </c>
      <c r="D14" s="274"/>
      <c r="E14" s="275"/>
      <c r="F14" s="275"/>
      <c r="G14" s="276">
        <v>41813</v>
      </c>
      <c r="H14" s="276">
        <f t="shared" si="12"/>
        <v>45292</v>
      </c>
      <c r="I14" s="279">
        <f t="shared" si="21"/>
        <v>1500</v>
      </c>
      <c r="J14" s="278">
        <v>7500</v>
      </c>
      <c r="K14" s="279">
        <f t="shared" si="13"/>
        <v>6000</v>
      </c>
      <c r="L14" s="280"/>
      <c r="M14" s="280"/>
      <c r="N14" s="281"/>
      <c r="O14" s="273">
        <f t="shared" si="5"/>
        <v>366</v>
      </c>
      <c r="P14" s="273">
        <f t="shared" si="14"/>
        <v>0</v>
      </c>
      <c r="Q14" s="273">
        <f t="shared" si="15"/>
        <v>366</v>
      </c>
      <c r="R14" s="282">
        <f>+IF(ISERROR(VLOOKUP($C14,[1]U!$A:$E,5,0)),0,(VLOOKUP($C14,[1]U!$A:$E,5,0)))</f>
        <v>0</v>
      </c>
      <c r="S14" s="283">
        <f t="shared" si="6"/>
        <v>1499.9999999999998</v>
      </c>
      <c r="T14" s="284">
        <v>0.1</v>
      </c>
      <c r="U14" s="285">
        <f>(I14/26*Q14)*T14+(J14/26*P14)*T14</f>
        <v>2111.5384615384619</v>
      </c>
      <c r="V14" s="286">
        <v>1</v>
      </c>
      <c r="W14" s="285">
        <f t="shared" si="16"/>
        <v>2111.5384615384619</v>
      </c>
      <c r="X14" s="285">
        <f t="shared" si="7"/>
        <v>3611.5384615384619</v>
      </c>
      <c r="Y14" s="287"/>
      <c r="Z14" s="288">
        <f>+VLOOKUP(C14,'PROVISION VACANCES ET TICKETS'!A:O,15,0)</f>
        <v>2.5</v>
      </c>
      <c r="AA14" s="288">
        <f>+VLOOKUP(C14,'PROVISION VACANCES ET TICKETS'!A:P,16,0)</f>
        <v>2.5</v>
      </c>
      <c r="AB14" s="288">
        <f>+VLOOKUP(C14,'PROVISION VACANCES ET TICKETS'!A:Q,17,0)</f>
        <v>2.5</v>
      </c>
      <c r="AC14" s="288">
        <f>+VLOOKUP(C14,'PROVISION VACANCES ET TICKETS'!A:R,18,0)</f>
        <v>2.5</v>
      </c>
      <c r="AD14" s="288">
        <f>+VLOOKUP(C14,'PROVISION VACANCES ET TICKETS'!A:S,19,0)</f>
        <v>2.5</v>
      </c>
      <c r="AE14" s="288">
        <f>+VLOOKUP(C14,'PROVISION VACANCES ET TICKETS'!A:T,20,0)</f>
        <v>2.5</v>
      </c>
      <c r="AF14" s="288">
        <f>+VLOOKUP(C14,'PROVISION VACANCES ET TICKETS'!A:U,21,0)</f>
        <v>2.5</v>
      </c>
      <c r="AG14" s="288">
        <f>+VLOOKUP(C14,'PROVISION VACANCES ET TICKETS'!A:V,22,0)</f>
        <v>2.5</v>
      </c>
      <c r="AH14" s="288">
        <f>+VLOOKUP(C14,'PROVISION VACANCES ET TICKETS'!A:W,22,0)</f>
        <v>2.5</v>
      </c>
      <c r="AI14" s="288">
        <f>+VLOOKUP(C14,'PROVISION VACANCES ET TICKETS'!A:X,24,0)</f>
        <v>2.5</v>
      </c>
      <c r="AJ14" s="288">
        <f>+VLOOKUP(C14,'PROVISION VACANCES ET TICKETS'!A:Y,25,0)</f>
        <v>2.5</v>
      </c>
      <c r="AK14" s="288">
        <f>+VLOOKUP(C14,'PROVISION VACANCES ET TICKETS'!A:Z,26,0)</f>
        <v>2.5</v>
      </c>
      <c r="AL14" s="289">
        <f t="shared" si="17"/>
        <v>30</v>
      </c>
      <c r="AM14" s="287"/>
      <c r="AN14" s="285">
        <v>0</v>
      </c>
      <c r="AO14" s="238">
        <f t="shared" si="8"/>
        <v>124.99999999999999</v>
      </c>
      <c r="AP14" s="238">
        <f t="shared" si="8"/>
        <v>124.99999999999999</v>
      </c>
      <c r="AQ14" s="238">
        <f t="shared" si="8"/>
        <v>124.99999999999999</v>
      </c>
      <c r="AR14" s="238">
        <f t="shared" si="8"/>
        <v>124.99999999999999</v>
      </c>
      <c r="AS14" s="238">
        <f t="shared" si="8"/>
        <v>124.99999999999999</v>
      </c>
      <c r="AT14" s="238">
        <f t="shared" si="8"/>
        <v>124.99999999999999</v>
      </c>
      <c r="AU14" s="238">
        <f t="shared" si="8"/>
        <v>124.99999999999999</v>
      </c>
      <c r="AV14" s="238">
        <f t="shared" si="8"/>
        <v>124.99999999999999</v>
      </c>
      <c r="AW14" s="238">
        <f t="shared" si="8"/>
        <v>124.99999999999999</v>
      </c>
      <c r="AX14" s="238">
        <f t="shared" si="8"/>
        <v>124.99999999999999</v>
      </c>
      <c r="AY14" s="238">
        <f t="shared" si="8"/>
        <v>124.99999999999999</v>
      </c>
      <c r="AZ14" s="238">
        <f t="shared" si="8"/>
        <v>124.99999999999999</v>
      </c>
      <c r="BA14" s="289">
        <f t="shared" si="18"/>
        <v>1499.9999999999998</v>
      </c>
      <c r="BB14" s="290">
        <f t="shared" si="9"/>
        <v>0</v>
      </c>
      <c r="BD14" s="285">
        <v>0</v>
      </c>
      <c r="BE14" s="238">
        <f t="shared" si="19"/>
        <v>178.84615384615387</v>
      </c>
      <c r="BF14" s="238">
        <f t="shared" si="10"/>
        <v>161.53846153846155</v>
      </c>
      <c r="BG14" s="238">
        <f t="shared" si="10"/>
        <v>178.84615384615387</v>
      </c>
      <c r="BH14" s="238">
        <f t="shared" si="10"/>
        <v>173.07692307692309</v>
      </c>
      <c r="BI14" s="238">
        <f t="shared" si="10"/>
        <v>178.84615384615387</v>
      </c>
      <c r="BJ14" s="238">
        <f t="shared" si="10"/>
        <v>173.07692307692309</v>
      </c>
      <c r="BK14" s="238">
        <f t="shared" si="10"/>
        <v>178.84615384615387</v>
      </c>
      <c r="BL14" s="238">
        <f t="shared" si="10"/>
        <v>178.84615384615387</v>
      </c>
      <c r="BM14" s="238">
        <f t="shared" si="10"/>
        <v>173.07692307692309</v>
      </c>
      <c r="BN14" s="238">
        <f t="shared" si="10"/>
        <v>178.84615384615387</v>
      </c>
      <c r="BO14" s="238">
        <f t="shared" si="10"/>
        <v>173.07692307692309</v>
      </c>
      <c r="BP14" s="238">
        <f t="shared" si="10"/>
        <v>178.84615384615387</v>
      </c>
      <c r="BQ14" s="291">
        <f t="shared" si="20"/>
        <v>2105.7692307692309</v>
      </c>
      <c r="BR14" s="290">
        <f t="shared" si="11"/>
        <v>-5.7692307692309441</v>
      </c>
    </row>
    <row r="15" spans="1:70" ht="36" customHeight="1">
      <c r="A15" s="227">
        <v>13</v>
      </c>
      <c r="B15" s="228">
        <v>140</v>
      </c>
      <c r="C15" s="273" t="s">
        <v>200</v>
      </c>
      <c r="D15" s="274"/>
      <c r="E15" s="275"/>
      <c r="F15" s="275"/>
      <c r="G15" s="276">
        <v>43440</v>
      </c>
      <c r="H15" s="276">
        <f t="shared" si="12"/>
        <v>45292</v>
      </c>
      <c r="I15" s="279">
        <f t="shared" si="21"/>
        <v>1600</v>
      </c>
      <c r="J15" s="278">
        <v>2800</v>
      </c>
      <c r="K15" s="279">
        <f t="shared" si="13"/>
        <v>1200</v>
      </c>
      <c r="L15" s="280"/>
      <c r="M15" s="280"/>
      <c r="N15" s="281"/>
      <c r="O15" s="273">
        <f t="shared" si="5"/>
        <v>366</v>
      </c>
      <c r="P15" s="273">
        <f t="shared" si="14"/>
        <v>0</v>
      </c>
      <c r="Q15" s="273">
        <f t="shared" si="15"/>
        <v>366</v>
      </c>
      <c r="R15" s="282">
        <f>+IF(ISERROR(VLOOKUP($C15,[1]U!$A:$E,5,0)),0,(VLOOKUP($C15,[1]U!$A:$E,5,0)))</f>
        <v>0</v>
      </c>
      <c r="S15" s="283">
        <f t="shared" si="6"/>
        <v>1600.0000000000002</v>
      </c>
      <c r="T15" s="299">
        <v>0.1</v>
      </c>
      <c r="U15" s="285">
        <f>(I15/26*Q15)*T15+(J15/26*P15)*T15</f>
        <v>2252.3076923076924</v>
      </c>
      <c r="V15" s="286">
        <v>1</v>
      </c>
      <c r="W15" s="285">
        <f t="shared" si="16"/>
        <v>2252.3076923076924</v>
      </c>
      <c r="X15" s="285">
        <f t="shared" si="7"/>
        <v>3852.3076923076924</v>
      </c>
      <c r="Y15" s="287"/>
      <c r="Z15" s="288">
        <f>+VLOOKUP(C15,'PROVISION VACANCES ET TICKETS'!A:O,15,0)</f>
        <v>2.5</v>
      </c>
      <c r="AA15" s="288">
        <f>+VLOOKUP(C15,'PROVISION VACANCES ET TICKETS'!A:P,16,0)</f>
        <v>2.5</v>
      </c>
      <c r="AB15" s="288">
        <f>+VLOOKUP(C15,'PROVISION VACANCES ET TICKETS'!A:Q,17,0)</f>
        <v>2.5</v>
      </c>
      <c r="AC15" s="288">
        <f>+VLOOKUP(C15,'PROVISION VACANCES ET TICKETS'!A:R,18,0)</f>
        <v>2.5</v>
      </c>
      <c r="AD15" s="288">
        <f>+VLOOKUP(C15,'PROVISION VACANCES ET TICKETS'!A:S,19,0)</f>
        <v>2.5</v>
      </c>
      <c r="AE15" s="288">
        <f>+VLOOKUP(C15,'PROVISION VACANCES ET TICKETS'!A:T,20,0)</f>
        <v>2.5</v>
      </c>
      <c r="AF15" s="288">
        <f>+VLOOKUP(C15,'PROVISION VACANCES ET TICKETS'!A:U,21,0)</f>
        <v>2.5</v>
      </c>
      <c r="AG15" s="288">
        <f>+VLOOKUP(C15,'PROVISION VACANCES ET TICKETS'!A:V,22,0)</f>
        <v>2.5</v>
      </c>
      <c r="AH15" s="288">
        <f>+VLOOKUP(C15,'PROVISION VACANCES ET TICKETS'!A:W,22,0)</f>
        <v>2.5</v>
      </c>
      <c r="AI15" s="288">
        <f>+VLOOKUP(C15,'PROVISION VACANCES ET TICKETS'!A:X,24,0)</f>
        <v>2.5</v>
      </c>
      <c r="AJ15" s="288">
        <f>+VLOOKUP(C15,'PROVISION VACANCES ET TICKETS'!A:Y,25,0)</f>
        <v>3.5</v>
      </c>
      <c r="AK15" s="288">
        <f>+VLOOKUP(C15,'PROVISION VACANCES ET TICKETS'!A:Z,26,0)</f>
        <v>2.5</v>
      </c>
      <c r="AL15" s="289">
        <f t="shared" si="17"/>
        <v>31</v>
      </c>
      <c r="AM15" s="287"/>
      <c r="AN15" s="285">
        <v>0</v>
      </c>
      <c r="AO15" s="238">
        <f t="shared" si="8"/>
        <v>129.03225806451613</v>
      </c>
      <c r="AP15" s="238">
        <f t="shared" si="8"/>
        <v>129.03225806451613</v>
      </c>
      <c r="AQ15" s="238">
        <f t="shared" si="8"/>
        <v>129.03225806451613</v>
      </c>
      <c r="AR15" s="238">
        <f t="shared" si="8"/>
        <v>129.03225806451613</v>
      </c>
      <c r="AS15" s="238">
        <f t="shared" si="8"/>
        <v>129.03225806451613</v>
      </c>
      <c r="AT15" s="238">
        <f t="shared" si="8"/>
        <v>129.03225806451613</v>
      </c>
      <c r="AU15" s="238">
        <f t="shared" si="8"/>
        <v>129.03225806451613</v>
      </c>
      <c r="AV15" s="238">
        <f t="shared" si="8"/>
        <v>129.03225806451613</v>
      </c>
      <c r="AW15" s="238">
        <f t="shared" si="8"/>
        <v>129.03225806451613</v>
      </c>
      <c r="AX15" s="238">
        <f t="shared" si="8"/>
        <v>129.03225806451613</v>
      </c>
      <c r="AY15" s="238">
        <f t="shared" si="8"/>
        <v>180.64516129032259</v>
      </c>
      <c r="AZ15" s="238">
        <f t="shared" si="8"/>
        <v>129.03225806451613</v>
      </c>
      <c r="BA15" s="289">
        <f t="shared" si="18"/>
        <v>1600</v>
      </c>
      <c r="BB15" s="290">
        <f t="shared" si="9"/>
        <v>0</v>
      </c>
      <c r="BD15" s="285">
        <v>0</v>
      </c>
      <c r="BE15" s="238">
        <f t="shared" si="19"/>
        <v>190.7692307692308</v>
      </c>
      <c r="BF15" s="238">
        <f t="shared" si="10"/>
        <v>172.30769230769232</v>
      </c>
      <c r="BG15" s="238">
        <f t="shared" si="10"/>
        <v>190.7692307692308</v>
      </c>
      <c r="BH15" s="238">
        <f t="shared" si="10"/>
        <v>184.61538461538464</v>
      </c>
      <c r="BI15" s="238">
        <f t="shared" si="10"/>
        <v>190.7692307692308</v>
      </c>
      <c r="BJ15" s="238">
        <f t="shared" si="10"/>
        <v>184.61538461538464</v>
      </c>
      <c r="BK15" s="238">
        <f t="shared" si="10"/>
        <v>190.7692307692308</v>
      </c>
      <c r="BL15" s="238">
        <f t="shared" si="10"/>
        <v>190.7692307692308</v>
      </c>
      <c r="BM15" s="238">
        <f t="shared" si="10"/>
        <v>184.61538461538464</v>
      </c>
      <c r="BN15" s="238">
        <f t="shared" si="10"/>
        <v>190.7692307692308</v>
      </c>
      <c r="BO15" s="238">
        <f t="shared" si="10"/>
        <v>184.61538461538464</v>
      </c>
      <c r="BP15" s="238">
        <f t="shared" si="10"/>
        <v>190.7692307692308</v>
      </c>
      <c r="BQ15" s="291">
        <f t="shared" si="20"/>
        <v>2246.1538461538462</v>
      </c>
      <c r="BR15" s="290">
        <f t="shared" si="11"/>
        <v>-6.1538461538461888</v>
      </c>
    </row>
    <row r="16" spans="1:70" ht="36" customHeight="1">
      <c r="A16" s="227">
        <v>14</v>
      </c>
      <c r="B16" s="228">
        <v>281</v>
      </c>
      <c r="C16" s="273" t="s">
        <v>201</v>
      </c>
      <c r="D16" s="274"/>
      <c r="E16" s="275"/>
      <c r="F16" s="275"/>
      <c r="G16" s="276">
        <v>41807</v>
      </c>
      <c r="H16" s="276">
        <f t="shared" si="12"/>
        <v>45292</v>
      </c>
      <c r="I16" s="279">
        <f t="shared" si="21"/>
        <v>1700</v>
      </c>
      <c r="J16" s="278">
        <v>2670</v>
      </c>
      <c r="K16" s="279">
        <f t="shared" si="13"/>
        <v>970</v>
      </c>
      <c r="L16" s="300"/>
      <c r="M16" s="280"/>
      <c r="N16" s="281"/>
      <c r="O16" s="273">
        <f t="shared" si="5"/>
        <v>366</v>
      </c>
      <c r="P16" s="273">
        <f t="shared" si="14"/>
        <v>0</v>
      </c>
      <c r="Q16" s="273">
        <f t="shared" si="15"/>
        <v>366</v>
      </c>
      <c r="R16" s="282">
        <f>+IF(ISERROR(VLOOKUP($C16,[1]U!$A:$E,5,0)),0,(VLOOKUP($C16,[1]U!$A:$E,5,0)))</f>
        <v>0</v>
      </c>
      <c r="S16" s="283">
        <f t="shared" si="6"/>
        <v>1700</v>
      </c>
      <c r="T16" s="294"/>
      <c r="U16" s="295"/>
      <c r="V16" s="295"/>
      <c r="W16" s="295">
        <f t="shared" si="16"/>
        <v>0</v>
      </c>
      <c r="X16" s="285">
        <f t="shared" si="7"/>
        <v>1700</v>
      </c>
      <c r="Y16" s="287"/>
      <c r="Z16" s="288">
        <f>+VLOOKUP(C16,'PROVISION VACANCES ET TICKETS'!A:O,15,0)</f>
        <v>2.5</v>
      </c>
      <c r="AA16" s="288">
        <f>+VLOOKUP(C16,'PROVISION VACANCES ET TICKETS'!A:P,16,0)</f>
        <v>2.5</v>
      </c>
      <c r="AB16" s="288">
        <f>+VLOOKUP(C16,'PROVISION VACANCES ET TICKETS'!A:Q,17,0)</f>
        <v>2.5</v>
      </c>
      <c r="AC16" s="288">
        <f>+VLOOKUP(C16,'PROVISION VACANCES ET TICKETS'!A:R,18,0)</f>
        <v>2.5</v>
      </c>
      <c r="AD16" s="288">
        <f>+VLOOKUP(C16,'PROVISION VACANCES ET TICKETS'!A:S,19,0)</f>
        <v>2.5</v>
      </c>
      <c r="AE16" s="288">
        <f>+VLOOKUP(C16,'PROVISION VACANCES ET TICKETS'!A:T,20,0)</f>
        <v>2.5</v>
      </c>
      <c r="AF16" s="288">
        <f>+VLOOKUP(C16,'PROVISION VACANCES ET TICKETS'!A:U,21,0)</f>
        <v>2.5</v>
      </c>
      <c r="AG16" s="288">
        <f>+VLOOKUP(C16,'PROVISION VACANCES ET TICKETS'!A:V,22,0)</f>
        <v>2.5</v>
      </c>
      <c r="AH16" s="288">
        <f>+VLOOKUP(C16,'PROVISION VACANCES ET TICKETS'!A:W,22,0)</f>
        <v>2.5</v>
      </c>
      <c r="AI16" s="288">
        <f>+VLOOKUP(C16,'PROVISION VACANCES ET TICKETS'!A:X,24,0)</f>
        <v>2.5</v>
      </c>
      <c r="AJ16" s="288">
        <f>+VLOOKUP(C16,'PROVISION VACANCES ET TICKETS'!A:Y,25,0)</f>
        <v>2.5</v>
      </c>
      <c r="AK16" s="288">
        <f>+VLOOKUP(C16,'PROVISION VACANCES ET TICKETS'!A:Z,26,0)</f>
        <v>2.5</v>
      </c>
      <c r="AL16" s="289">
        <f t="shared" si="17"/>
        <v>30</v>
      </c>
      <c r="AM16" s="287"/>
      <c r="AN16" s="285">
        <v>0</v>
      </c>
      <c r="AO16" s="238">
        <f t="shared" si="8"/>
        <v>141.66666666666666</v>
      </c>
      <c r="AP16" s="238">
        <f t="shared" si="8"/>
        <v>141.66666666666666</v>
      </c>
      <c r="AQ16" s="238">
        <f t="shared" si="8"/>
        <v>141.66666666666666</v>
      </c>
      <c r="AR16" s="238">
        <f t="shared" si="8"/>
        <v>141.66666666666666</v>
      </c>
      <c r="AS16" s="238">
        <f t="shared" si="8"/>
        <v>141.66666666666666</v>
      </c>
      <c r="AT16" s="238">
        <f t="shared" si="8"/>
        <v>141.66666666666666</v>
      </c>
      <c r="AU16" s="238">
        <f t="shared" si="8"/>
        <v>141.66666666666666</v>
      </c>
      <c r="AV16" s="238">
        <f t="shared" si="8"/>
        <v>141.66666666666666</v>
      </c>
      <c r="AW16" s="238">
        <f t="shared" si="8"/>
        <v>141.66666666666666</v>
      </c>
      <c r="AX16" s="238">
        <f t="shared" si="8"/>
        <v>141.66666666666666</v>
      </c>
      <c r="AY16" s="238">
        <f t="shared" si="8"/>
        <v>141.66666666666666</v>
      </c>
      <c r="AZ16" s="238">
        <f t="shared" si="8"/>
        <v>141.66666666666666</v>
      </c>
      <c r="BA16" s="289">
        <f t="shared" si="18"/>
        <v>1700.0000000000002</v>
      </c>
      <c r="BB16" s="290">
        <f t="shared" si="9"/>
        <v>0</v>
      </c>
      <c r="BD16" s="296">
        <v>0</v>
      </c>
      <c r="BE16" s="297">
        <f t="shared" si="19"/>
        <v>0</v>
      </c>
      <c r="BF16" s="297">
        <f t="shared" si="10"/>
        <v>0</v>
      </c>
      <c r="BG16" s="297">
        <f t="shared" si="10"/>
        <v>0</v>
      </c>
      <c r="BH16" s="297">
        <f t="shared" si="10"/>
        <v>0</v>
      </c>
      <c r="BI16" s="297">
        <f t="shared" si="10"/>
        <v>0</v>
      </c>
      <c r="BJ16" s="297">
        <f t="shared" si="10"/>
        <v>0</v>
      </c>
      <c r="BK16" s="297">
        <f t="shared" si="10"/>
        <v>0</v>
      </c>
      <c r="BL16" s="297">
        <f t="shared" si="10"/>
        <v>0</v>
      </c>
      <c r="BM16" s="297">
        <f t="shared" si="10"/>
        <v>0</v>
      </c>
      <c r="BN16" s="297">
        <f t="shared" si="10"/>
        <v>0</v>
      </c>
      <c r="BO16" s="297">
        <f t="shared" si="10"/>
        <v>0</v>
      </c>
      <c r="BP16" s="297">
        <f t="shared" si="10"/>
        <v>0</v>
      </c>
      <c r="BQ16" s="298">
        <f t="shared" si="20"/>
        <v>0</v>
      </c>
      <c r="BR16" s="290">
        <f t="shared" si="11"/>
        <v>0</v>
      </c>
    </row>
    <row r="17" spans="1:70" ht="36" customHeight="1">
      <c r="A17" s="227">
        <v>5</v>
      </c>
      <c r="B17" s="228">
        <v>290</v>
      </c>
      <c r="C17" s="273" t="s">
        <v>202</v>
      </c>
      <c r="D17" s="274"/>
      <c r="E17" s="275"/>
      <c r="F17" s="275"/>
      <c r="G17" s="276">
        <v>44249</v>
      </c>
      <c r="H17" s="276">
        <f t="shared" si="12"/>
        <v>45292</v>
      </c>
      <c r="I17" s="279">
        <f t="shared" si="21"/>
        <v>1800</v>
      </c>
      <c r="J17" s="278">
        <v>2000</v>
      </c>
      <c r="K17" s="279">
        <f t="shared" si="13"/>
        <v>200</v>
      </c>
      <c r="L17" s="280"/>
      <c r="M17" s="280"/>
      <c r="N17" s="281"/>
      <c r="O17" s="273">
        <f t="shared" si="5"/>
        <v>366</v>
      </c>
      <c r="P17" s="273">
        <f t="shared" si="14"/>
        <v>0</v>
      </c>
      <c r="Q17" s="273">
        <f t="shared" si="15"/>
        <v>366</v>
      </c>
      <c r="R17" s="282">
        <f>+IF(ISERROR(VLOOKUP($C17,[1]U!$A:$E,5,0)),0,(VLOOKUP($C17,[1]U!$A:$E,5,0)))</f>
        <v>0</v>
      </c>
      <c r="S17" s="283">
        <f t="shared" si="6"/>
        <v>1800</v>
      </c>
      <c r="T17" s="294"/>
      <c r="U17" s="295"/>
      <c r="V17" s="295"/>
      <c r="W17" s="295">
        <f t="shared" si="16"/>
        <v>0</v>
      </c>
      <c r="X17" s="285">
        <f t="shared" si="7"/>
        <v>1800</v>
      </c>
      <c r="Y17" s="287"/>
      <c r="Z17" s="288">
        <f>+VLOOKUP(C17,'PROVISION VACANCES ET TICKETS'!A:O,15,0)</f>
        <v>2.5</v>
      </c>
      <c r="AA17" s="288">
        <f>+VLOOKUP(C17,'PROVISION VACANCES ET TICKETS'!A:P,16,0)</f>
        <v>2.5</v>
      </c>
      <c r="AB17" s="288">
        <f>+VLOOKUP(C17,'PROVISION VACANCES ET TICKETS'!A:Q,17,0)</f>
        <v>2.5</v>
      </c>
      <c r="AC17" s="288">
        <f>+VLOOKUP(C17,'PROVISION VACANCES ET TICKETS'!A:R,18,0)</f>
        <v>2.5</v>
      </c>
      <c r="AD17" s="288">
        <f>+VLOOKUP(C17,'PROVISION VACANCES ET TICKETS'!A:S,19,0)</f>
        <v>2.5</v>
      </c>
      <c r="AE17" s="288">
        <f>+VLOOKUP(C17,'PROVISION VACANCES ET TICKETS'!A:T,20,0)</f>
        <v>2.5</v>
      </c>
      <c r="AF17" s="288">
        <f>+VLOOKUP(C17,'PROVISION VACANCES ET TICKETS'!A:U,21,0)</f>
        <v>2.5</v>
      </c>
      <c r="AG17" s="288">
        <f>+VLOOKUP(C17,'PROVISION VACANCES ET TICKETS'!A:V,22,0)</f>
        <v>2.5</v>
      </c>
      <c r="AH17" s="288">
        <f>+VLOOKUP(C17,'PROVISION VACANCES ET TICKETS'!A:W,22,0)</f>
        <v>2.5</v>
      </c>
      <c r="AI17" s="288">
        <f>+VLOOKUP(C17,'PROVISION VACANCES ET TICKETS'!A:X,24,0)</f>
        <v>4.5</v>
      </c>
      <c r="AJ17" s="288">
        <f>+VLOOKUP(C17,'PROVISION VACANCES ET TICKETS'!A:Y,25,0)</f>
        <v>2.5</v>
      </c>
      <c r="AK17" s="288">
        <f>+VLOOKUP(C17,'PROVISION VACANCES ET TICKETS'!A:Z,26,0)</f>
        <v>2.5</v>
      </c>
      <c r="AL17" s="289">
        <f>SUM(Z17:AK17)</f>
        <v>32</v>
      </c>
      <c r="AM17" s="287"/>
      <c r="AN17" s="285">
        <v>0</v>
      </c>
      <c r="AO17" s="238">
        <f t="shared" si="8"/>
        <v>140.625</v>
      </c>
      <c r="AP17" s="238">
        <f t="shared" si="8"/>
        <v>140.625</v>
      </c>
      <c r="AQ17" s="238">
        <f t="shared" si="8"/>
        <v>140.625</v>
      </c>
      <c r="AR17" s="238">
        <f t="shared" si="8"/>
        <v>140.625</v>
      </c>
      <c r="AS17" s="238">
        <f t="shared" si="8"/>
        <v>140.625</v>
      </c>
      <c r="AT17" s="238">
        <f t="shared" si="8"/>
        <v>140.625</v>
      </c>
      <c r="AU17" s="238">
        <f t="shared" si="8"/>
        <v>140.625</v>
      </c>
      <c r="AV17" s="238">
        <f t="shared" si="8"/>
        <v>140.625</v>
      </c>
      <c r="AW17" s="238">
        <f t="shared" si="8"/>
        <v>140.625</v>
      </c>
      <c r="AX17" s="238">
        <f t="shared" si="8"/>
        <v>253.125</v>
      </c>
      <c r="AY17" s="238">
        <f t="shared" si="8"/>
        <v>140.625</v>
      </c>
      <c r="AZ17" s="238">
        <f t="shared" si="8"/>
        <v>140.625</v>
      </c>
      <c r="BA17" s="289">
        <f>SUM(AO17:AZ17)</f>
        <v>1800</v>
      </c>
      <c r="BB17" s="290">
        <f t="shared" si="9"/>
        <v>0</v>
      </c>
      <c r="BD17" s="296">
        <v>0</v>
      </c>
      <c r="BE17" s="297">
        <f t="shared" si="19"/>
        <v>0</v>
      </c>
      <c r="BF17" s="297">
        <f t="shared" si="10"/>
        <v>0</v>
      </c>
      <c r="BG17" s="297">
        <f t="shared" si="10"/>
        <v>0</v>
      </c>
      <c r="BH17" s="297">
        <f t="shared" si="10"/>
        <v>0</v>
      </c>
      <c r="BI17" s="297">
        <f t="shared" si="10"/>
        <v>0</v>
      </c>
      <c r="BJ17" s="297">
        <f t="shared" si="10"/>
        <v>0</v>
      </c>
      <c r="BK17" s="297">
        <f t="shared" si="10"/>
        <v>0</v>
      </c>
      <c r="BL17" s="297">
        <f t="shared" si="10"/>
        <v>0</v>
      </c>
      <c r="BM17" s="297">
        <f t="shared" si="10"/>
        <v>0</v>
      </c>
      <c r="BN17" s="297">
        <f t="shared" si="10"/>
        <v>0</v>
      </c>
      <c r="BO17" s="297">
        <f t="shared" si="10"/>
        <v>0</v>
      </c>
      <c r="BP17" s="297">
        <f t="shared" si="10"/>
        <v>0</v>
      </c>
      <c r="BQ17" s="298">
        <f t="shared" ref="BQ17" si="22">SUM(BE17:BP17)</f>
        <v>0</v>
      </c>
      <c r="BR17" s="290">
        <f t="shared" si="11"/>
        <v>0</v>
      </c>
    </row>
    <row r="18" spans="1:70" ht="36" customHeight="1">
      <c r="A18" s="227">
        <v>7</v>
      </c>
      <c r="B18" s="228">
        <v>290</v>
      </c>
      <c r="C18" s="273" t="s">
        <v>203</v>
      </c>
      <c r="D18" s="274"/>
      <c r="E18" s="275"/>
      <c r="F18" s="301"/>
      <c r="G18" s="276">
        <v>44480</v>
      </c>
      <c r="H18" s="276">
        <f>+IF(G18&lt;$G$7,$G$7,G18)</f>
        <v>45292</v>
      </c>
      <c r="I18" s="279">
        <f t="shared" si="21"/>
        <v>1900</v>
      </c>
      <c r="J18" s="278">
        <v>4000</v>
      </c>
      <c r="K18" s="279">
        <f>+J18-I18</f>
        <v>2100</v>
      </c>
      <c r="L18" s="280"/>
      <c r="M18" s="280"/>
      <c r="N18" s="281"/>
      <c r="O18" s="273">
        <f>+IF(N18="",$O$6-H18-R18,N18-H18-R18)</f>
        <v>366</v>
      </c>
      <c r="P18" s="273">
        <f>+IF(L18="",0,$O$6-L18)</f>
        <v>0</v>
      </c>
      <c r="Q18" s="273">
        <f>+O18-P18</f>
        <v>366</v>
      </c>
      <c r="R18" s="282">
        <v>0</v>
      </c>
      <c r="S18" s="283">
        <f>+(I18/$N$6*Q18)+(J18/$N$6*P18)</f>
        <v>1900</v>
      </c>
      <c r="T18" s="294"/>
      <c r="U18" s="295"/>
      <c r="V18" s="295"/>
      <c r="W18" s="295">
        <f>+U18*$V18</f>
        <v>0</v>
      </c>
      <c r="X18" s="285">
        <f t="shared" si="7"/>
        <v>1900</v>
      </c>
      <c r="Y18" s="287"/>
      <c r="Z18" s="288">
        <f>+VLOOKUP(C18,'PROVISION VACANCES ET TICKETS'!A:O,15,0)</f>
        <v>2.5</v>
      </c>
      <c r="AA18" s="288">
        <f>+VLOOKUP(C18,'PROVISION VACANCES ET TICKETS'!A:P,16,0)</f>
        <v>2.5</v>
      </c>
      <c r="AB18" s="288">
        <f>+VLOOKUP(C18,'PROVISION VACANCES ET TICKETS'!A:Q,17,0)</f>
        <v>2.5</v>
      </c>
      <c r="AC18" s="288">
        <f>+VLOOKUP(C18,'PROVISION VACANCES ET TICKETS'!A:R,18,0)</f>
        <v>4.5</v>
      </c>
      <c r="AD18" s="288">
        <f>+VLOOKUP(C18,'PROVISION VACANCES ET TICKETS'!A:S,19,0)</f>
        <v>2.5</v>
      </c>
      <c r="AE18" s="288">
        <f>+VLOOKUP(C18,'PROVISION VACANCES ET TICKETS'!A:T,20,0)</f>
        <v>2.5</v>
      </c>
      <c r="AF18" s="288">
        <f>+VLOOKUP(C18,'PROVISION VACANCES ET TICKETS'!A:U,21,0)</f>
        <v>2.5</v>
      </c>
      <c r="AG18" s="288">
        <f>+VLOOKUP(C18,'PROVISION VACANCES ET TICKETS'!A:V,22,0)</f>
        <v>2.5</v>
      </c>
      <c r="AH18" s="288">
        <f>+VLOOKUP(C18,'PROVISION VACANCES ET TICKETS'!A:W,22,0)</f>
        <v>2.5</v>
      </c>
      <c r="AI18" s="288">
        <f>+VLOOKUP(C18,'PROVISION VACANCES ET TICKETS'!A:X,24,0)</f>
        <v>2.5</v>
      </c>
      <c r="AJ18" s="288">
        <f>+VLOOKUP(C18,'PROVISION VACANCES ET TICKETS'!A:Y,25,0)</f>
        <v>2.5</v>
      </c>
      <c r="AK18" s="288">
        <f>+VLOOKUP(C18,'PROVISION VACANCES ET TICKETS'!A:Z,26,0)</f>
        <v>2.5</v>
      </c>
      <c r="AL18" s="289">
        <f>SUM(Z18:AK18)</f>
        <v>32</v>
      </c>
      <c r="AM18" s="287"/>
      <c r="AN18" s="285">
        <v>0</v>
      </c>
      <c r="AO18" s="238">
        <f t="shared" si="8"/>
        <v>148.4375</v>
      </c>
      <c r="AP18" s="238">
        <f t="shared" si="8"/>
        <v>148.4375</v>
      </c>
      <c r="AQ18" s="238">
        <f t="shared" si="8"/>
        <v>148.4375</v>
      </c>
      <c r="AR18" s="238">
        <f t="shared" si="8"/>
        <v>267.1875</v>
      </c>
      <c r="AS18" s="238">
        <f t="shared" si="8"/>
        <v>148.4375</v>
      </c>
      <c r="AT18" s="238">
        <f t="shared" si="8"/>
        <v>148.4375</v>
      </c>
      <c r="AU18" s="238">
        <f t="shared" si="8"/>
        <v>148.4375</v>
      </c>
      <c r="AV18" s="238">
        <f t="shared" si="8"/>
        <v>148.4375</v>
      </c>
      <c r="AW18" s="238">
        <f t="shared" si="8"/>
        <v>148.4375</v>
      </c>
      <c r="AX18" s="238">
        <f t="shared" si="8"/>
        <v>148.4375</v>
      </c>
      <c r="AY18" s="238">
        <f t="shared" si="8"/>
        <v>148.4375</v>
      </c>
      <c r="AZ18" s="238">
        <f t="shared" si="8"/>
        <v>148.4375</v>
      </c>
      <c r="BA18" s="289">
        <f t="shared" ref="BA18:BA19" si="23">SUM(AO18:AZ18)</f>
        <v>1900</v>
      </c>
      <c r="BB18" s="290">
        <f t="shared" si="9"/>
        <v>0</v>
      </c>
      <c r="BD18" s="296">
        <v>0</v>
      </c>
      <c r="BE18" s="297">
        <f t="shared" ref="BE18:BP22" si="24">+$W18/$AL18*Z18</f>
        <v>0</v>
      </c>
      <c r="BF18" s="297">
        <f t="shared" si="24"/>
        <v>0</v>
      </c>
      <c r="BG18" s="297">
        <f t="shared" si="24"/>
        <v>0</v>
      </c>
      <c r="BH18" s="297">
        <f t="shared" si="24"/>
        <v>0</v>
      </c>
      <c r="BI18" s="297">
        <f t="shared" si="24"/>
        <v>0</v>
      </c>
      <c r="BJ18" s="297">
        <f t="shared" si="24"/>
        <v>0</v>
      </c>
      <c r="BK18" s="297">
        <f t="shared" si="24"/>
        <v>0</v>
      </c>
      <c r="BL18" s="297">
        <f t="shared" si="24"/>
        <v>0</v>
      </c>
      <c r="BM18" s="297">
        <f t="shared" si="24"/>
        <v>0</v>
      </c>
      <c r="BN18" s="297">
        <f t="shared" si="24"/>
        <v>0</v>
      </c>
      <c r="BO18" s="297">
        <f t="shared" si="24"/>
        <v>0</v>
      </c>
      <c r="BP18" s="297">
        <f t="shared" si="24"/>
        <v>0</v>
      </c>
      <c r="BQ18" s="298">
        <f>SUM(BE18:BP18)</f>
        <v>0</v>
      </c>
      <c r="BR18" s="290">
        <f t="shared" si="11"/>
        <v>0</v>
      </c>
    </row>
    <row r="19" spans="1:70" ht="36" customHeight="1">
      <c r="A19" s="227">
        <v>8</v>
      </c>
      <c r="B19" s="228">
        <v>660</v>
      </c>
      <c r="C19" s="273" t="s">
        <v>57</v>
      </c>
      <c r="D19" s="274"/>
      <c r="E19" s="275"/>
      <c r="F19" s="275"/>
      <c r="G19" s="276">
        <v>44495</v>
      </c>
      <c r="H19" s="276">
        <f t="shared" si="12"/>
        <v>45292</v>
      </c>
      <c r="I19" s="279">
        <f t="shared" si="21"/>
        <v>2000</v>
      </c>
      <c r="J19" s="278">
        <f t="shared" ref="J19:J22" si="25">+I19</f>
        <v>2000</v>
      </c>
      <c r="K19" s="279">
        <f t="shared" ref="K19:K22" si="26">+J19-I19</f>
        <v>0</v>
      </c>
      <c r="L19" s="280"/>
      <c r="M19" s="280"/>
      <c r="N19" s="281"/>
      <c r="O19" s="273">
        <f t="shared" ref="O19:O22" si="27">+IF(N19="",$O$6-H19-R19,N19-H19-R19)</f>
        <v>366</v>
      </c>
      <c r="P19" s="273">
        <f t="shared" ref="P19:P22" si="28">+IF(L19="",0,$O$6-L19)</f>
        <v>0</v>
      </c>
      <c r="Q19" s="273">
        <f t="shared" ref="Q19:Q22" si="29">+O19-P19</f>
        <v>366</v>
      </c>
      <c r="R19" s="282">
        <f>+IF(ISERROR(VLOOKUP($C19,[1]U!$A:$E,5,0)),0,(VLOOKUP($C19,[1]U!$A:$E,5,0)))</f>
        <v>0</v>
      </c>
      <c r="S19" s="283">
        <f t="shared" ref="S19" si="30">+(I19/$N$6*Q19)+(J19/$N$6*P19)</f>
        <v>2000</v>
      </c>
      <c r="T19" s="299">
        <v>0.2</v>
      </c>
      <c r="U19" s="285">
        <f>(I19/26*Q19)*T19+(J19/26*P19)*T19</f>
        <v>5630.7692307692305</v>
      </c>
      <c r="V19" s="286">
        <v>1</v>
      </c>
      <c r="W19" s="285">
        <f t="shared" si="16"/>
        <v>5630.7692307692305</v>
      </c>
      <c r="X19" s="285">
        <f t="shared" si="7"/>
        <v>7630.7692307692305</v>
      </c>
      <c r="Y19" s="287"/>
      <c r="Z19" s="288">
        <f>+VLOOKUP(C19,'PROVISION VACANCES ET TICKETS'!A:O,15,0)</f>
        <v>2.5</v>
      </c>
      <c r="AA19" s="288">
        <f>+VLOOKUP(C19,'PROVISION VACANCES ET TICKETS'!A:P,16,0)</f>
        <v>2.5</v>
      </c>
      <c r="AB19" s="288">
        <f>+VLOOKUP(C19,'PROVISION VACANCES ET TICKETS'!A:Q,17,0)</f>
        <v>2.5</v>
      </c>
      <c r="AC19" s="288">
        <f>+VLOOKUP(C19,'PROVISION VACANCES ET TICKETS'!A:R,18,0)</f>
        <v>2.5</v>
      </c>
      <c r="AD19" s="288">
        <f>+VLOOKUP(C19,'PROVISION VACANCES ET TICKETS'!A:S,19,0)</f>
        <v>2.5</v>
      </c>
      <c r="AE19" s="288">
        <f>+VLOOKUP(C19,'PROVISION VACANCES ET TICKETS'!A:T,20,0)</f>
        <v>2.5</v>
      </c>
      <c r="AF19" s="288">
        <f>+VLOOKUP(C19,'PROVISION VACANCES ET TICKETS'!A:U,21,0)</f>
        <v>2.5</v>
      </c>
      <c r="AG19" s="288">
        <f>+VLOOKUP(C19,'PROVISION VACANCES ET TICKETS'!A:V,22,0)</f>
        <v>2.5</v>
      </c>
      <c r="AH19" s="288">
        <f>+VLOOKUP(C19,'PROVISION VACANCES ET TICKETS'!A:W,22,0)</f>
        <v>2.5</v>
      </c>
      <c r="AI19" s="288">
        <f>+VLOOKUP(C19,'PROVISION VACANCES ET TICKETS'!A:X,24,0)</f>
        <v>4.5</v>
      </c>
      <c r="AJ19" s="288">
        <f>+VLOOKUP(C19,'PROVISION VACANCES ET TICKETS'!A:Y,25,0)</f>
        <v>2.5</v>
      </c>
      <c r="AK19" s="288">
        <f>+VLOOKUP(C19,'PROVISION VACANCES ET TICKETS'!A:Z,26,0)</f>
        <v>2.5</v>
      </c>
      <c r="AL19" s="289">
        <f t="shared" ref="AL19:AL22" si="31">SUM(Z19:AK19)</f>
        <v>32</v>
      </c>
      <c r="AM19" s="287"/>
      <c r="AN19" s="285">
        <v>0</v>
      </c>
      <c r="AO19" s="238">
        <f t="shared" si="8"/>
        <v>156.25</v>
      </c>
      <c r="AP19" s="238">
        <f t="shared" si="8"/>
        <v>156.25</v>
      </c>
      <c r="AQ19" s="238">
        <f t="shared" si="8"/>
        <v>156.25</v>
      </c>
      <c r="AR19" s="238">
        <f t="shared" si="8"/>
        <v>156.25</v>
      </c>
      <c r="AS19" s="238">
        <f t="shared" si="8"/>
        <v>156.25</v>
      </c>
      <c r="AT19" s="238">
        <f t="shared" si="8"/>
        <v>156.25</v>
      </c>
      <c r="AU19" s="238">
        <f t="shared" si="8"/>
        <v>156.25</v>
      </c>
      <c r="AV19" s="238">
        <f t="shared" si="8"/>
        <v>156.25</v>
      </c>
      <c r="AW19" s="238">
        <f t="shared" si="8"/>
        <v>156.25</v>
      </c>
      <c r="AX19" s="238">
        <f t="shared" si="8"/>
        <v>281.25</v>
      </c>
      <c r="AY19" s="238">
        <f t="shared" si="8"/>
        <v>156.25</v>
      </c>
      <c r="AZ19" s="238">
        <f t="shared" si="8"/>
        <v>156.25</v>
      </c>
      <c r="BA19" s="289">
        <f t="shared" si="23"/>
        <v>2000</v>
      </c>
      <c r="BB19" s="290">
        <f t="shared" si="9"/>
        <v>0</v>
      </c>
      <c r="BD19" s="285">
        <v>0</v>
      </c>
      <c r="BE19" s="238">
        <f t="shared" si="24"/>
        <v>439.90384615384613</v>
      </c>
      <c r="BF19" s="238">
        <f t="shared" si="24"/>
        <v>439.90384615384613</v>
      </c>
      <c r="BG19" s="238">
        <f t="shared" si="24"/>
        <v>439.90384615384613</v>
      </c>
      <c r="BH19" s="238">
        <f t="shared" si="24"/>
        <v>439.90384615384613</v>
      </c>
      <c r="BI19" s="238">
        <f t="shared" si="24"/>
        <v>439.90384615384613</v>
      </c>
      <c r="BJ19" s="238">
        <f t="shared" si="24"/>
        <v>439.90384615384613</v>
      </c>
      <c r="BK19" s="238">
        <f t="shared" si="24"/>
        <v>439.90384615384613</v>
      </c>
      <c r="BL19" s="238">
        <f t="shared" si="24"/>
        <v>439.90384615384613</v>
      </c>
      <c r="BM19" s="238">
        <f t="shared" si="24"/>
        <v>439.90384615384613</v>
      </c>
      <c r="BN19" s="238">
        <f t="shared" si="24"/>
        <v>791.82692307692309</v>
      </c>
      <c r="BO19" s="238">
        <f t="shared" si="24"/>
        <v>439.90384615384613</v>
      </c>
      <c r="BP19" s="238">
        <f t="shared" si="24"/>
        <v>439.90384615384613</v>
      </c>
      <c r="BQ19" s="291">
        <f t="shared" ref="BQ19:BQ22" si="32">SUM(BE19:BP19)</f>
        <v>5630.7692307692296</v>
      </c>
      <c r="BR19" s="290">
        <f t="shared" si="11"/>
        <v>0</v>
      </c>
    </row>
    <row r="20" spans="1:70" ht="36" customHeight="1">
      <c r="A20" s="227">
        <v>9</v>
      </c>
      <c r="B20" s="228">
        <v>630</v>
      </c>
      <c r="C20" s="273" t="s">
        <v>204</v>
      </c>
      <c r="D20" s="274"/>
      <c r="E20" s="275"/>
      <c r="F20" s="275"/>
      <c r="G20" s="302">
        <v>44652</v>
      </c>
      <c r="H20" s="276">
        <f t="shared" si="12"/>
        <v>45292</v>
      </c>
      <c r="I20" s="279">
        <f t="shared" si="21"/>
        <v>2100</v>
      </c>
      <c r="J20" s="278">
        <f t="shared" si="25"/>
        <v>2100</v>
      </c>
      <c r="K20" s="279">
        <f t="shared" si="26"/>
        <v>0</v>
      </c>
      <c r="L20" s="280"/>
      <c r="M20" s="280"/>
      <c r="N20" s="281"/>
      <c r="O20" s="273">
        <f t="shared" si="27"/>
        <v>366</v>
      </c>
      <c r="P20" s="273">
        <f t="shared" si="28"/>
        <v>0</v>
      </c>
      <c r="Q20" s="273">
        <f t="shared" si="29"/>
        <v>366</v>
      </c>
      <c r="R20" s="282">
        <v>0</v>
      </c>
      <c r="S20" s="283">
        <f>+(I20/$N$6*Q20)+(J20/$N$6*P20)</f>
        <v>2100</v>
      </c>
      <c r="T20" s="299">
        <v>0.2</v>
      </c>
      <c r="U20" s="285">
        <f>(I20/26*Q20)*T20+(J20/26*P20)*T20</f>
        <v>5912.3076923076933</v>
      </c>
      <c r="V20" s="286">
        <v>1</v>
      </c>
      <c r="W20" s="285">
        <f t="shared" si="16"/>
        <v>5912.3076923076933</v>
      </c>
      <c r="X20" s="285">
        <f t="shared" si="7"/>
        <v>8012.3076923076933</v>
      </c>
      <c r="Y20" s="287"/>
      <c r="Z20" s="288">
        <f>+VLOOKUP(C20,'PROVISION VACANCES ET TICKETS'!A:O,15,0)</f>
        <v>2.5</v>
      </c>
      <c r="AA20" s="288">
        <f>+VLOOKUP(C20,'PROVISION VACANCES ET TICKETS'!A:P,16,0)</f>
        <v>2.5</v>
      </c>
      <c r="AB20" s="288">
        <f>+VLOOKUP(C20,'PROVISION VACANCES ET TICKETS'!A:Q,17,0)</f>
        <v>2.5</v>
      </c>
      <c r="AC20" s="288">
        <f>+VLOOKUP(C20,'PROVISION VACANCES ET TICKETS'!A:R,18,0)</f>
        <v>2.5</v>
      </c>
      <c r="AD20" s="288">
        <f>+VLOOKUP(C20,'PROVISION VACANCES ET TICKETS'!A:S,19,0)</f>
        <v>2.5</v>
      </c>
      <c r="AE20" s="288">
        <f>+VLOOKUP(C20,'PROVISION VACANCES ET TICKETS'!A:T,20,0)</f>
        <v>2.5</v>
      </c>
      <c r="AF20" s="288">
        <f>+VLOOKUP(C20,'PROVISION VACANCES ET TICKETS'!A:U,21,0)</f>
        <v>2.5</v>
      </c>
      <c r="AG20" s="288">
        <f>+VLOOKUP(C20,'PROVISION VACANCES ET TICKETS'!A:V,22,0)</f>
        <v>3.5</v>
      </c>
      <c r="AH20" s="288">
        <f>+VLOOKUP(C20,'PROVISION VACANCES ET TICKETS'!A:W,22,0)</f>
        <v>3.5</v>
      </c>
      <c r="AI20" s="288">
        <f>+VLOOKUP(C20,'PROVISION VACANCES ET TICKETS'!A:X,24,0)</f>
        <v>2.5</v>
      </c>
      <c r="AJ20" s="288">
        <f>+VLOOKUP(C20,'PROVISION VACANCES ET TICKETS'!A:Y,25,0)</f>
        <v>2.5</v>
      </c>
      <c r="AK20" s="288">
        <f>+VLOOKUP(C20,'PROVISION VACANCES ET TICKETS'!A:Z,26,0)</f>
        <v>2.5</v>
      </c>
      <c r="AL20" s="289">
        <f t="shared" si="31"/>
        <v>32</v>
      </c>
      <c r="AM20" s="287"/>
      <c r="AN20" s="285">
        <v>0</v>
      </c>
      <c r="AO20" s="238">
        <f t="shared" si="8"/>
        <v>164.0625</v>
      </c>
      <c r="AP20" s="238">
        <f t="shared" si="8"/>
        <v>164.0625</v>
      </c>
      <c r="AQ20" s="238">
        <f t="shared" si="8"/>
        <v>164.0625</v>
      </c>
      <c r="AR20" s="238">
        <f t="shared" si="8"/>
        <v>164.0625</v>
      </c>
      <c r="AS20" s="238">
        <f t="shared" si="8"/>
        <v>164.0625</v>
      </c>
      <c r="AT20" s="238">
        <f t="shared" si="8"/>
        <v>164.0625</v>
      </c>
      <c r="AU20" s="238">
        <f t="shared" si="8"/>
        <v>164.0625</v>
      </c>
      <c r="AV20" s="238">
        <f t="shared" si="8"/>
        <v>229.6875</v>
      </c>
      <c r="AW20" s="238">
        <f t="shared" si="8"/>
        <v>229.6875</v>
      </c>
      <c r="AX20" s="238">
        <f t="shared" si="8"/>
        <v>164.0625</v>
      </c>
      <c r="AY20" s="238">
        <f t="shared" si="8"/>
        <v>164.0625</v>
      </c>
      <c r="AZ20" s="238">
        <f t="shared" si="8"/>
        <v>164.0625</v>
      </c>
      <c r="BA20" s="289">
        <f t="shared" ref="BA20:BA22" si="33">SUM(AO20:AZ20)</f>
        <v>2100</v>
      </c>
      <c r="BB20" s="290">
        <f t="shared" si="9"/>
        <v>0</v>
      </c>
      <c r="BD20" s="285">
        <v>0</v>
      </c>
      <c r="BE20" s="238">
        <f t="shared" si="24"/>
        <v>461.89903846153857</v>
      </c>
      <c r="BF20" s="238">
        <f t="shared" si="24"/>
        <v>461.89903846153857</v>
      </c>
      <c r="BG20" s="238">
        <f t="shared" si="24"/>
        <v>461.89903846153857</v>
      </c>
      <c r="BH20" s="238">
        <f t="shared" si="24"/>
        <v>461.89903846153857</v>
      </c>
      <c r="BI20" s="238">
        <f t="shared" si="24"/>
        <v>461.89903846153857</v>
      </c>
      <c r="BJ20" s="238">
        <f t="shared" si="24"/>
        <v>461.89903846153857</v>
      </c>
      <c r="BK20" s="238">
        <f t="shared" si="24"/>
        <v>461.89903846153857</v>
      </c>
      <c r="BL20" s="238">
        <f t="shared" si="24"/>
        <v>646.65865384615392</v>
      </c>
      <c r="BM20" s="238">
        <f t="shared" si="24"/>
        <v>646.65865384615392</v>
      </c>
      <c r="BN20" s="238">
        <f t="shared" si="24"/>
        <v>461.89903846153857</v>
      </c>
      <c r="BO20" s="238">
        <f t="shared" si="24"/>
        <v>461.89903846153857</v>
      </c>
      <c r="BP20" s="238">
        <f t="shared" si="24"/>
        <v>461.89903846153857</v>
      </c>
      <c r="BQ20" s="291">
        <f t="shared" si="32"/>
        <v>5912.3076923076951</v>
      </c>
      <c r="BR20" s="290">
        <f t="shared" si="11"/>
        <v>0</v>
      </c>
    </row>
    <row r="21" spans="1:70" ht="36" customHeight="1">
      <c r="A21" s="227">
        <v>10</v>
      </c>
      <c r="B21" s="228">
        <v>120</v>
      </c>
      <c r="C21" s="273" t="s">
        <v>205</v>
      </c>
      <c r="D21" s="274"/>
      <c r="E21" s="275"/>
      <c r="F21" s="275"/>
      <c r="G21" s="302">
        <v>45050</v>
      </c>
      <c r="H21" s="276">
        <f t="shared" si="12"/>
        <v>45292</v>
      </c>
      <c r="I21" s="279">
        <f t="shared" si="21"/>
        <v>2200</v>
      </c>
      <c r="J21" s="278">
        <f t="shared" si="25"/>
        <v>2200</v>
      </c>
      <c r="K21" s="279">
        <f t="shared" si="26"/>
        <v>0</v>
      </c>
      <c r="L21" s="280"/>
      <c r="M21" s="280"/>
      <c r="N21" s="281"/>
      <c r="O21" s="273">
        <f t="shared" si="27"/>
        <v>366</v>
      </c>
      <c r="P21" s="273">
        <f t="shared" si="28"/>
        <v>0</v>
      </c>
      <c r="Q21" s="273">
        <f t="shared" si="29"/>
        <v>366</v>
      </c>
      <c r="R21" s="303">
        <v>0</v>
      </c>
      <c r="S21" s="283">
        <f t="shared" ref="S21:S22" si="34">+(I21/$N$6*Q21)+(J21/$N$6*P21)</f>
        <v>2200</v>
      </c>
      <c r="T21" s="299">
        <v>0.2</v>
      </c>
      <c r="U21" s="285">
        <f t="shared" ref="U21" si="35">(I21/26*Q21)*T21+(J21/26*P21)*T21</f>
        <v>6193.8461538461543</v>
      </c>
      <c r="V21" s="286">
        <v>1</v>
      </c>
      <c r="W21" s="285">
        <f t="shared" si="16"/>
        <v>6193.8461538461543</v>
      </c>
      <c r="X21" s="285">
        <f t="shared" si="7"/>
        <v>8393.8461538461543</v>
      </c>
      <c r="Y21" s="287"/>
      <c r="Z21" s="288">
        <f>+VLOOKUP(C21,'PROVISION VACANCES ET TICKETS'!A:O,15,0)</f>
        <v>2.5</v>
      </c>
      <c r="AA21" s="288">
        <f>+VLOOKUP(C21,'PROVISION VACANCES ET TICKETS'!A:P,16,0)</f>
        <v>2.5</v>
      </c>
      <c r="AB21" s="288">
        <f>+VLOOKUP(C21,'PROVISION VACANCES ET TICKETS'!A:Q,17,0)</f>
        <v>2.5</v>
      </c>
      <c r="AC21" s="288">
        <f>+VLOOKUP(C21,'PROVISION VACANCES ET TICKETS'!A:R,18,0)</f>
        <v>2.5</v>
      </c>
      <c r="AD21" s="288">
        <f>+VLOOKUP(C21,'PROVISION VACANCES ET TICKETS'!A:S,19,0)</f>
        <v>2.5</v>
      </c>
      <c r="AE21" s="288">
        <f>+VLOOKUP(C21,'PROVISION VACANCES ET TICKETS'!A:T,20,0)</f>
        <v>2.5</v>
      </c>
      <c r="AF21" s="288">
        <f>+VLOOKUP(C21,'PROVISION VACANCES ET TICKETS'!A:U,21,0)</f>
        <v>2.5</v>
      </c>
      <c r="AG21" s="288">
        <f>+VLOOKUP(C21,'PROVISION VACANCES ET TICKETS'!A:V,22,0)</f>
        <v>2.5</v>
      </c>
      <c r="AH21" s="288">
        <f>+VLOOKUP(C21,'PROVISION VACANCES ET TICKETS'!A:W,22,0)</f>
        <v>2.5</v>
      </c>
      <c r="AI21" s="288">
        <f>+VLOOKUP(C21,'PROVISION VACANCES ET TICKETS'!A:X,24,0)</f>
        <v>2.5</v>
      </c>
      <c r="AJ21" s="288">
        <f>+VLOOKUP(C21,'PROVISION VACANCES ET TICKETS'!A:Y,25,0)</f>
        <v>2.5</v>
      </c>
      <c r="AK21" s="288">
        <f>+VLOOKUP(C21,'PROVISION VACANCES ET TICKETS'!A:Z,26,0)</f>
        <v>2.5</v>
      </c>
      <c r="AL21" s="289">
        <f t="shared" si="31"/>
        <v>30</v>
      </c>
      <c r="AM21" s="287"/>
      <c r="AN21" s="285">
        <v>1</v>
      </c>
      <c r="AO21" s="238">
        <f t="shared" si="8"/>
        <v>183.33333333333331</v>
      </c>
      <c r="AP21" s="238">
        <f t="shared" si="8"/>
        <v>183.33333333333331</v>
      </c>
      <c r="AQ21" s="238">
        <f t="shared" si="8"/>
        <v>183.33333333333331</v>
      </c>
      <c r="AR21" s="238">
        <f t="shared" si="8"/>
        <v>183.33333333333331</v>
      </c>
      <c r="AS21" s="238">
        <f t="shared" si="8"/>
        <v>183.33333333333331</v>
      </c>
      <c r="AT21" s="238">
        <f t="shared" si="8"/>
        <v>183.33333333333331</v>
      </c>
      <c r="AU21" s="238">
        <f t="shared" si="8"/>
        <v>183.33333333333331</v>
      </c>
      <c r="AV21" s="238">
        <f t="shared" si="8"/>
        <v>183.33333333333331</v>
      </c>
      <c r="AW21" s="238">
        <f t="shared" si="8"/>
        <v>183.33333333333331</v>
      </c>
      <c r="AX21" s="238">
        <f t="shared" si="8"/>
        <v>183.33333333333331</v>
      </c>
      <c r="AY21" s="238">
        <f t="shared" si="8"/>
        <v>183.33333333333331</v>
      </c>
      <c r="AZ21" s="238">
        <f t="shared" si="8"/>
        <v>183.33333333333331</v>
      </c>
      <c r="BA21" s="289">
        <f t="shared" si="33"/>
        <v>2199.9999999999995</v>
      </c>
      <c r="BB21" s="290">
        <f t="shared" si="9"/>
        <v>0</v>
      </c>
      <c r="BD21" s="285">
        <v>0</v>
      </c>
      <c r="BE21" s="238">
        <f t="shared" si="24"/>
        <v>516.15384615384619</v>
      </c>
      <c r="BF21" s="238">
        <f t="shared" si="24"/>
        <v>516.15384615384619</v>
      </c>
      <c r="BG21" s="238">
        <f t="shared" si="24"/>
        <v>516.15384615384619</v>
      </c>
      <c r="BH21" s="238">
        <f t="shared" si="24"/>
        <v>516.15384615384619</v>
      </c>
      <c r="BI21" s="238">
        <f t="shared" si="24"/>
        <v>516.15384615384619</v>
      </c>
      <c r="BJ21" s="238">
        <f t="shared" si="24"/>
        <v>516.15384615384619</v>
      </c>
      <c r="BK21" s="238">
        <f t="shared" si="24"/>
        <v>516.15384615384619</v>
      </c>
      <c r="BL21" s="238">
        <f t="shared" si="24"/>
        <v>516.15384615384619</v>
      </c>
      <c r="BM21" s="238">
        <f t="shared" si="24"/>
        <v>516.15384615384619</v>
      </c>
      <c r="BN21" s="238">
        <f t="shared" si="24"/>
        <v>516.15384615384619</v>
      </c>
      <c r="BO21" s="238">
        <f t="shared" si="24"/>
        <v>516.15384615384619</v>
      </c>
      <c r="BP21" s="238">
        <f t="shared" si="24"/>
        <v>516.15384615384619</v>
      </c>
      <c r="BQ21" s="291">
        <f t="shared" si="32"/>
        <v>6193.8461538461524</v>
      </c>
      <c r="BR21" s="290"/>
    </row>
    <row r="22" spans="1:70" ht="36" customHeight="1">
      <c r="A22" s="227">
        <v>11</v>
      </c>
      <c r="B22" s="228">
        <v>120</v>
      </c>
      <c r="C22" s="273" t="s">
        <v>206</v>
      </c>
      <c r="D22" s="274"/>
      <c r="E22" s="275"/>
      <c r="F22" s="275"/>
      <c r="G22" s="302">
        <v>45053</v>
      </c>
      <c r="H22" s="276">
        <f t="shared" si="12"/>
        <v>45292</v>
      </c>
      <c r="I22" s="279">
        <f t="shared" si="21"/>
        <v>2300</v>
      </c>
      <c r="J22" s="278">
        <f t="shared" si="25"/>
        <v>2300</v>
      </c>
      <c r="K22" s="279">
        <f t="shared" si="26"/>
        <v>0</v>
      </c>
      <c r="L22" s="280"/>
      <c r="M22" s="280"/>
      <c r="N22" s="281"/>
      <c r="O22" s="273">
        <f t="shared" si="27"/>
        <v>366</v>
      </c>
      <c r="P22" s="273">
        <f t="shared" si="28"/>
        <v>0</v>
      </c>
      <c r="Q22" s="273">
        <f t="shared" si="29"/>
        <v>366</v>
      </c>
      <c r="R22" s="303">
        <v>0</v>
      </c>
      <c r="S22" s="283">
        <f t="shared" si="34"/>
        <v>2300</v>
      </c>
      <c r="T22" s="304"/>
      <c r="U22" s="295"/>
      <c r="V22" s="295"/>
      <c r="W22" s="285">
        <f>+U22*$V$9</f>
        <v>0</v>
      </c>
      <c r="X22" s="285">
        <f>+S22+U22</f>
        <v>2300</v>
      </c>
      <c r="Y22" s="287"/>
      <c r="Z22" s="288">
        <f>+VLOOKUP(C22,'PROVISION VACANCES ET TICKETS'!A:O,15,0)</f>
        <v>2.5</v>
      </c>
      <c r="AA22" s="288">
        <f>+VLOOKUP(C22,'PROVISION VACANCES ET TICKETS'!A:P,16,0)</f>
        <v>2.5</v>
      </c>
      <c r="AB22" s="288">
        <f>+VLOOKUP(C22,'PROVISION VACANCES ET TICKETS'!A:Q,17,0)</f>
        <v>2.5</v>
      </c>
      <c r="AC22" s="288">
        <f>+VLOOKUP(C22,'PROVISION VACANCES ET TICKETS'!A:R,18,0)</f>
        <v>2.5</v>
      </c>
      <c r="AD22" s="288">
        <f>+VLOOKUP(C22,'PROVISION VACANCES ET TICKETS'!A:S,19,0)</f>
        <v>2.5</v>
      </c>
      <c r="AE22" s="288">
        <f>+VLOOKUP(C22,'PROVISION VACANCES ET TICKETS'!A:T,20,0)</f>
        <v>2.5</v>
      </c>
      <c r="AF22" s="288">
        <f>+VLOOKUP(C22,'PROVISION VACANCES ET TICKETS'!A:U,21,0)</f>
        <v>2.5</v>
      </c>
      <c r="AG22" s="288">
        <f>+VLOOKUP(C22,'PROVISION VACANCES ET TICKETS'!A:V,22,0)</f>
        <v>2.5</v>
      </c>
      <c r="AH22" s="288">
        <f>+VLOOKUP(C22,'PROVISION VACANCES ET TICKETS'!A:W,22,0)</f>
        <v>2.5</v>
      </c>
      <c r="AI22" s="288">
        <f>+VLOOKUP(C22,'PROVISION VACANCES ET TICKETS'!A:X,24,0)</f>
        <v>2.5</v>
      </c>
      <c r="AJ22" s="288">
        <f>+VLOOKUP(C22,'PROVISION VACANCES ET TICKETS'!A:Y,25,0)</f>
        <v>2.5</v>
      </c>
      <c r="AK22" s="288">
        <f>+VLOOKUP(C22,'PROVISION VACANCES ET TICKETS'!A:Z,26,0)</f>
        <v>2.5</v>
      </c>
      <c r="AL22" s="289">
        <f t="shared" si="31"/>
        <v>30</v>
      </c>
      <c r="AM22" s="287"/>
      <c r="AN22" s="285">
        <v>2</v>
      </c>
      <c r="AO22" s="238">
        <f t="shared" si="8"/>
        <v>191.66666666666669</v>
      </c>
      <c r="AP22" s="238">
        <f t="shared" si="8"/>
        <v>191.66666666666669</v>
      </c>
      <c r="AQ22" s="238">
        <f t="shared" si="8"/>
        <v>191.66666666666669</v>
      </c>
      <c r="AR22" s="238">
        <f t="shared" si="8"/>
        <v>191.66666666666669</v>
      </c>
      <c r="AS22" s="238">
        <f t="shared" si="8"/>
        <v>191.66666666666669</v>
      </c>
      <c r="AT22" s="238">
        <f t="shared" si="8"/>
        <v>191.66666666666669</v>
      </c>
      <c r="AU22" s="238">
        <f t="shared" si="8"/>
        <v>191.66666666666669</v>
      </c>
      <c r="AV22" s="238">
        <f t="shared" si="8"/>
        <v>191.66666666666669</v>
      </c>
      <c r="AW22" s="238">
        <f t="shared" si="8"/>
        <v>191.66666666666669</v>
      </c>
      <c r="AX22" s="238">
        <f t="shared" si="8"/>
        <v>191.66666666666669</v>
      </c>
      <c r="AY22" s="238">
        <f t="shared" si="8"/>
        <v>191.66666666666669</v>
      </c>
      <c r="AZ22" s="238">
        <f t="shared" si="8"/>
        <v>191.66666666666669</v>
      </c>
      <c r="BA22" s="289">
        <f t="shared" si="33"/>
        <v>2300.0000000000005</v>
      </c>
      <c r="BB22" s="290">
        <f t="shared" si="9"/>
        <v>0</v>
      </c>
      <c r="BD22" s="285">
        <v>0</v>
      </c>
      <c r="BE22" s="238">
        <f t="shared" si="24"/>
        <v>0</v>
      </c>
      <c r="BF22" s="238">
        <f t="shared" si="24"/>
        <v>0</v>
      </c>
      <c r="BG22" s="238">
        <f t="shared" si="24"/>
        <v>0</v>
      </c>
      <c r="BH22" s="238">
        <f t="shared" si="24"/>
        <v>0</v>
      </c>
      <c r="BI22" s="238">
        <f t="shared" si="24"/>
        <v>0</v>
      </c>
      <c r="BJ22" s="238">
        <f t="shared" si="24"/>
        <v>0</v>
      </c>
      <c r="BK22" s="238">
        <f t="shared" si="24"/>
        <v>0</v>
      </c>
      <c r="BL22" s="238">
        <f t="shared" si="24"/>
        <v>0</v>
      </c>
      <c r="BM22" s="238">
        <f t="shared" si="24"/>
        <v>0</v>
      </c>
      <c r="BN22" s="238">
        <f t="shared" si="24"/>
        <v>0</v>
      </c>
      <c r="BO22" s="238">
        <f t="shared" si="24"/>
        <v>0</v>
      </c>
      <c r="BP22" s="238">
        <f t="shared" si="24"/>
        <v>0</v>
      </c>
      <c r="BQ22" s="291">
        <f t="shared" si="32"/>
        <v>0</v>
      </c>
      <c r="BR22" s="290"/>
    </row>
    <row r="23" spans="1:70" s="305" customFormat="1" ht="34.5" customHeight="1">
      <c r="A23" s="227"/>
      <c r="C23" s="306"/>
      <c r="D23" s="306"/>
      <c r="E23" s="306"/>
      <c r="F23" s="306"/>
      <c r="G23" s="307"/>
      <c r="H23" s="307"/>
      <c r="I23" s="308">
        <f>SUM(I9:I22)</f>
        <v>23100</v>
      </c>
      <c r="J23" s="308">
        <f>SUM(J9:J22)</f>
        <v>58470</v>
      </c>
      <c r="K23" s="308">
        <f>SUM(K9:K22)</f>
        <v>20770</v>
      </c>
      <c r="L23" s="309"/>
      <c r="M23" s="309"/>
      <c r="N23" s="307"/>
      <c r="O23" s="306"/>
      <c r="P23" s="306"/>
      <c r="Q23" s="306"/>
      <c r="R23" s="306"/>
      <c r="S23" s="308">
        <f>SUM(S9:S22)</f>
        <v>23100</v>
      </c>
      <c r="T23" s="310"/>
      <c r="U23" s="308">
        <f>SUM(U9:U22)</f>
        <v>27027.692307692312</v>
      </c>
      <c r="V23" s="308"/>
      <c r="W23" s="308">
        <f>SUM(W9:W22)</f>
        <v>27027.692307692312</v>
      </c>
      <c r="X23" s="308">
        <f>SUM(X9:X22)</f>
        <v>50127.692307692312</v>
      </c>
      <c r="Y23" s="309"/>
      <c r="Z23" s="311">
        <f t="shared" ref="Z23:AL23" si="36">SUM(Z9:Z22)</f>
        <v>35</v>
      </c>
      <c r="AA23" s="311">
        <f t="shared" si="36"/>
        <v>35</v>
      </c>
      <c r="AB23" s="311">
        <f t="shared" si="36"/>
        <v>35</v>
      </c>
      <c r="AC23" s="311">
        <f t="shared" si="36"/>
        <v>37</v>
      </c>
      <c r="AD23" s="311">
        <f t="shared" si="36"/>
        <v>35</v>
      </c>
      <c r="AE23" s="311">
        <f t="shared" si="36"/>
        <v>39</v>
      </c>
      <c r="AF23" s="311">
        <f t="shared" si="36"/>
        <v>36</v>
      </c>
      <c r="AG23" s="311">
        <f t="shared" si="36"/>
        <v>36</v>
      </c>
      <c r="AH23" s="311">
        <f t="shared" si="36"/>
        <v>36</v>
      </c>
      <c r="AI23" s="311">
        <f t="shared" si="36"/>
        <v>41</v>
      </c>
      <c r="AJ23" s="311">
        <f t="shared" si="36"/>
        <v>36</v>
      </c>
      <c r="AK23" s="311">
        <f t="shared" si="36"/>
        <v>36</v>
      </c>
      <c r="AL23" s="311">
        <f t="shared" si="36"/>
        <v>437</v>
      </c>
      <c r="AM23" s="309"/>
      <c r="AN23" s="308">
        <f t="shared" ref="AN23:BA23" si="37">SUM(AN9:AN22)</f>
        <v>3</v>
      </c>
      <c r="AO23" s="308">
        <f t="shared" si="37"/>
        <v>1854.8723118279568</v>
      </c>
      <c r="AP23" s="308">
        <f t="shared" si="37"/>
        <v>1854.8723118279568</v>
      </c>
      <c r="AQ23" s="308">
        <f t="shared" si="37"/>
        <v>1854.8723118279568</v>
      </c>
      <c r="AR23" s="308">
        <f t="shared" si="37"/>
        <v>1973.6223118279568</v>
      </c>
      <c r="AS23" s="308">
        <f>SUM(AS9:AS22)</f>
        <v>1854.8723118279568</v>
      </c>
      <c r="AT23" s="308">
        <f t="shared" si="37"/>
        <v>1998.6223118279568</v>
      </c>
      <c r="AU23" s="308">
        <f t="shared" si="37"/>
        <v>1900.0336021505377</v>
      </c>
      <c r="AV23" s="308">
        <f t="shared" si="37"/>
        <v>1920.4973118279568</v>
      </c>
      <c r="AW23" s="308">
        <f t="shared" si="37"/>
        <v>1920.4973118279568</v>
      </c>
      <c r="AX23" s="308">
        <f t="shared" si="37"/>
        <v>2173.6223118279568</v>
      </c>
      <c r="AY23" s="308">
        <f t="shared" si="37"/>
        <v>1906.4852150537633</v>
      </c>
      <c r="AZ23" s="308">
        <f t="shared" si="37"/>
        <v>1887.130376344086</v>
      </c>
      <c r="BA23" s="308">
        <f t="shared" si="37"/>
        <v>23100</v>
      </c>
      <c r="BB23" s="290">
        <f t="shared" si="9"/>
        <v>0</v>
      </c>
      <c r="BD23" s="308">
        <f t="shared" ref="BD23:BQ23" si="38">SUM(BD9:BD22)</f>
        <v>0</v>
      </c>
      <c r="BE23" s="308">
        <f t="shared" si="38"/>
        <v>2204.8798076923076</v>
      </c>
      <c r="BF23" s="308">
        <f t="shared" si="38"/>
        <v>2128.7259615384619</v>
      </c>
      <c r="BG23" s="308">
        <f t="shared" si="38"/>
        <v>2204.8798076923076</v>
      </c>
      <c r="BH23" s="308">
        <f t="shared" si="38"/>
        <v>2179.4951923076924</v>
      </c>
      <c r="BI23" s="308">
        <f t="shared" si="38"/>
        <v>2204.8798076923076</v>
      </c>
      <c r="BJ23" s="308">
        <f t="shared" si="38"/>
        <v>2179.4951923076924</v>
      </c>
      <c r="BK23" s="308">
        <f t="shared" si="38"/>
        <v>2204.8798076923076</v>
      </c>
      <c r="BL23" s="308">
        <f t="shared" si="38"/>
        <v>2389.6394230769233</v>
      </c>
      <c r="BM23" s="308">
        <f t="shared" si="38"/>
        <v>2364.2548076923076</v>
      </c>
      <c r="BN23" s="308">
        <f t="shared" si="38"/>
        <v>2556.8028846153848</v>
      </c>
      <c r="BO23" s="308">
        <f t="shared" si="38"/>
        <v>2179.4951923076924</v>
      </c>
      <c r="BP23" s="308">
        <f t="shared" si="38"/>
        <v>2204.8798076923076</v>
      </c>
      <c r="BQ23" s="308">
        <f t="shared" si="38"/>
        <v>27002.307692307691</v>
      </c>
      <c r="BR23" s="290">
        <f t="shared" si="11"/>
        <v>-25.384615384620702</v>
      </c>
    </row>
    <row r="24" spans="1:70" ht="37.5" customHeight="1">
      <c r="G24" s="227"/>
      <c r="H24" s="227"/>
      <c r="L24" s="227"/>
      <c r="M24" s="227"/>
      <c r="N24" s="227"/>
      <c r="S24" s="227"/>
      <c r="U24" s="227"/>
      <c r="V24" s="227"/>
      <c r="W24" s="227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2"/>
      <c r="AL24" s="312"/>
      <c r="AO24" s="312"/>
      <c r="AP24" s="312"/>
      <c r="AQ24" s="312"/>
      <c r="AR24" s="312"/>
      <c r="AS24" s="312"/>
      <c r="AT24" s="312"/>
      <c r="AU24" s="312"/>
      <c r="AV24" s="312"/>
      <c r="AW24" s="312"/>
      <c r="AX24" s="312"/>
      <c r="AY24" s="312"/>
      <c r="AZ24" s="312"/>
      <c r="BA24" s="312"/>
      <c r="BE24" s="312"/>
      <c r="BF24" s="312"/>
      <c r="BG24" s="312"/>
      <c r="BH24" s="312"/>
      <c r="BI24" s="312"/>
      <c r="BJ24" s="312"/>
      <c r="BK24" s="312"/>
      <c r="BL24" s="312"/>
      <c r="BM24" s="312"/>
      <c r="BN24" s="312"/>
      <c r="BO24" s="312"/>
      <c r="BP24" s="312"/>
      <c r="BQ24" s="312"/>
      <c r="BR24" s="290">
        <f t="shared" si="11"/>
        <v>0</v>
      </c>
    </row>
    <row r="25" spans="1:70" ht="25.5" customHeight="1">
      <c r="C25" s="255"/>
      <c r="G25" s="227"/>
      <c r="H25" s="227"/>
      <c r="L25" s="227"/>
      <c r="M25" s="227"/>
      <c r="N25" s="227"/>
      <c r="S25" s="243"/>
      <c r="T25" s="227"/>
      <c r="U25" s="243"/>
      <c r="V25" s="243"/>
      <c r="W25" s="227"/>
      <c r="Z25" s="312"/>
      <c r="AA25" s="312"/>
      <c r="AB25" s="312"/>
      <c r="AC25" s="312"/>
      <c r="AD25" s="312"/>
      <c r="AE25" s="312"/>
      <c r="AF25" s="312"/>
      <c r="AG25" s="312"/>
      <c r="AH25" s="312"/>
      <c r="AI25" s="312"/>
      <c r="AJ25" s="312"/>
      <c r="AK25" s="312"/>
      <c r="AL25" s="312"/>
      <c r="AO25" s="312"/>
      <c r="AP25" s="312"/>
      <c r="AQ25" s="312"/>
      <c r="AR25" s="312"/>
      <c r="AS25" s="312"/>
      <c r="AT25" s="312"/>
      <c r="AU25" s="312"/>
      <c r="AV25" s="312"/>
      <c r="AW25" s="312"/>
      <c r="AX25" s="312"/>
      <c r="AY25" s="312"/>
      <c r="AZ25" s="312"/>
      <c r="BA25" s="312"/>
      <c r="BE25" s="312"/>
      <c r="BF25" s="312"/>
      <c r="BG25" s="312"/>
      <c r="BH25" s="312"/>
      <c r="BI25" s="312"/>
      <c r="BJ25" s="312"/>
      <c r="BK25" s="312"/>
      <c r="BL25" s="312"/>
      <c r="BM25" s="312"/>
      <c r="BN25" s="312"/>
      <c r="BO25" s="312"/>
      <c r="BP25" s="312"/>
      <c r="BQ25" s="312"/>
      <c r="BR25" s="290">
        <f t="shared" si="11"/>
        <v>0</v>
      </c>
    </row>
    <row r="26" spans="1:70" ht="39" customHeight="1">
      <c r="A26" s="231"/>
      <c r="B26" s="228">
        <v>160</v>
      </c>
      <c r="C26" s="273" t="s">
        <v>63</v>
      </c>
      <c r="D26" s="292"/>
      <c r="E26" s="273"/>
      <c r="F26" s="273"/>
      <c r="G26" s="276"/>
      <c r="H26" s="276">
        <f t="shared" ref="H26:H30" si="39">+IF(G26&lt;$G$7,$G$7,G26)</f>
        <v>45292</v>
      </c>
      <c r="I26" s="279">
        <f>+I22+100</f>
        <v>2400</v>
      </c>
      <c r="J26" s="278">
        <v>2315</v>
      </c>
      <c r="K26" s="279">
        <f t="shared" ref="K26:K30" si="40">+J26-I26</f>
        <v>-85</v>
      </c>
      <c r="L26" s="280"/>
      <c r="M26" s="280"/>
      <c r="N26" s="280"/>
      <c r="O26" s="273">
        <f t="shared" ref="O26:O29" si="41">+IF(N26="",$O$6-H26-R26,N26-H26-R26)</f>
        <v>366</v>
      </c>
      <c r="P26" s="273">
        <f t="shared" ref="P26:P29" si="42">+IF(L26="",0,$O$6-L26)</f>
        <v>0</v>
      </c>
      <c r="Q26" s="273">
        <f t="shared" ref="Q26:Q29" si="43">+O26-P26</f>
        <v>366</v>
      </c>
      <c r="R26" s="282">
        <f>+IF(ISERROR(VLOOKUP($C26,[1]U!$A:$E,5,0)),0,(VLOOKUP($C26,[1]U!$A:$E,5,0)))</f>
        <v>0</v>
      </c>
      <c r="S26" s="285">
        <f t="shared" ref="S26:S30" si="44">+(I26/$N$6*Q26)+(J26/$N$6*P26)</f>
        <v>2400</v>
      </c>
      <c r="T26" s="299">
        <v>0.15</v>
      </c>
      <c r="U26" s="285">
        <f t="shared" ref="U26:U30" si="45">(I26/26*Q26)*T26+(J26/26*P26)*T26</f>
        <v>5067.6923076923076</v>
      </c>
      <c r="V26" s="286">
        <v>1</v>
      </c>
      <c r="W26" s="285">
        <f t="shared" ref="W26:W30" si="46">+U26*$V26</f>
        <v>5067.6923076923076</v>
      </c>
      <c r="X26" s="285">
        <f t="shared" ref="X26:X30" si="47">+S26+U26</f>
        <v>7467.6923076923076</v>
      </c>
      <c r="Y26" s="287"/>
      <c r="Z26" s="313">
        <v>1.5</v>
      </c>
      <c r="AA26" s="313">
        <v>1.5</v>
      </c>
      <c r="AB26" s="313">
        <v>1.5</v>
      </c>
      <c r="AC26" s="313">
        <v>1.5</v>
      </c>
      <c r="AD26" s="313">
        <v>1.5</v>
      </c>
      <c r="AE26" s="313">
        <v>1.5</v>
      </c>
      <c r="AF26" s="313">
        <v>1.5</v>
      </c>
      <c r="AG26" s="313">
        <v>1.5</v>
      </c>
      <c r="AH26" s="313">
        <v>1.5</v>
      </c>
      <c r="AI26" s="313">
        <v>3.5</v>
      </c>
      <c r="AJ26" s="313">
        <v>1.5</v>
      </c>
      <c r="AK26" s="313">
        <v>1.5</v>
      </c>
      <c r="AL26" s="289">
        <f t="shared" ref="AL26:AL30" si="48">SUM(Z26:AK26)</f>
        <v>20</v>
      </c>
      <c r="AM26" s="287"/>
      <c r="AN26" s="295"/>
      <c r="AO26" s="314"/>
      <c r="AP26" s="314"/>
      <c r="AQ26" s="314"/>
      <c r="AR26" s="314"/>
      <c r="AS26" s="314"/>
      <c r="AT26" s="314"/>
      <c r="AU26" s="314"/>
      <c r="AV26" s="314"/>
      <c r="AW26" s="314"/>
      <c r="AX26" s="314"/>
      <c r="AY26" s="314"/>
      <c r="AZ26" s="314"/>
      <c r="BA26" s="289">
        <f t="shared" ref="BA26:BA30" si="49">SUM(AO26:AZ26)</f>
        <v>0</v>
      </c>
      <c r="BB26" s="290"/>
      <c r="BD26" s="315"/>
      <c r="BE26" s="238">
        <f t="shared" ref="BE26:BP28" si="50">+$W26/$AL26*Z26</f>
        <v>380.07692307692309</v>
      </c>
      <c r="BF26" s="238">
        <f t="shared" si="50"/>
        <v>380.07692307692309</v>
      </c>
      <c r="BG26" s="238">
        <f t="shared" si="50"/>
        <v>380.07692307692309</v>
      </c>
      <c r="BH26" s="238">
        <f t="shared" si="50"/>
        <v>380.07692307692309</v>
      </c>
      <c r="BI26" s="238">
        <f t="shared" si="50"/>
        <v>380.07692307692309</v>
      </c>
      <c r="BJ26" s="238">
        <f t="shared" si="50"/>
        <v>380.07692307692309</v>
      </c>
      <c r="BK26" s="238">
        <f t="shared" si="50"/>
        <v>380.07692307692309</v>
      </c>
      <c r="BL26" s="238">
        <f t="shared" si="50"/>
        <v>380.07692307692309</v>
      </c>
      <c r="BM26" s="238">
        <f t="shared" si="50"/>
        <v>380.07692307692309</v>
      </c>
      <c r="BN26" s="238">
        <f t="shared" si="50"/>
        <v>886.84615384615381</v>
      </c>
      <c r="BO26" s="238">
        <f t="shared" si="50"/>
        <v>380.07692307692309</v>
      </c>
      <c r="BP26" s="238">
        <f t="shared" si="50"/>
        <v>380.07692307692309</v>
      </c>
      <c r="BQ26" s="289">
        <f t="shared" ref="BQ26:BQ30" si="51">SUM(BE26:BP26)</f>
        <v>5067.6923076923067</v>
      </c>
      <c r="BR26" s="290">
        <f t="shared" si="11"/>
        <v>0</v>
      </c>
    </row>
    <row r="27" spans="1:70" ht="39" customHeight="1">
      <c r="B27" s="228">
        <v>630</v>
      </c>
      <c r="C27" s="273" t="s">
        <v>207</v>
      </c>
      <c r="D27" s="292"/>
      <c r="E27" s="273"/>
      <c r="F27" s="273"/>
      <c r="G27" s="276"/>
      <c r="H27" s="276">
        <f t="shared" si="39"/>
        <v>45292</v>
      </c>
      <c r="I27" s="279">
        <f>+I26+100</f>
        <v>2500</v>
      </c>
      <c r="J27" s="278">
        <v>1530</v>
      </c>
      <c r="K27" s="279">
        <f t="shared" si="40"/>
        <v>-970</v>
      </c>
      <c r="L27" s="280"/>
      <c r="M27" s="280"/>
      <c r="N27" s="280"/>
      <c r="O27" s="273">
        <f t="shared" si="41"/>
        <v>366</v>
      </c>
      <c r="P27" s="273">
        <f t="shared" si="42"/>
        <v>0</v>
      </c>
      <c r="Q27" s="273">
        <f t="shared" si="43"/>
        <v>366</v>
      </c>
      <c r="R27" s="282">
        <f>+IF(ISERROR(VLOOKUP($C27,[1]U!$A:$E,5,0)),0,(VLOOKUP($C27,[1]U!$A:$E,5,0)))</f>
        <v>0</v>
      </c>
      <c r="S27" s="285">
        <f t="shared" si="44"/>
        <v>2500</v>
      </c>
      <c r="T27" s="299">
        <v>0.15</v>
      </c>
      <c r="U27" s="285">
        <f t="shared" si="45"/>
        <v>5278.8461538461543</v>
      </c>
      <c r="V27" s="286">
        <v>1</v>
      </c>
      <c r="W27" s="285">
        <f t="shared" si="46"/>
        <v>5278.8461538461543</v>
      </c>
      <c r="X27" s="285">
        <f t="shared" si="47"/>
        <v>7778.8461538461543</v>
      </c>
      <c r="Y27" s="287"/>
      <c r="Z27" s="313">
        <v>1.5</v>
      </c>
      <c r="AA27" s="313">
        <v>1.5</v>
      </c>
      <c r="AB27" s="313">
        <v>1.5</v>
      </c>
      <c r="AC27" s="313">
        <v>1.5</v>
      </c>
      <c r="AD27" s="313">
        <v>1.5</v>
      </c>
      <c r="AE27" s="313">
        <v>1.5</v>
      </c>
      <c r="AF27" s="313">
        <v>1.5</v>
      </c>
      <c r="AG27" s="313">
        <v>1.5</v>
      </c>
      <c r="AH27" s="313">
        <v>1.5</v>
      </c>
      <c r="AI27" s="313">
        <v>3.5</v>
      </c>
      <c r="AJ27" s="313">
        <v>1.5</v>
      </c>
      <c r="AK27" s="313">
        <v>1.5</v>
      </c>
      <c r="AL27" s="289">
        <f t="shared" si="48"/>
        <v>20</v>
      </c>
      <c r="AM27" s="287"/>
      <c r="AN27" s="295"/>
      <c r="AO27" s="314"/>
      <c r="AP27" s="314"/>
      <c r="AQ27" s="314"/>
      <c r="AR27" s="314"/>
      <c r="AS27" s="314"/>
      <c r="AT27" s="314"/>
      <c r="AU27" s="314"/>
      <c r="AV27" s="314"/>
      <c r="AW27" s="314"/>
      <c r="AX27" s="314"/>
      <c r="AY27" s="314"/>
      <c r="AZ27" s="314"/>
      <c r="BA27" s="289">
        <f t="shared" si="49"/>
        <v>0</v>
      </c>
      <c r="BB27" s="290"/>
      <c r="BD27" s="315"/>
      <c r="BE27" s="238">
        <f>+$W27/$AL27*Z27</f>
        <v>395.9134615384616</v>
      </c>
      <c r="BF27" s="238">
        <f t="shared" si="50"/>
        <v>395.9134615384616</v>
      </c>
      <c r="BG27" s="238">
        <f t="shared" si="50"/>
        <v>395.9134615384616</v>
      </c>
      <c r="BH27" s="238">
        <f t="shared" si="50"/>
        <v>395.9134615384616</v>
      </c>
      <c r="BI27" s="238">
        <f t="shared" si="50"/>
        <v>395.9134615384616</v>
      </c>
      <c r="BJ27" s="238">
        <f t="shared" si="50"/>
        <v>395.9134615384616</v>
      </c>
      <c r="BK27" s="238">
        <f t="shared" si="50"/>
        <v>395.9134615384616</v>
      </c>
      <c r="BL27" s="238">
        <f t="shared" si="50"/>
        <v>395.9134615384616</v>
      </c>
      <c r="BM27" s="238">
        <f t="shared" si="50"/>
        <v>395.9134615384616</v>
      </c>
      <c r="BN27" s="238">
        <f t="shared" si="50"/>
        <v>923.79807692307713</v>
      </c>
      <c r="BO27" s="238">
        <f t="shared" si="50"/>
        <v>395.9134615384616</v>
      </c>
      <c r="BP27" s="238">
        <f t="shared" si="50"/>
        <v>395.9134615384616</v>
      </c>
      <c r="BQ27" s="291">
        <f t="shared" si="51"/>
        <v>5278.8461538461543</v>
      </c>
      <c r="BR27" s="290">
        <f t="shared" si="11"/>
        <v>0</v>
      </c>
    </row>
    <row r="28" spans="1:70" ht="39" customHeight="1">
      <c r="B28" s="228">
        <v>650</v>
      </c>
      <c r="C28" s="273" t="s">
        <v>208</v>
      </c>
      <c r="D28" s="292"/>
      <c r="E28" s="273"/>
      <c r="F28" s="273"/>
      <c r="G28" s="276"/>
      <c r="H28" s="276">
        <f t="shared" si="39"/>
        <v>45292</v>
      </c>
      <c r="I28" s="279">
        <f>+I27+100</f>
        <v>2600</v>
      </c>
      <c r="J28" s="278">
        <v>1350</v>
      </c>
      <c r="K28" s="279">
        <f t="shared" si="40"/>
        <v>-1250</v>
      </c>
      <c r="L28" s="280"/>
      <c r="M28" s="280"/>
      <c r="N28" s="280"/>
      <c r="O28" s="273">
        <f t="shared" si="41"/>
        <v>366</v>
      </c>
      <c r="P28" s="273">
        <f t="shared" si="42"/>
        <v>0</v>
      </c>
      <c r="Q28" s="273">
        <f t="shared" si="43"/>
        <v>366</v>
      </c>
      <c r="R28" s="282">
        <f>+IF(ISERROR(VLOOKUP($C28,[1]U!$A:$E,5,0)),0,(VLOOKUP($C28,[1]U!$A:$E,5,0)))</f>
        <v>0</v>
      </c>
      <c r="S28" s="285">
        <f t="shared" si="44"/>
        <v>2600</v>
      </c>
      <c r="T28" s="299">
        <v>0.15</v>
      </c>
      <c r="U28" s="285">
        <f t="shared" si="45"/>
        <v>5490</v>
      </c>
      <c r="V28" s="286">
        <v>1</v>
      </c>
      <c r="W28" s="285">
        <f t="shared" si="46"/>
        <v>5490</v>
      </c>
      <c r="X28" s="285">
        <f t="shared" si="47"/>
        <v>8090</v>
      </c>
      <c r="Y28" s="287"/>
      <c r="Z28" s="313">
        <v>1.5</v>
      </c>
      <c r="AA28" s="313">
        <v>1.5</v>
      </c>
      <c r="AB28" s="313">
        <v>1.5</v>
      </c>
      <c r="AC28" s="313">
        <v>1.5</v>
      </c>
      <c r="AD28" s="313">
        <v>1.5</v>
      </c>
      <c r="AE28" s="313">
        <v>1.5</v>
      </c>
      <c r="AF28" s="313">
        <v>1.5</v>
      </c>
      <c r="AG28" s="313">
        <v>1.5</v>
      </c>
      <c r="AH28" s="313">
        <v>1.5</v>
      </c>
      <c r="AI28" s="313">
        <v>1.5</v>
      </c>
      <c r="AJ28" s="313">
        <v>1.5</v>
      </c>
      <c r="AK28" s="313">
        <v>1.5</v>
      </c>
      <c r="AL28" s="289">
        <f t="shared" si="48"/>
        <v>18</v>
      </c>
      <c r="AM28" s="287"/>
      <c r="AN28" s="295"/>
      <c r="AO28" s="314"/>
      <c r="AP28" s="314"/>
      <c r="AQ28" s="314"/>
      <c r="AR28" s="314"/>
      <c r="AS28" s="314"/>
      <c r="AT28" s="314"/>
      <c r="AU28" s="314"/>
      <c r="AV28" s="314"/>
      <c r="AW28" s="314"/>
      <c r="AX28" s="314"/>
      <c r="AY28" s="314"/>
      <c r="AZ28" s="314"/>
      <c r="BA28" s="289">
        <f t="shared" si="49"/>
        <v>0</v>
      </c>
      <c r="BB28" s="290"/>
      <c r="BD28" s="315"/>
      <c r="BE28" s="238">
        <f t="shared" si="50"/>
        <v>457.5</v>
      </c>
      <c r="BF28" s="238">
        <f t="shared" si="50"/>
        <v>457.5</v>
      </c>
      <c r="BG28" s="238">
        <f t="shared" si="50"/>
        <v>457.5</v>
      </c>
      <c r="BH28" s="238">
        <f t="shared" si="50"/>
        <v>457.5</v>
      </c>
      <c r="BI28" s="238">
        <f t="shared" si="50"/>
        <v>457.5</v>
      </c>
      <c r="BJ28" s="238">
        <f t="shared" si="50"/>
        <v>457.5</v>
      </c>
      <c r="BK28" s="238">
        <f t="shared" si="50"/>
        <v>457.5</v>
      </c>
      <c r="BL28" s="238">
        <f t="shared" si="50"/>
        <v>457.5</v>
      </c>
      <c r="BM28" s="238">
        <f t="shared" si="50"/>
        <v>457.5</v>
      </c>
      <c r="BN28" s="238">
        <f t="shared" si="50"/>
        <v>457.5</v>
      </c>
      <c r="BO28" s="238">
        <f t="shared" si="50"/>
        <v>457.5</v>
      </c>
      <c r="BP28" s="238">
        <f t="shared" si="50"/>
        <v>457.5</v>
      </c>
      <c r="BQ28" s="289">
        <f t="shared" si="51"/>
        <v>5490</v>
      </c>
      <c r="BR28" s="290">
        <f t="shared" si="11"/>
        <v>0</v>
      </c>
    </row>
    <row r="29" spans="1:70" ht="39" customHeight="1">
      <c r="B29" s="228">
        <v>281</v>
      </c>
      <c r="C29" s="273"/>
      <c r="D29" s="274"/>
      <c r="E29" s="273"/>
      <c r="F29" s="273"/>
      <c r="G29" s="276"/>
      <c r="H29" s="276">
        <f t="shared" si="39"/>
        <v>45292</v>
      </c>
      <c r="I29" s="316"/>
      <c r="J29" s="278"/>
      <c r="K29" s="279">
        <f t="shared" si="40"/>
        <v>0</v>
      </c>
      <c r="L29" s="280"/>
      <c r="M29" s="280"/>
      <c r="N29" s="280"/>
      <c r="O29" s="273">
        <f t="shared" si="41"/>
        <v>366</v>
      </c>
      <c r="P29" s="273">
        <f t="shared" si="42"/>
        <v>0</v>
      </c>
      <c r="Q29" s="273">
        <f t="shared" si="43"/>
        <v>366</v>
      </c>
      <c r="R29" s="282">
        <f>+IF(ISERROR(VLOOKUP($C29,[1]U!$A:$E,5,0)),0,(VLOOKUP($C29,[1]U!$A:$E,5,0)))</f>
        <v>0</v>
      </c>
      <c r="S29" s="285">
        <f t="shared" si="44"/>
        <v>0</v>
      </c>
      <c r="T29" s="304"/>
      <c r="U29" s="285">
        <f t="shared" si="45"/>
        <v>0</v>
      </c>
      <c r="V29" s="286">
        <v>1</v>
      </c>
      <c r="W29" s="285">
        <f t="shared" si="46"/>
        <v>0</v>
      </c>
      <c r="X29" s="285">
        <f t="shared" si="47"/>
        <v>0</v>
      </c>
      <c r="Y29" s="287"/>
      <c r="Z29" s="313"/>
      <c r="AA29" s="313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289">
        <f t="shared" si="48"/>
        <v>0</v>
      </c>
      <c r="AM29" s="287"/>
      <c r="AN29" s="295"/>
      <c r="AO29" s="314"/>
      <c r="AP29" s="314"/>
      <c r="AQ29" s="314"/>
      <c r="AR29" s="314"/>
      <c r="AS29" s="314"/>
      <c r="AT29" s="314"/>
      <c r="AU29" s="314"/>
      <c r="AV29" s="314"/>
      <c r="AW29" s="314"/>
      <c r="AX29" s="314"/>
      <c r="AY29" s="314"/>
      <c r="AZ29" s="314"/>
      <c r="BA29" s="289">
        <f t="shared" si="49"/>
        <v>0</v>
      </c>
      <c r="BB29" s="290"/>
      <c r="BD29" s="315"/>
      <c r="BE29" s="238"/>
      <c r="BF29" s="238"/>
      <c r="BG29" s="238"/>
      <c r="BH29" s="238"/>
      <c r="BI29" s="238"/>
      <c r="BJ29" s="238"/>
      <c r="BK29" s="238"/>
      <c r="BL29" s="238"/>
      <c r="BM29" s="238"/>
      <c r="BN29" s="238"/>
      <c r="BO29" s="238"/>
      <c r="BP29" s="238"/>
      <c r="BQ29" s="289">
        <f t="shared" si="51"/>
        <v>0</v>
      </c>
      <c r="BR29" s="290">
        <f t="shared" si="11"/>
        <v>0</v>
      </c>
    </row>
    <row r="30" spans="1:70" ht="39" customHeight="1">
      <c r="B30" s="228">
        <v>810</v>
      </c>
      <c r="C30" s="273"/>
      <c r="D30" s="274"/>
      <c r="E30" s="275"/>
      <c r="F30" s="275"/>
      <c r="G30" s="276"/>
      <c r="H30" s="276">
        <f t="shared" si="39"/>
        <v>45292</v>
      </c>
      <c r="I30" s="279"/>
      <c r="J30" s="278"/>
      <c r="K30" s="279">
        <f t="shared" si="40"/>
        <v>0</v>
      </c>
      <c r="L30" s="280"/>
      <c r="M30" s="280"/>
      <c r="N30" s="281"/>
      <c r="O30" s="273">
        <f>+IF(N30="",$O$6-H30-R30,N30-H30-R30)</f>
        <v>366</v>
      </c>
      <c r="P30" s="273">
        <f>+IF(L30="",0,$O$6-L30)</f>
        <v>0</v>
      </c>
      <c r="Q30" s="273">
        <f>+O30-P30</f>
        <v>366</v>
      </c>
      <c r="R30" s="282">
        <f>+IF(ISERROR(VLOOKUP($C30,[1]U!$A:$E,5,0)),0,(VLOOKUP($C30,[1]U!$A:$E,5,0)))</f>
        <v>0</v>
      </c>
      <c r="S30" s="285">
        <f t="shared" si="44"/>
        <v>0</v>
      </c>
      <c r="T30" s="304"/>
      <c r="U30" s="285">
        <f t="shared" si="45"/>
        <v>0</v>
      </c>
      <c r="V30" s="286">
        <v>1</v>
      </c>
      <c r="W30" s="285">
        <f t="shared" si="46"/>
        <v>0</v>
      </c>
      <c r="X30" s="285">
        <f t="shared" si="47"/>
        <v>0</v>
      </c>
      <c r="Y30" s="287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9">
        <f t="shared" si="48"/>
        <v>0</v>
      </c>
      <c r="AM30" s="287"/>
      <c r="AN30" s="295"/>
      <c r="AO30" s="314"/>
      <c r="AP30" s="314"/>
      <c r="AQ30" s="314"/>
      <c r="AR30" s="314"/>
      <c r="AS30" s="314"/>
      <c r="AT30" s="314"/>
      <c r="AU30" s="314"/>
      <c r="AV30" s="314"/>
      <c r="AW30" s="314"/>
      <c r="AX30" s="314"/>
      <c r="AY30" s="314"/>
      <c r="AZ30" s="314"/>
      <c r="BA30" s="289">
        <f t="shared" si="49"/>
        <v>0</v>
      </c>
      <c r="BB30" s="290"/>
      <c r="BD30" s="315"/>
      <c r="BE30" s="238"/>
      <c r="BF30" s="238"/>
      <c r="BG30" s="238"/>
      <c r="BH30" s="238"/>
      <c r="BI30" s="238"/>
      <c r="BJ30" s="238"/>
      <c r="BK30" s="238"/>
      <c r="BL30" s="238"/>
      <c r="BM30" s="238"/>
      <c r="BN30" s="238"/>
      <c r="BO30" s="238"/>
      <c r="BP30" s="238"/>
      <c r="BQ30" s="289">
        <f t="shared" si="51"/>
        <v>0</v>
      </c>
      <c r="BR30" s="290">
        <f t="shared" si="11"/>
        <v>0</v>
      </c>
    </row>
    <row r="31" spans="1:70" ht="36" customHeight="1">
      <c r="B31" s="305"/>
      <c r="C31" s="305"/>
      <c r="D31" s="305"/>
      <c r="E31" s="305"/>
      <c r="F31" s="305"/>
      <c r="G31" s="317"/>
      <c r="H31" s="317"/>
      <c r="I31" s="318">
        <f t="shared" ref="I31:J31" si="52">SUM(I26:I30)</f>
        <v>7500</v>
      </c>
      <c r="J31" s="318">
        <f t="shared" si="52"/>
        <v>5195</v>
      </c>
      <c r="K31" s="305"/>
      <c r="L31" s="317"/>
      <c r="M31" s="317"/>
      <c r="N31" s="317"/>
      <c r="O31" s="305"/>
      <c r="P31" s="305"/>
      <c r="Q31" s="305"/>
      <c r="R31" s="305"/>
      <c r="S31" s="318">
        <f>SUM(S26:S30)</f>
        <v>7500</v>
      </c>
      <c r="T31" s="305"/>
      <c r="U31" s="318">
        <f>SUM(U26:U30)</f>
        <v>15836.538461538461</v>
      </c>
      <c r="V31" s="318"/>
      <c r="W31" s="318">
        <f t="shared" ref="W31:X31" si="53">SUM(W26:W30)</f>
        <v>15836.538461538461</v>
      </c>
      <c r="X31" s="318">
        <f t="shared" si="53"/>
        <v>23336.538461538461</v>
      </c>
      <c r="Y31" s="287"/>
      <c r="Z31" s="311">
        <f>SUM(Z26:Z30)</f>
        <v>4.5</v>
      </c>
      <c r="AA31" s="311">
        <f t="shared" ref="AA31:AL31" si="54">SUM(AA26:AA30)</f>
        <v>4.5</v>
      </c>
      <c r="AB31" s="311">
        <f t="shared" si="54"/>
        <v>4.5</v>
      </c>
      <c r="AC31" s="311">
        <f t="shared" si="54"/>
        <v>4.5</v>
      </c>
      <c r="AD31" s="311">
        <f t="shared" si="54"/>
        <v>4.5</v>
      </c>
      <c r="AE31" s="311">
        <f t="shared" si="54"/>
        <v>4.5</v>
      </c>
      <c r="AF31" s="311">
        <f t="shared" si="54"/>
        <v>4.5</v>
      </c>
      <c r="AG31" s="311">
        <f t="shared" si="54"/>
        <v>4.5</v>
      </c>
      <c r="AH31" s="311">
        <f t="shared" si="54"/>
        <v>4.5</v>
      </c>
      <c r="AI31" s="311">
        <f t="shared" si="54"/>
        <v>8.5</v>
      </c>
      <c r="AJ31" s="311">
        <f t="shared" si="54"/>
        <v>4.5</v>
      </c>
      <c r="AK31" s="311">
        <f t="shared" si="54"/>
        <v>4.5</v>
      </c>
      <c r="AL31" s="311">
        <f t="shared" si="54"/>
        <v>58</v>
      </c>
      <c r="AM31" s="287"/>
      <c r="AN31" s="318">
        <f t="shared" ref="AN31:BA31" si="55">SUM(AN26:AN30)</f>
        <v>0</v>
      </c>
      <c r="AO31" s="318">
        <f t="shared" si="55"/>
        <v>0</v>
      </c>
      <c r="AP31" s="318">
        <f t="shared" si="55"/>
        <v>0</v>
      </c>
      <c r="AQ31" s="318">
        <f t="shared" si="55"/>
        <v>0</v>
      </c>
      <c r="AR31" s="318">
        <f t="shared" si="55"/>
        <v>0</v>
      </c>
      <c r="AS31" s="318">
        <f t="shared" si="55"/>
        <v>0</v>
      </c>
      <c r="AT31" s="318">
        <f t="shared" si="55"/>
        <v>0</v>
      </c>
      <c r="AU31" s="318">
        <f t="shared" si="55"/>
        <v>0</v>
      </c>
      <c r="AV31" s="318">
        <f t="shared" si="55"/>
        <v>0</v>
      </c>
      <c r="AW31" s="318">
        <f t="shared" si="55"/>
        <v>0</v>
      </c>
      <c r="AX31" s="318">
        <f t="shared" si="55"/>
        <v>0</v>
      </c>
      <c r="AY31" s="318">
        <f t="shared" si="55"/>
        <v>0</v>
      </c>
      <c r="AZ31" s="318">
        <f t="shared" si="55"/>
        <v>0</v>
      </c>
      <c r="BA31" s="318">
        <f t="shared" si="55"/>
        <v>0</v>
      </c>
      <c r="BB31" s="290"/>
      <c r="BD31" s="318">
        <f t="shared" ref="BD31:BQ31" si="56">SUM(BD26:BD30)</f>
        <v>0</v>
      </c>
      <c r="BE31" s="318">
        <f t="shared" si="56"/>
        <v>1233.4903846153848</v>
      </c>
      <c r="BF31" s="318">
        <f t="shared" si="56"/>
        <v>1233.4903846153848</v>
      </c>
      <c r="BG31" s="318">
        <f t="shared" si="56"/>
        <v>1233.4903846153848</v>
      </c>
      <c r="BH31" s="318">
        <f t="shared" si="56"/>
        <v>1233.4903846153848</v>
      </c>
      <c r="BI31" s="318">
        <f t="shared" si="56"/>
        <v>1233.4903846153848</v>
      </c>
      <c r="BJ31" s="318">
        <f t="shared" si="56"/>
        <v>1233.4903846153848</v>
      </c>
      <c r="BK31" s="318">
        <f t="shared" si="56"/>
        <v>1233.4903846153848</v>
      </c>
      <c r="BL31" s="318">
        <f t="shared" si="56"/>
        <v>1233.4903846153848</v>
      </c>
      <c r="BM31" s="318">
        <f t="shared" si="56"/>
        <v>1233.4903846153848</v>
      </c>
      <c r="BN31" s="318">
        <f t="shared" si="56"/>
        <v>2268.1442307692309</v>
      </c>
      <c r="BO31" s="318">
        <f t="shared" si="56"/>
        <v>1233.4903846153848</v>
      </c>
      <c r="BP31" s="318">
        <f t="shared" si="56"/>
        <v>1233.4903846153848</v>
      </c>
      <c r="BQ31" s="318">
        <f t="shared" si="56"/>
        <v>15836.538461538461</v>
      </c>
    </row>
    <row r="32" spans="1:70" ht="37.5" customHeight="1">
      <c r="G32" s="227"/>
      <c r="H32" s="227"/>
      <c r="L32" s="227"/>
      <c r="M32" s="227"/>
      <c r="N32" s="227"/>
      <c r="S32" s="227"/>
      <c r="U32" s="227"/>
      <c r="V32" s="227"/>
      <c r="W32" s="227"/>
      <c r="Z32" s="312"/>
      <c r="AA32" s="312"/>
      <c r="AB32" s="312"/>
      <c r="AC32" s="312"/>
      <c r="AD32" s="312"/>
      <c r="AE32" s="312"/>
      <c r="AF32" s="312"/>
      <c r="AG32" s="312"/>
      <c r="AH32" s="312"/>
      <c r="AI32" s="312"/>
      <c r="AJ32" s="312"/>
      <c r="AK32" s="312"/>
      <c r="AL32" s="312"/>
      <c r="AO32" s="312"/>
      <c r="AP32" s="312"/>
      <c r="AQ32" s="312"/>
      <c r="AR32" s="312"/>
      <c r="AS32" s="312"/>
      <c r="AT32" s="312"/>
      <c r="AU32" s="312"/>
      <c r="AV32" s="312"/>
      <c r="AW32" s="312"/>
      <c r="AX32" s="312"/>
      <c r="AY32" s="312"/>
      <c r="AZ32" s="312"/>
      <c r="BA32" s="312"/>
      <c r="BE32" s="312"/>
      <c r="BF32" s="312"/>
      <c r="BG32" s="312"/>
      <c r="BH32" s="312"/>
      <c r="BI32" s="312"/>
      <c r="BJ32" s="312"/>
      <c r="BK32" s="312"/>
      <c r="BL32" s="312"/>
      <c r="BM32" s="312"/>
      <c r="BN32" s="312"/>
      <c r="BO32" s="312"/>
      <c r="BP32" s="312"/>
      <c r="BQ32" s="312"/>
      <c r="BR32" s="290"/>
    </row>
    <row r="33" spans="1:70" ht="25.5" customHeight="1">
      <c r="C33" s="255"/>
      <c r="G33" s="227"/>
      <c r="H33" s="227"/>
      <c r="L33" s="227"/>
      <c r="M33" s="227"/>
      <c r="N33" s="227"/>
      <c r="S33" s="243"/>
      <c r="T33" s="227"/>
      <c r="U33" s="243"/>
      <c r="V33" s="243"/>
      <c r="W33" s="227"/>
      <c r="Z33" s="312"/>
      <c r="AA33" s="312"/>
      <c r="AB33" s="312"/>
      <c r="AC33" s="312"/>
      <c r="AD33" s="312"/>
      <c r="AE33" s="312"/>
      <c r="AF33" s="312"/>
      <c r="AG33" s="312"/>
      <c r="AH33" s="312"/>
      <c r="AI33" s="312"/>
      <c r="AJ33" s="312"/>
      <c r="AK33" s="312"/>
      <c r="AL33" s="312"/>
      <c r="AO33" s="312"/>
      <c r="AP33" s="312"/>
      <c r="AQ33" s="312"/>
      <c r="AR33" s="312"/>
      <c r="AS33" s="312"/>
      <c r="AT33" s="312"/>
      <c r="AU33" s="312"/>
      <c r="AV33" s="312"/>
      <c r="AW33" s="312"/>
      <c r="AX33" s="312"/>
      <c r="AY33" s="312"/>
      <c r="AZ33" s="312"/>
      <c r="BA33" s="312"/>
      <c r="BE33" s="312"/>
      <c r="BF33" s="312"/>
      <c r="BG33" s="312"/>
      <c r="BH33" s="312"/>
      <c r="BI33" s="312"/>
      <c r="BJ33" s="312"/>
      <c r="BK33" s="312"/>
      <c r="BL33" s="312"/>
      <c r="BM33" s="312"/>
      <c r="BN33" s="312"/>
      <c r="BO33" s="312"/>
      <c r="BP33" s="312"/>
      <c r="BQ33" s="312"/>
      <c r="BR33" s="290">
        <f t="shared" si="11"/>
        <v>0</v>
      </c>
    </row>
    <row r="34" spans="1:70" ht="39" customHeight="1">
      <c r="A34" s="231">
        <v>15</v>
      </c>
      <c r="B34" s="228">
        <v>810</v>
      </c>
      <c r="C34" s="273" t="s">
        <v>209</v>
      </c>
      <c r="D34" s="292"/>
      <c r="E34" s="273"/>
      <c r="F34" s="273"/>
      <c r="G34" s="276">
        <v>41183</v>
      </c>
      <c r="H34" s="276">
        <f t="shared" ref="H34:H39" si="57">+IF(G34&lt;$G$7,$G$7,G34)</f>
        <v>45292</v>
      </c>
      <c r="I34" s="279">
        <f>+I28+100</f>
        <v>2700</v>
      </c>
      <c r="J34" s="278">
        <v>2750</v>
      </c>
      <c r="K34" s="279">
        <f t="shared" ref="K34:K39" si="58">+J34-I34</f>
        <v>50</v>
      </c>
      <c r="L34" s="280"/>
      <c r="M34" s="280"/>
      <c r="N34" s="280"/>
      <c r="O34" s="273">
        <f t="shared" ref="O34:O37" si="59">+IF(N34="",$O$6-H34-R34,N34-H34-R34)</f>
        <v>366</v>
      </c>
      <c r="P34" s="273">
        <f t="shared" ref="P34:P37" si="60">+IF(L34="",0,$O$6-L34)</f>
        <v>0</v>
      </c>
      <c r="Q34" s="273">
        <f t="shared" ref="Q34:Q37" si="61">+O34-P34</f>
        <v>366</v>
      </c>
      <c r="R34" s="282">
        <f>+IF(ISERROR(VLOOKUP($C34,[1]U!$A:$E,5,0)),0,(VLOOKUP($C34,[1]U!$A:$E,5,0)))</f>
        <v>0</v>
      </c>
      <c r="S34" s="285">
        <f t="shared" ref="S34:S39" si="62">+(I34/$N$6*Q34)+(J34/$N$6*P34)</f>
        <v>2700</v>
      </c>
      <c r="T34" s="304"/>
      <c r="U34" s="295"/>
      <c r="V34" s="295"/>
      <c r="W34" s="285">
        <f t="shared" ref="W34:W39" si="63">+U34*$V$9</f>
        <v>0</v>
      </c>
      <c r="X34" s="285">
        <f t="shared" ref="X34:X39" si="64">+S34+U34</f>
        <v>2700</v>
      </c>
      <c r="Y34" s="287"/>
      <c r="Z34" s="288">
        <f>+VLOOKUP($C34,'PROVISION VACANCES ET TICKETS'!$A:$Z,Z$5,0)</f>
        <v>2.5</v>
      </c>
      <c r="AA34" s="288">
        <f>+VLOOKUP($C34,'PROVISION VACANCES ET TICKETS'!$A:$Z,AA$5,0)</f>
        <v>2.5</v>
      </c>
      <c r="AB34" s="288">
        <f>+VLOOKUP($C34,'PROVISION VACANCES ET TICKETS'!$A:$Z,AB$5,0)</f>
        <v>2.5</v>
      </c>
      <c r="AC34" s="288">
        <f>+VLOOKUP($C34,'PROVISION VACANCES ET TICKETS'!$A:$Z,AC$5,0)</f>
        <v>2.5</v>
      </c>
      <c r="AD34" s="288">
        <f>+VLOOKUP($C34,'PROVISION VACANCES ET TICKETS'!$A:$Z,AD$5,0)</f>
        <v>2.5</v>
      </c>
      <c r="AE34" s="288">
        <f>+VLOOKUP($C34,'PROVISION VACANCES ET TICKETS'!$A:$Z,AE$5,0)</f>
        <v>2.5</v>
      </c>
      <c r="AF34" s="288">
        <f>+VLOOKUP($C34,'PROVISION VACANCES ET TICKETS'!$A:$Z,AF$5,0)</f>
        <v>2.5</v>
      </c>
      <c r="AG34" s="288">
        <f>+VLOOKUP($C34,'PROVISION VACANCES ET TICKETS'!$A:$Z,AG$5,0)</f>
        <v>2.5</v>
      </c>
      <c r="AH34" s="288">
        <f>+VLOOKUP($C34,'PROVISION VACANCES ET TICKETS'!$A:$Z,AH$5,0)</f>
        <v>2.5</v>
      </c>
      <c r="AI34" s="288">
        <f>+VLOOKUP($C34,'PROVISION VACANCES ET TICKETS'!$A:$Z,AI$5,0)</f>
        <v>2.5</v>
      </c>
      <c r="AJ34" s="288">
        <f>+VLOOKUP($C34,'PROVISION VACANCES ET TICKETS'!$A:$Z,AJ$5,0)</f>
        <v>2.5</v>
      </c>
      <c r="AK34" s="288">
        <f>+VLOOKUP($C34,'PROVISION VACANCES ET TICKETS'!$A:$Z,AK$5,0)</f>
        <v>2.5</v>
      </c>
      <c r="AL34" s="289">
        <f t="shared" ref="AL34:AL37" si="65">SUM(Z34:AK34)</f>
        <v>30</v>
      </c>
      <c r="AM34" s="287"/>
      <c r="AN34" s="285">
        <v>0</v>
      </c>
      <c r="AO34" s="238">
        <f t="shared" ref="AO34:AZ37" si="66">+IF($L34="",$I34/$AL34*Z34,IF(MONTH($L34)=MONTH(AO$7),$J34/$AL34*Z34,IF(AND($L34&lt;AO$7,(MONTH($L34)&lt;&gt;MONTH(AO$7))),$J34/$AL34*Z34,$I34/$AL34*Z34)))</f>
        <v>225</v>
      </c>
      <c r="AP34" s="238">
        <f t="shared" si="66"/>
        <v>225</v>
      </c>
      <c r="AQ34" s="238">
        <f t="shared" si="66"/>
        <v>225</v>
      </c>
      <c r="AR34" s="238">
        <f t="shared" si="66"/>
        <v>225</v>
      </c>
      <c r="AS34" s="238">
        <f t="shared" si="66"/>
        <v>225</v>
      </c>
      <c r="AT34" s="238">
        <f t="shared" si="66"/>
        <v>225</v>
      </c>
      <c r="AU34" s="238">
        <f t="shared" si="66"/>
        <v>225</v>
      </c>
      <c r="AV34" s="238">
        <f t="shared" si="66"/>
        <v>225</v>
      </c>
      <c r="AW34" s="238">
        <f t="shared" si="66"/>
        <v>225</v>
      </c>
      <c r="AX34" s="238">
        <f t="shared" si="66"/>
        <v>225</v>
      </c>
      <c r="AY34" s="238">
        <f t="shared" si="66"/>
        <v>225</v>
      </c>
      <c r="AZ34" s="238">
        <f t="shared" si="66"/>
        <v>225</v>
      </c>
      <c r="BA34" s="289">
        <f t="shared" ref="BA34:BA37" si="67">SUM(AO34:AZ34)</f>
        <v>2700</v>
      </c>
      <c r="BB34" s="290">
        <f t="shared" ref="BB34:BB40" si="68">+BA34-S34</f>
        <v>0</v>
      </c>
      <c r="BD34" s="296">
        <v>0</v>
      </c>
      <c r="BE34" s="297">
        <f t="shared" ref="BE34:BP39" si="69">+IF($L34="",$I34/26*BE$5*$T34,IF(MONTH($L34)=MONTH(AO$7),$J34/26*BE$5*$T34,IF(AND($L34&lt;AO$7,(MONTH($L34)&lt;&gt;MONTH(AO$7))),$J34/26*BE$5*$T34,$I34/26*BE$5*$T34)))</f>
        <v>0</v>
      </c>
      <c r="BF34" s="297">
        <f t="shared" si="69"/>
        <v>0</v>
      </c>
      <c r="BG34" s="297">
        <f t="shared" si="69"/>
        <v>0</v>
      </c>
      <c r="BH34" s="297">
        <f t="shared" si="69"/>
        <v>0</v>
      </c>
      <c r="BI34" s="297">
        <f t="shared" si="69"/>
        <v>0</v>
      </c>
      <c r="BJ34" s="297">
        <f t="shared" si="69"/>
        <v>0</v>
      </c>
      <c r="BK34" s="297">
        <f t="shared" si="69"/>
        <v>0</v>
      </c>
      <c r="BL34" s="297">
        <f t="shared" si="69"/>
        <v>0</v>
      </c>
      <c r="BM34" s="297">
        <f t="shared" si="69"/>
        <v>0</v>
      </c>
      <c r="BN34" s="297">
        <f t="shared" si="69"/>
        <v>0</v>
      </c>
      <c r="BO34" s="297">
        <f t="shared" si="69"/>
        <v>0</v>
      </c>
      <c r="BP34" s="297">
        <f t="shared" si="69"/>
        <v>0</v>
      </c>
      <c r="BQ34" s="319">
        <f t="shared" ref="BQ34:BQ39" si="70">SUM(BE34:BP34)</f>
        <v>0</v>
      </c>
      <c r="BR34" s="290">
        <f t="shared" si="11"/>
        <v>0</v>
      </c>
    </row>
    <row r="35" spans="1:70" ht="39" customHeight="1">
      <c r="A35" s="227">
        <v>16</v>
      </c>
      <c r="B35" s="228">
        <v>810</v>
      </c>
      <c r="C35" s="273" t="s">
        <v>60</v>
      </c>
      <c r="D35" s="292"/>
      <c r="E35" s="273"/>
      <c r="F35" s="273"/>
      <c r="G35" s="276">
        <v>41366</v>
      </c>
      <c r="H35" s="276">
        <f t="shared" si="57"/>
        <v>45292</v>
      </c>
      <c r="I35" s="279">
        <f>+I34+100</f>
        <v>2800</v>
      </c>
      <c r="J35" s="278">
        <v>4200</v>
      </c>
      <c r="K35" s="279">
        <f t="shared" si="58"/>
        <v>1400</v>
      </c>
      <c r="L35" s="280"/>
      <c r="M35" s="280"/>
      <c r="N35" s="280"/>
      <c r="O35" s="273">
        <f t="shared" si="59"/>
        <v>366</v>
      </c>
      <c r="P35" s="273">
        <f t="shared" si="60"/>
        <v>0</v>
      </c>
      <c r="Q35" s="273">
        <f t="shared" si="61"/>
        <v>366</v>
      </c>
      <c r="R35" s="282">
        <f>+IF(ISERROR(VLOOKUP($C35,[1]U!$A:$E,5,0)),0,(VLOOKUP($C35,[1]U!$A:$E,5,0)))</f>
        <v>0</v>
      </c>
      <c r="S35" s="285">
        <f t="shared" si="62"/>
        <v>2800</v>
      </c>
      <c r="T35" s="299">
        <v>0.2</v>
      </c>
      <c r="U35" s="285">
        <f>(I35/26*Q35)*T35+(J35/26*P35)*T35</f>
        <v>7883.0769230769238</v>
      </c>
      <c r="V35" s="285"/>
      <c r="W35" s="285">
        <f t="shared" si="63"/>
        <v>7883.0769230769238</v>
      </c>
      <c r="X35" s="285">
        <f t="shared" si="64"/>
        <v>10683.076923076924</v>
      </c>
      <c r="Y35" s="287"/>
      <c r="Z35" s="288">
        <f>+VLOOKUP($C35,'PROVISION VACANCES ET TICKETS'!$A:$Z,Z$5,0)</f>
        <v>2.5</v>
      </c>
      <c r="AA35" s="288">
        <f>+VLOOKUP($C35,'PROVISION VACANCES ET TICKETS'!$A:$Z,AA$5,0)</f>
        <v>2.5</v>
      </c>
      <c r="AB35" s="288">
        <f>+VLOOKUP($C35,'PROVISION VACANCES ET TICKETS'!$A:$Z,AB$5,0)</f>
        <v>2.5</v>
      </c>
      <c r="AC35" s="288">
        <f>+VLOOKUP($C35,'PROVISION VACANCES ET TICKETS'!$A:$Z,AC$5,0)</f>
        <v>2.5</v>
      </c>
      <c r="AD35" s="288">
        <f>+VLOOKUP($C35,'PROVISION VACANCES ET TICKETS'!$A:$Z,AD$5,0)</f>
        <v>2.5</v>
      </c>
      <c r="AE35" s="288">
        <f>+VLOOKUP($C35,'PROVISION VACANCES ET TICKETS'!$A:$Z,AE$5,0)</f>
        <v>2.5</v>
      </c>
      <c r="AF35" s="288">
        <f>+VLOOKUP($C35,'PROVISION VACANCES ET TICKETS'!$A:$Z,AF$5,0)</f>
        <v>2.5</v>
      </c>
      <c r="AG35" s="288">
        <f>+VLOOKUP($C35,'PROVISION VACANCES ET TICKETS'!$A:$Z,AG$5,0)</f>
        <v>2.5</v>
      </c>
      <c r="AH35" s="288">
        <f>+VLOOKUP($C35,'PROVISION VACANCES ET TICKETS'!$A:$Z,AH$5,0)</f>
        <v>2.5</v>
      </c>
      <c r="AI35" s="288">
        <f>+VLOOKUP($C35,'PROVISION VACANCES ET TICKETS'!$A:$Z,AI$5,0)</f>
        <v>2.5</v>
      </c>
      <c r="AJ35" s="288">
        <f>+VLOOKUP($C35,'PROVISION VACANCES ET TICKETS'!$A:$Z,AJ$5,0)</f>
        <v>2.5</v>
      </c>
      <c r="AK35" s="288">
        <f>+VLOOKUP($C35,'PROVISION VACANCES ET TICKETS'!$A:$Z,AK$5,0)</f>
        <v>2.5</v>
      </c>
      <c r="AL35" s="289">
        <f t="shared" si="65"/>
        <v>30</v>
      </c>
      <c r="AM35" s="287"/>
      <c r="AN35" s="285">
        <v>0</v>
      </c>
      <c r="AO35" s="238">
        <f t="shared" si="66"/>
        <v>233.33333333333331</v>
      </c>
      <c r="AP35" s="238">
        <f t="shared" si="66"/>
        <v>233.33333333333331</v>
      </c>
      <c r="AQ35" s="238">
        <f t="shared" si="66"/>
        <v>233.33333333333331</v>
      </c>
      <c r="AR35" s="238">
        <f t="shared" si="66"/>
        <v>233.33333333333331</v>
      </c>
      <c r="AS35" s="238">
        <f t="shared" si="66"/>
        <v>233.33333333333331</v>
      </c>
      <c r="AT35" s="238">
        <f t="shared" si="66"/>
        <v>233.33333333333331</v>
      </c>
      <c r="AU35" s="238">
        <f t="shared" si="66"/>
        <v>233.33333333333331</v>
      </c>
      <c r="AV35" s="238">
        <f t="shared" si="66"/>
        <v>233.33333333333331</v>
      </c>
      <c r="AW35" s="238">
        <f t="shared" si="66"/>
        <v>233.33333333333331</v>
      </c>
      <c r="AX35" s="238">
        <f t="shared" si="66"/>
        <v>233.33333333333331</v>
      </c>
      <c r="AY35" s="238">
        <f t="shared" si="66"/>
        <v>233.33333333333331</v>
      </c>
      <c r="AZ35" s="238">
        <f t="shared" si="66"/>
        <v>233.33333333333331</v>
      </c>
      <c r="BA35" s="289">
        <f t="shared" si="67"/>
        <v>2800</v>
      </c>
      <c r="BB35" s="290">
        <f t="shared" si="68"/>
        <v>0</v>
      </c>
      <c r="BD35" s="285">
        <v>0</v>
      </c>
      <c r="BE35" s="238">
        <f t="shared" si="69"/>
        <v>667.69230769230774</v>
      </c>
      <c r="BF35" s="238">
        <f t="shared" si="69"/>
        <v>603.07692307692309</v>
      </c>
      <c r="BG35" s="238">
        <f t="shared" si="69"/>
        <v>667.69230769230774</v>
      </c>
      <c r="BH35" s="238">
        <f t="shared" si="69"/>
        <v>646.15384615384619</v>
      </c>
      <c r="BI35" s="238">
        <f t="shared" si="69"/>
        <v>667.69230769230774</v>
      </c>
      <c r="BJ35" s="238">
        <f t="shared" si="69"/>
        <v>646.15384615384619</v>
      </c>
      <c r="BK35" s="238">
        <f t="shared" si="69"/>
        <v>667.69230769230774</v>
      </c>
      <c r="BL35" s="238">
        <f t="shared" si="69"/>
        <v>667.69230769230774</v>
      </c>
      <c r="BM35" s="238">
        <f t="shared" si="69"/>
        <v>646.15384615384619</v>
      </c>
      <c r="BN35" s="238">
        <f t="shared" si="69"/>
        <v>667.69230769230774</v>
      </c>
      <c r="BO35" s="238">
        <f t="shared" si="69"/>
        <v>646.15384615384619</v>
      </c>
      <c r="BP35" s="238">
        <f t="shared" si="69"/>
        <v>667.69230769230774</v>
      </c>
      <c r="BQ35" s="291">
        <f t="shared" si="70"/>
        <v>7861.5384615384619</v>
      </c>
      <c r="BR35" s="290">
        <f t="shared" si="11"/>
        <v>-21.538461538461888</v>
      </c>
    </row>
    <row r="36" spans="1:70" ht="39" customHeight="1">
      <c r="A36" s="227">
        <v>17</v>
      </c>
      <c r="B36" s="228">
        <v>971</v>
      </c>
      <c r="C36" s="273" t="s">
        <v>210</v>
      </c>
      <c r="D36" s="292"/>
      <c r="E36" s="273"/>
      <c r="F36" s="273"/>
      <c r="G36" s="276">
        <v>41183</v>
      </c>
      <c r="H36" s="276">
        <f t="shared" si="57"/>
        <v>45292</v>
      </c>
      <c r="I36" s="279">
        <f t="shared" ref="I36:I39" si="71">+I35+100</f>
        <v>2900</v>
      </c>
      <c r="J36" s="278">
        <v>1280</v>
      </c>
      <c r="K36" s="279">
        <f t="shared" si="58"/>
        <v>-1620</v>
      </c>
      <c r="L36" s="280"/>
      <c r="M36" s="280"/>
      <c r="N36" s="280"/>
      <c r="O36" s="273">
        <f t="shared" si="59"/>
        <v>366</v>
      </c>
      <c r="P36" s="273">
        <f t="shared" si="60"/>
        <v>0</v>
      </c>
      <c r="Q36" s="273">
        <f t="shared" si="61"/>
        <v>366</v>
      </c>
      <c r="R36" s="282">
        <f>+IF(ISERROR(VLOOKUP($C36,[1]U!$A:$E,5,0)),0,(VLOOKUP($C36,[1]U!$A:$E,5,0)))</f>
        <v>0</v>
      </c>
      <c r="S36" s="285">
        <f t="shared" si="62"/>
        <v>2900</v>
      </c>
      <c r="T36" s="304"/>
      <c r="U36" s="295"/>
      <c r="V36" s="295"/>
      <c r="W36" s="285">
        <f t="shared" si="63"/>
        <v>0</v>
      </c>
      <c r="X36" s="285">
        <f t="shared" si="64"/>
        <v>2900</v>
      </c>
      <c r="Y36" s="287"/>
      <c r="Z36" s="288">
        <f>+VLOOKUP($C36,'PROVISION VACANCES ET TICKETS'!$A:$Z,Z$5,0)</f>
        <v>2.5</v>
      </c>
      <c r="AA36" s="288">
        <f>+VLOOKUP($C36,'PROVISION VACANCES ET TICKETS'!$A:$Z,AA$5,0)</f>
        <v>2.5</v>
      </c>
      <c r="AB36" s="288">
        <f>+VLOOKUP($C36,'PROVISION VACANCES ET TICKETS'!$A:$Z,AB$5,0)</f>
        <v>2.5</v>
      </c>
      <c r="AC36" s="288">
        <f>+VLOOKUP($C36,'PROVISION VACANCES ET TICKETS'!$A:$Z,AC$5,0)</f>
        <v>2.5</v>
      </c>
      <c r="AD36" s="288">
        <f>+VLOOKUP($C36,'PROVISION VACANCES ET TICKETS'!$A:$Z,AD$5,0)</f>
        <v>2.5</v>
      </c>
      <c r="AE36" s="288">
        <f>+VLOOKUP($C36,'PROVISION VACANCES ET TICKETS'!$A:$Z,AE$5,0)</f>
        <v>2.5</v>
      </c>
      <c r="AF36" s="288">
        <f>+VLOOKUP($C36,'PROVISION VACANCES ET TICKETS'!$A:$Z,AF$5,0)</f>
        <v>2.5</v>
      </c>
      <c r="AG36" s="288">
        <f>+VLOOKUP($C36,'PROVISION VACANCES ET TICKETS'!$A:$Z,AG$5,0)</f>
        <v>2.5</v>
      </c>
      <c r="AH36" s="288">
        <f>+VLOOKUP($C36,'PROVISION VACANCES ET TICKETS'!$A:$Z,AH$5,0)</f>
        <v>2.5</v>
      </c>
      <c r="AI36" s="288">
        <f>+VLOOKUP($C36,'PROVISION VACANCES ET TICKETS'!$A:$Z,AI$5,0)</f>
        <v>2.5</v>
      </c>
      <c r="AJ36" s="288">
        <f>+VLOOKUP($C36,'PROVISION VACANCES ET TICKETS'!$A:$Z,AJ$5,0)</f>
        <v>2.5</v>
      </c>
      <c r="AK36" s="288">
        <f>+VLOOKUP($C36,'PROVISION VACANCES ET TICKETS'!$A:$Z,AK$5,0)</f>
        <v>2.5</v>
      </c>
      <c r="AL36" s="289">
        <f t="shared" si="65"/>
        <v>30</v>
      </c>
      <c r="AM36" s="287"/>
      <c r="AN36" s="285">
        <v>0</v>
      </c>
      <c r="AO36" s="238">
        <f t="shared" si="66"/>
        <v>241.66666666666669</v>
      </c>
      <c r="AP36" s="238">
        <f t="shared" si="66"/>
        <v>241.66666666666669</v>
      </c>
      <c r="AQ36" s="238">
        <f t="shared" si="66"/>
        <v>241.66666666666669</v>
      </c>
      <c r="AR36" s="238">
        <f t="shared" si="66"/>
        <v>241.66666666666669</v>
      </c>
      <c r="AS36" s="238">
        <f t="shared" si="66"/>
        <v>241.66666666666669</v>
      </c>
      <c r="AT36" s="238">
        <f t="shared" si="66"/>
        <v>241.66666666666669</v>
      </c>
      <c r="AU36" s="238">
        <f t="shared" si="66"/>
        <v>241.66666666666669</v>
      </c>
      <c r="AV36" s="238">
        <f t="shared" si="66"/>
        <v>241.66666666666669</v>
      </c>
      <c r="AW36" s="238">
        <f t="shared" si="66"/>
        <v>241.66666666666669</v>
      </c>
      <c r="AX36" s="238">
        <f t="shared" si="66"/>
        <v>241.66666666666669</v>
      </c>
      <c r="AY36" s="238">
        <f t="shared" si="66"/>
        <v>241.66666666666669</v>
      </c>
      <c r="AZ36" s="238">
        <f t="shared" si="66"/>
        <v>241.66666666666669</v>
      </c>
      <c r="BA36" s="289">
        <f t="shared" si="67"/>
        <v>2900</v>
      </c>
      <c r="BB36" s="290">
        <f t="shared" si="68"/>
        <v>0</v>
      </c>
      <c r="BD36" s="296">
        <v>0</v>
      </c>
      <c r="BE36" s="297">
        <f t="shared" si="69"/>
        <v>0</v>
      </c>
      <c r="BF36" s="297">
        <f t="shared" si="69"/>
        <v>0</v>
      </c>
      <c r="BG36" s="297">
        <f t="shared" si="69"/>
        <v>0</v>
      </c>
      <c r="BH36" s="297">
        <f t="shared" si="69"/>
        <v>0</v>
      </c>
      <c r="BI36" s="297">
        <f t="shared" si="69"/>
        <v>0</v>
      </c>
      <c r="BJ36" s="297">
        <f t="shared" si="69"/>
        <v>0</v>
      </c>
      <c r="BK36" s="297">
        <f t="shared" si="69"/>
        <v>0</v>
      </c>
      <c r="BL36" s="297">
        <f t="shared" si="69"/>
        <v>0</v>
      </c>
      <c r="BM36" s="297">
        <f t="shared" si="69"/>
        <v>0</v>
      </c>
      <c r="BN36" s="297">
        <f t="shared" si="69"/>
        <v>0</v>
      </c>
      <c r="BO36" s="297">
        <f t="shared" si="69"/>
        <v>0</v>
      </c>
      <c r="BP36" s="297">
        <f t="shared" si="69"/>
        <v>0</v>
      </c>
      <c r="BQ36" s="319">
        <f t="shared" si="70"/>
        <v>0</v>
      </c>
      <c r="BR36" s="290">
        <f t="shared" si="11"/>
        <v>0</v>
      </c>
    </row>
    <row r="37" spans="1:70" ht="39" customHeight="1">
      <c r="A37" s="227">
        <v>18</v>
      </c>
      <c r="B37" s="228">
        <v>281</v>
      </c>
      <c r="C37" s="273" t="s">
        <v>211</v>
      </c>
      <c r="D37" s="274"/>
      <c r="E37" s="273"/>
      <c r="F37" s="273"/>
      <c r="G37" s="276">
        <v>43683</v>
      </c>
      <c r="H37" s="276">
        <f t="shared" si="57"/>
        <v>45292</v>
      </c>
      <c r="I37" s="279">
        <f t="shared" si="71"/>
        <v>3000</v>
      </c>
      <c r="J37" s="278">
        <v>3800</v>
      </c>
      <c r="K37" s="279">
        <f t="shared" si="58"/>
        <v>800</v>
      </c>
      <c r="L37" s="280"/>
      <c r="M37" s="280"/>
      <c r="N37" s="280"/>
      <c r="O37" s="273">
        <f t="shared" si="59"/>
        <v>366</v>
      </c>
      <c r="P37" s="273">
        <f t="shared" si="60"/>
        <v>0</v>
      </c>
      <c r="Q37" s="273">
        <f t="shared" si="61"/>
        <v>366</v>
      </c>
      <c r="R37" s="282">
        <v>0</v>
      </c>
      <c r="S37" s="285">
        <f t="shared" si="62"/>
        <v>2999.9999999999995</v>
      </c>
      <c r="T37" s="304"/>
      <c r="U37" s="295"/>
      <c r="V37" s="295"/>
      <c r="W37" s="285">
        <f t="shared" si="63"/>
        <v>0</v>
      </c>
      <c r="X37" s="285">
        <f t="shared" si="64"/>
        <v>2999.9999999999995</v>
      </c>
      <c r="Y37" s="287"/>
      <c r="Z37" s="288">
        <f>+VLOOKUP($C37,'PROVISION VACANCES ET TICKETS'!$A:$Z,Z$5,0)</f>
        <v>0</v>
      </c>
      <c r="AA37" s="288">
        <f>+VLOOKUP($C37,'PROVISION VACANCES ET TICKETS'!$A:$Z,AA$5,0)</f>
        <v>0</v>
      </c>
      <c r="AB37" s="288">
        <f>+VLOOKUP($C37,'PROVISION VACANCES ET TICKETS'!$A:$Z,AB$5,0)</f>
        <v>0</v>
      </c>
      <c r="AC37" s="288">
        <f>+VLOOKUP($C37,'PROVISION VACANCES ET TICKETS'!$A:$Z,AC$5,0)</f>
        <v>0</v>
      </c>
      <c r="AD37" s="288">
        <f>+VLOOKUP($C37,'PROVISION VACANCES ET TICKETS'!$A:$Z,AD$5,0)</f>
        <v>0</v>
      </c>
      <c r="AE37" s="288">
        <f>+VLOOKUP($C37,'PROVISION VACANCES ET TICKETS'!$A:$Z,AE$5,0)</f>
        <v>0</v>
      </c>
      <c r="AF37" s="288">
        <f>+VLOOKUP($C37,'PROVISION VACANCES ET TICKETS'!$A:$Z,AF$5,0)</f>
        <v>0</v>
      </c>
      <c r="AG37" s="288">
        <f>+VLOOKUP($C37,'PROVISION VACANCES ET TICKETS'!$A:$Z,AG$5,0)</f>
        <v>0</v>
      </c>
      <c r="AH37" s="288">
        <f>+VLOOKUP($C37,'PROVISION VACANCES ET TICKETS'!$A:$Z,AH$5,0)</f>
        <v>0</v>
      </c>
      <c r="AI37" s="288">
        <f>+VLOOKUP($C37,'PROVISION VACANCES ET TICKETS'!$A:$Z,AI$5,0)</f>
        <v>0</v>
      </c>
      <c r="AJ37" s="288">
        <f>+VLOOKUP($C37,'PROVISION VACANCES ET TICKETS'!$A:$Z,AJ$5,0)</f>
        <v>0</v>
      </c>
      <c r="AK37" s="288">
        <f>+VLOOKUP($C37,'PROVISION VACANCES ET TICKETS'!$A:$Z,AK$5,0)</f>
        <v>0</v>
      </c>
      <c r="AL37" s="289">
        <f t="shared" si="65"/>
        <v>0</v>
      </c>
      <c r="AM37" s="287"/>
      <c r="AN37" s="285">
        <v>0</v>
      </c>
      <c r="AO37" s="238" t="e">
        <f t="shared" si="66"/>
        <v>#DIV/0!</v>
      </c>
      <c r="AP37" s="238" t="e">
        <f t="shared" si="66"/>
        <v>#DIV/0!</v>
      </c>
      <c r="AQ37" s="238" t="e">
        <f t="shared" si="66"/>
        <v>#DIV/0!</v>
      </c>
      <c r="AR37" s="238" t="e">
        <f t="shared" si="66"/>
        <v>#DIV/0!</v>
      </c>
      <c r="AS37" s="238" t="e">
        <f t="shared" si="66"/>
        <v>#DIV/0!</v>
      </c>
      <c r="AT37" s="238" t="e">
        <f t="shared" si="66"/>
        <v>#DIV/0!</v>
      </c>
      <c r="AU37" s="238" t="e">
        <f t="shared" si="66"/>
        <v>#DIV/0!</v>
      </c>
      <c r="AV37" s="238" t="e">
        <f t="shared" si="66"/>
        <v>#DIV/0!</v>
      </c>
      <c r="AW37" s="238" t="e">
        <f t="shared" si="66"/>
        <v>#DIV/0!</v>
      </c>
      <c r="AX37" s="238" t="e">
        <f t="shared" si="66"/>
        <v>#DIV/0!</v>
      </c>
      <c r="AY37" s="238" t="e">
        <f t="shared" si="66"/>
        <v>#DIV/0!</v>
      </c>
      <c r="AZ37" s="238" t="e">
        <f t="shared" si="66"/>
        <v>#DIV/0!</v>
      </c>
      <c r="BA37" s="289" t="e">
        <f t="shared" si="67"/>
        <v>#DIV/0!</v>
      </c>
      <c r="BB37" s="290" t="e">
        <f t="shared" si="68"/>
        <v>#DIV/0!</v>
      </c>
      <c r="BD37" s="296">
        <v>0</v>
      </c>
      <c r="BE37" s="297">
        <f t="shared" si="69"/>
        <v>0</v>
      </c>
      <c r="BF37" s="297">
        <f t="shared" si="69"/>
        <v>0</v>
      </c>
      <c r="BG37" s="297">
        <f t="shared" si="69"/>
        <v>0</v>
      </c>
      <c r="BH37" s="297">
        <f t="shared" si="69"/>
        <v>0</v>
      </c>
      <c r="BI37" s="297">
        <f t="shared" si="69"/>
        <v>0</v>
      </c>
      <c r="BJ37" s="297">
        <f t="shared" si="69"/>
        <v>0</v>
      </c>
      <c r="BK37" s="297">
        <f t="shared" si="69"/>
        <v>0</v>
      </c>
      <c r="BL37" s="297">
        <f t="shared" si="69"/>
        <v>0</v>
      </c>
      <c r="BM37" s="297">
        <f t="shared" si="69"/>
        <v>0</v>
      </c>
      <c r="BN37" s="297">
        <f t="shared" si="69"/>
        <v>0</v>
      </c>
      <c r="BO37" s="297">
        <f t="shared" si="69"/>
        <v>0</v>
      </c>
      <c r="BP37" s="297">
        <f t="shared" si="69"/>
        <v>0</v>
      </c>
      <c r="BQ37" s="319">
        <f t="shared" si="70"/>
        <v>0</v>
      </c>
      <c r="BR37" s="290">
        <f t="shared" si="11"/>
        <v>0</v>
      </c>
    </row>
    <row r="38" spans="1:70" ht="39" customHeight="1">
      <c r="A38" s="227">
        <v>19</v>
      </c>
      <c r="B38" s="228">
        <v>810</v>
      </c>
      <c r="C38" s="273" t="s">
        <v>212</v>
      </c>
      <c r="D38" s="274"/>
      <c r="E38" s="275"/>
      <c r="F38" s="275"/>
      <c r="G38" s="276">
        <v>44425</v>
      </c>
      <c r="H38" s="276">
        <f t="shared" si="57"/>
        <v>45292</v>
      </c>
      <c r="I38" s="279">
        <f t="shared" si="71"/>
        <v>3100</v>
      </c>
      <c r="J38" s="278">
        <v>1970</v>
      </c>
      <c r="K38" s="279">
        <f t="shared" si="58"/>
        <v>-1130</v>
      </c>
      <c r="L38" s="280"/>
      <c r="M38" s="280"/>
      <c r="N38" s="281"/>
      <c r="O38" s="273">
        <f>+IF(N38="",$O$6-H38-R38,N38-H38-R38)</f>
        <v>366</v>
      </c>
      <c r="P38" s="273">
        <f>+IF(L38="",0,$O$6-L38)</f>
        <v>0</v>
      </c>
      <c r="Q38" s="273">
        <f>+O38-P38</f>
        <v>366</v>
      </c>
      <c r="R38" s="282">
        <f>+IF(ISERROR(VLOOKUP($C38,[1]U!$A:$E,5,0)),0,(VLOOKUP($C38,[1]U!$A:$E,5,0)))</f>
        <v>0</v>
      </c>
      <c r="S38" s="285">
        <f t="shared" si="62"/>
        <v>3100</v>
      </c>
      <c r="T38" s="304"/>
      <c r="U38" s="295"/>
      <c r="V38" s="295"/>
      <c r="W38" s="285">
        <f t="shared" si="63"/>
        <v>0</v>
      </c>
      <c r="X38" s="285">
        <f t="shared" si="64"/>
        <v>3100</v>
      </c>
      <c r="Y38" s="287"/>
      <c r="Z38" s="288">
        <f>+VLOOKUP($C38,'PROVISION VACANCES ET TICKETS'!$A:$Z,Z$5,0)</f>
        <v>0</v>
      </c>
      <c r="AA38" s="288">
        <f>+VLOOKUP($C38,'PROVISION VACANCES ET TICKETS'!$A:$Z,AA$5,0)</f>
        <v>0</v>
      </c>
      <c r="AB38" s="288">
        <f>+VLOOKUP($C38,'PROVISION VACANCES ET TICKETS'!$A:$Z,AB$5,0)</f>
        <v>0</v>
      </c>
      <c r="AC38" s="288">
        <f>+VLOOKUP($C38,'PROVISION VACANCES ET TICKETS'!$A:$Z,AC$5,0)</f>
        <v>0</v>
      </c>
      <c r="AD38" s="288">
        <f>+VLOOKUP($C38,'PROVISION VACANCES ET TICKETS'!$A:$Z,AD$5,0)</f>
        <v>0</v>
      </c>
      <c r="AE38" s="288">
        <f>+VLOOKUP($C38,'PROVISION VACANCES ET TICKETS'!$A:$Z,AE$5,0)</f>
        <v>0</v>
      </c>
      <c r="AF38" s="288">
        <f>+VLOOKUP($C38,'PROVISION VACANCES ET TICKETS'!$A:$Z,AF$5,0)</f>
        <v>0</v>
      </c>
      <c r="AG38" s="288">
        <f>+VLOOKUP($C38,'PROVISION VACANCES ET TICKETS'!$A:$Z,AG$5,0)</f>
        <v>0</v>
      </c>
      <c r="AH38" s="288">
        <f>+VLOOKUP($C38,'PROVISION VACANCES ET TICKETS'!$A:$Z,AH$5,0)</f>
        <v>0</v>
      </c>
      <c r="AI38" s="288">
        <f>+VLOOKUP($C38,'PROVISION VACANCES ET TICKETS'!$A:$Z,AI$5,0)</f>
        <v>0</v>
      </c>
      <c r="AJ38" s="288">
        <f>+VLOOKUP($C38,'PROVISION VACANCES ET TICKETS'!$A:$Z,AJ$5,0)</f>
        <v>0</v>
      </c>
      <c r="AK38" s="288">
        <f>+VLOOKUP($C38,'PROVISION VACANCES ET TICKETS'!$A:$Z,AK$5,0)</f>
        <v>0</v>
      </c>
      <c r="AL38" s="289">
        <f>SUM(Z38:AK38)</f>
        <v>0</v>
      </c>
      <c r="AM38" s="287"/>
      <c r="AN38" s="285">
        <v>0</v>
      </c>
      <c r="AO38" s="238" t="e">
        <f t="shared" ref="AO38:AZ39" si="72">+$S38/$AL38*Z38</f>
        <v>#DIV/0!</v>
      </c>
      <c r="AP38" s="238" t="e">
        <f t="shared" si="72"/>
        <v>#DIV/0!</v>
      </c>
      <c r="AQ38" s="238" t="e">
        <f t="shared" si="72"/>
        <v>#DIV/0!</v>
      </c>
      <c r="AR38" s="238" t="e">
        <f t="shared" si="72"/>
        <v>#DIV/0!</v>
      </c>
      <c r="AS38" s="238" t="e">
        <f t="shared" si="72"/>
        <v>#DIV/0!</v>
      </c>
      <c r="AT38" s="238" t="e">
        <f t="shared" si="72"/>
        <v>#DIV/0!</v>
      </c>
      <c r="AU38" s="238" t="e">
        <f t="shared" si="72"/>
        <v>#DIV/0!</v>
      </c>
      <c r="AV38" s="238" t="e">
        <f t="shared" si="72"/>
        <v>#DIV/0!</v>
      </c>
      <c r="AW38" s="238" t="e">
        <f t="shared" si="72"/>
        <v>#DIV/0!</v>
      </c>
      <c r="AX38" s="238" t="e">
        <f t="shared" si="72"/>
        <v>#DIV/0!</v>
      </c>
      <c r="AY38" s="238" t="e">
        <f t="shared" si="72"/>
        <v>#DIV/0!</v>
      </c>
      <c r="AZ38" s="238" t="e">
        <f t="shared" si="72"/>
        <v>#DIV/0!</v>
      </c>
      <c r="BA38" s="289" t="e">
        <f>SUM(AO38:AZ38)</f>
        <v>#DIV/0!</v>
      </c>
      <c r="BB38" s="290" t="e">
        <f t="shared" si="68"/>
        <v>#DIV/0!</v>
      </c>
      <c r="BD38" s="296">
        <v>0</v>
      </c>
      <c r="BE38" s="297">
        <f t="shared" si="69"/>
        <v>0</v>
      </c>
      <c r="BF38" s="297">
        <f t="shared" si="69"/>
        <v>0</v>
      </c>
      <c r="BG38" s="297">
        <f t="shared" si="69"/>
        <v>0</v>
      </c>
      <c r="BH38" s="297">
        <f t="shared" si="69"/>
        <v>0</v>
      </c>
      <c r="BI38" s="297">
        <f t="shared" si="69"/>
        <v>0</v>
      </c>
      <c r="BJ38" s="297">
        <f t="shared" si="69"/>
        <v>0</v>
      </c>
      <c r="BK38" s="297">
        <f t="shared" si="69"/>
        <v>0</v>
      </c>
      <c r="BL38" s="297">
        <f t="shared" si="69"/>
        <v>0</v>
      </c>
      <c r="BM38" s="297">
        <f t="shared" si="69"/>
        <v>0</v>
      </c>
      <c r="BN38" s="297">
        <f t="shared" si="69"/>
        <v>0</v>
      </c>
      <c r="BO38" s="297">
        <f t="shared" si="69"/>
        <v>0</v>
      </c>
      <c r="BP38" s="297">
        <f t="shared" si="69"/>
        <v>0</v>
      </c>
      <c r="BQ38" s="319">
        <f t="shared" si="70"/>
        <v>0</v>
      </c>
      <c r="BR38" s="290">
        <f t="shared" si="11"/>
        <v>0</v>
      </c>
    </row>
    <row r="39" spans="1:70" ht="39" customHeight="1">
      <c r="A39" s="227">
        <v>20</v>
      </c>
      <c r="B39" s="320">
        <v>960</v>
      </c>
      <c r="C39" s="273" t="s">
        <v>213</v>
      </c>
      <c r="D39" s="274"/>
      <c r="E39" s="275"/>
      <c r="F39" s="275"/>
      <c r="G39" s="276">
        <v>45061</v>
      </c>
      <c r="H39" s="276">
        <f t="shared" si="57"/>
        <v>45292</v>
      </c>
      <c r="I39" s="279">
        <f t="shared" si="71"/>
        <v>3200</v>
      </c>
      <c r="J39" s="278">
        <v>2000</v>
      </c>
      <c r="K39" s="279">
        <f t="shared" si="58"/>
        <v>-1200</v>
      </c>
      <c r="L39" s="280"/>
      <c r="M39" s="280"/>
      <c r="N39" s="281"/>
      <c r="O39" s="273">
        <f>+IF(N39="",$O$6-H39-R39,N39-H39-R39)</f>
        <v>366</v>
      </c>
      <c r="P39" s="273">
        <f>+IF(L39="",0,$O$6-L39)</f>
        <v>0</v>
      </c>
      <c r="Q39" s="273">
        <f>+O39-P39</f>
        <v>366</v>
      </c>
      <c r="R39" s="303"/>
      <c r="S39" s="285">
        <f t="shared" si="62"/>
        <v>3200.0000000000005</v>
      </c>
      <c r="T39" s="304"/>
      <c r="U39" s="295"/>
      <c r="V39" s="295"/>
      <c r="W39" s="285">
        <f t="shared" si="63"/>
        <v>0</v>
      </c>
      <c r="X39" s="285">
        <f t="shared" si="64"/>
        <v>3200.0000000000005</v>
      </c>
      <c r="Y39" s="287"/>
      <c r="Z39" s="288">
        <f>+VLOOKUP($C39,'PROVISION VACANCES ET TICKETS'!$A:$Z,Z$5,0)</f>
        <v>0</v>
      </c>
      <c r="AA39" s="288">
        <f>+VLOOKUP($C39,'PROVISION VACANCES ET TICKETS'!$A:$Z,AA$5,0)</f>
        <v>0</v>
      </c>
      <c r="AB39" s="288">
        <f>+VLOOKUP($C39,'PROVISION VACANCES ET TICKETS'!$A:$Z,AB$5,0)</f>
        <v>0</v>
      </c>
      <c r="AC39" s="288">
        <f>+VLOOKUP($C39,'PROVISION VACANCES ET TICKETS'!$A:$Z,AC$5,0)</f>
        <v>0</v>
      </c>
      <c r="AD39" s="288">
        <f>+VLOOKUP($C39,'PROVISION VACANCES ET TICKETS'!$A:$Z,AD$5,0)</f>
        <v>0</v>
      </c>
      <c r="AE39" s="288">
        <f>+VLOOKUP($C39,'PROVISION VACANCES ET TICKETS'!$A:$Z,AE$5,0)</f>
        <v>0</v>
      </c>
      <c r="AF39" s="288">
        <f>+VLOOKUP($C39,'PROVISION VACANCES ET TICKETS'!$A:$Z,AF$5,0)</f>
        <v>0</v>
      </c>
      <c r="AG39" s="288">
        <f>+VLOOKUP($C39,'PROVISION VACANCES ET TICKETS'!$A:$Z,AG$5,0)</f>
        <v>0</v>
      </c>
      <c r="AH39" s="288">
        <f>+VLOOKUP($C39,'PROVISION VACANCES ET TICKETS'!$A:$Z,AH$5,0)</f>
        <v>0</v>
      </c>
      <c r="AI39" s="288">
        <f>+VLOOKUP($C39,'PROVISION VACANCES ET TICKETS'!$A:$Z,AI$5,0)</f>
        <v>0</v>
      </c>
      <c r="AJ39" s="288">
        <f>+VLOOKUP($C39,'PROVISION VACANCES ET TICKETS'!$A:$Z,AJ$5,0)</f>
        <v>0</v>
      </c>
      <c r="AK39" s="288">
        <f>+VLOOKUP($C39,'PROVISION VACANCES ET TICKETS'!$A:$Z,AK$5,0)</f>
        <v>0</v>
      </c>
      <c r="AL39" s="289">
        <f>SUM(Z39:AK39)</f>
        <v>0</v>
      </c>
      <c r="AM39" s="287"/>
      <c r="AN39" s="285">
        <v>1</v>
      </c>
      <c r="AO39" s="238" t="e">
        <f t="shared" si="72"/>
        <v>#DIV/0!</v>
      </c>
      <c r="AP39" s="238" t="e">
        <f t="shared" si="72"/>
        <v>#DIV/0!</v>
      </c>
      <c r="AQ39" s="238" t="e">
        <f t="shared" si="72"/>
        <v>#DIV/0!</v>
      </c>
      <c r="AR39" s="238" t="e">
        <f t="shared" si="72"/>
        <v>#DIV/0!</v>
      </c>
      <c r="AS39" s="238" t="e">
        <f t="shared" si="72"/>
        <v>#DIV/0!</v>
      </c>
      <c r="AT39" s="238" t="e">
        <f t="shared" si="72"/>
        <v>#DIV/0!</v>
      </c>
      <c r="AU39" s="238" t="e">
        <f t="shared" si="72"/>
        <v>#DIV/0!</v>
      </c>
      <c r="AV39" s="238" t="e">
        <f t="shared" si="72"/>
        <v>#DIV/0!</v>
      </c>
      <c r="AW39" s="238" t="e">
        <f t="shared" si="72"/>
        <v>#DIV/0!</v>
      </c>
      <c r="AX39" s="238" t="e">
        <f>+$S39/$AL39*AI39</f>
        <v>#DIV/0!</v>
      </c>
      <c r="AY39" s="238" t="e">
        <f t="shared" si="72"/>
        <v>#DIV/0!</v>
      </c>
      <c r="AZ39" s="238" t="e">
        <f t="shared" si="72"/>
        <v>#DIV/0!</v>
      </c>
      <c r="BA39" s="289" t="e">
        <f>SUM(AO39:AZ39)</f>
        <v>#DIV/0!</v>
      </c>
      <c r="BB39" s="290" t="e">
        <f t="shared" si="68"/>
        <v>#DIV/0!</v>
      </c>
      <c r="BD39" s="296">
        <v>0</v>
      </c>
      <c r="BE39" s="297">
        <f t="shared" si="69"/>
        <v>0</v>
      </c>
      <c r="BF39" s="297">
        <f t="shared" si="69"/>
        <v>0</v>
      </c>
      <c r="BG39" s="297">
        <f t="shared" si="69"/>
        <v>0</v>
      </c>
      <c r="BH39" s="297">
        <f t="shared" si="69"/>
        <v>0</v>
      </c>
      <c r="BI39" s="297">
        <f t="shared" si="69"/>
        <v>0</v>
      </c>
      <c r="BJ39" s="297">
        <f t="shared" si="69"/>
        <v>0</v>
      </c>
      <c r="BK39" s="297">
        <f t="shared" si="69"/>
        <v>0</v>
      </c>
      <c r="BL39" s="297">
        <f t="shared" si="69"/>
        <v>0</v>
      </c>
      <c r="BM39" s="297">
        <f t="shared" si="69"/>
        <v>0</v>
      </c>
      <c r="BN39" s="297">
        <f t="shared" si="69"/>
        <v>0</v>
      </c>
      <c r="BO39" s="297">
        <f t="shared" si="69"/>
        <v>0</v>
      </c>
      <c r="BP39" s="297">
        <f t="shared" si="69"/>
        <v>0</v>
      </c>
      <c r="BQ39" s="319">
        <f t="shared" si="70"/>
        <v>0</v>
      </c>
      <c r="BR39" s="290">
        <f t="shared" si="11"/>
        <v>0</v>
      </c>
    </row>
    <row r="40" spans="1:70" ht="36" customHeight="1">
      <c r="B40" s="305"/>
      <c r="C40" s="305"/>
      <c r="D40" s="305"/>
      <c r="E40" s="305"/>
      <c r="F40" s="305"/>
      <c r="G40" s="317"/>
      <c r="H40" s="317"/>
      <c r="I40" s="318">
        <f t="shared" ref="I40:J40" si="73">SUM(I34:I38)</f>
        <v>14500</v>
      </c>
      <c r="J40" s="318">
        <f t="shared" si="73"/>
        <v>14000</v>
      </c>
      <c r="K40" s="305"/>
      <c r="L40" s="317"/>
      <c r="M40" s="317"/>
      <c r="N40" s="317"/>
      <c r="O40" s="305"/>
      <c r="P40" s="305"/>
      <c r="Q40" s="305"/>
      <c r="R40" s="305"/>
      <c r="S40" s="318">
        <f>SUM(S34:S39)</f>
        <v>17700</v>
      </c>
      <c r="T40" s="305"/>
      <c r="U40" s="318">
        <f>SUM(U34:U38)</f>
        <v>7883.0769230769238</v>
      </c>
      <c r="V40" s="318"/>
      <c r="W40" s="318">
        <f t="shared" ref="W40:X40" si="74">SUM(W34:W38)</f>
        <v>7883.0769230769238</v>
      </c>
      <c r="X40" s="318">
        <f t="shared" si="74"/>
        <v>22383.076923076922</v>
      </c>
      <c r="Y40" s="287"/>
      <c r="Z40" s="311">
        <f t="shared" ref="Z40:AC40" si="75">SUM(Z34:Z38)</f>
        <v>7.5</v>
      </c>
      <c r="AA40" s="311">
        <f t="shared" si="75"/>
        <v>7.5</v>
      </c>
      <c r="AB40" s="311">
        <f t="shared" si="75"/>
        <v>7.5</v>
      </c>
      <c r="AC40" s="311">
        <f t="shared" si="75"/>
        <v>7.5</v>
      </c>
      <c r="AD40" s="311">
        <f>SUM(AD34:AD38)</f>
        <v>7.5</v>
      </c>
      <c r="AE40" s="311">
        <f t="shared" ref="AE40:AL40" si="76">SUM(AE34:AE38)</f>
        <v>7.5</v>
      </c>
      <c r="AF40" s="311">
        <f t="shared" si="76"/>
        <v>7.5</v>
      </c>
      <c r="AG40" s="311">
        <f t="shared" si="76"/>
        <v>7.5</v>
      </c>
      <c r="AH40" s="311">
        <f t="shared" si="76"/>
        <v>7.5</v>
      </c>
      <c r="AI40" s="311">
        <f t="shared" si="76"/>
        <v>7.5</v>
      </c>
      <c r="AJ40" s="311">
        <f t="shared" si="76"/>
        <v>7.5</v>
      </c>
      <c r="AK40" s="311">
        <f t="shared" si="76"/>
        <v>7.5</v>
      </c>
      <c r="AL40" s="311">
        <f t="shared" si="76"/>
        <v>90</v>
      </c>
      <c r="AM40" s="287"/>
      <c r="AN40" s="318">
        <f t="shared" ref="AN40:BA40" si="77">SUM(AN34:AN38)</f>
        <v>0</v>
      </c>
      <c r="AO40" s="318" t="e">
        <f>SUM(AO34:AO39)</f>
        <v>#DIV/0!</v>
      </c>
      <c r="AP40" s="318" t="e">
        <f t="shared" ref="AP40:AZ40" si="78">SUM(AP34:AP39)</f>
        <v>#DIV/0!</v>
      </c>
      <c r="AQ40" s="318" t="e">
        <f t="shared" si="78"/>
        <v>#DIV/0!</v>
      </c>
      <c r="AR40" s="318" t="e">
        <f t="shared" si="78"/>
        <v>#DIV/0!</v>
      </c>
      <c r="AS40" s="318" t="e">
        <f t="shared" si="78"/>
        <v>#DIV/0!</v>
      </c>
      <c r="AT40" s="318" t="e">
        <f t="shared" si="78"/>
        <v>#DIV/0!</v>
      </c>
      <c r="AU40" s="318" t="e">
        <f t="shared" si="78"/>
        <v>#DIV/0!</v>
      </c>
      <c r="AV40" s="318" t="e">
        <f t="shared" si="78"/>
        <v>#DIV/0!</v>
      </c>
      <c r="AW40" s="318" t="e">
        <f t="shared" si="78"/>
        <v>#DIV/0!</v>
      </c>
      <c r="AX40" s="318" t="e">
        <f t="shared" si="78"/>
        <v>#DIV/0!</v>
      </c>
      <c r="AY40" s="318" t="e">
        <f t="shared" si="78"/>
        <v>#DIV/0!</v>
      </c>
      <c r="AZ40" s="318" t="e">
        <f t="shared" si="78"/>
        <v>#DIV/0!</v>
      </c>
      <c r="BA40" s="318" t="e">
        <f t="shared" si="77"/>
        <v>#DIV/0!</v>
      </c>
      <c r="BB40" s="290" t="e">
        <f t="shared" si="68"/>
        <v>#DIV/0!</v>
      </c>
      <c r="BD40" s="318">
        <f t="shared" ref="BD40:BQ40" si="79">SUM(BD34:BD38)</f>
        <v>0</v>
      </c>
      <c r="BE40" s="318">
        <f t="shared" si="79"/>
        <v>667.69230769230774</v>
      </c>
      <c r="BF40" s="318">
        <f t="shared" si="79"/>
        <v>603.07692307692309</v>
      </c>
      <c r="BG40" s="318">
        <f t="shared" si="79"/>
        <v>667.69230769230774</v>
      </c>
      <c r="BH40" s="318">
        <f t="shared" si="79"/>
        <v>646.15384615384619</v>
      </c>
      <c r="BI40" s="318">
        <f t="shared" si="79"/>
        <v>667.69230769230774</v>
      </c>
      <c r="BJ40" s="318">
        <f t="shared" si="79"/>
        <v>646.15384615384619</v>
      </c>
      <c r="BK40" s="318">
        <f t="shared" si="79"/>
        <v>667.69230769230774</v>
      </c>
      <c r="BL40" s="318">
        <f t="shared" si="79"/>
        <v>667.69230769230774</v>
      </c>
      <c r="BM40" s="318">
        <f t="shared" si="79"/>
        <v>646.15384615384619</v>
      </c>
      <c r="BN40" s="318">
        <f t="shared" si="79"/>
        <v>667.69230769230774</v>
      </c>
      <c r="BO40" s="318">
        <f t="shared" si="79"/>
        <v>646.15384615384619</v>
      </c>
      <c r="BP40" s="318">
        <f t="shared" si="79"/>
        <v>667.69230769230774</v>
      </c>
      <c r="BQ40" s="318">
        <f t="shared" si="79"/>
        <v>7861.5384615384619</v>
      </c>
    </row>
    <row r="41" spans="1:70" s="305" customFormat="1" ht="31.5" customHeight="1" thickBot="1">
      <c r="B41" s="228"/>
      <c r="C41" s="227"/>
      <c r="D41" s="227"/>
      <c r="E41" s="227"/>
      <c r="F41" s="227"/>
      <c r="G41" s="229"/>
      <c r="H41" s="229"/>
      <c r="I41" s="227"/>
      <c r="J41" s="227"/>
      <c r="K41" s="227"/>
      <c r="L41" s="229"/>
      <c r="M41" s="229"/>
      <c r="N41" s="229"/>
      <c r="O41" s="227"/>
      <c r="P41" s="227"/>
      <c r="Q41" s="321"/>
      <c r="R41" s="321"/>
      <c r="S41" s="322"/>
      <c r="T41" s="230"/>
      <c r="U41" s="322"/>
      <c r="V41" s="322"/>
      <c r="W41" s="322"/>
      <c r="X41" s="323"/>
      <c r="Y41" s="287"/>
      <c r="Z41" s="324"/>
      <c r="AA41" s="324"/>
      <c r="AB41" s="324"/>
      <c r="AC41" s="324"/>
      <c r="AD41" s="324"/>
      <c r="AE41" s="324"/>
      <c r="AF41" s="324"/>
      <c r="AG41" s="324"/>
      <c r="AH41" s="324"/>
      <c r="AI41" s="324"/>
      <c r="AJ41" s="324"/>
      <c r="AK41" s="324"/>
      <c r="AL41" s="324"/>
      <c r="AM41" s="287"/>
      <c r="AN41" s="322"/>
      <c r="AO41" s="324"/>
      <c r="AP41" s="324"/>
      <c r="AQ41" s="324"/>
      <c r="AR41" s="324"/>
      <c r="AS41" s="324"/>
      <c r="AT41" s="324"/>
      <c r="AU41" s="324"/>
      <c r="AV41" s="324"/>
      <c r="AW41" s="324"/>
      <c r="AX41" s="324"/>
      <c r="AY41" s="324"/>
      <c r="AZ41" s="324"/>
      <c r="BA41" s="324"/>
      <c r="BB41" s="325"/>
      <c r="BD41" s="322"/>
      <c r="BE41" s="324"/>
      <c r="BF41" s="324"/>
      <c r="BG41" s="324"/>
      <c r="BH41" s="324"/>
      <c r="BI41" s="324"/>
      <c r="BJ41" s="324"/>
      <c r="BK41" s="324"/>
      <c r="BL41" s="324"/>
      <c r="BM41" s="324"/>
      <c r="BN41" s="324"/>
      <c r="BO41" s="324"/>
      <c r="BP41" s="324"/>
      <c r="BQ41" s="324"/>
      <c r="BR41" s="325"/>
    </row>
    <row r="42" spans="1:70" s="230" customFormat="1" ht="31.5" customHeight="1" thickBot="1">
      <c r="B42" s="326"/>
      <c r="C42" s="327"/>
      <c r="D42" s="327"/>
      <c r="E42" s="327"/>
      <c r="F42" s="327"/>
      <c r="G42" s="328"/>
      <c r="H42" s="329" t="s">
        <v>127</v>
      </c>
      <c r="I42" s="330">
        <f>+I23+I31+I40</f>
        <v>45100</v>
      </c>
      <c r="J42" s="330">
        <f>+J23+J31+J40</f>
        <v>77665</v>
      </c>
      <c r="K42" s="327"/>
      <c r="L42" s="328"/>
      <c r="M42" s="328"/>
      <c r="N42" s="328"/>
      <c r="O42" s="327"/>
      <c r="P42" s="327"/>
      <c r="Q42" s="327"/>
      <c r="R42" s="235"/>
      <c r="S42" s="331">
        <f>+S23+S31+S40</f>
        <v>48300</v>
      </c>
      <c r="T42" s="327"/>
      <c r="U42" s="331">
        <f>+U23+U31+U40</f>
        <v>50747.307692307695</v>
      </c>
      <c r="V42" s="331"/>
      <c r="W42" s="331">
        <f t="shared" ref="W42:BA42" si="80">+W23+W31+W40</f>
        <v>50747.307692307695</v>
      </c>
      <c r="X42" s="331">
        <f t="shared" si="80"/>
        <v>95847.307692307702</v>
      </c>
      <c r="Y42" s="332"/>
      <c r="Z42" s="333">
        <f t="shared" si="80"/>
        <v>47</v>
      </c>
      <c r="AA42" s="333">
        <f t="shared" si="80"/>
        <v>47</v>
      </c>
      <c r="AB42" s="333">
        <f t="shared" si="80"/>
        <v>47</v>
      </c>
      <c r="AC42" s="333">
        <f t="shared" si="80"/>
        <v>49</v>
      </c>
      <c r="AD42" s="333">
        <f t="shared" si="80"/>
        <v>47</v>
      </c>
      <c r="AE42" s="333">
        <f t="shared" si="80"/>
        <v>51</v>
      </c>
      <c r="AF42" s="333">
        <f t="shared" si="80"/>
        <v>48</v>
      </c>
      <c r="AG42" s="333">
        <f t="shared" si="80"/>
        <v>48</v>
      </c>
      <c r="AH42" s="333">
        <f t="shared" si="80"/>
        <v>48</v>
      </c>
      <c r="AI42" s="333">
        <f t="shared" si="80"/>
        <v>57</v>
      </c>
      <c r="AJ42" s="333">
        <f t="shared" si="80"/>
        <v>48</v>
      </c>
      <c r="AK42" s="333">
        <f t="shared" si="80"/>
        <v>48</v>
      </c>
      <c r="AL42" s="333">
        <f t="shared" si="80"/>
        <v>585</v>
      </c>
      <c r="AM42" s="332"/>
      <c r="AN42" s="334">
        <f t="shared" si="80"/>
        <v>3</v>
      </c>
      <c r="AO42" s="334" t="e">
        <f t="shared" si="80"/>
        <v>#DIV/0!</v>
      </c>
      <c r="AP42" s="334" t="e">
        <f t="shared" si="80"/>
        <v>#DIV/0!</v>
      </c>
      <c r="AQ42" s="334" t="e">
        <f t="shared" si="80"/>
        <v>#DIV/0!</v>
      </c>
      <c r="AR42" s="334" t="e">
        <f t="shared" si="80"/>
        <v>#DIV/0!</v>
      </c>
      <c r="AS42" s="334" t="e">
        <f t="shared" si="80"/>
        <v>#DIV/0!</v>
      </c>
      <c r="AT42" s="334" t="e">
        <f t="shared" si="80"/>
        <v>#DIV/0!</v>
      </c>
      <c r="AU42" s="334" t="e">
        <f t="shared" si="80"/>
        <v>#DIV/0!</v>
      </c>
      <c r="AV42" s="334" t="e">
        <f t="shared" si="80"/>
        <v>#DIV/0!</v>
      </c>
      <c r="AW42" s="334" t="e">
        <f t="shared" si="80"/>
        <v>#DIV/0!</v>
      </c>
      <c r="AX42" s="334" t="e">
        <f t="shared" si="80"/>
        <v>#DIV/0!</v>
      </c>
      <c r="AY42" s="334" t="e">
        <f t="shared" si="80"/>
        <v>#DIV/0!</v>
      </c>
      <c r="AZ42" s="334" t="e">
        <f t="shared" si="80"/>
        <v>#DIV/0!</v>
      </c>
      <c r="BA42" s="334" t="e">
        <f t="shared" si="80"/>
        <v>#DIV/0!</v>
      </c>
      <c r="BB42" s="335" t="e">
        <f>+BA42-S42</f>
        <v>#DIV/0!</v>
      </c>
      <c r="BD42" s="336">
        <f t="shared" ref="BD42:BQ42" si="81">+BD23+BD31+BD40</f>
        <v>0</v>
      </c>
      <c r="BE42" s="336">
        <f t="shared" si="81"/>
        <v>4106.0625</v>
      </c>
      <c r="BF42" s="336">
        <f t="shared" si="81"/>
        <v>3965.2932692307695</v>
      </c>
      <c r="BG42" s="336">
        <f t="shared" si="81"/>
        <v>4106.0625</v>
      </c>
      <c r="BH42" s="336">
        <f t="shared" si="81"/>
        <v>4059.1394230769233</v>
      </c>
      <c r="BI42" s="336">
        <f t="shared" si="81"/>
        <v>4106.0625</v>
      </c>
      <c r="BJ42" s="336">
        <f t="shared" si="81"/>
        <v>4059.1394230769233</v>
      </c>
      <c r="BK42" s="336">
        <f t="shared" si="81"/>
        <v>4106.0625</v>
      </c>
      <c r="BL42" s="336">
        <f t="shared" si="81"/>
        <v>4290.8221153846162</v>
      </c>
      <c r="BM42" s="336">
        <f t="shared" si="81"/>
        <v>4243.899038461539</v>
      </c>
      <c r="BN42" s="336">
        <f t="shared" si="81"/>
        <v>5492.6394230769229</v>
      </c>
      <c r="BO42" s="336">
        <f t="shared" si="81"/>
        <v>4059.1394230769233</v>
      </c>
      <c r="BP42" s="336">
        <f t="shared" si="81"/>
        <v>4106.0625</v>
      </c>
      <c r="BQ42" s="336">
        <f t="shared" si="81"/>
        <v>50700.384615384617</v>
      </c>
    </row>
    <row r="43" spans="1:70" s="337" customFormat="1" ht="26.25" customHeight="1">
      <c r="B43" s="228"/>
      <c r="C43" s="227"/>
      <c r="D43" s="227"/>
      <c r="E43" s="227"/>
      <c r="F43" s="227"/>
      <c r="G43" s="229"/>
      <c r="H43" s="229"/>
      <c r="I43" s="227"/>
      <c r="J43" s="227"/>
      <c r="K43" s="227"/>
      <c r="L43" s="229"/>
      <c r="M43" s="229"/>
      <c r="N43" s="229"/>
      <c r="O43" s="227"/>
      <c r="P43" s="227"/>
      <c r="Q43" s="227"/>
      <c r="R43" s="227"/>
      <c r="S43" s="228"/>
      <c r="T43" s="230"/>
      <c r="U43" s="228"/>
      <c r="V43" s="228"/>
      <c r="W43" s="228"/>
      <c r="X43" s="338"/>
      <c r="Y43" s="287"/>
      <c r="Z43" s="339"/>
      <c r="AA43" s="339"/>
      <c r="AB43" s="339"/>
      <c r="AC43" s="339"/>
      <c r="AD43" s="339"/>
      <c r="AE43" s="339"/>
      <c r="AF43" s="339"/>
      <c r="AG43" s="339"/>
      <c r="AH43" s="339"/>
      <c r="AI43" s="339"/>
      <c r="AJ43" s="339"/>
      <c r="AK43" s="339"/>
      <c r="AL43" s="339"/>
      <c r="AM43" s="287"/>
      <c r="AN43" s="338"/>
      <c r="AO43" s="339"/>
      <c r="AP43" s="339"/>
      <c r="AQ43" s="339"/>
      <c r="AR43" s="339"/>
      <c r="AS43" s="339"/>
      <c r="AT43" s="339"/>
      <c r="AU43" s="339"/>
      <c r="AV43" s="339"/>
      <c r="AW43" s="339"/>
      <c r="AX43" s="339"/>
      <c r="AY43" s="339"/>
      <c r="AZ43" s="339"/>
      <c r="BA43" s="339"/>
      <c r="BB43" s="340"/>
      <c r="BD43" s="338"/>
      <c r="BE43" s="339"/>
      <c r="BF43" s="339"/>
      <c r="BG43" s="339"/>
      <c r="BH43" s="339"/>
      <c r="BI43" s="339"/>
      <c r="BJ43" s="339"/>
      <c r="BK43" s="339"/>
      <c r="BL43" s="339"/>
      <c r="BM43" s="339"/>
      <c r="BN43" s="339"/>
      <c r="BO43" s="339"/>
      <c r="BP43" s="339"/>
      <c r="BQ43" s="339"/>
      <c r="BR43" s="340"/>
    </row>
    <row r="44" spans="1:70" ht="26.25" customHeight="1">
      <c r="X44" s="338"/>
      <c r="Y44" s="287"/>
      <c r="Z44" s="312"/>
      <c r="AA44" s="312"/>
      <c r="AB44" s="312"/>
      <c r="AC44" s="312"/>
      <c r="AD44" s="312"/>
      <c r="AE44" s="312"/>
      <c r="AF44" s="312"/>
      <c r="AG44" s="312"/>
      <c r="AH44" s="312"/>
      <c r="AI44" s="312"/>
      <c r="AJ44" s="312"/>
      <c r="AK44" s="312"/>
      <c r="AL44" s="312"/>
      <c r="AM44" s="287"/>
      <c r="AN44" s="338"/>
      <c r="AO44" s="312"/>
      <c r="AP44" s="312"/>
      <c r="AQ44" s="312"/>
      <c r="AR44" s="312"/>
      <c r="AS44" s="312"/>
      <c r="AT44" s="312"/>
      <c r="AU44" s="312"/>
      <c r="AV44" s="312"/>
      <c r="AW44" s="312"/>
      <c r="AX44" s="312"/>
      <c r="AY44" s="312"/>
      <c r="AZ44" s="312"/>
      <c r="BA44" s="312"/>
      <c r="BD44" s="338"/>
      <c r="BE44" s="312"/>
      <c r="BF44" s="312"/>
      <c r="BG44" s="312"/>
      <c r="BH44" s="312"/>
      <c r="BI44" s="312"/>
      <c r="BJ44" s="312"/>
      <c r="BK44" s="312"/>
      <c r="BL44" s="312"/>
      <c r="BM44" s="312"/>
      <c r="BN44" s="312"/>
      <c r="BO44" s="312"/>
      <c r="BP44" s="312"/>
      <c r="BQ44" s="312"/>
    </row>
    <row r="45" spans="1:70" ht="26.25" customHeight="1" thickBot="1">
      <c r="A45" s="341"/>
      <c r="B45" s="342"/>
      <c r="C45" s="341"/>
      <c r="D45" s="341"/>
      <c r="E45" s="341"/>
      <c r="F45" s="341"/>
      <c r="G45" s="343"/>
      <c r="H45" s="343"/>
      <c r="I45" s="341"/>
      <c r="J45" s="341"/>
      <c r="K45" s="341"/>
      <c r="L45" s="343"/>
      <c r="M45" s="343"/>
      <c r="N45" s="343"/>
      <c r="O45" s="341"/>
      <c r="P45" s="344"/>
      <c r="Q45" s="344"/>
      <c r="R45" s="341"/>
      <c r="S45" s="342"/>
      <c r="T45" s="345"/>
      <c r="U45" s="342"/>
      <c r="V45" s="342"/>
      <c r="W45" s="342"/>
      <c r="X45" s="341"/>
      <c r="Y45" s="341"/>
      <c r="Z45" s="341"/>
      <c r="AA45" s="341"/>
      <c r="AB45" s="341"/>
      <c r="AC45" s="341"/>
      <c r="AD45" s="341"/>
      <c r="AE45" s="341"/>
      <c r="AF45" s="341"/>
      <c r="AG45" s="341"/>
      <c r="AH45" s="341"/>
      <c r="AI45" s="341"/>
      <c r="AJ45" s="341"/>
      <c r="AK45" s="341"/>
      <c r="AL45" s="341"/>
      <c r="AM45" s="341"/>
      <c r="AN45" s="341"/>
      <c r="AO45" s="341"/>
      <c r="AP45" s="341"/>
      <c r="AQ45" s="341"/>
      <c r="AR45" s="341"/>
      <c r="AS45" s="341"/>
      <c r="AT45" s="341"/>
      <c r="AU45" s="341"/>
      <c r="AV45" s="341"/>
      <c r="AW45" s="341"/>
      <c r="AX45" s="341"/>
      <c r="AY45" s="341"/>
      <c r="AZ45" s="341"/>
      <c r="BA45" s="341"/>
      <c r="BB45" s="341"/>
      <c r="BC45" s="341"/>
      <c r="BD45" s="341"/>
      <c r="BE45" s="341"/>
      <c r="BF45" s="341"/>
      <c r="BG45" s="341"/>
      <c r="BH45" s="341"/>
      <c r="BI45" s="341"/>
      <c r="BJ45" s="341"/>
      <c r="BK45" s="341"/>
      <c r="BL45" s="341"/>
      <c r="BM45" s="341"/>
      <c r="BN45" s="341"/>
      <c r="BO45" s="341"/>
      <c r="BP45" s="341"/>
      <c r="BQ45" s="341"/>
    </row>
    <row r="46" spans="1:70" ht="26.25" customHeight="1">
      <c r="C46" s="346" t="s">
        <v>83</v>
      </c>
      <c r="Z46" s="312"/>
      <c r="AA46" s="312"/>
      <c r="AB46" s="312"/>
      <c r="AC46" s="312"/>
      <c r="AD46" s="312"/>
      <c r="AE46" s="312"/>
      <c r="AF46" s="312"/>
      <c r="AG46" s="312"/>
      <c r="AH46" s="312"/>
      <c r="AI46" s="312"/>
      <c r="AJ46" s="312"/>
      <c r="AK46" s="312"/>
      <c r="AL46" s="312"/>
      <c r="AO46" s="312"/>
      <c r="AP46" s="312"/>
      <c r="AQ46" s="312"/>
      <c r="AR46" s="312"/>
      <c r="AS46" s="312"/>
      <c r="AT46" s="312"/>
      <c r="AU46" s="312"/>
      <c r="AV46" s="312"/>
      <c r="AW46" s="312"/>
      <c r="AX46" s="312"/>
      <c r="AY46" s="312"/>
      <c r="AZ46" s="312"/>
      <c r="BA46" s="312"/>
      <c r="BE46" s="312"/>
      <c r="BF46" s="312"/>
      <c r="BG46" s="312"/>
      <c r="BH46" s="312"/>
      <c r="BI46" s="312"/>
      <c r="BJ46" s="312"/>
      <c r="BK46" s="312"/>
      <c r="BL46" s="312"/>
      <c r="BM46" s="312"/>
      <c r="BN46" s="312"/>
      <c r="BO46" s="312"/>
      <c r="BP46" s="312"/>
      <c r="BQ46" s="312"/>
    </row>
    <row r="47" spans="1:70" ht="36" customHeight="1">
      <c r="A47" s="227">
        <f>+IF(B47="",A12,A12+1)</f>
        <v>5</v>
      </c>
      <c r="B47" s="228">
        <v>120</v>
      </c>
      <c r="C47" s="273" t="s">
        <v>214</v>
      </c>
      <c r="D47" s="292"/>
      <c r="E47" s="273"/>
      <c r="F47" s="273"/>
      <c r="G47" s="276">
        <v>44075</v>
      </c>
      <c r="H47" s="276">
        <f>+IF(G47&lt;$G$7,$G$7,G47)</f>
        <v>45292</v>
      </c>
      <c r="I47" s="279">
        <f>+I39+100</f>
        <v>3300</v>
      </c>
      <c r="J47" s="278">
        <v>3000</v>
      </c>
      <c r="K47" s="279">
        <f>+J47-I47</f>
        <v>-300</v>
      </c>
      <c r="L47" s="300"/>
      <c r="M47" s="280"/>
      <c r="N47" s="281">
        <v>44986</v>
      </c>
      <c r="O47" s="273">
        <f>+IF(N47="",$O$6-H47-R47,N47-H47-R47)</f>
        <v>-306</v>
      </c>
      <c r="P47" s="273">
        <f>+IF(L47="",0,$O$6-L47)</f>
        <v>0</v>
      </c>
      <c r="Q47" s="273">
        <f>+O47-P47</f>
        <v>-306</v>
      </c>
      <c r="R47" s="282">
        <f>+IF(ISERROR(VLOOKUP($C47,[1]U!$A:$E,5,0)),0,(VLOOKUP($C47,[1]U!$A:$E,5,0)))</f>
        <v>0</v>
      </c>
      <c r="S47" s="283">
        <f>+(I47/$N$6*Q47)+(J47/$N$6*P47)</f>
        <v>-2759.0163934426228</v>
      </c>
      <c r="T47" s="299">
        <v>0.2</v>
      </c>
      <c r="U47" s="285">
        <f>(I47/26*Q47)*T47+(J47/26*P47)*T47</f>
        <v>-7767.6923076923085</v>
      </c>
      <c r="V47" s="286">
        <v>1</v>
      </c>
      <c r="W47" s="285">
        <f>+U47*$V47</f>
        <v>-7767.6923076923085</v>
      </c>
      <c r="X47" s="285">
        <f>+S47+U47</f>
        <v>-10526.708701134932</v>
      </c>
      <c r="Y47" s="287"/>
      <c r="Z47" s="288">
        <f>+VLOOKUP($C47,'PROVISION VACANCES ET TICKETS'!$A:$Z,Z$5,0)</f>
        <v>0</v>
      </c>
      <c r="AA47" s="288">
        <f>+VLOOKUP($C47,'PROVISION VACANCES ET TICKETS'!$A:$Z,AA$5,0)</f>
        <v>0</v>
      </c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9">
        <f>SUM(Z47:AK47)</f>
        <v>0</v>
      </c>
      <c r="AM47" s="287"/>
      <c r="AN47" s="285">
        <v>0</v>
      </c>
      <c r="AO47" s="238">
        <v>0</v>
      </c>
      <c r="AP47" s="238">
        <v>0</v>
      </c>
      <c r="AQ47" s="238">
        <v>0</v>
      </c>
      <c r="AR47" s="238">
        <v>0</v>
      </c>
      <c r="AS47" s="238">
        <v>0</v>
      </c>
      <c r="AT47" s="238">
        <v>0</v>
      </c>
      <c r="AU47" s="238">
        <v>0</v>
      </c>
      <c r="AV47" s="238">
        <v>0</v>
      </c>
      <c r="AW47" s="238">
        <v>0</v>
      </c>
      <c r="AX47" s="238">
        <v>0</v>
      </c>
      <c r="AY47" s="238">
        <v>0</v>
      </c>
      <c r="AZ47" s="238">
        <v>0</v>
      </c>
      <c r="BA47" s="289">
        <f>SUM(AO47:AZ47)</f>
        <v>0</v>
      </c>
      <c r="BB47" s="290">
        <f>+BA47-S47</f>
        <v>2759.0163934426228</v>
      </c>
      <c r="BD47" s="285">
        <v>0</v>
      </c>
      <c r="BE47" s="238">
        <f t="shared" ref="BE47:BF47" si="82">+IF($L47="",$I47/26*BE$5*$T47,IF(MONTH($L47)=MONTH(AO$7),$J47/26*BE$5*$T47,IF(AND($L47&lt;AO$7,(MONTH($L47)&lt;&gt;MONTH(AO$7))),$J47/26*BE$5*$T47,$I47/26*BE$5*$T47)))</f>
        <v>786.92307692307691</v>
      </c>
      <c r="BF47" s="238">
        <f t="shared" si="82"/>
        <v>710.76923076923083</v>
      </c>
      <c r="BG47" s="238">
        <v>-1361.54</v>
      </c>
      <c r="BH47" s="238"/>
      <c r="BI47" s="238"/>
      <c r="BJ47" s="238"/>
      <c r="BK47" s="238"/>
      <c r="BL47" s="238"/>
      <c r="BM47" s="238"/>
      <c r="BN47" s="238"/>
      <c r="BO47" s="238"/>
      <c r="BP47" s="238"/>
      <c r="BQ47" s="291">
        <f>SUM(BE47:BP47)</f>
        <v>136.15230769230766</v>
      </c>
      <c r="BR47" s="290">
        <f>+BQ47-U47</f>
        <v>7903.8446153846162</v>
      </c>
    </row>
    <row r="48" spans="1:70" ht="36" customHeight="1" thickBot="1">
      <c r="A48" s="227">
        <f>+IF(B48="",A19,A19+1)</f>
        <v>9</v>
      </c>
      <c r="B48" s="228">
        <v>810</v>
      </c>
      <c r="C48" s="273" t="s">
        <v>215</v>
      </c>
      <c r="D48" s="274"/>
      <c r="E48" s="275"/>
      <c r="F48" s="275"/>
      <c r="G48" s="302">
        <v>44657</v>
      </c>
      <c r="H48" s="276">
        <f>+IF(G48&lt;$G$7,$G$7,G48)</f>
        <v>45292</v>
      </c>
      <c r="I48" s="279">
        <f>+I40+100</f>
        <v>14600</v>
      </c>
      <c r="J48" s="278">
        <f>+I48</f>
        <v>14600</v>
      </c>
      <c r="K48" s="279">
        <f>+J48-I48</f>
        <v>0</v>
      </c>
      <c r="L48" s="280"/>
      <c r="M48" s="280"/>
      <c r="N48" s="281">
        <v>44986</v>
      </c>
      <c r="O48" s="273">
        <f>+IF(N48="",$O$6-H48-R48,N48-H48-R48)</f>
        <v>-306</v>
      </c>
      <c r="P48" s="273">
        <f t="shared" ref="P48" si="83">+IF(L48="",0,$O$6-L48)</f>
        <v>0</v>
      </c>
      <c r="Q48" s="273">
        <f t="shared" ref="Q48" si="84">+O48-P48</f>
        <v>-306</v>
      </c>
      <c r="R48" s="282">
        <f>+IF(ISERROR(VLOOKUP($C48,[1]U!$A:$E,5,0)),0,(VLOOKUP($C48,[1]U!$A:$E,5,0)))</f>
        <v>0</v>
      </c>
      <c r="S48" s="283">
        <f t="shared" ref="S48" si="85">+(I48/$N$6*Q48)+(J48/$N$6*P48)</f>
        <v>-12206.557377049179</v>
      </c>
      <c r="T48" s="294"/>
      <c r="U48" s="295"/>
      <c r="V48" s="295"/>
      <c r="W48" s="295">
        <f>+U48*$V48</f>
        <v>0</v>
      </c>
      <c r="X48" s="285">
        <f t="shared" ref="X48" si="86">+S48+U48</f>
        <v>-12206.557377049179</v>
      </c>
      <c r="Y48" s="287"/>
      <c r="Z48" s="288">
        <f>+VLOOKUP($C48,'PROVISION VACANCES ET TICKETS'!$A:$Z,Z$5,0)</f>
        <v>0</v>
      </c>
      <c r="AA48" s="288">
        <f>+VLOOKUP($C48,'PROVISION VACANCES ET TICKETS'!$A:$Z,AA$5,0)</f>
        <v>0</v>
      </c>
      <c r="AB48" s="288"/>
      <c r="AC48" s="288"/>
      <c r="AD48" s="288"/>
      <c r="AE48" s="347"/>
      <c r="AF48" s="288"/>
      <c r="AG48" s="288"/>
      <c r="AH48" s="288"/>
      <c r="AI48" s="288"/>
      <c r="AJ48" s="288"/>
      <c r="AK48" s="288"/>
      <c r="AL48" s="289">
        <f t="shared" ref="AL48" si="87">SUM(Z48:AK48)</f>
        <v>0</v>
      </c>
      <c r="AM48" s="287"/>
      <c r="AN48" s="285">
        <v>0</v>
      </c>
      <c r="AO48" s="238">
        <v>0</v>
      </c>
      <c r="AP48" s="238">
        <v>0</v>
      </c>
      <c r="AQ48" s="238">
        <v>0</v>
      </c>
      <c r="AR48" s="238">
        <v>0</v>
      </c>
      <c r="AS48" s="238">
        <v>0</v>
      </c>
      <c r="AT48" s="238">
        <v>0</v>
      </c>
      <c r="AU48" s="238">
        <v>0</v>
      </c>
      <c r="AV48" s="238">
        <v>0</v>
      </c>
      <c r="AW48" s="238">
        <v>0</v>
      </c>
      <c r="AX48" s="238">
        <v>0</v>
      </c>
      <c r="AY48" s="238">
        <v>0</v>
      </c>
      <c r="AZ48" s="238">
        <v>0</v>
      </c>
      <c r="BA48" s="289">
        <f t="shared" ref="BA48" si="88">SUM(AO48:AZ48)</f>
        <v>0</v>
      </c>
      <c r="BB48" s="290"/>
      <c r="BD48" s="296"/>
      <c r="BE48" s="297"/>
      <c r="BF48" s="297"/>
      <c r="BG48" s="297"/>
      <c r="BH48" s="297"/>
      <c r="BI48" s="297"/>
      <c r="BJ48" s="297"/>
      <c r="BK48" s="297"/>
      <c r="BL48" s="297"/>
      <c r="BM48" s="297"/>
      <c r="BN48" s="297"/>
      <c r="BO48" s="297"/>
      <c r="BP48" s="297"/>
      <c r="BQ48" s="298"/>
      <c r="BR48" s="290"/>
    </row>
    <row r="49" spans="2:71" s="230" customFormat="1" ht="31.5" customHeight="1" thickBot="1">
      <c r="B49" s="326"/>
      <c r="C49" s="327"/>
      <c r="D49" s="327"/>
      <c r="E49" s="327"/>
      <c r="F49" s="327"/>
      <c r="G49" s="328"/>
      <c r="H49" s="329" t="s">
        <v>127</v>
      </c>
      <c r="I49" s="331">
        <f>SUM(I47:I48)</f>
        <v>17900</v>
      </c>
      <c r="J49" s="331">
        <f>SUM(J47:J48)</f>
        <v>17600</v>
      </c>
      <c r="K49" s="327"/>
      <c r="L49" s="328"/>
      <c r="M49" s="328"/>
      <c r="N49" s="328"/>
      <c r="O49" s="327"/>
      <c r="P49" s="327"/>
      <c r="Q49" s="327"/>
      <c r="R49" s="235"/>
      <c r="S49" s="331">
        <f>SUM(S47:S48)</f>
        <v>-14965.573770491803</v>
      </c>
      <c r="T49" s="327"/>
      <c r="U49" s="331">
        <f>SUM(U47:U47)</f>
        <v>-7767.6923076923085</v>
      </c>
      <c r="V49" s="331">
        <f>SUM(V47:V47)</f>
        <v>1</v>
      </c>
      <c r="W49" s="331">
        <f>SUM(W47:W47)</f>
        <v>-7767.6923076923085</v>
      </c>
      <c r="X49" s="331">
        <f>SUM(X47:X47)</f>
        <v>-10526.708701134932</v>
      </c>
      <c r="Y49" s="332"/>
      <c r="Z49" s="333">
        <f t="shared" ref="Z49:AL49" si="89">SUM(Z47:Z47)</f>
        <v>0</v>
      </c>
      <c r="AA49" s="333">
        <f t="shared" si="89"/>
        <v>0</v>
      </c>
      <c r="AB49" s="333">
        <f t="shared" si="89"/>
        <v>0</v>
      </c>
      <c r="AC49" s="333">
        <f t="shared" si="89"/>
        <v>0</v>
      </c>
      <c r="AD49" s="333">
        <f t="shared" si="89"/>
        <v>0</v>
      </c>
      <c r="AE49" s="333">
        <f t="shared" si="89"/>
        <v>0</v>
      </c>
      <c r="AF49" s="333">
        <f t="shared" si="89"/>
        <v>0</v>
      </c>
      <c r="AG49" s="333">
        <f t="shared" si="89"/>
        <v>0</v>
      </c>
      <c r="AH49" s="333">
        <f t="shared" si="89"/>
        <v>0</v>
      </c>
      <c r="AI49" s="333">
        <f t="shared" si="89"/>
        <v>0</v>
      </c>
      <c r="AJ49" s="333">
        <f t="shared" si="89"/>
        <v>0</v>
      </c>
      <c r="AK49" s="333">
        <f t="shared" si="89"/>
        <v>0</v>
      </c>
      <c r="AL49" s="333">
        <f t="shared" si="89"/>
        <v>0</v>
      </c>
      <c r="AM49" s="332"/>
      <c r="AN49" s="334">
        <f t="shared" ref="AN49:BA49" si="90">SUM(AN47:AN47)</f>
        <v>0</v>
      </c>
      <c r="AO49" s="334">
        <f>SUM(AO47:AO48)</f>
        <v>0</v>
      </c>
      <c r="AP49" s="334">
        <f t="shared" ref="AP49:AZ49" si="91">SUM(AP47:AP48)</f>
        <v>0</v>
      </c>
      <c r="AQ49" s="334">
        <f t="shared" si="91"/>
        <v>0</v>
      </c>
      <c r="AR49" s="334">
        <f t="shared" si="91"/>
        <v>0</v>
      </c>
      <c r="AS49" s="334">
        <f t="shared" si="91"/>
        <v>0</v>
      </c>
      <c r="AT49" s="334">
        <f t="shared" si="91"/>
        <v>0</v>
      </c>
      <c r="AU49" s="334">
        <f t="shared" si="91"/>
        <v>0</v>
      </c>
      <c r="AV49" s="334">
        <f t="shared" si="91"/>
        <v>0</v>
      </c>
      <c r="AW49" s="334">
        <f t="shared" si="91"/>
        <v>0</v>
      </c>
      <c r="AX49" s="334">
        <f t="shared" si="91"/>
        <v>0</v>
      </c>
      <c r="AY49" s="334">
        <f t="shared" si="91"/>
        <v>0</v>
      </c>
      <c r="AZ49" s="334">
        <f t="shared" si="91"/>
        <v>0</v>
      </c>
      <c r="BA49" s="334">
        <f t="shared" si="90"/>
        <v>0</v>
      </c>
      <c r="BB49" s="335">
        <f>+BA49-S49</f>
        <v>14965.573770491803</v>
      </c>
      <c r="BD49" s="336">
        <f t="shared" ref="BD49:BQ49" si="92">SUM(BD47:BD47)</f>
        <v>0</v>
      </c>
      <c r="BE49" s="336">
        <f t="shared" si="92"/>
        <v>786.92307692307691</v>
      </c>
      <c r="BF49" s="336">
        <f t="shared" si="92"/>
        <v>710.76923076923083</v>
      </c>
      <c r="BG49" s="336">
        <f t="shared" si="92"/>
        <v>-1361.54</v>
      </c>
      <c r="BH49" s="336">
        <f t="shared" si="92"/>
        <v>0</v>
      </c>
      <c r="BI49" s="336">
        <f t="shared" si="92"/>
        <v>0</v>
      </c>
      <c r="BJ49" s="336">
        <f t="shared" si="92"/>
        <v>0</v>
      </c>
      <c r="BK49" s="336">
        <f t="shared" si="92"/>
        <v>0</v>
      </c>
      <c r="BL49" s="336">
        <f t="shared" si="92"/>
        <v>0</v>
      </c>
      <c r="BM49" s="336">
        <f t="shared" si="92"/>
        <v>0</v>
      </c>
      <c r="BN49" s="336">
        <f t="shared" si="92"/>
        <v>0</v>
      </c>
      <c r="BO49" s="336">
        <f t="shared" si="92"/>
        <v>0</v>
      </c>
      <c r="BP49" s="336">
        <f t="shared" si="92"/>
        <v>0</v>
      </c>
      <c r="BQ49" s="336">
        <f t="shared" si="92"/>
        <v>136.15230769230766</v>
      </c>
    </row>
    <row r="50" spans="2:71" s="348" customFormat="1" ht="30" customHeight="1">
      <c r="S50" s="349"/>
      <c r="Z50" s="350"/>
      <c r="AA50" s="350"/>
      <c r="AB50" s="350"/>
      <c r="AC50" s="350"/>
      <c r="AD50" s="350"/>
      <c r="AE50" s="350"/>
      <c r="AF50" s="350"/>
      <c r="AG50" s="350"/>
      <c r="AH50" s="350"/>
      <c r="AI50" s="350"/>
      <c r="AJ50" s="236" t="s">
        <v>128</v>
      </c>
      <c r="AK50" s="350"/>
      <c r="AN50" s="351">
        <f t="shared" ref="AN50:BA50" si="93">+AN42+AN49</f>
        <v>3</v>
      </c>
      <c r="AO50" s="351" t="e">
        <f t="shared" si="93"/>
        <v>#DIV/0!</v>
      </c>
      <c r="AP50" s="351" t="e">
        <f t="shared" si="93"/>
        <v>#DIV/0!</v>
      </c>
      <c r="AQ50" s="351" t="e">
        <f t="shared" si="93"/>
        <v>#DIV/0!</v>
      </c>
      <c r="AR50" s="351" t="e">
        <f t="shared" si="93"/>
        <v>#DIV/0!</v>
      </c>
      <c r="AS50" s="351" t="e">
        <f t="shared" si="93"/>
        <v>#DIV/0!</v>
      </c>
      <c r="AT50" s="351" t="e">
        <f t="shared" si="93"/>
        <v>#DIV/0!</v>
      </c>
      <c r="AU50" s="351" t="e">
        <f t="shared" si="93"/>
        <v>#DIV/0!</v>
      </c>
      <c r="AV50" s="351" t="e">
        <f t="shared" si="93"/>
        <v>#DIV/0!</v>
      </c>
      <c r="AW50" s="351" t="e">
        <f t="shared" si="93"/>
        <v>#DIV/0!</v>
      </c>
      <c r="AX50" s="351" t="e">
        <f t="shared" si="93"/>
        <v>#DIV/0!</v>
      </c>
      <c r="AY50" s="351" t="e">
        <f t="shared" si="93"/>
        <v>#DIV/0!</v>
      </c>
      <c r="AZ50" s="351" t="e">
        <f t="shared" si="93"/>
        <v>#DIV/0!</v>
      </c>
      <c r="BA50" s="352" t="e">
        <f t="shared" si="93"/>
        <v>#DIV/0!</v>
      </c>
      <c r="BD50" s="351">
        <f t="shared" ref="BD50:BQ50" si="94">+BD42+BD49</f>
        <v>0</v>
      </c>
      <c r="BE50" s="351">
        <f t="shared" si="94"/>
        <v>4892.9855769230771</v>
      </c>
      <c r="BF50" s="351">
        <f t="shared" si="94"/>
        <v>4676.0625</v>
      </c>
      <c r="BG50" s="351">
        <f t="shared" si="94"/>
        <v>2744.5225</v>
      </c>
      <c r="BH50" s="351">
        <f t="shared" si="94"/>
        <v>4059.1394230769233</v>
      </c>
      <c r="BI50" s="351">
        <f t="shared" si="94"/>
        <v>4106.0625</v>
      </c>
      <c r="BJ50" s="351">
        <f t="shared" si="94"/>
        <v>4059.1394230769233</v>
      </c>
      <c r="BK50" s="351">
        <f t="shared" si="94"/>
        <v>4106.0625</v>
      </c>
      <c r="BL50" s="351">
        <f t="shared" si="94"/>
        <v>4290.8221153846162</v>
      </c>
      <c r="BM50" s="351">
        <f t="shared" si="94"/>
        <v>4243.899038461539</v>
      </c>
      <c r="BN50" s="351">
        <f t="shared" si="94"/>
        <v>5492.6394230769229</v>
      </c>
      <c r="BO50" s="351">
        <f t="shared" si="94"/>
        <v>4059.1394230769233</v>
      </c>
      <c r="BP50" s="351">
        <f t="shared" si="94"/>
        <v>4106.0625</v>
      </c>
      <c r="BQ50" s="352">
        <f t="shared" si="94"/>
        <v>50836.536923076928</v>
      </c>
      <c r="BR50" s="348" t="s">
        <v>129</v>
      </c>
      <c r="BS50" s="348" t="s">
        <v>127</v>
      </c>
    </row>
    <row r="51" spans="2:71" s="353" customFormat="1" ht="30" customHeight="1">
      <c r="S51" s="354"/>
      <c r="Z51" s="355"/>
      <c r="AA51" s="355"/>
      <c r="AB51" s="355"/>
      <c r="AC51" s="355"/>
      <c r="AD51" s="355"/>
      <c r="AE51" s="355"/>
      <c r="AF51" s="355"/>
      <c r="AG51" s="355"/>
      <c r="AH51" s="355"/>
      <c r="AI51" s="355"/>
      <c r="AJ51" s="243" t="s">
        <v>130</v>
      </c>
      <c r="AK51" s="355"/>
      <c r="BA51" s="356"/>
      <c r="BC51" s="348"/>
      <c r="BE51" s="357">
        <v>1320.8333333333333</v>
      </c>
      <c r="BF51" s="357">
        <v>1320.8333333333333</v>
      </c>
      <c r="BG51" s="357">
        <v>1320.8333333333333</v>
      </c>
      <c r="BH51" s="357">
        <v>1320.8333333333333</v>
      </c>
      <c r="BI51" s="357">
        <v>1320.8333333333333</v>
      </c>
      <c r="BJ51" s="357">
        <v>1320.8333333333333</v>
      </c>
      <c r="BK51" s="357">
        <v>1320.8333333333333</v>
      </c>
      <c r="BL51" s="357">
        <v>1320.8333333333333</v>
      </c>
      <c r="BM51" s="357">
        <v>1320.8333333333333</v>
      </c>
      <c r="BN51" s="357">
        <v>1320.8333333333333</v>
      </c>
      <c r="BO51" s="357">
        <v>1320.8333333333333</v>
      </c>
      <c r="BP51" s="357">
        <v>1320.8333333333333</v>
      </c>
      <c r="BQ51" s="356">
        <f>SUM(BE51:BP51)</f>
        <v>15850.000000000002</v>
      </c>
      <c r="BR51" s="358">
        <f>+U9</f>
        <v>1407.6923076923076</v>
      </c>
      <c r="BS51" s="358">
        <f>+BQ51+BR51</f>
        <v>17257.692307692309</v>
      </c>
    </row>
    <row r="52" spans="2:71" s="353" customFormat="1" ht="30" customHeight="1">
      <c r="S52" s="354"/>
      <c r="Z52" s="355"/>
      <c r="AA52" s="355"/>
      <c r="AB52" s="355"/>
      <c r="AC52" s="355"/>
      <c r="AD52" s="355"/>
      <c r="AE52" s="355"/>
      <c r="AF52" s="355"/>
      <c r="AG52" s="355"/>
      <c r="AH52" s="355"/>
      <c r="AI52" s="355"/>
      <c r="AJ52" s="243" t="s">
        <v>131</v>
      </c>
      <c r="AK52" s="355"/>
      <c r="AN52" s="359"/>
      <c r="AO52" s="360"/>
      <c r="AP52" s="360"/>
      <c r="AQ52" s="360"/>
      <c r="AR52" s="360"/>
      <c r="AS52" s="360"/>
      <c r="AT52" s="360"/>
      <c r="AU52" s="360"/>
      <c r="AV52" s="360"/>
      <c r="AW52" s="360"/>
      <c r="AX52" s="360"/>
      <c r="AY52" s="360"/>
      <c r="BE52" s="357">
        <v>2159.4549999999999</v>
      </c>
      <c r="BF52" s="357">
        <v>2159.4549999999999</v>
      </c>
      <c r="BG52" s="357">
        <v>2159.4549999999999</v>
      </c>
      <c r="BH52" s="357">
        <v>2159.4549999999999</v>
      </c>
      <c r="BI52" s="357">
        <v>2159.4549999999999</v>
      </c>
      <c r="BJ52" s="357">
        <v>2159.4549999999999</v>
      </c>
      <c r="BK52" s="357">
        <v>2159.4549999999999</v>
      </c>
      <c r="BL52" s="357">
        <v>2159.4549999999999</v>
      </c>
      <c r="BM52" s="357">
        <v>2159.4549999999999</v>
      </c>
      <c r="BN52" s="357">
        <v>2159.4549999999999</v>
      </c>
      <c r="BO52" s="357">
        <v>2159.4549999999999</v>
      </c>
      <c r="BP52" s="357">
        <v>2159.4549999999999</v>
      </c>
      <c r="BQ52" s="356">
        <f>SUM(BE52:BP52)</f>
        <v>25913.460000000006</v>
      </c>
      <c r="BR52" s="358">
        <f>+U14</f>
        <v>2111.5384615384619</v>
      </c>
      <c r="BS52" s="358">
        <f>+BQ52+BR52</f>
        <v>28024.998461538467</v>
      </c>
    </row>
    <row r="53" spans="2:71" s="353" customFormat="1" ht="30" customHeight="1">
      <c r="S53" s="354"/>
      <c r="Z53" s="355"/>
      <c r="AA53" s="355"/>
      <c r="AB53" s="355"/>
      <c r="AC53" s="355"/>
      <c r="AD53" s="355"/>
      <c r="AE53" s="355"/>
      <c r="AF53" s="355"/>
      <c r="AG53" s="355"/>
      <c r="AH53" s="355"/>
      <c r="AI53" s="355"/>
      <c r="AJ53" s="243"/>
      <c r="AK53" s="355"/>
      <c r="AN53" s="359"/>
      <c r="AO53" s="360"/>
      <c r="AP53" s="360"/>
      <c r="AQ53" s="360"/>
      <c r="AR53" s="360"/>
      <c r="AS53" s="360"/>
      <c r="AT53" s="360"/>
      <c r="AU53" s="360"/>
      <c r="AV53" s="360"/>
      <c r="AW53" s="360"/>
      <c r="AX53" s="360"/>
      <c r="AY53" s="360"/>
      <c r="BE53" s="357">
        <v>2110.17</v>
      </c>
      <c r="BF53" s="357">
        <v>2110.17</v>
      </c>
      <c r="BG53" s="357">
        <v>2110.17</v>
      </c>
      <c r="BH53" s="357">
        <v>2110.17</v>
      </c>
      <c r="BI53" s="357">
        <v>2110.17</v>
      </c>
      <c r="BJ53" s="357">
        <v>2110.17</v>
      </c>
      <c r="BK53" s="357">
        <v>2110.17</v>
      </c>
      <c r="BL53" s="357">
        <v>2110.17</v>
      </c>
      <c r="BM53" s="357">
        <v>2110.17</v>
      </c>
      <c r="BN53" s="357">
        <v>2110.17</v>
      </c>
      <c r="BO53" s="357">
        <v>2110.17</v>
      </c>
      <c r="BP53" s="357">
        <v>2110.17</v>
      </c>
      <c r="BQ53" s="356">
        <f>SUM(BE53:BP53)</f>
        <v>25322.039999999994</v>
      </c>
      <c r="BS53" s="358"/>
    </row>
    <row r="54" spans="2:71" s="353" customFormat="1" ht="30" customHeight="1">
      <c r="S54" s="354"/>
      <c r="Z54" s="355"/>
      <c r="AA54" s="355"/>
      <c r="AB54" s="355"/>
      <c r="AC54" s="355"/>
      <c r="AD54" s="355"/>
      <c r="AE54" s="355"/>
      <c r="AF54" s="355"/>
      <c r="AG54" s="355"/>
      <c r="AH54" s="355"/>
      <c r="AI54" s="355"/>
      <c r="AJ54" s="243"/>
      <c r="AK54" s="355"/>
      <c r="AN54" s="359"/>
      <c r="AO54" s="360"/>
      <c r="AP54" s="360"/>
      <c r="AQ54" s="360"/>
      <c r="AR54" s="360"/>
      <c r="AS54" s="360"/>
      <c r="AT54" s="360"/>
      <c r="AU54" s="360"/>
      <c r="AV54" s="360"/>
      <c r="AW54" s="360"/>
      <c r="AX54" s="360"/>
      <c r="AY54" s="360"/>
      <c r="BE54" s="357"/>
      <c r="BF54" s="357"/>
      <c r="BG54" s="357"/>
      <c r="BH54" s="357"/>
      <c r="BI54" s="357"/>
      <c r="BJ54" s="357"/>
      <c r="BK54" s="357"/>
      <c r="BL54" s="357"/>
      <c r="BM54" s="357"/>
      <c r="BN54" s="357"/>
      <c r="BO54" s="357"/>
      <c r="BP54" s="357">
        <v>3500</v>
      </c>
      <c r="BQ54" s="356"/>
      <c r="BR54" s="353" t="s">
        <v>132</v>
      </c>
      <c r="BS54" s="358"/>
    </row>
    <row r="55" spans="2:71" s="348" customFormat="1" ht="30" customHeight="1">
      <c r="S55" s="349"/>
      <c r="Z55" s="350"/>
      <c r="AA55" s="350"/>
      <c r="AB55" s="350"/>
      <c r="AC55" s="350"/>
      <c r="AD55" s="350"/>
      <c r="AE55" s="350"/>
      <c r="AF55" s="350"/>
      <c r="AG55" s="350"/>
      <c r="AH55" s="350"/>
      <c r="AI55" s="350"/>
      <c r="AJ55" s="236" t="s">
        <v>133</v>
      </c>
      <c r="AK55" s="350"/>
      <c r="AN55" s="361"/>
      <c r="AO55" s="361" t="e">
        <f>+AO50</f>
        <v>#DIV/0!</v>
      </c>
      <c r="AP55" s="361" t="e">
        <f t="shared" ref="AP55:AZ55" si="95">+AO55+AP50</f>
        <v>#DIV/0!</v>
      </c>
      <c r="AQ55" s="361" t="e">
        <f t="shared" si="95"/>
        <v>#DIV/0!</v>
      </c>
      <c r="AR55" s="361" t="e">
        <f t="shared" si="95"/>
        <v>#DIV/0!</v>
      </c>
      <c r="AS55" s="361" t="e">
        <f t="shared" si="95"/>
        <v>#DIV/0!</v>
      </c>
      <c r="AT55" s="361" t="e">
        <f t="shared" si="95"/>
        <v>#DIV/0!</v>
      </c>
      <c r="AU55" s="361" t="e">
        <f t="shared" si="95"/>
        <v>#DIV/0!</v>
      </c>
      <c r="AV55" s="361" t="e">
        <f t="shared" si="95"/>
        <v>#DIV/0!</v>
      </c>
      <c r="AW55" s="361" t="e">
        <f t="shared" si="95"/>
        <v>#DIV/0!</v>
      </c>
      <c r="AX55" s="361" t="e">
        <f t="shared" si="95"/>
        <v>#DIV/0!</v>
      </c>
      <c r="AY55" s="361" t="e">
        <f t="shared" si="95"/>
        <v>#DIV/0!</v>
      </c>
      <c r="AZ55" s="351" t="e">
        <f t="shared" si="95"/>
        <v>#DIV/0!</v>
      </c>
      <c r="BA55" s="335" t="e">
        <f>+BA50-AZ55</f>
        <v>#DIV/0!</v>
      </c>
      <c r="BD55" s="351">
        <f>+BD50</f>
        <v>0</v>
      </c>
      <c r="BE55" s="351">
        <f>+BD55+BE50+BE51+BE52+BE53</f>
        <v>10483.44391025641</v>
      </c>
      <c r="BF55" s="351">
        <f>+BE55+BF50+BF51+BF52+BF53</f>
        <v>20749.964743589742</v>
      </c>
      <c r="BG55" s="351">
        <f>+BF55+BG50+BG51+BG52+BG53</f>
        <v>29084.94557692307</v>
      </c>
      <c r="BH55" s="351">
        <f t="shared" ref="BH55:BP55" si="96">+BG55+BH50+BH51+BH52+BH53</f>
        <v>38734.543333333328</v>
      </c>
      <c r="BI55" s="351">
        <f t="shared" si="96"/>
        <v>48431.064166666663</v>
      </c>
      <c r="BJ55" s="351">
        <f t="shared" si="96"/>
        <v>58080.661923076921</v>
      </c>
      <c r="BK55" s="351">
        <f t="shared" si="96"/>
        <v>67777.182756410257</v>
      </c>
      <c r="BL55" s="351">
        <f t="shared" si="96"/>
        <v>77658.463205128195</v>
      </c>
      <c r="BM55" s="351">
        <f t="shared" si="96"/>
        <v>87492.82057692307</v>
      </c>
      <c r="BN55" s="351">
        <f t="shared" si="96"/>
        <v>98575.91833333332</v>
      </c>
      <c r="BO55" s="351">
        <f t="shared" si="96"/>
        <v>108225.51608974357</v>
      </c>
      <c r="BP55" s="351">
        <f t="shared" si="96"/>
        <v>117922.0369230769</v>
      </c>
      <c r="BQ55" s="335">
        <f>+BQ50-BP55</f>
        <v>-67085.499999999971</v>
      </c>
      <c r="BS55" s="358"/>
    </row>
    <row r="56" spans="2:71" s="348" customFormat="1" ht="30" customHeight="1">
      <c r="S56" s="349"/>
      <c r="Z56" s="350"/>
      <c r="AA56" s="350"/>
      <c r="AB56" s="350"/>
      <c r="AC56" s="350"/>
      <c r="AD56" s="350"/>
      <c r="AE56" s="350"/>
      <c r="AF56" s="350"/>
      <c r="AG56" s="350"/>
      <c r="AH56" s="350"/>
      <c r="AI56" s="350"/>
      <c r="AJ56" s="236" t="s">
        <v>134</v>
      </c>
      <c r="AK56" s="350"/>
      <c r="AN56" s="351"/>
      <c r="AO56" s="351">
        <v>-6047.52</v>
      </c>
      <c r="AP56" s="351">
        <v>-12763.82</v>
      </c>
      <c r="AQ56" s="351"/>
      <c r="AR56" s="351"/>
      <c r="AS56" s="351"/>
      <c r="AT56" s="351"/>
      <c r="AU56" s="351"/>
      <c r="AV56" s="351"/>
      <c r="AW56" s="351"/>
      <c r="AX56" s="351"/>
      <c r="AY56" s="351"/>
      <c r="AZ56" s="351"/>
      <c r="BD56" s="351">
        <f>+BD55</f>
        <v>0</v>
      </c>
      <c r="BE56" s="351">
        <v>24698.75</v>
      </c>
      <c r="BF56" s="351">
        <v>-48739.69</v>
      </c>
      <c r="BG56" s="351"/>
      <c r="BH56" s="351"/>
      <c r="BI56" s="351"/>
      <c r="BJ56" s="351"/>
      <c r="BK56" s="351"/>
      <c r="BL56" s="351"/>
      <c r="BM56" s="351"/>
      <c r="BN56" s="351"/>
      <c r="BO56" s="351"/>
      <c r="BP56" s="351"/>
    </row>
    <row r="57" spans="2:71" s="364" customFormat="1" ht="30" customHeight="1">
      <c r="B57" s="362"/>
      <c r="C57" s="231"/>
      <c r="D57" s="231"/>
      <c r="E57" s="231"/>
      <c r="F57" s="363"/>
      <c r="G57" s="363"/>
      <c r="H57" s="236"/>
      <c r="J57" s="236"/>
      <c r="K57" s="363"/>
      <c r="L57" s="363"/>
      <c r="M57" s="363"/>
      <c r="N57" s="236"/>
      <c r="O57" s="236"/>
      <c r="P57" s="236"/>
      <c r="Q57" s="236"/>
      <c r="S57" s="365"/>
      <c r="Z57" s="350"/>
      <c r="AA57" s="350"/>
      <c r="AB57" s="350"/>
      <c r="AC57" s="350"/>
      <c r="AD57" s="350"/>
      <c r="AE57" s="350"/>
      <c r="AF57" s="350"/>
      <c r="AG57" s="350"/>
      <c r="AH57" s="350"/>
      <c r="AI57" s="350"/>
      <c r="AJ57" s="236" t="s">
        <v>135</v>
      </c>
      <c r="AK57" s="350"/>
      <c r="AN57" s="366">
        <f>+AN55+AN56</f>
        <v>0</v>
      </c>
      <c r="AO57" s="366" t="e">
        <f t="shared" ref="AO57:AZ57" si="97">+AO55+AO56</f>
        <v>#DIV/0!</v>
      </c>
      <c r="AP57" s="366" t="e">
        <f t="shared" si="97"/>
        <v>#DIV/0!</v>
      </c>
      <c r="AQ57" s="366" t="e">
        <f t="shared" si="97"/>
        <v>#DIV/0!</v>
      </c>
      <c r="AR57" s="366" t="e">
        <f t="shared" si="97"/>
        <v>#DIV/0!</v>
      </c>
      <c r="AS57" s="366" t="e">
        <f t="shared" si="97"/>
        <v>#DIV/0!</v>
      </c>
      <c r="AT57" s="366" t="e">
        <f t="shared" si="97"/>
        <v>#DIV/0!</v>
      </c>
      <c r="AU57" s="366" t="e">
        <f t="shared" si="97"/>
        <v>#DIV/0!</v>
      </c>
      <c r="AV57" s="366" t="e">
        <f t="shared" si="97"/>
        <v>#DIV/0!</v>
      </c>
      <c r="AW57" s="366" t="e">
        <f t="shared" si="97"/>
        <v>#DIV/0!</v>
      </c>
      <c r="AX57" s="366" t="e">
        <f t="shared" si="97"/>
        <v>#DIV/0!</v>
      </c>
      <c r="AY57" s="366" t="e">
        <f t="shared" si="97"/>
        <v>#DIV/0!</v>
      </c>
      <c r="AZ57" s="366" t="e">
        <f t="shared" si="97"/>
        <v>#DIV/0!</v>
      </c>
      <c r="BA57" s="348"/>
      <c r="BD57" s="366">
        <f>+BD55-BD56</f>
        <v>0</v>
      </c>
      <c r="BE57" s="366">
        <f t="shared" ref="BE57" si="98">+BE55-BE56</f>
        <v>-14215.30608974359</v>
      </c>
      <c r="BF57" s="366">
        <f>+BF55+BF56</f>
        <v>-27989.72525641026</v>
      </c>
      <c r="BG57" s="366">
        <f t="shared" ref="BG57:BL57" si="99">+BG55+BG56</f>
        <v>29084.94557692307</v>
      </c>
      <c r="BH57" s="366">
        <f t="shared" si="99"/>
        <v>38734.543333333328</v>
      </c>
      <c r="BI57" s="366">
        <f t="shared" si="99"/>
        <v>48431.064166666663</v>
      </c>
      <c r="BJ57" s="366">
        <f t="shared" si="99"/>
        <v>58080.661923076921</v>
      </c>
      <c r="BK57" s="366">
        <f t="shared" si="99"/>
        <v>67777.182756410257</v>
      </c>
      <c r="BL57" s="366">
        <f t="shared" si="99"/>
        <v>77658.463205128195</v>
      </c>
      <c r="BM57" s="366">
        <f>+BM56+BM55</f>
        <v>87492.82057692307</v>
      </c>
      <c r="BN57" s="366">
        <f>+BN56+BN55</f>
        <v>98575.91833333332</v>
      </c>
      <c r="BO57" s="366">
        <f>+BO56+BO55</f>
        <v>108225.51608974357</v>
      </c>
      <c r="BP57" s="366">
        <f>+BP56+BP55</f>
        <v>117922.0369230769</v>
      </c>
      <c r="BQ57" s="348"/>
    </row>
    <row r="58" spans="2:71" ht="26.25" customHeight="1">
      <c r="I58" s="348"/>
      <c r="R58" s="348"/>
      <c r="AV58" s="338"/>
      <c r="BF58" s="367"/>
    </row>
    <row r="59" spans="2:71" ht="26.25" customHeight="1">
      <c r="BC59" s="227" t="s">
        <v>136</v>
      </c>
      <c r="BF59" s="338"/>
      <c r="BG59" s="368"/>
      <c r="BH59" s="368"/>
      <c r="BI59" s="338"/>
      <c r="BJ59" s="368"/>
      <c r="BK59" s="368"/>
      <c r="BL59" s="368"/>
      <c r="BM59" s="368"/>
      <c r="BN59" s="368"/>
      <c r="BO59" s="368"/>
      <c r="BP59" s="368"/>
    </row>
    <row r="60" spans="2:71" ht="26.25" customHeight="1">
      <c r="BE60" s="338">
        <f>BE50+BE51+BE52+BE53</f>
        <v>10483.44391025641</v>
      </c>
      <c r="BF60" s="338">
        <f t="shared" ref="BF60:BQ60" si="100">BF50+BF51+BF52+BF53</f>
        <v>10266.520833333332</v>
      </c>
      <c r="BG60" s="338">
        <f t="shared" si="100"/>
        <v>8334.9808333333331</v>
      </c>
      <c r="BH60" s="338">
        <f t="shared" si="100"/>
        <v>9649.5977564102577</v>
      </c>
      <c r="BI60" s="338">
        <f t="shared" si="100"/>
        <v>9696.5208333333321</v>
      </c>
      <c r="BJ60" s="338">
        <f t="shared" si="100"/>
        <v>9649.5977564102577</v>
      </c>
      <c r="BK60" s="338">
        <f t="shared" si="100"/>
        <v>9696.5208333333321</v>
      </c>
      <c r="BL60" s="338">
        <f t="shared" si="100"/>
        <v>9881.2804487179492</v>
      </c>
      <c r="BM60" s="338">
        <f t="shared" si="100"/>
        <v>9834.3573717948711</v>
      </c>
      <c r="BN60" s="338">
        <f t="shared" si="100"/>
        <v>11083.097756410256</v>
      </c>
      <c r="BO60" s="338">
        <f t="shared" si="100"/>
        <v>9649.5977564102577</v>
      </c>
      <c r="BP60" s="338">
        <f t="shared" si="100"/>
        <v>9696.5208333333321</v>
      </c>
      <c r="BQ60" s="338">
        <f t="shared" si="100"/>
        <v>117922.03692307693</v>
      </c>
    </row>
  </sheetData>
  <mergeCells count="1">
    <mergeCell ref="P45:Q45"/>
  </mergeCells>
  <phoneticPr fontId="68" type="noConversion"/>
  <conditionalFormatting sqref="Z9:AL22">
    <cfRule type="cellIs" dxfId="10" priority="6" operator="lessThan">
      <formula>0</formula>
    </cfRule>
  </conditionalFormatting>
  <conditionalFormatting sqref="Z26:AL30 AO26:BA30">
    <cfRule type="cellIs" dxfId="9" priority="1" operator="lessThan">
      <formula>0</formula>
    </cfRule>
  </conditionalFormatting>
  <conditionalFormatting sqref="Z34:AL39">
    <cfRule type="cellIs" dxfId="8" priority="8" operator="lessThan">
      <formula>0</formula>
    </cfRule>
  </conditionalFormatting>
  <conditionalFormatting sqref="Z47:AL48 AO47:BA48 BQ47:BQ48">
    <cfRule type="cellIs" dxfId="7" priority="11" operator="lessThan">
      <formula>0</formula>
    </cfRule>
  </conditionalFormatting>
  <conditionalFormatting sqref="AO4:AZ4">
    <cfRule type="cellIs" dxfId="6" priority="10" operator="lessThan">
      <formula>0</formula>
    </cfRule>
  </conditionalFormatting>
  <conditionalFormatting sqref="AO9:BA22">
    <cfRule type="cellIs" dxfId="5" priority="7" operator="lessThan">
      <formula>0</formula>
    </cfRule>
  </conditionalFormatting>
  <conditionalFormatting sqref="AO34:BA39">
    <cfRule type="cellIs" dxfId="4" priority="9" operator="lessThan">
      <formula>0</formula>
    </cfRule>
  </conditionalFormatting>
  <conditionalFormatting sqref="BQ26">
    <cfRule type="cellIs" dxfId="3" priority="3" operator="lessThan">
      <formula>0</formula>
    </cfRule>
  </conditionalFormatting>
  <conditionalFormatting sqref="BQ28:BQ30">
    <cfRule type="cellIs" dxfId="2" priority="2" operator="lessThan">
      <formula>0</formula>
    </cfRule>
  </conditionalFormatting>
  <conditionalFormatting sqref="BQ34">
    <cfRule type="cellIs" dxfId="1" priority="5" operator="lessThan">
      <formula>0</formula>
    </cfRule>
  </conditionalFormatting>
  <conditionalFormatting sqref="BQ36:BQ39">
    <cfRule type="cellIs" dxfId="0" priority="4" operator="lessThan">
      <formula>0</formula>
    </cfRule>
  </conditionalFormatting>
  <pageMargins left="0.7" right="0.7" top="0.75" bottom="0.75" header="0.3" footer="0.3"/>
  <pageSetup paperSize="9" scale="10" fitToHeight="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DE97-4BD4-4593-96DD-A3448276E267}">
  <sheetPr>
    <tabColor rgb="FF92D050"/>
    <pageSetUpPr fitToPage="1"/>
  </sheetPr>
  <dimension ref="A1:W361"/>
  <sheetViews>
    <sheetView zoomScale="70" zoomScaleNormal="70" zoomScaleSheetLayoutView="89" workbookViewId="0">
      <pane ySplit="4" topLeftCell="A26" activePane="bottomLeft" state="frozen"/>
      <selection activeCell="B4" sqref="B4"/>
      <selection pane="bottomLeft" activeCell="H42" sqref="H42"/>
    </sheetView>
  </sheetViews>
  <sheetFormatPr defaultColWidth="8.85546875" defaultRowHeight="24" customHeight="1"/>
  <cols>
    <col min="1" max="1" width="8.85546875" style="369" customWidth="1"/>
    <col min="2" max="2" width="17" style="369" bestFit="1" customWidth="1"/>
    <col min="3" max="3" width="20" style="369" customWidth="1"/>
    <col min="4" max="4" width="15.5703125" style="369" customWidth="1"/>
    <col min="5" max="5" width="12.7109375" style="369" bestFit="1" customWidth="1"/>
    <col min="6" max="6" width="9.28515625" style="369" customWidth="1"/>
    <col min="7" max="7" width="63.85546875" style="369" bestFit="1" customWidth="1"/>
    <col min="8" max="8" width="17.42578125" style="369" bestFit="1" customWidth="1"/>
    <col min="9" max="9" width="14.42578125" style="370" bestFit="1" customWidth="1"/>
    <col min="10" max="10" width="14.85546875" style="370" bestFit="1" customWidth="1"/>
    <col min="11" max="11" width="15.85546875" style="370" bestFit="1" customWidth="1"/>
    <col min="12" max="12" width="16" style="369" customWidth="1"/>
    <col min="13" max="13" width="24.140625" style="370" bestFit="1" customWidth="1"/>
    <col min="14" max="14" width="18.28515625" style="369" bestFit="1" customWidth="1"/>
    <col min="15" max="15" width="11.85546875" style="369" customWidth="1"/>
    <col min="16" max="16" width="3.85546875" style="369" bestFit="1" customWidth="1"/>
    <col min="17" max="17" width="8" style="371" customWidth="1"/>
    <col min="18" max="18" width="8.85546875" style="371"/>
    <col min="19" max="19" width="8.85546875" style="369"/>
    <col min="20" max="21" width="17.5703125" style="372" bestFit="1" customWidth="1"/>
    <col min="22" max="22" width="19.140625" style="373" bestFit="1" customWidth="1"/>
    <col min="23" max="23" width="16" style="369" bestFit="1" customWidth="1"/>
    <col min="24" max="16384" width="8.85546875" style="369"/>
  </cols>
  <sheetData>
    <row r="1" spans="1:22" ht="24" customHeight="1">
      <c r="A1" s="369" t="s">
        <v>98</v>
      </c>
    </row>
    <row r="2" spans="1:22" ht="24" customHeight="1">
      <c r="B2" s="374" t="s">
        <v>137</v>
      </c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P2" s="346"/>
    </row>
    <row r="3" spans="1:22" ht="24" customHeight="1" thickBot="1">
      <c r="B3" s="375" t="s">
        <v>138</v>
      </c>
      <c r="N3" s="370"/>
      <c r="O3" s="370"/>
      <c r="P3" s="370"/>
      <c r="Q3" s="370"/>
      <c r="V3" s="376"/>
    </row>
    <row r="4" spans="1:22" s="377" customFormat="1" ht="24" customHeight="1" thickBot="1">
      <c r="B4" s="378" t="s">
        <v>104</v>
      </c>
      <c r="C4" s="379" t="s">
        <v>139</v>
      </c>
      <c r="D4" s="380" t="s">
        <v>140</v>
      </c>
      <c r="E4" s="379" t="s">
        <v>141</v>
      </c>
      <c r="F4" s="379" t="s">
        <v>142</v>
      </c>
      <c r="G4" s="379" t="s">
        <v>143</v>
      </c>
      <c r="H4" s="379" t="s">
        <v>144</v>
      </c>
      <c r="I4" s="381" t="s">
        <v>145</v>
      </c>
      <c r="J4" s="381" t="s">
        <v>146</v>
      </c>
      <c r="K4" s="382" t="s">
        <v>147</v>
      </c>
      <c r="L4" s="379"/>
      <c r="M4" s="381"/>
      <c r="N4" s="383" t="s">
        <v>148</v>
      </c>
      <c r="O4" s="377" t="s">
        <v>8</v>
      </c>
      <c r="P4" s="353"/>
      <c r="Q4" s="384" t="s">
        <v>149</v>
      </c>
      <c r="R4" s="384" t="s">
        <v>150</v>
      </c>
      <c r="T4" s="385" t="s">
        <v>151</v>
      </c>
      <c r="U4" s="385"/>
      <c r="V4" s="376"/>
    </row>
    <row r="5" spans="1:22" ht="17.45" customHeight="1">
      <c r="B5" s="386">
        <v>45351</v>
      </c>
      <c r="C5" s="386" t="s">
        <v>152</v>
      </c>
      <c r="D5" s="369" t="s">
        <v>140</v>
      </c>
      <c r="E5" s="346">
        <v>523611</v>
      </c>
      <c r="G5" s="387" t="str">
        <f>+"Vacation Accr+Reversal BLZ&amp; Chinese Staff "&amp;$B$3</f>
        <v>Vacation Accr+Reversal BLZ&amp; Chinese Staff Feb 2024</v>
      </c>
      <c r="H5" s="369">
        <v>110</v>
      </c>
      <c r="I5" s="388">
        <f t="shared" ref="I5:I27" si="0">+IF(T5&gt;0,T5,0)</f>
        <v>0</v>
      </c>
      <c r="J5" s="370">
        <f t="shared" ref="J5:J24" si="1">+IF(I5&lt;&gt;0,0,-T5)</f>
        <v>0</v>
      </c>
      <c r="K5" s="370">
        <f t="shared" ref="K5:K27" si="2">+IF(I5&lt;&gt;0,I5,-J5)</f>
        <v>0</v>
      </c>
      <c r="N5" s="369" t="s">
        <v>140</v>
      </c>
      <c r="O5" s="389"/>
      <c r="P5" s="346">
        <f t="shared" ref="P5:P29" si="3">+LEN(G5)</f>
        <v>50</v>
      </c>
      <c r="Q5" s="371" t="s">
        <v>19</v>
      </c>
      <c r="R5" s="371" t="s">
        <v>153</v>
      </c>
      <c r="S5" s="371" t="s">
        <v>154</v>
      </c>
      <c r="T5" s="372">
        <f>+SUMIF('PROVISION VACANCES ET TICKETS'!$D:$D,H5,'PROVISION VACANCES ET TICKETS'!AT:AT)+SUMIF('PROVISION VACANCES ET TICKETS'!$D:$D,H5,'PROVISION VACANCES ET TICKETS'!BG:BG)</f>
        <v>0</v>
      </c>
      <c r="V5" s="390"/>
    </row>
    <row r="6" spans="1:22" ht="24" customHeight="1">
      <c r="B6" s="391">
        <f>+B5</f>
        <v>45351</v>
      </c>
      <c r="C6" s="369" t="str">
        <f>+C5</f>
        <v>SAL00602</v>
      </c>
      <c r="D6" s="369" t="str">
        <f>+D4</f>
        <v>G/L Account</v>
      </c>
      <c r="E6" s="387">
        <v>523611</v>
      </c>
      <c r="G6" s="369" t="str">
        <f>+G5</f>
        <v>Vacation Accr+Reversal BLZ&amp; Chinese Staff Feb 2024</v>
      </c>
      <c r="H6" s="369">
        <v>120</v>
      </c>
      <c r="I6" s="388"/>
      <c r="J6" s="370">
        <f t="shared" si="1"/>
        <v>94.230769230769283</v>
      </c>
      <c r="K6" s="370">
        <f>+IF(I6&lt;&gt;0,I6,-J6)</f>
        <v>-94.230769230769283</v>
      </c>
      <c r="N6" s="369" t="s">
        <v>140</v>
      </c>
      <c r="O6" s="389"/>
      <c r="P6" s="346">
        <f>+LEN(G6)</f>
        <v>50</v>
      </c>
      <c r="Q6" s="371" t="s">
        <v>20</v>
      </c>
      <c r="R6" s="371" t="s">
        <v>155</v>
      </c>
      <c r="S6" s="371" t="s">
        <v>156</v>
      </c>
      <c r="T6" s="372">
        <f>+SUMIF('PROVISION VACANCES ET TICKETS'!$D:$D,H6,'PROVISION VACANCES ET TICKETS'!AT:AT)+SUMIF('PROVISION VACANCES ET TICKETS'!$D:$D,H6,'PROVISION VACANCES ET TICKETS'!BG:BG)</f>
        <v>-94.230769230769283</v>
      </c>
      <c r="V6" s="390"/>
    </row>
    <row r="7" spans="1:22" ht="24" customHeight="1">
      <c r="B7" s="391">
        <f t="shared" ref="B7:C22" si="4">+B6</f>
        <v>45351</v>
      </c>
      <c r="C7" s="369" t="str">
        <f t="shared" si="4"/>
        <v>SAL00602</v>
      </c>
      <c r="D7" s="369" t="str">
        <f t="shared" ref="D7:D50" si="5">+D5</f>
        <v>G/L Account</v>
      </c>
      <c r="E7" s="387">
        <v>523611</v>
      </c>
      <c r="G7" s="369" t="str">
        <f>+G5</f>
        <v>Vacation Accr+Reversal BLZ&amp; Chinese Staff Feb 2024</v>
      </c>
      <c r="H7" s="369">
        <v>140</v>
      </c>
      <c r="I7" s="388">
        <f t="shared" si="0"/>
        <v>269.23076923076923</v>
      </c>
      <c r="K7" s="370">
        <f t="shared" si="2"/>
        <v>269.23076923076923</v>
      </c>
      <c r="N7" s="369" t="s">
        <v>140</v>
      </c>
      <c r="O7" s="389"/>
      <c r="P7" s="346">
        <f t="shared" si="3"/>
        <v>50</v>
      </c>
      <c r="Q7" s="371" t="s">
        <v>21</v>
      </c>
      <c r="R7" s="371" t="s">
        <v>157</v>
      </c>
      <c r="S7" s="371" t="s">
        <v>158</v>
      </c>
      <c r="T7" s="372">
        <f>+SUMIF('PROVISION VACANCES ET TICKETS'!$D:$D,H7,'PROVISION VACANCES ET TICKETS'!AT:AT)+SUMIF('PROVISION VACANCES ET TICKETS'!$D:$D,H7,'PROVISION VACANCES ET TICKETS'!BG:BG)</f>
        <v>269.23076923076923</v>
      </c>
      <c r="V7" s="390"/>
    </row>
    <row r="8" spans="1:22" ht="24" customHeight="1">
      <c r="B8" s="391">
        <f t="shared" si="4"/>
        <v>45351</v>
      </c>
      <c r="C8" s="369" t="str">
        <f t="shared" si="4"/>
        <v>SAL00602</v>
      </c>
      <c r="D8" s="369" t="str">
        <f t="shared" si="5"/>
        <v>G/L Account</v>
      </c>
      <c r="E8" s="387">
        <v>523611</v>
      </c>
      <c r="G8" s="369" t="str">
        <f t="shared" ref="G8:G24" si="6">+G7</f>
        <v>Vacation Accr+Reversal BLZ&amp; Chinese Staff Feb 2024</v>
      </c>
      <c r="H8" s="369">
        <v>160</v>
      </c>
      <c r="I8" s="388">
        <f t="shared" si="0"/>
        <v>0</v>
      </c>
      <c r="J8" s="370">
        <f t="shared" si="1"/>
        <v>0</v>
      </c>
      <c r="K8" s="370">
        <f t="shared" si="2"/>
        <v>0</v>
      </c>
      <c r="N8" s="369" t="s">
        <v>140</v>
      </c>
      <c r="O8" s="389"/>
      <c r="P8" s="346">
        <f t="shared" si="3"/>
        <v>50</v>
      </c>
      <c r="Q8" s="371" t="s">
        <v>22</v>
      </c>
      <c r="R8" s="371" t="s">
        <v>159</v>
      </c>
      <c r="S8" s="371" t="s">
        <v>160</v>
      </c>
      <c r="T8" s="372">
        <f>+SUMIF('PROVISION VACANCES ET TICKETS'!$D:$D,H8,'PROVISION VACANCES ET TICKETS'!AT:AT)+SUMIF('PROVISION VACANCES ET TICKETS'!$D:$D,H8,'PROVISION VACANCES ET TICKETS'!BG:BG)</f>
        <v>0</v>
      </c>
      <c r="V8" s="390"/>
    </row>
    <row r="9" spans="1:22" ht="24" customHeight="1">
      <c r="B9" s="391">
        <f t="shared" si="4"/>
        <v>45351</v>
      </c>
      <c r="C9" s="369" t="str">
        <f t="shared" si="4"/>
        <v>SAL00602</v>
      </c>
      <c r="D9" s="369" t="str">
        <f t="shared" si="5"/>
        <v>G/L Account</v>
      </c>
      <c r="E9" s="387">
        <v>523611</v>
      </c>
      <c r="G9" s="369" t="str">
        <f t="shared" si="6"/>
        <v>Vacation Accr+Reversal BLZ&amp; Chinese Staff Feb 2024</v>
      </c>
      <c r="H9" s="369">
        <v>290</v>
      </c>
      <c r="I9" s="388">
        <f t="shared" si="0"/>
        <v>490.38461538461536</v>
      </c>
      <c r="K9" s="370">
        <f t="shared" si="2"/>
        <v>490.38461538461536</v>
      </c>
      <c r="N9" s="369" t="s">
        <v>140</v>
      </c>
      <c r="O9" s="389"/>
      <c r="P9" s="346">
        <f t="shared" si="3"/>
        <v>50</v>
      </c>
      <c r="Q9" s="371" t="s">
        <v>23</v>
      </c>
      <c r="R9" s="371" t="s">
        <v>161</v>
      </c>
      <c r="S9" s="371" t="s">
        <v>162</v>
      </c>
      <c r="T9" s="372">
        <f>+SUMIF('PROVISION VACANCES ET TICKETS'!$D:$D,H9,'PROVISION VACANCES ET TICKETS'!AT:AT)+SUMIF('PROVISION VACANCES ET TICKETS'!$D:$D,H9,'PROVISION VACANCES ET TICKETS'!BG:BG)</f>
        <v>490.38461538461536</v>
      </c>
      <c r="V9" s="390"/>
    </row>
    <row r="10" spans="1:22" ht="24" customHeight="1">
      <c r="B10" s="391">
        <f t="shared" si="4"/>
        <v>45351</v>
      </c>
      <c r="C10" s="369" t="str">
        <f t="shared" si="4"/>
        <v>SAL00602</v>
      </c>
      <c r="D10" s="369" t="str">
        <f t="shared" si="5"/>
        <v>G/L Account</v>
      </c>
      <c r="E10" s="387">
        <v>523611</v>
      </c>
      <c r="G10" s="369" t="str">
        <f t="shared" si="6"/>
        <v>Vacation Accr+Reversal BLZ&amp; Chinese Staff Feb 2024</v>
      </c>
      <c r="H10" s="369">
        <v>212</v>
      </c>
      <c r="I10" s="388">
        <f t="shared" si="0"/>
        <v>0</v>
      </c>
      <c r="J10" s="370">
        <f t="shared" si="1"/>
        <v>0</v>
      </c>
      <c r="K10" s="370">
        <f t="shared" si="2"/>
        <v>0</v>
      </c>
      <c r="N10" s="369" t="s">
        <v>140</v>
      </c>
      <c r="O10" s="389"/>
      <c r="P10" s="346">
        <f t="shared" si="3"/>
        <v>50</v>
      </c>
      <c r="Q10" s="371" t="s">
        <v>24</v>
      </c>
      <c r="R10" s="371" t="s">
        <v>163</v>
      </c>
      <c r="S10" s="371" t="s">
        <v>164</v>
      </c>
      <c r="T10" s="372">
        <f>+SUMIF('PROVISION VACANCES ET TICKETS'!$D:$D,H10,'PROVISION VACANCES ET TICKETS'!AT:AT)+SUMIF('PROVISION VACANCES ET TICKETS'!$D:$D,H10,'PROVISION VACANCES ET TICKETS'!BG:BG)</f>
        <v>0</v>
      </c>
      <c r="V10" s="390"/>
    </row>
    <row r="11" spans="1:22" ht="24" customHeight="1">
      <c r="B11" s="391">
        <f t="shared" si="4"/>
        <v>45351</v>
      </c>
      <c r="C11" s="369" t="str">
        <f t="shared" si="4"/>
        <v>SAL00602</v>
      </c>
      <c r="D11" s="369" t="str">
        <f t="shared" si="5"/>
        <v>G/L Account</v>
      </c>
      <c r="E11" s="387">
        <v>523611</v>
      </c>
      <c r="G11" s="369" t="str">
        <f t="shared" si="6"/>
        <v>Vacation Accr+Reversal BLZ&amp; Chinese Staff Feb 2024</v>
      </c>
      <c r="H11" s="369">
        <v>216</v>
      </c>
      <c r="I11" s="388">
        <f t="shared" si="0"/>
        <v>0</v>
      </c>
      <c r="J11" s="370">
        <f t="shared" si="1"/>
        <v>0</v>
      </c>
      <c r="K11" s="370">
        <f t="shared" si="2"/>
        <v>0</v>
      </c>
      <c r="N11" s="369" t="s">
        <v>140</v>
      </c>
      <c r="O11" s="389"/>
      <c r="P11" s="346">
        <f t="shared" si="3"/>
        <v>50</v>
      </c>
      <c r="Q11" s="371" t="s">
        <v>25</v>
      </c>
      <c r="R11" s="371" t="s">
        <v>165</v>
      </c>
      <c r="S11" s="371" t="s">
        <v>166</v>
      </c>
      <c r="T11" s="372">
        <f>+SUMIF('PROVISION VACANCES ET TICKETS'!$D:$D,H11,'PROVISION VACANCES ET TICKETS'!AT:AT)+SUMIF('PROVISION VACANCES ET TICKETS'!$D:$D,H11,'PROVISION VACANCES ET TICKETS'!BG:BG)</f>
        <v>0</v>
      </c>
      <c r="V11" s="390"/>
    </row>
    <row r="12" spans="1:22" ht="24" customHeight="1">
      <c r="B12" s="391">
        <f t="shared" si="4"/>
        <v>45351</v>
      </c>
      <c r="C12" s="369" t="str">
        <f t="shared" si="4"/>
        <v>SAL00602</v>
      </c>
      <c r="D12" s="369" t="str">
        <f t="shared" si="5"/>
        <v>G/L Account</v>
      </c>
      <c r="E12" s="387">
        <v>523611</v>
      </c>
      <c r="G12" s="369" t="str">
        <f t="shared" si="6"/>
        <v>Vacation Accr+Reversal BLZ&amp; Chinese Staff Feb 2024</v>
      </c>
      <c r="H12" s="369">
        <v>251</v>
      </c>
      <c r="I12" s="388">
        <f t="shared" si="0"/>
        <v>0</v>
      </c>
      <c r="J12" s="370">
        <f t="shared" si="1"/>
        <v>0</v>
      </c>
      <c r="K12" s="370">
        <f t="shared" si="2"/>
        <v>0</v>
      </c>
      <c r="N12" s="369" t="s">
        <v>140</v>
      </c>
      <c r="O12" s="389"/>
      <c r="P12" s="346">
        <f t="shared" si="3"/>
        <v>50</v>
      </c>
      <c r="Q12" s="371" t="s">
        <v>26</v>
      </c>
      <c r="R12" s="371" t="s">
        <v>167</v>
      </c>
      <c r="S12" s="371" t="s">
        <v>168</v>
      </c>
      <c r="T12" s="372">
        <f>+SUMIF('PROVISION VACANCES ET TICKETS'!$D:$D,H12,'PROVISION VACANCES ET TICKETS'!AT:AT)+SUMIF('PROVISION VACANCES ET TICKETS'!$D:$D,H12,'PROVISION VACANCES ET TICKETS'!BG:BG)</f>
        <v>0</v>
      </c>
      <c r="V12" s="390"/>
    </row>
    <row r="13" spans="1:22" ht="24" customHeight="1">
      <c r="B13" s="391">
        <f t="shared" si="4"/>
        <v>45351</v>
      </c>
      <c r="C13" s="369" t="str">
        <f t="shared" si="4"/>
        <v>SAL00602</v>
      </c>
      <c r="D13" s="369" t="str">
        <f t="shared" si="5"/>
        <v>G/L Account</v>
      </c>
      <c r="E13" s="387">
        <v>523611</v>
      </c>
      <c r="G13" s="369" t="str">
        <f t="shared" si="6"/>
        <v>Vacation Accr+Reversal BLZ&amp; Chinese Staff Feb 2024</v>
      </c>
      <c r="H13" s="369">
        <v>281</v>
      </c>
      <c r="I13" s="388">
        <f t="shared" si="0"/>
        <v>482.69230769230779</v>
      </c>
      <c r="K13" s="370">
        <f t="shared" si="2"/>
        <v>482.69230769230779</v>
      </c>
      <c r="N13" s="369" t="s">
        <v>140</v>
      </c>
      <c r="O13" s="389"/>
      <c r="P13" s="346">
        <f t="shared" si="3"/>
        <v>50</v>
      </c>
      <c r="Q13" s="371" t="s">
        <v>27</v>
      </c>
      <c r="R13" s="371" t="s">
        <v>169</v>
      </c>
      <c r="S13" s="371" t="s">
        <v>170</v>
      </c>
      <c r="T13" s="372">
        <f>+SUMIF('PROVISION VACANCES ET TICKETS'!$D:$D,H13,'PROVISION VACANCES ET TICKETS'!AT:AT)+SUMIF('PROVISION VACANCES ET TICKETS'!$D:$D,H13,'PROVISION VACANCES ET TICKETS'!BG:BG)</f>
        <v>482.69230769230779</v>
      </c>
      <c r="V13" s="390"/>
    </row>
    <row r="14" spans="1:22" ht="24" customHeight="1">
      <c r="B14" s="391">
        <f t="shared" si="4"/>
        <v>45351</v>
      </c>
      <c r="C14" s="369" t="str">
        <f t="shared" si="4"/>
        <v>SAL00602</v>
      </c>
      <c r="D14" s="369" t="str">
        <f t="shared" si="5"/>
        <v>G/L Account</v>
      </c>
      <c r="E14" s="387">
        <v>523611</v>
      </c>
      <c r="G14" s="369" t="str">
        <f t="shared" si="6"/>
        <v>Vacation Accr+Reversal BLZ&amp; Chinese Staff Feb 2024</v>
      </c>
      <c r="H14" s="369">
        <v>282</v>
      </c>
      <c r="I14" s="388">
        <f t="shared" si="0"/>
        <v>0</v>
      </c>
      <c r="J14" s="370">
        <f t="shared" si="1"/>
        <v>0</v>
      </c>
      <c r="K14" s="370">
        <f t="shared" si="2"/>
        <v>0</v>
      </c>
      <c r="N14" s="369" t="s">
        <v>140</v>
      </c>
      <c r="O14" s="389"/>
      <c r="P14" s="346">
        <f t="shared" si="3"/>
        <v>50</v>
      </c>
      <c r="Q14" s="371" t="s">
        <v>28</v>
      </c>
      <c r="R14" s="371" t="s">
        <v>171</v>
      </c>
      <c r="S14" s="371" t="s">
        <v>172</v>
      </c>
      <c r="T14" s="372">
        <f>+SUMIF('PROVISION VACANCES ET TICKETS'!$D:$D,H14,'PROVISION VACANCES ET TICKETS'!AT:AT)+SUMIF('PROVISION VACANCES ET TICKETS'!$D:$D,H14,'PROVISION VACANCES ET TICKETS'!BG:BG)</f>
        <v>0</v>
      </c>
      <c r="V14" s="390"/>
    </row>
    <row r="15" spans="1:22" ht="24" customHeight="1">
      <c r="B15" s="391">
        <f t="shared" si="4"/>
        <v>45351</v>
      </c>
      <c r="C15" s="369" t="str">
        <f t="shared" si="4"/>
        <v>SAL00602</v>
      </c>
      <c r="D15" s="369" t="str">
        <f t="shared" si="5"/>
        <v>G/L Account</v>
      </c>
      <c r="E15" s="387">
        <v>523611</v>
      </c>
      <c r="G15" s="369" t="str">
        <f t="shared" si="6"/>
        <v>Vacation Accr+Reversal BLZ&amp; Chinese Staff Feb 2024</v>
      </c>
      <c r="H15" s="369">
        <v>460</v>
      </c>
      <c r="I15" s="388">
        <f t="shared" si="0"/>
        <v>0</v>
      </c>
      <c r="J15" s="370">
        <f t="shared" si="1"/>
        <v>0</v>
      </c>
      <c r="K15" s="370">
        <f t="shared" si="2"/>
        <v>0</v>
      </c>
      <c r="N15" s="369" t="s">
        <v>140</v>
      </c>
      <c r="O15" s="389"/>
      <c r="P15" s="346">
        <f t="shared" si="3"/>
        <v>50</v>
      </c>
      <c r="Q15" s="371" t="s">
        <v>29</v>
      </c>
      <c r="R15" s="371" t="s">
        <v>173</v>
      </c>
      <c r="S15" s="371" t="s">
        <v>174</v>
      </c>
      <c r="T15" s="372">
        <f>+SUMIF('PROVISION VACANCES ET TICKETS'!$D:$D,H15,'PROVISION VACANCES ET TICKETS'!AT:AT)+SUMIF('PROVISION VACANCES ET TICKETS'!$D:$D,H15,'PROVISION VACANCES ET TICKETS'!BG:BG)</f>
        <v>0</v>
      </c>
      <c r="V15" s="390"/>
    </row>
    <row r="16" spans="1:22" ht="24" customHeight="1">
      <c r="B16" s="391">
        <f t="shared" si="4"/>
        <v>45351</v>
      </c>
      <c r="C16" s="369" t="str">
        <f t="shared" si="4"/>
        <v>SAL00602</v>
      </c>
      <c r="D16" s="369" t="str">
        <f t="shared" si="5"/>
        <v>G/L Account</v>
      </c>
      <c r="E16" s="387">
        <v>523611</v>
      </c>
      <c r="G16" s="369" t="str">
        <f t="shared" si="6"/>
        <v>Vacation Accr+Reversal BLZ&amp; Chinese Staff Feb 2024</v>
      </c>
      <c r="H16" s="369">
        <v>610</v>
      </c>
      <c r="I16" s="388">
        <f t="shared" si="0"/>
        <v>144.23076923076923</v>
      </c>
      <c r="K16" s="370">
        <f t="shared" si="2"/>
        <v>144.23076923076923</v>
      </c>
      <c r="N16" s="369" t="s">
        <v>140</v>
      </c>
      <c r="O16" s="389"/>
      <c r="P16" s="346">
        <f t="shared" si="3"/>
        <v>50</v>
      </c>
      <c r="Q16" s="371" t="s">
        <v>30</v>
      </c>
      <c r="R16" s="371" t="s">
        <v>175</v>
      </c>
      <c r="S16" s="371" t="s">
        <v>176</v>
      </c>
      <c r="T16" s="372">
        <f>+SUMIF('PROVISION VACANCES ET TICKETS'!$D:$D,H16,'PROVISION VACANCES ET TICKETS'!AT:AT)+SUMIF('PROVISION VACANCES ET TICKETS'!$D:$D,H16,'PROVISION VACANCES ET TICKETS'!BG:BG)</f>
        <v>144.23076923076923</v>
      </c>
      <c r="V16" s="390"/>
    </row>
    <row r="17" spans="2:23" ht="24" customHeight="1">
      <c r="B17" s="391">
        <f t="shared" si="4"/>
        <v>45351</v>
      </c>
      <c r="C17" s="369" t="str">
        <f t="shared" si="4"/>
        <v>SAL00602</v>
      </c>
      <c r="D17" s="369" t="str">
        <f t="shared" si="5"/>
        <v>G/L Account</v>
      </c>
      <c r="E17" s="387">
        <v>523611</v>
      </c>
      <c r="G17" s="369" t="str">
        <f t="shared" si="6"/>
        <v>Vacation Accr+Reversal BLZ&amp; Chinese Staff Feb 2024</v>
      </c>
      <c r="H17" s="369">
        <v>620</v>
      </c>
      <c r="I17" s="388">
        <f t="shared" si="0"/>
        <v>105.76923076923077</v>
      </c>
      <c r="K17" s="370">
        <f t="shared" si="2"/>
        <v>105.76923076923077</v>
      </c>
      <c r="N17" s="369" t="s">
        <v>140</v>
      </c>
      <c r="O17" s="389"/>
      <c r="P17" s="346">
        <f t="shared" si="3"/>
        <v>50</v>
      </c>
      <c r="S17" s="371"/>
      <c r="T17" s="372">
        <f>+SUMIF('PROVISION VACANCES ET TICKETS'!$D:$D,H17,'PROVISION VACANCES ET TICKETS'!AT:AT)+SUMIF('PROVISION VACANCES ET TICKETS'!$D:$D,H17,'PROVISION VACANCES ET TICKETS'!BG:BG)</f>
        <v>105.76923076923077</v>
      </c>
      <c r="V17" s="390"/>
    </row>
    <row r="18" spans="2:23" ht="24" customHeight="1">
      <c r="B18" s="391">
        <f t="shared" si="4"/>
        <v>45351</v>
      </c>
      <c r="C18" s="369" t="str">
        <f t="shared" si="4"/>
        <v>SAL00602</v>
      </c>
      <c r="D18" s="369" t="str">
        <f t="shared" si="5"/>
        <v>G/L Account</v>
      </c>
      <c r="E18" s="387">
        <v>523611</v>
      </c>
      <c r="G18" s="369" t="str">
        <f t="shared" si="6"/>
        <v>Vacation Accr+Reversal BLZ&amp; Chinese Staff Feb 2024</v>
      </c>
      <c r="H18" s="369">
        <v>630</v>
      </c>
      <c r="I18" s="388">
        <f t="shared" si="0"/>
        <v>250</v>
      </c>
      <c r="K18" s="370">
        <f t="shared" si="2"/>
        <v>250</v>
      </c>
      <c r="N18" s="369" t="s">
        <v>140</v>
      </c>
      <c r="O18" s="389"/>
      <c r="P18" s="346">
        <f t="shared" si="3"/>
        <v>50</v>
      </c>
      <c r="S18" s="371"/>
      <c r="T18" s="372">
        <f>+SUMIF('PROVISION VACANCES ET TICKETS'!$D:$D,H18,'PROVISION VACANCES ET TICKETS'!AT:AT)+SUMIF('PROVISION VACANCES ET TICKETS'!$D:$D,H18,'PROVISION VACANCES ET TICKETS'!BG:BG)</f>
        <v>250</v>
      </c>
      <c r="V18" s="390"/>
    </row>
    <row r="19" spans="2:23" ht="24" customHeight="1">
      <c r="B19" s="391">
        <f t="shared" si="4"/>
        <v>45351</v>
      </c>
      <c r="C19" s="369" t="str">
        <f t="shared" si="4"/>
        <v>SAL00602</v>
      </c>
      <c r="D19" s="369" t="str">
        <f t="shared" si="5"/>
        <v>G/L Account</v>
      </c>
      <c r="E19" s="387">
        <v>523611</v>
      </c>
      <c r="G19" s="369" t="str">
        <f t="shared" si="6"/>
        <v>Vacation Accr+Reversal BLZ&amp; Chinese Staff Feb 2024</v>
      </c>
      <c r="H19" s="369">
        <v>640</v>
      </c>
      <c r="I19" s="388">
        <f t="shared" si="0"/>
        <v>0</v>
      </c>
      <c r="J19" s="370">
        <f t="shared" si="1"/>
        <v>0</v>
      </c>
      <c r="K19" s="370">
        <f t="shared" si="2"/>
        <v>0</v>
      </c>
      <c r="N19" s="369" t="s">
        <v>140</v>
      </c>
      <c r="O19" s="389"/>
      <c r="P19" s="346">
        <f t="shared" si="3"/>
        <v>50</v>
      </c>
      <c r="Q19" s="392"/>
      <c r="T19" s="372">
        <f>+SUMIF('PROVISION VACANCES ET TICKETS'!$D:$D,H19,'PROVISION VACANCES ET TICKETS'!AT:AT)+SUMIF('PROVISION VACANCES ET TICKETS'!$D:$D,H19,'PROVISION VACANCES ET TICKETS'!BG:BG)</f>
        <v>0</v>
      </c>
      <c r="V19" s="390"/>
    </row>
    <row r="20" spans="2:23" ht="24" customHeight="1">
      <c r="B20" s="391">
        <f t="shared" si="4"/>
        <v>45351</v>
      </c>
      <c r="C20" s="369" t="str">
        <f t="shared" si="4"/>
        <v>SAL00602</v>
      </c>
      <c r="D20" s="369" t="str">
        <f t="shared" si="5"/>
        <v>G/L Account</v>
      </c>
      <c r="E20" s="387">
        <v>523611</v>
      </c>
      <c r="G20" s="369" t="str">
        <f t="shared" si="6"/>
        <v>Vacation Accr+Reversal BLZ&amp; Chinese Staff Feb 2024</v>
      </c>
      <c r="H20" s="369">
        <v>650</v>
      </c>
      <c r="I20" s="388">
        <f t="shared" si="0"/>
        <v>0</v>
      </c>
      <c r="J20" s="370">
        <f t="shared" si="1"/>
        <v>0</v>
      </c>
      <c r="K20" s="370">
        <f t="shared" si="2"/>
        <v>0</v>
      </c>
      <c r="N20" s="369" t="s">
        <v>140</v>
      </c>
      <c r="O20" s="389"/>
      <c r="P20" s="346">
        <f t="shared" si="3"/>
        <v>50</v>
      </c>
      <c r="Q20" s="392"/>
      <c r="T20" s="372">
        <f>+SUMIF('PROVISION VACANCES ET TICKETS'!$D:$D,H20,'PROVISION VACANCES ET TICKETS'!AT:AT)+SUMIF('PROVISION VACANCES ET TICKETS'!$D:$D,H20,'PROVISION VACANCES ET TICKETS'!BG:BG)</f>
        <v>0</v>
      </c>
      <c r="V20" s="390"/>
    </row>
    <row r="21" spans="2:23" ht="24" customHeight="1">
      <c r="B21" s="391">
        <f t="shared" si="4"/>
        <v>45351</v>
      </c>
      <c r="C21" s="369" t="str">
        <f t="shared" si="4"/>
        <v>SAL00602</v>
      </c>
      <c r="D21" s="369" t="str">
        <f t="shared" si="5"/>
        <v>G/L Account</v>
      </c>
      <c r="E21" s="387">
        <v>523611</v>
      </c>
      <c r="G21" s="369" t="str">
        <f t="shared" si="6"/>
        <v>Vacation Accr+Reversal BLZ&amp; Chinese Staff Feb 2024</v>
      </c>
      <c r="H21" s="369">
        <v>660</v>
      </c>
      <c r="I21" s="388">
        <f t="shared" si="0"/>
        <v>240.38461538461542</v>
      </c>
      <c r="K21" s="370">
        <f t="shared" si="2"/>
        <v>240.38461538461542</v>
      </c>
      <c r="N21" s="369" t="s">
        <v>140</v>
      </c>
      <c r="O21" s="389"/>
      <c r="P21" s="346">
        <f t="shared" si="3"/>
        <v>50</v>
      </c>
      <c r="Q21" s="392"/>
      <c r="T21" s="372">
        <f>+SUMIF('PROVISION VACANCES ET TICKETS'!$D:$D,H21,'PROVISION VACANCES ET TICKETS'!AT:AT)+SUMIF('PROVISION VACANCES ET TICKETS'!$D:$D,H21,'PROVISION VACANCES ET TICKETS'!BG:BG)</f>
        <v>240.38461538461542</v>
      </c>
      <c r="V21" s="390"/>
    </row>
    <row r="22" spans="2:23" ht="24" customHeight="1">
      <c r="B22" s="391">
        <f t="shared" si="4"/>
        <v>45351</v>
      </c>
      <c r="C22" s="369" t="str">
        <f t="shared" si="4"/>
        <v>SAL00602</v>
      </c>
      <c r="D22" s="369" t="str">
        <f t="shared" si="5"/>
        <v>G/L Account</v>
      </c>
      <c r="E22" s="387">
        <v>523611</v>
      </c>
      <c r="G22" s="369" t="str">
        <f t="shared" si="6"/>
        <v>Vacation Accr+Reversal BLZ&amp; Chinese Staff Feb 2024</v>
      </c>
      <c r="H22" s="369">
        <v>710</v>
      </c>
      <c r="I22" s="388">
        <f t="shared" si="0"/>
        <v>92.307692307692292</v>
      </c>
      <c r="K22" s="370">
        <f t="shared" si="2"/>
        <v>92.307692307692292</v>
      </c>
      <c r="N22" s="369" t="s">
        <v>140</v>
      </c>
      <c r="O22" s="389"/>
      <c r="P22" s="346">
        <f t="shared" si="3"/>
        <v>50</v>
      </c>
      <c r="Q22" s="392"/>
      <c r="T22" s="372">
        <f>+SUMIF('PROVISION VACANCES ET TICKETS'!$D:$D,H22,'PROVISION VACANCES ET TICKETS'!AT:AT)+SUMIF('PROVISION VACANCES ET TICKETS'!$D:$D,H22,'PROVISION VACANCES ET TICKETS'!BG:BG)</f>
        <v>92.307692307692292</v>
      </c>
      <c r="V22" s="390"/>
    </row>
    <row r="23" spans="2:23" ht="24" customHeight="1">
      <c r="B23" s="391">
        <f t="shared" ref="B23:C38" si="7">+B22</f>
        <v>45351</v>
      </c>
      <c r="C23" s="369" t="str">
        <f t="shared" si="7"/>
        <v>SAL00602</v>
      </c>
      <c r="D23" s="369" t="str">
        <f t="shared" si="5"/>
        <v>G/L Account</v>
      </c>
      <c r="E23" s="387">
        <v>523611</v>
      </c>
      <c r="G23" s="369" t="str">
        <f t="shared" si="6"/>
        <v>Vacation Accr+Reversal BLZ&amp; Chinese Staff Feb 2024</v>
      </c>
      <c r="H23" s="369">
        <v>720</v>
      </c>
      <c r="I23" s="388">
        <f t="shared" si="0"/>
        <v>0</v>
      </c>
      <c r="J23" s="370">
        <f t="shared" si="1"/>
        <v>0</v>
      </c>
      <c r="K23" s="370">
        <f t="shared" si="2"/>
        <v>0</v>
      </c>
      <c r="N23" s="369" t="s">
        <v>140</v>
      </c>
      <c r="O23" s="389"/>
      <c r="P23" s="346">
        <f t="shared" si="3"/>
        <v>50</v>
      </c>
      <c r="Q23" s="392"/>
      <c r="T23" s="372">
        <f>+SUMIF('PROVISION VACANCES ET TICKETS'!$D:$D,H23,'PROVISION VACANCES ET TICKETS'!AT:AT)+SUMIF('PROVISION VACANCES ET TICKETS'!$D:$D,H23,'PROVISION VACANCES ET TICKETS'!BG:BG)</f>
        <v>0</v>
      </c>
      <c r="V23" s="390"/>
    </row>
    <row r="24" spans="2:23" ht="24" customHeight="1">
      <c r="B24" s="391">
        <f t="shared" si="7"/>
        <v>45351</v>
      </c>
      <c r="C24" s="369" t="str">
        <f t="shared" si="7"/>
        <v>SAL00602</v>
      </c>
      <c r="D24" s="369" t="str">
        <f t="shared" si="5"/>
        <v>G/L Account</v>
      </c>
      <c r="E24" s="387">
        <v>523611</v>
      </c>
      <c r="G24" s="369" t="str">
        <f t="shared" si="6"/>
        <v>Vacation Accr+Reversal BLZ&amp; Chinese Staff Feb 2024</v>
      </c>
      <c r="H24" s="369">
        <v>730</v>
      </c>
      <c r="I24" s="388">
        <f t="shared" si="0"/>
        <v>0</v>
      </c>
      <c r="J24" s="370">
        <f t="shared" si="1"/>
        <v>0</v>
      </c>
      <c r="K24" s="370">
        <f>+IF(I24&lt;&gt;0,I24,-J24)</f>
        <v>0</v>
      </c>
      <c r="N24" s="369" t="s">
        <v>140</v>
      </c>
      <c r="O24" s="389"/>
      <c r="P24" s="346">
        <f>+LEN(G24)</f>
        <v>50</v>
      </c>
      <c r="Q24" s="392"/>
      <c r="T24" s="372">
        <f>+SUMIF('PROVISION VACANCES ET TICKETS'!$D:$D,H24,'PROVISION VACANCES ET TICKETS'!AT:AT)+SUMIF('PROVISION VACANCES ET TICKETS'!$D:$D,H24,'PROVISION VACANCES ET TICKETS'!BG:BG)</f>
        <v>0</v>
      </c>
      <c r="V24" s="390"/>
    </row>
    <row r="25" spans="2:23" ht="24" customHeight="1">
      <c r="B25" s="391">
        <f t="shared" si="7"/>
        <v>45351</v>
      </c>
      <c r="C25" s="369" t="str">
        <f t="shared" si="7"/>
        <v>SAL00602</v>
      </c>
      <c r="D25" s="369" t="str">
        <f t="shared" si="5"/>
        <v>G/L Account</v>
      </c>
      <c r="E25" s="387">
        <v>523611</v>
      </c>
      <c r="G25" s="369" t="str">
        <f>+G23</f>
        <v>Vacation Accr+Reversal BLZ&amp; Chinese Staff Feb 2024</v>
      </c>
      <c r="H25" s="369">
        <v>810</v>
      </c>
      <c r="I25" s="388">
        <f t="shared" si="0"/>
        <v>576.92307692307691</v>
      </c>
      <c r="K25" s="370">
        <f t="shared" si="2"/>
        <v>576.92307692307691</v>
      </c>
      <c r="N25" s="369" t="s">
        <v>140</v>
      </c>
      <c r="O25" s="389"/>
      <c r="P25" s="346">
        <f t="shared" si="3"/>
        <v>50</v>
      </c>
      <c r="Q25" s="392"/>
      <c r="T25" s="372">
        <f>+SUMIF('PROVISION VACANCES ET TICKETS'!$D:$D,H25,'PROVISION VACANCES ET TICKETS'!AT:AT)+SUMIF('PROVISION VACANCES ET TICKETS'!$D:$D,H25,'PROVISION VACANCES ET TICKETS'!BG:BG)</f>
        <v>576.92307692307691</v>
      </c>
      <c r="V25" s="390"/>
    </row>
    <row r="26" spans="2:23" ht="24" customHeight="1">
      <c r="B26" s="391">
        <f t="shared" si="7"/>
        <v>45351</v>
      </c>
      <c r="C26" s="369" t="str">
        <f t="shared" si="7"/>
        <v>SAL00602</v>
      </c>
      <c r="D26" s="369" t="str">
        <f t="shared" si="5"/>
        <v>G/L Account</v>
      </c>
      <c r="E26" s="393">
        <v>212110</v>
      </c>
      <c r="G26" s="369" t="str">
        <f>+G24&amp;"-HAN YOUCHAI"</f>
        <v>Vacation Accr+Reversal BLZ&amp; Chinese Staff Feb 2024-HAN YOUCHAI</v>
      </c>
      <c r="H26" s="393">
        <v>960</v>
      </c>
      <c r="I26" s="388">
        <f t="shared" si="0"/>
        <v>278.84615384615381</v>
      </c>
      <c r="K26" s="370">
        <f t="shared" si="2"/>
        <v>278.84615384615381</v>
      </c>
      <c r="N26" s="369" t="s">
        <v>140</v>
      </c>
      <c r="O26" s="389"/>
      <c r="P26" s="346">
        <f t="shared" si="3"/>
        <v>62</v>
      </c>
      <c r="Q26" s="392"/>
      <c r="T26" s="372">
        <f>+SUMIF('PROVISION VACANCES ET TICKETS'!$D:$D,H26,'PROVISION VACANCES ET TICKETS'!AT:AT)+SUMIF('PROVISION VACANCES ET TICKETS'!$D:$D,H26,'PROVISION VACANCES ET TICKETS'!BG:BG)</f>
        <v>278.84615384615381</v>
      </c>
      <c r="V26" s="390"/>
    </row>
    <row r="27" spans="2:23" ht="24" customHeight="1" thickBot="1">
      <c r="B27" s="391">
        <f>+B25</f>
        <v>45351</v>
      </c>
      <c r="C27" s="369" t="str">
        <f>+C25</f>
        <v>SAL00602</v>
      </c>
      <c r="D27" s="369" t="str">
        <f>+D24</f>
        <v>G/L Account</v>
      </c>
      <c r="E27" s="387">
        <v>523611</v>
      </c>
      <c r="G27" s="369" t="str">
        <f>+G25</f>
        <v>Vacation Accr+Reversal BLZ&amp; Chinese Staff Feb 2024</v>
      </c>
      <c r="H27" s="369">
        <v>971</v>
      </c>
      <c r="I27" s="388">
        <f t="shared" si="0"/>
        <v>192.30769230769229</v>
      </c>
      <c r="K27" s="370">
        <f t="shared" si="2"/>
        <v>192.30769230769229</v>
      </c>
      <c r="N27" s="369" t="s">
        <v>140</v>
      </c>
      <c r="O27" s="389"/>
      <c r="P27" s="346">
        <f t="shared" si="3"/>
        <v>50</v>
      </c>
      <c r="Q27" s="392"/>
      <c r="T27" s="372">
        <f>+SUMIF('PROVISION VACANCES ET TICKETS'!$D:$D,H27,'PROVISION VACANCES ET TICKETS'!AT:AT)+SUMIF('PROVISION VACANCES ET TICKETS'!$D:$D,H27,'PROVISION VACANCES ET TICKETS'!BG:BG)</f>
        <v>192.30769230769229</v>
      </c>
      <c r="V27" s="390"/>
    </row>
    <row r="28" spans="2:23" s="400" customFormat="1" ht="24" customHeight="1">
      <c r="B28" s="394">
        <f t="shared" si="7"/>
        <v>45351</v>
      </c>
      <c r="C28" s="395" t="str">
        <f t="shared" si="7"/>
        <v>SAL00602</v>
      </c>
      <c r="D28" s="395" t="str">
        <f>+D25</f>
        <v>G/L Account</v>
      </c>
      <c r="E28" s="396">
        <v>231311</v>
      </c>
      <c r="F28" s="395"/>
      <c r="G28" s="395" t="str">
        <f>+G25</f>
        <v>Vacation Accr+Reversal BLZ&amp; Chinese Staff Feb 2024</v>
      </c>
      <c r="H28" s="395"/>
      <c r="I28" s="397">
        <f>+IF(H28&lt;&gt;0,0,+T28)</f>
        <v>-3028.8461538461538</v>
      </c>
      <c r="J28" s="397"/>
      <c r="K28" s="398">
        <f>+IF(I28&lt;&gt;0,I28,-J28)</f>
        <v>-3028.8461538461538</v>
      </c>
      <c r="L28" s="395"/>
      <c r="M28" s="398"/>
      <c r="N28" s="395" t="s">
        <v>140</v>
      </c>
      <c r="O28" s="399"/>
      <c r="P28" s="400">
        <f t="shared" si="3"/>
        <v>50</v>
      </c>
      <c r="Q28" s="401"/>
      <c r="R28" s="402"/>
      <c r="T28" s="403">
        <f>-SUM(T5:T27)</f>
        <v>-3028.8461538461538</v>
      </c>
      <c r="U28" s="403"/>
      <c r="V28" s="390"/>
      <c r="W28" s="404"/>
    </row>
    <row r="29" spans="2:23" s="387" customFormat="1" ht="24" customHeight="1">
      <c r="B29" s="405">
        <f t="shared" si="7"/>
        <v>45351</v>
      </c>
      <c r="C29" s="406" t="str">
        <f t="shared" si="7"/>
        <v>SAL00602</v>
      </c>
      <c r="D29" s="387" t="str">
        <f t="shared" si="5"/>
        <v>G/L Account</v>
      </c>
      <c r="E29" s="387">
        <v>517111</v>
      </c>
      <c r="G29" s="387" t="str">
        <f>+"Accr Expatri 13th Mth-BLZ&amp;Chin Staff "&amp;$B$3</f>
        <v>Accr Expatri 13th Mth-BLZ&amp;Chin Staff Feb 2024</v>
      </c>
      <c r="H29" s="387">
        <v>110</v>
      </c>
      <c r="I29" s="370">
        <f>+IF(T29&gt;0,T29,0)</f>
        <v>0</v>
      </c>
      <c r="J29" s="370">
        <f t="shared" ref="J29:J48" si="8">+IF(I29&lt;&gt;0,0,-T29)</f>
        <v>0</v>
      </c>
      <c r="K29" s="372">
        <f>+IF(I29&lt;&gt;0,I29,-J29)</f>
        <v>0</v>
      </c>
      <c r="M29" s="372"/>
      <c r="N29" s="387" t="s">
        <v>140</v>
      </c>
      <c r="O29" s="407"/>
      <c r="P29" s="387">
        <f t="shared" si="3"/>
        <v>45</v>
      </c>
      <c r="Q29" s="371" t="s">
        <v>19</v>
      </c>
      <c r="R29" s="389" t="s">
        <v>177</v>
      </c>
      <c r="S29" s="384"/>
      <c r="T29" s="372">
        <f>+SUMIF('PROV.13E MOIS ET BONUS'!$B:$B,H29,'PROV.13E MOIS ET BONUS'!AP:AP)</f>
        <v>0</v>
      </c>
      <c r="U29" s="372"/>
      <c r="V29" s="390"/>
    </row>
    <row r="30" spans="2:23" s="387" customFormat="1" ht="24" customHeight="1">
      <c r="B30" s="391">
        <f t="shared" si="7"/>
        <v>45351</v>
      </c>
      <c r="C30" s="369" t="str">
        <f t="shared" si="7"/>
        <v>SAL00602</v>
      </c>
      <c r="D30" s="369" t="str">
        <f t="shared" si="5"/>
        <v>G/L Account</v>
      </c>
      <c r="E30" s="369">
        <f>+E29</f>
        <v>517111</v>
      </c>
      <c r="F30" s="369"/>
      <c r="G30" s="369" t="str">
        <f>+G29</f>
        <v>Accr Expatri 13th Mth-BLZ&amp;Chin Staff Feb 2024</v>
      </c>
      <c r="H30" s="369">
        <v>120</v>
      </c>
      <c r="I30" s="370">
        <f t="shared" ref="I30:I51" si="9">+IF(T30&gt;0,T30,0)</f>
        <v>375</v>
      </c>
      <c r="J30" s="370"/>
      <c r="K30" s="408">
        <f>+IF(I30&lt;&gt;0,I30,-J30)</f>
        <v>375</v>
      </c>
      <c r="L30" s="369"/>
      <c r="M30" s="372"/>
      <c r="N30" s="369" t="s">
        <v>140</v>
      </c>
      <c r="O30" s="389"/>
      <c r="P30" s="346">
        <f>+LEN(G30)</f>
        <v>45</v>
      </c>
      <c r="Q30" s="371" t="s">
        <v>20</v>
      </c>
      <c r="R30" s="371" t="s">
        <v>178</v>
      </c>
      <c r="S30" s="384"/>
      <c r="T30" s="372">
        <f>+SUMIF('PROV.13E MOIS ET BONUS'!$B:$B,H30,'PROV.13E MOIS ET BONUS'!AP:AP)</f>
        <v>375</v>
      </c>
      <c r="U30" s="372"/>
      <c r="V30" s="390"/>
      <c r="W30" s="409"/>
    </row>
    <row r="31" spans="2:23" ht="24" customHeight="1">
      <c r="B31" s="391">
        <f t="shared" si="7"/>
        <v>45351</v>
      </c>
      <c r="C31" s="369" t="str">
        <f t="shared" si="7"/>
        <v>SAL00602</v>
      </c>
      <c r="D31" s="369" t="str">
        <f t="shared" si="5"/>
        <v>G/L Account</v>
      </c>
      <c r="E31" s="369">
        <f>+E29</f>
        <v>517111</v>
      </c>
      <c r="G31" s="369" t="str">
        <f>+G29</f>
        <v>Accr Expatri 13th Mth-BLZ&amp;Chin Staff Feb 2024</v>
      </c>
      <c r="H31" s="369">
        <v>140</v>
      </c>
      <c r="I31" s="370">
        <f t="shared" si="9"/>
        <v>129.03225806451613</v>
      </c>
      <c r="K31" s="408">
        <f t="shared" ref="K31:K47" si="10">+IF(I31&lt;&gt;0,I31,-J31)</f>
        <v>129.03225806451613</v>
      </c>
      <c r="M31" s="372"/>
      <c r="N31" s="369" t="s">
        <v>140</v>
      </c>
      <c r="O31" s="389"/>
      <c r="P31" s="346">
        <f t="shared" ref="P31:P47" si="11">+LEN(G31)</f>
        <v>45</v>
      </c>
      <c r="Q31" s="371" t="s">
        <v>21</v>
      </c>
      <c r="R31" s="371" t="s">
        <v>179</v>
      </c>
      <c r="S31" s="384"/>
      <c r="T31" s="372">
        <f>+SUMIF('PROV.13E MOIS ET BONUS'!$B:$B,H31,'PROV.13E MOIS ET BONUS'!AP:AP)</f>
        <v>129.03225806451613</v>
      </c>
      <c r="V31" s="390"/>
      <c r="W31" s="409"/>
    </row>
    <row r="32" spans="2:23" ht="24" customHeight="1">
      <c r="B32" s="391">
        <f t="shared" si="7"/>
        <v>45351</v>
      </c>
      <c r="C32" s="369" t="str">
        <f t="shared" si="7"/>
        <v>SAL00602</v>
      </c>
      <c r="D32" s="369" t="str">
        <f t="shared" si="5"/>
        <v>G/L Account</v>
      </c>
      <c r="E32" s="369">
        <f t="shared" ref="E32:E33" si="12">+E31</f>
        <v>517111</v>
      </c>
      <c r="G32" s="369" t="str">
        <f t="shared" ref="G32:G48" si="13">+G31</f>
        <v>Accr Expatri 13th Mth-BLZ&amp;Chin Staff Feb 2024</v>
      </c>
      <c r="H32" s="369">
        <v>160</v>
      </c>
      <c r="I32" s="370">
        <f t="shared" si="9"/>
        <v>0</v>
      </c>
      <c r="J32" s="370">
        <f t="shared" si="8"/>
        <v>0</v>
      </c>
      <c r="K32" s="370">
        <f t="shared" si="10"/>
        <v>0</v>
      </c>
      <c r="M32" s="372"/>
      <c r="N32" s="369" t="s">
        <v>140</v>
      </c>
      <c r="O32" s="389"/>
      <c r="P32" s="346">
        <f t="shared" si="11"/>
        <v>45</v>
      </c>
      <c r="Q32" s="371" t="s">
        <v>22</v>
      </c>
      <c r="R32" s="371" t="s">
        <v>180</v>
      </c>
      <c r="S32" s="384"/>
      <c r="T32" s="372">
        <f>+SUMIF('PROV.13E MOIS ET BONUS'!$B:$B,H32,'PROV.13E MOIS ET BONUS'!AP:AP)</f>
        <v>0</v>
      </c>
      <c r="V32" s="390"/>
      <c r="W32" s="409"/>
    </row>
    <row r="33" spans="2:23" ht="24" customHeight="1">
      <c r="B33" s="391">
        <f t="shared" si="7"/>
        <v>45351</v>
      </c>
      <c r="C33" s="369" t="str">
        <f t="shared" si="7"/>
        <v>SAL00602</v>
      </c>
      <c r="D33" s="369" t="str">
        <f t="shared" si="5"/>
        <v>G/L Account</v>
      </c>
      <c r="E33" s="369">
        <f t="shared" si="12"/>
        <v>517111</v>
      </c>
      <c r="G33" s="369" t="str">
        <f t="shared" si="13"/>
        <v>Accr Expatri 13th Mth-BLZ&amp;Chin Staff Feb 2024</v>
      </c>
      <c r="H33" s="369">
        <v>216</v>
      </c>
      <c r="I33" s="370">
        <f t="shared" si="9"/>
        <v>0</v>
      </c>
      <c r="J33" s="370">
        <f t="shared" si="8"/>
        <v>0</v>
      </c>
      <c r="K33" s="370">
        <f t="shared" si="10"/>
        <v>0</v>
      </c>
      <c r="M33" s="372"/>
      <c r="N33" s="369" t="s">
        <v>140</v>
      </c>
      <c r="O33" s="389"/>
      <c r="P33" s="346">
        <f t="shared" si="11"/>
        <v>45</v>
      </c>
      <c r="Q33" s="371" t="s">
        <v>23</v>
      </c>
      <c r="R33" s="371" t="s">
        <v>153</v>
      </c>
      <c r="S33" s="384"/>
      <c r="T33" s="372">
        <f>+SUMIF('PROV.13E MOIS ET BONUS'!$B:$B,H33,'PROV.13E MOIS ET BONUS'!AP:AP)</f>
        <v>0</v>
      </c>
      <c r="V33" s="390"/>
      <c r="W33" s="409"/>
    </row>
    <row r="34" spans="2:23" ht="24" customHeight="1">
      <c r="B34" s="391">
        <f t="shared" si="7"/>
        <v>45351</v>
      </c>
      <c r="C34" s="369" t="str">
        <f t="shared" si="7"/>
        <v>SAL00602</v>
      </c>
      <c r="D34" s="369" t="str">
        <f t="shared" si="5"/>
        <v>G/L Account</v>
      </c>
      <c r="E34" s="369">
        <f>+E32</f>
        <v>517111</v>
      </c>
      <c r="G34" s="369" t="str">
        <f>+G32</f>
        <v>Accr Expatri 13th Mth-BLZ&amp;Chin Staff Feb 2024</v>
      </c>
      <c r="H34" s="369">
        <v>290</v>
      </c>
      <c r="I34" s="370">
        <f t="shared" si="9"/>
        <v>495.71572580645159</v>
      </c>
      <c r="K34" s="408">
        <f t="shared" si="10"/>
        <v>495.71572580645159</v>
      </c>
      <c r="M34" s="372"/>
      <c r="N34" s="369" t="s">
        <v>140</v>
      </c>
      <c r="O34" s="389"/>
      <c r="P34" s="346">
        <f t="shared" si="11"/>
        <v>45</v>
      </c>
      <c r="Q34" s="371" t="s">
        <v>24</v>
      </c>
      <c r="R34" s="371" t="s">
        <v>155</v>
      </c>
      <c r="S34" s="384"/>
      <c r="T34" s="372">
        <f>+SUMIF('PROV.13E MOIS ET BONUS'!$B:$B,H34,'PROV.13E MOIS ET BONUS'!AP:AP)</f>
        <v>495.71572580645159</v>
      </c>
      <c r="V34" s="390"/>
      <c r="W34" s="409"/>
    </row>
    <row r="35" spans="2:23" ht="24" customHeight="1">
      <c r="B35" s="391">
        <f t="shared" si="7"/>
        <v>45351</v>
      </c>
      <c r="C35" s="369" t="str">
        <f t="shared" si="7"/>
        <v>SAL00602</v>
      </c>
      <c r="D35" s="369" t="str">
        <f t="shared" si="5"/>
        <v>G/L Account</v>
      </c>
      <c r="E35" s="369">
        <f t="shared" ref="E35:E48" si="14">+E34</f>
        <v>517111</v>
      </c>
      <c r="G35" s="369" t="str">
        <f t="shared" si="13"/>
        <v>Accr Expatri 13th Mth-BLZ&amp;Chin Staff Feb 2024</v>
      </c>
      <c r="H35" s="369">
        <v>212</v>
      </c>
      <c r="I35" s="370">
        <f t="shared" si="9"/>
        <v>0</v>
      </c>
      <c r="J35" s="370">
        <f t="shared" si="8"/>
        <v>0</v>
      </c>
      <c r="K35" s="370">
        <f t="shared" si="10"/>
        <v>0</v>
      </c>
      <c r="M35" s="372"/>
      <c r="N35" s="369" t="s">
        <v>140</v>
      </c>
      <c r="O35" s="389"/>
      <c r="P35" s="346">
        <f t="shared" si="11"/>
        <v>45</v>
      </c>
      <c r="Q35" s="371" t="s">
        <v>25</v>
      </c>
      <c r="R35" s="371" t="s">
        <v>157</v>
      </c>
      <c r="S35" s="384"/>
      <c r="T35" s="372">
        <f>+SUMIF('PROV.13E MOIS ET BONUS'!$B:$B,H35,'PROV.13E MOIS ET BONUS'!AP:AP)</f>
        <v>0</v>
      </c>
      <c r="V35" s="390"/>
      <c r="W35" s="409"/>
    </row>
    <row r="36" spans="2:23" ht="24" customHeight="1">
      <c r="B36" s="391">
        <f t="shared" si="7"/>
        <v>45351</v>
      </c>
      <c r="C36" s="369" t="str">
        <f t="shared" si="7"/>
        <v>SAL00602</v>
      </c>
      <c r="D36" s="369" t="str">
        <f t="shared" si="5"/>
        <v>G/L Account</v>
      </c>
      <c r="E36" s="369">
        <f t="shared" si="14"/>
        <v>517111</v>
      </c>
      <c r="G36" s="369" t="str">
        <f t="shared" si="13"/>
        <v>Accr Expatri 13th Mth-BLZ&amp;Chin Staff Feb 2024</v>
      </c>
      <c r="H36" s="369">
        <v>251</v>
      </c>
      <c r="I36" s="370">
        <f t="shared" si="9"/>
        <v>0</v>
      </c>
      <c r="J36" s="370">
        <f t="shared" si="8"/>
        <v>0</v>
      </c>
      <c r="K36" s="370">
        <f t="shared" si="10"/>
        <v>0</v>
      </c>
      <c r="M36" s="372"/>
      <c r="N36" s="369" t="s">
        <v>140</v>
      </c>
      <c r="O36" s="389"/>
      <c r="P36" s="346">
        <f t="shared" si="11"/>
        <v>45</v>
      </c>
      <c r="Q36" s="371" t="s">
        <v>26</v>
      </c>
      <c r="R36" s="371" t="s">
        <v>159</v>
      </c>
      <c r="S36" s="384"/>
      <c r="T36" s="372">
        <f>+SUMIF('PROV.13E MOIS ET BONUS'!$B:$B,H36,'PROV.13E MOIS ET BONUS'!AP:AP)</f>
        <v>0</v>
      </c>
      <c r="V36" s="390"/>
      <c r="W36" s="409"/>
    </row>
    <row r="37" spans="2:23" ht="24" customHeight="1">
      <c r="B37" s="391">
        <f t="shared" si="7"/>
        <v>45351</v>
      </c>
      <c r="C37" s="369" t="str">
        <f t="shared" si="7"/>
        <v>SAL00602</v>
      </c>
      <c r="D37" s="369" t="str">
        <f t="shared" si="5"/>
        <v>G/L Account</v>
      </c>
      <c r="E37" s="369">
        <f t="shared" si="14"/>
        <v>517111</v>
      </c>
      <c r="G37" s="369" t="str">
        <f t="shared" si="13"/>
        <v>Accr Expatri 13th Mth-BLZ&amp;Chin Staff Feb 2024</v>
      </c>
      <c r="H37" s="369">
        <v>281</v>
      </c>
      <c r="I37" s="370" t="e">
        <f t="shared" si="9"/>
        <v>#DIV/0!</v>
      </c>
      <c r="K37" s="408" t="e">
        <f t="shared" si="10"/>
        <v>#DIV/0!</v>
      </c>
      <c r="M37" s="372"/>
      <c r="N37" s="369" t="s">
        <v>140</v>
      </c>
      <c r="O37" s="389"/>
      <c r="P37" s="346">
        <f t="shared" si="11"/>
        <v>45</v>
      </c>
      <c r="Q37" s="371" t="s">
        <v>27</v>
      </c>
      <c r="R37" s="371" t="s">
        <v>161</v>
      </c>
      <c r="S37" s="384"/>
      <c r="T37" s="372" t="e">
        <f>+SUMIF('PROV.13E MOIS ET BONUS'!$B:$B,H37,'PROV.13E MOIS ET BONUS'!AP:AP)</f>
        <v>#DIV/0!</v>
      </c>
      <c r="V37" s="390"/>
      <c r="W37" s="409"/>
    </row>
    <row r="38" spans="2:23" ht="24" customHeight="1">
      <c r="B38" s="391">
        <f t="shared" si="7"/>
        <v>45351</v>
      </c>
      <c r="C38" s="369" t="str">
        <f t="shared" si="7"/>
        <v>SAL00602</v>
      </c>
      <c r="D38" s="369" t="str">
        <f t="shared" si="5"/>
        <v>G/L Account</v>
      </c>
      <c r="E38" s="369">
        <f t="shared" si="14"/>
        <v>517111</v>
      </c>
      <c r="G38" s="369" t="str">
        <f t="shared" si="13"/>
        <v>Accr Expatri 13th Mth-BLZ&amp;Chin Staff Feb 2024</v>
      </c>
      <c r="H38" s="369">
        <v>282</v>
      </c>
      <c r="I38" s="370">
        <f t="shared" si="9"/>
        <v>0</v>
      </c>
      <c r="J38" s="370">
        <f t="shared" si="8"/>
        <v>0</v>
      </c>
      <c r="K38" s="370">
        <f t="shared" si="10"/>
        <v>0</v>
      </c>
      <c r="M38" s="372"/>
      <c r="N38" s="369" t="s">
        <v>140</v>
      </c>
      <c r="O38" s="389"/>
      <c r="P38" s="346">
        <f t="shared" si="11"/>
        <v>45</v>
      </c>
      <c r="Q38" s="371" t="s">
        <v>28</v>
      </c>
      <c r="R38" s="371" t="s">
        <v>163</v>
      </c>
      <c r="S38" s="384"/>
      <c r="T38" s="372">
        <f>+SUMIF('PROV.13E MOIS ET BONUS'!$B:$B,H38,'PROV.13E MOIS ET BONUS'!AP:AP)</f>
        <v>0</v>
      </c>
      <c r="V38" s="390"/>
      <c r="W38" s="409"/>
    </row>
    <row r="39" spans="2:23" ht="24" customHeight="1">
      <c r="B39" s="391">
        <f t="shared" ref="B39:C52" si="15">+B38</f>
        <v>45351</v>
      </c>
      <c r="C39" s="369" t="str">
        <f t="shared" si="15"/>
        <v>SAL00602</v>
      </c>
      <c r="D39" s="369" t="str">
        <f t="shared" si="5"/>
        <v>G/L Account</v>
      </c>
      <c r="E39" s="369">
        <f t="shared" si="14"/>
        <v>517111</v>
      </c>
      <c r="G39" s="369" t="str">
        <f t="shared" si="13"/>
        <v>Accr Expatri 13th Mth-BLZ&amp;Chin Staff Feb 2024</v>
      </c>
      <c r="H39" s="369">
        <v>460</v>
      </c>
      <c r="I39" s="370">
        <f t="shared" si="9"/>
        <v>0</v>
      </c>
      <c r="J39" s="370">
        <f t="shared" si="8"/>
        <v>0</v>
      </c>
      <c r="K39" s="370">
        <f t="shared" si="10"/>
        <v>0</v>
      </c>
      <c r="M39" s="372"/>
      <c r="N39" s="369" t="s">
        <v>140</v>
      </c>
      <c r="O39" s="389"/>
      <c r="P39" s="346">
        <f t="shared" si="11"/>
        <v>45</v>
      </c>
      <c r="Q39" s="371" t="s">
        <v>29</v>
      </c>
      <c r="R39" s="371" t="s">
        <v>165</v>
      </c>
      <c r="S39" s="384"/>
      <c r="T39" s="372">
        <f>+SUMIF('PROV.13E MOIS ET BONUS'!$B:$B,H39,'PROV.13E MOIS ET BONUS'!AP:AP)</f>
        <v>0</v>
      </c>
      <c r="V39" s="390"/>
      <c r="W39" s="409"/>
    </row>
    <row r="40" spans="2:23" ht="24" customHeight="1">
      <c r="B40" s="391">
        <f t="shared" si="15"/>
        <v>45351</v>
      </c>
      <c r="C40" s="369" t="str">
        <f t="shared" si="15"/>
        <v>SAL00602</v>
      </c>
      <c r="D40" s="369" t="str">
        <f t="shared" si="5"/>
        <v>G/L Account</v>
      </c>
      <c r="E40" s="369">
        <f t="shared" si="14"/>
        <v>517111</v>
      </c>
      <c r="G40" s="369" t="str">
        <f t="shared" si="13"/>
        <v>Accr Expatri 13th Mth-BLZ&amp;Chin Staff Feb 2024</v>
      </c>
      <c r="H40" s="369">
        <v>610</v>
      </c>
      <c r="I40" s="370">
        <f t="shared" si="9"/>
        <v>80.645161290322577</v>
      </c>
      <c r="K40" s="408">
        <f t="shared" si="10"/>
        <v>80.645161290322577</v>
      </c>
      <c r="M40" s="372"/>
      <c r="N40" s="369" t="s">
        <v>140</v>
      </c>
      <c r="O40" s="389"/>
      <c r="P40" s="346">
        <f t="shared" si="11"/>
        <v>45</v>
      </c>
      <c r="Q40" s="371" t="s">
        <v>30</v>
      </c>
      <c r="R40" s="371" t="s">
        <v>167</v>
      </c>
      <c r="S40" s="384"/>
      <c r="T40" s="372">
        <f>+SUMIF('PROV.13E MOIS ET BONUS'!$B:$B,H40,'PROV.13E MOIS ET BONUS'!AP:AP)</f>
        <v>80.645161290322577</v>
      </c>
      <c r="V40" s="390"/>
      <c r="W40" s="409"/>
    </row>
    <row r="41" spans="2:23" ht="24" customHeight="1">
      <c r="B41" s="391">
        <f t="shared" si="15"/>
        <v>45351</v>
      </c>
      <c r="C41" s="369" t="str">
        <f t="shared" si="15"/>
        <v>SAL00602</v>
      </c>
      <c r="D41" s="369" t="str">
        <f t="shared" si="5"/>
        <v>G/L Account</v>
      </c>
      <c r="E41" s="369">
        <f t="shared" si="14"/>
        <v>517111</v>
      </c>
      <c r="G41" s="369" t="str">
        <f t="shared" si="13"/>
        <v>Accr Expatri 13th Mth-BLZ&amp;Chin Staff Feb 2024</v>
      </c>
      <c r="H41" s="369">
        <v>620</v>
      </c>
      <c r="I41" s="370">
        <f t="shared" si="9"/>
        <v>124.99999999999999</v>
      </c>
      <c r="K41" s="408">
        <f t="shared" si="10"/>
        <v>124.99999999999999</v>
      </c>
      <c r="M41" s="372"/>
      <c r="N41" s="369" t="s">
        <v>140</v>
      </c>
      <c r="O41" s="389"/>
      <c r="P41" s="346">
        <f t="shared" si="11"/>
        <v>45</v>
      </c>
      <c r="S41" s="384"/>
      <c r="T41" s="372">
        <f>+SUMIF('PROV.13E MOIS ET BONUS'!$B:$B,H41,'PROV.13E MOIS ET BONUS'!AP:AP)</f>
        <v>124.99999999999999</v>
      </c>
      <c r="V41" s="390"/>
      <c r="W41" s="409"/>
    </row>
    <row r="42" spans="2:23" ht="24" customHeight="1">
      <c r="B42" s="391">
        <f t="shared" si="15"/>
        <v>45351</v>
      </c>
      <c r="C42" s="369" t="str">
        <f t="shared" si="15"/>
        <v>SAL00602</v>
      </c>
      <c r="D42" s="369" t="str">
        <f t="shared" si="5"/>
        <v>G/L Account</v>
      </c>
      <c r="E42" s="369">
        <f t="shared" si="14"/>
        <v>517111</v>
      </c>
      <c r="G42" s="369" t="str">
        <f t="shared" si="13"/>
        <v>Accr Expatri 13th Mth-BLZ&amp;Chin Staff Feb 2024</v>
      </c>
      <c r="H42" s="369">
        <v>630</v>
      </c>
      <c r="I42" s="370">
        <f t="shared" si="9"/>
        <v>164.0625</v>
      </c>
      <c r="K42" s="408">
        <f t="shared" si="10"/>
        <v>164.0625</v>
      </c>
      <c r="M42" s="372"/>
      <c r="N42" s="369" t="s">
        <v>140</v>
      </c>
      <c r="O42" s="389"/>
      <c r="P42" s="346">
        <f t="shared" si="11"/>
        <v>45</v>
      </c>
      <c r="Q42" s="369"/>
      <c r="R42" s="369"/>
      <c r="S42" s="384"/>
      <c r="T42" s="372">
        <f>+SUMIF('PROV.13E MOIS ET BONUS'!$B:$B,H42,'PROV.13E MOIS ET BONUS'!AP:AP)</f>
        <v>164.0625</v>
      </c>
      <c r="V42" s="390"/>
      <c r="W42" s="409"/>
    </row>
    <row r="43" spans="2:23" ht="24" customHeight="1">
      <c r="B43" s="391">
        <f t="shared" si="15"/>
        <v>45351</v>
      </c>
      <c r="C43" s="369" t="str">
        <f t="shared" si="15"/>
        <v>SAL00602</v>
      </c>
      <c r="D43" s="369" t="str">
        <f t="shared" si="5"/>
        <v>G/L Account</v>
      </c>
      <c r="E43" s="369">
        <f t="shared" si="14"/>
        <v>517111</v>
      </c>
      <c r="G43" s="369" t="str">
        <f t="shared" si="13"/>
        <v>Accr Expatri 13th Mth-BLZ&amp;Chin Staff Feb 2024</v>
      </c>
      <c r="H43" s="369">
        <v>640</v>
      </c>
      <c r="I43" s="370">
        <f t="shared" si="9"/>
        <v>0</v>
      </c>
      <c r="J43" s="370">
        <f t="shared" si="8"/>
        <v>0</v>
      </c>
      <c r="K43" s="370">
        <f t="shared" si="10"/>
        <v>0</v>
      </c>
      <c r="M43" s="372"/>
      <c r="N43" s="369" t="s">
        <v>140</v>
      </c>
      <c r="O43" s="389"/>
      <c r="P43" s="346">
        <f t="shared" si="11"/>
        <v>45</v>
      </c>
      <c r="Q43" s="392"/>
      <c r="S43" s="384"/>
      <c r="T43" s="372">
        <f>+SUMIF('PROV.13E MOIS ET BONUS'!$B:$B,H43,'PROV.13E MOIS ET BONUS'!AP:AP)</f>
        <v>0</v>
      </c>
      <c r="V43" s="390"/>
      <c r="W43" s="409"/>
    </row>
    <row r="44" spans="2:23" ht="24" customHeight="1">
      <c r="B44" s="391">
        <f t="shared" si="15"/>
        <v>45351</v>
      </c>
      <c r="C44" s="369" t="str">
        <f t="shared" si="15"/>
        <v>SAL00602</v>
      </c>
      <c r="D44" s="369" t="str">
        <f t="shared" si="5"/>
        <v>G/L Account</v>
      </c>
      <c r="E44" s="369">
        <f t="shared" si="14"/>
        <v>517111</v>
      </c>
      <c r="G44" s="369" t="str">
        <f t="shared" si="13"/>
        <v>Accr Expatri 13th Mth-BLZ&amp;Chin Staff Feb 2024</v>
      </c>
      <c r="H44" s="369">
        <v>650</v>
      </c>
      <c r="I44" s="370">
        <f t="shared" si="9"/>
        <v>0</v>
      </c>
      <c r="J44" s="370">
        <f t="shared" si="8"/>
        <v>0</v>
      </c>
      <c r="K44" s="370">
        <f t="shared" si="10"/>
        <v>0</v>
      </c>
      <c r="M44" s="372"/>
      <c r="N44" s="369" t="s">
        <v>140</v>
      </c>
      <c r="O44" s="389"/>
      <c r="P44" s="346">
        <f t="shared" si="11"/>
        <v>45</v>
      </c>
      <c r="Q44" s="392"/>
      <c r="S44" s="384"/>
      <c r="T44" s="372">
        <f>+SUMIF('PROV.13E MOIS ET BONUS'!$B:$B,H44,'PROV.13E MOIS ET BONUS'!AP:AP)</f>
        <v>0</v>
      </c>
      <c r="V44" s="390"/>
      <c r="W44" s="409"/>
    </row>
    <row r="45" spans="2:23" ht="24" customHeight="1">
      <c r="B45" s="391">
        <f t="shared" si="15"/>
        <v>45351</v>
      </c>
      <c r="C45" s="369" t="str">
        <f t="shared" si="15"/>
        <v>SAL00602</v>
      </c>
      <c r="D45" s="369" t="str">
        <f t="shared" si="5"/>
        <v>G/L Account</v>
      </c>
      <c r="E45" s="369">
        <f t="shared" si="14"/>
        <v>517111</v>
      </c>
      <c r="G45" s="369" t="str">
        <f t="shared" si="13"/>
        <v>Accr Expatri 13th Mth-BLZ&amp;Chin Staff Feb 2024</v>
      </c>
      <c r="H45" s="369">
        <v>660</v>
      </c>
      <c r="I45" s="370">
        <f t="shared" si="9"/>
        <v>156.25</v>
      </c>
      <c r="K45" s="408">
        <f t="shared" si="10"/>
        <v>156.25</v>
      </c>
      <c r="M45" s="372"/>
      <c r="N45" s="369" t="s">
        <v>140</v>
      </c>
      <c r="O45" s="389"/>
      <c r="P45" s="346">
        <f t="shared" si="11"/>
        <v>45</v>
      </c>
      <c r="Q45" s="392"/>
      <c r="S45" s="384"/>
      <c r="T45" s="372">
        <f>+SUMIF('PROV.13E MOIS ET BONUS'!$B:$B,H45,'PROV.13E MOIS ET BONUS'!AP:AP)</f>
        <v>156.25</v>
      </c>
      <c r="V45" s="390"/>
      <c r="W45" s="409"/>
    </row>
    <row r="46" spans="2:23" ht="24" customHeight="1">
      <c r="B46" s="391">
        <f t="shared" si="15"/>
        <v>45351</v>
      </c>
      <c r="C46" s="369" t="str">
        <f t="shared" si="15"/>
        <v>SAL00602</v>
      </c>
      <c r="D46" s="369" t="str">
        <f t="shared" si="5"/>
        <v>G/L Account</v>
      </c>
      <c r="E46" s="369">
        <f t="shared" si="14"/>
        <v>517111</v>
      </c>
      <c r="G46" s="369" t="str">
        <f t="shared" si="13"/>
        <v>Accr Expatri 13th Mth-BLZ&amp;Chin Staff Feb 2024</v>
      </c>
      <c r="H46" s="369">
        <v>710</v>
      </c>
      <c r="I46" s="370">
        <f t="shared" si="9"/>
        <v>101.5625</v>
      </c>
      <c r="K46" s="408">
        <f t="shared" si="10"/>
        <v>101.5625</v>
      </c>
      <c r="M46" s="372"/>
      <c r="N46" s="369" t="s">
        <v>140</v>
      </c>
      <c r="O46" s="389"/>
      <c r="P46" s="346">
        <f t="shared" si="11"/>
        <v>45</v>
      </c>
      <c r="Q46" s="392"/>
      <c r="T46" s="372">
        <f>+SUMIF('PROV.13E MOIS ET BONUS'!$B:$B,H46,'PROV.13E MOIS ET BONUS'!AP:AP)</f>
        <v>101.5625</v>
      </c>
      <c r="V46" s="390"/>
      <c r="W46" s="409"/>
    </row>
    <row r="47" spans="2:23" ht="24" customHeight="1">
      <c r="B47" s="391">
        <f t="shared" si="15"/>
        <v>45351</v>
      </c>
      <c r="C47" s="369" t="str">
        <f t="shared" si="15"/>
        <v>SAL00602</v>
      </c>
      <c r="D47" s="369" t="str">
        <f t="shared" si="5"/>
        <v>G/L Account</v>
      </c>
      <c r="E47" s="369">
        <f t="shared" si="14"/>
        <v>517111</v>
      </c>
      <c r="G47" s="369" t="str">
        <f t="shared" si="13"/>
        <v>Accr Expatri 13th Mth-BLZ&amp;Chin Staff Feb 2024</v>
      </c>
      <c r="H47" s="369">
        <v>720</v>
      </c>
      <c r="I47" s="370">
        <f t="shared" si="9"/>
        <v>0</v>
      </c>
      <c r="J47" s="370">
        <f t="shared" si="8"/>
        <v>0</v>
      </c>
      <c r="K47" s="370">
        <f t="shared" si="10"/>
        <v>0</v>
      </c>
      <c r="M47" s="372"/>
      <c r="N47" s="369" t="s">
        <v>140</v>
      </c>
      <c r="O47" s="389"/>
      <c r="P47" s="346">
        <f t="shared" si="11"/>
        <v>45</v>
      </c>
      <c r="Q47" s="392"/>
      <c r="T47" s="372">
        <f>+SUMIF('PROV.13E MOIS ET BONUS'!$B:$B,H47,'PROV.13E MOIS ET BONUS'!AP:AP)</f>
        <v>0</v>
      </c>
      <c r="V47" s="390"/>
      <c r="W47" s="409"/>
    </row>
    <row r="48" spans="2:23" ht="24" customHeight="1">
      <c r="B48" s="391">
        <f t="shared" si="15"/>
        <v>45351</v>
      </c>
      <c r="C48" s="369" t="str">
        <f t="shared" si="15"/>
        <v>SAL00602</v>
      </c>
      <c r="D48" s="369" t="str">
        <f t="shared" si="5"/>
        <v>G/L Account</v>
      </c>
      <c r="E48" s="369">
        <f t="shared" si="14"/>
        <v>517111</v>
      </c>
      <c r="G48" s="369" t="str">
        <f t="shared" si="13"/>
        <v>Accr Expatri 13th Mth-BLZ&amp;Chin Staff Feb 2024</v>
      </c>
      <c r="H48" s="369">
        <v>730</v>
      </c>
      <c r="I48" s="370">
        <f t="shared" si="9"/>
        <v>0</v>
      </c>
      <c r="J48" s="370">
        <f t="shared" si="8"/>
        <v>0</v>
      </c>
      <c r="K48" s="370">
        <f>+IF(I48&lt;&gt;0,I48,-J48)</f>
        <v>0</v>
      </c>
      <c r="M48" s="372"/>
      <c r="N48" s="369" t="s">
        <v>140</v>
      </c>
      <c r="O48" s="389"/>
      <c r="P48" s="346">
        <f>+LEN(G48)</f>
        <v>45</v>
      </c>
      <c r="Q48" s="392"/>
      <c r="T48" s="372">
        <f>+SUMIF('PROV.13E MOIS ET BONUS'!$B:$B,H48,'PROV.13E MOIS ET BONUS'!AP:AP)</f>
        <v>0</v>
      </c>
      <c r="V48" s="390"/>
      <c r="W48" s="409"/>
    </row>
    <row r="49" spans="2:23" ht="24" customHeight="1">
      <c r="B49" s="391">
        <f t="shared" si="15"/>
        <v>45351</v>
      </c>
      <c r="C49" s="369" t="str">
        <f t="shared" si="15"/>
        <v>SAL00602</v>
      </c>
      <c r="D49" s="369" t="str">
        <f t="shared" si="5"/>
        <v>G/L Account</v>
      </c>
      <c r="E49" s="369">
        <f>+E47</f>
        <v>517111</v>
      </c>
      <c r="G49" s="369" t="str">
        <f>+G47</f>
        <v>Accr Expatri 13th Mth-BLZ&amp;Chin Staff Feb 2024</v>
      </c>
      <c r="H49" s="369">
        <v>810</v>
      </c>
      <c r="I49" s="370" t="e">
        <f t="shared" si="9"/>
        <v>#DIV/0!</v>
      </c>
      <c r="K49" s="370" t="e">
        <f t="shared" ref="K49:K98" si="16">+IF(I49&lt;&gt;0,I49,-J49)</f>
        <v>#DIV/0!</v>
      </c>
      <c r="M49" s="372"/>
      <c r="N49" s="369" t="s">
        <v>140</v>
      </c>
      <c r="O49" s="389"/>
      <c r="P49" s="346">
        <f t="shared" ref="P49:P99" si="17">+LEN(G49)</f>
        <v>45</v>
      </c>
      <c r="Q49" s="392"/>
      <c r="T49" s="372" t="e">
        <f>+SUMIF('PROV.13E MOIS ET BONUS'!$B:$B,H49,'PROV.13E MOIS ET BONUS'!AP:AP)</f>
        <v>#DIV/0!</v>
      </c>
      <c r="V49" s="390"/>
      <c r="W49" s="409"/>
    </row>
    <row r="50" spans="2:23" ht="24" customHeight="1">
      <c r="B50" s="391">
        <f t="shared" si="15"/>
        <v>45351</v>
      </c>
      <c r="C50" s="369" t="str">
        <f t="shared" si="15"/>
        <v>SAL00602</v>
      </c>
      <c r="D50" s="369" t="str">
        <f t="shared" si="5"/>
        <v>G/L Account</v>
      </c>
      <c r="E50" s="393">
        <v>212110</v>
      </c>
      <c r="G50" s="369" t="str">
        <f>+G48&amp;"-HAN YOUCHAI"</f>
        <v>Accr Expatri 13th Mth-BLZ&amp;Chin Staff Feb 2024-HAN YOUCHAI</v>
      </c>
      <c r="H50" s="393">
        <v>960</v>
      </c>
      <c r="I50" s="370" t="e">
        <f t="shared" si="9"/>
        <v>#DIV/0!</v>
      </c>
      <c r="K50" s="370" t="e">
        <f t="shared" si="16"/>
        <v>#DIV/0!</v>
      </c>
      <c r="M50" s="372"/>
      <c r="N50" s="369" t="s">
        <v>140</v>
      </c>
      <c r="O50" s="389"/>
      <c r="P50" s="346">
        <f t="shared" si="17"/>
        <v>57</v>
      </c>
      <c r="Q50" s="392"/>
      <c r="T50" s="372" t="e">
        <f>+SUMIF('PROV.13E MOIS ET BONUS'!$B:$B,H50,'PROV.13E MOIS ET BONUS'!AP:AP)</f>
        <v>#DIV/0!</v>
      </c>
      <c r="V50" s="390"/>
      <c r="W50" s="409"/>
    </row>
    <row r="51" spans="2:23" ht="24" customHeight="1" thickBot="1">
      <c r="B51" s="391">
        <f>+B49</f>
        <v>45351</v>
      </c>
      <c r="C51" s="369" t="str">
        <f>+C49</f>
        <v>SAL00602</v>
      </c>
      <c r="D51" s="369" t="str">
        <f>+D48</f>
        <v>G/L Account</v>
      </c>
      <c r="E51" s="369">
        <f>+E49</f>
        <v>517111</v>
      </c>
      <c r="G51" s="369" t="str">
        <f>+G49</f>
        <v>Accr Expatri 13th Mth-BLZ&amp;Chin Staff Feb 2024</v>
      </c>
      <c r="H51" s="369">
        <v>971</v>
      </c>
      <c r="I51" s="370">
        <f t="shared" si="9"/>
        <v>241.66666666666669</v>
      </c>
      <c r="K51" s="370">
        <f t="shared" si="16"/>
        <v>241.66666666666669</v>
      </c>
      <c r="M51" s="372"/>
      <c r="N51" s="369" t="s">
        <v>140</v>
      </c>
      <c r="O51" s="389"/>
      <c r="P51" s="346">
        <f t="shared" si="17"/>
        <v>45</v>
      </c>
      <c r="Q51" s="392"/>
      <c r="T51" s="372">
        <f>+SUMIF('PROV.13E MOIS ET BONUS'!$B:$B,H51,'PROV.13E MOIS ET BONUS'!AP:AP)</f>
        <v>241.66666666666669</v>
      </c>
      <c r="V51" s="390"/>
      <c r="W51" s="409"/>
    </row>
    <row r="52" spans="2:23" s="415" customFormat="1" ht="24" customHeight="1">
      <c r="B52" s="410">
        <f t="shared" si="15"/>
        <v>45351</v>
      </c>
      <c r="C52" s="411" t="str">
        <f t="shared" si="15"/>
        <v>SAL00602</v>
      </c>
      <c r="D52" s="411" t="str">
        <f>+D49</f>
        <v>G/L Account</v>
      </c>
      <c r="E52" s="411">
        <v>231121</v>
      </c>
      <c r="F52" s="411"/>
      <c r="G52" s="411" t="str">
        <f>+G49</f>
        <v>Accr Expatri 13th Mth-BLZ&amp;Chin Staff Feb 2024</v>
      </c>
      <c r="H52" s="411"/>
      <c r="I52" s="412"/>
      <c r="J52" s="412" t="e">
        <f>+IF(I52&lt;&gt;0,0,-T52)</f>
        <v>#DIV/0!</v>
      </c>
      <c r="K52" s="413" t="e">
        <f t="shared" si="16"/>
        <v>#DIV/0!</v>
      </c>
      <c r="L52" s="411"/>
      <c r="M52" s="413"/>
      <c r="N52" s="411" t="s">
        <v>140</v>
      </c>
      <c r="O52" s="399"/>
      <c r="P52" s="414">
        <f t="shared" si="17"/>
        <v>45</v>
      </c>
      <c r="Q52" s="401"/>
      <c r="R52" s="402"/>
      <c r="T52" s="403" t="e">
        <f>-SUM(T29:T51)</f>
        <v>#DIV/0!</v>
      </c>
      <c r="U52" s="403"/>
      <c r="V52" s="390"/>
    </row>
    <row r="53" spans="2:23" s="387" customFormat="1" ht="24" customHeight="1">
      <c r="B53" s="405">
        <f>+B52</f>
        <v>45351</v>
      </c>
      <c r="C53" s="406" t="str">
        <f>+C99</f>
        <v>SAL00602</v>
      </c>
      <c r="D53" s="387" t="str">
        <f>+D98</f>
        <v>G/L Account</v>
      </c>
      <c r="E53" s="387">
        <v>517130</v>
      </c>
      <c r="G53" s="387" t="str">
        <f>+"Accr Expatriate Bonus- BLZ&amp; Chinese Staff "&amp;$B$3</f>
        <v>Accr Expatriate Bonus- BLZ&amp; Chinese Staff Feb 2024</v>
      </c>
      <c r="H53" s="387">
        <v>110</v>
      </c>
      <c r="I53" s="370">
        <f t="shared" ref="I53:I74" si="18">+IF(T53&gt;0,T53,0)</f>
        <v>0</v>
      </c>
      <c r="J53" s="416">
        <f t="shared" ref="J53:J99" si="19">+IF(I53&lt;&gt;0,0,-T53)</f>
        <v>0</v>
      </c>
      <c r="K53" s="372">
        <f t="shared" si="16"/>
        <v>0</v>
      </c>
      <c r="M53" s="372"/>
      <c r="N53" s="417" t="s">
        <v>140</v>
      </c>
      <c r="O53" s="389"/>
      <c r="P53" s="387">
        <f t="shared" si="17"/>
        <v>50</v>
      </c>
      <c r="Q53" s="371" t="s">
        <v>19</v>
      </c>
      <c r="R53" s="389" t="s">
        <v>181</v>
      </c>
      <c r="S53" s="384"/>
      <c r="T53" s="372">
        <f>+SUMIF('PROV.13E MOIS ET BONUS'!$B:$B,H53,'PROV.13E MOIS ET BONUS'!BF:BF)</f>
        <v>0</v>
      </c>
      <c r="U53" s="372"/>
      <c r="V53" s="390"/>
    </row>
    <row r="54" spans="2:23" s="387" customFormat="1" ht="24" customHeight="1">
      <c r="B54" s="391">
        <f>+B53</f>
        <v>45351</v>
      </c>
      <c r="C54" s="369" t="str">
        <f>+C52</f>
        <v>SAL00602</v>
      </c>
      <c r="D54" s="369" t="str">
        <f>+D99</f>
        <v>G/L Account</v>
      </c>
      <c r="E54" s="369">
        <v>517130</v>
      </c>
      <c r="F54" s="369"/>
      <c r="G54" s="369" t="str">
        <f>+G53</f>
        <v>Accr Expatriate Bonus- BLZ&amp; Chinese Staff Feb 2024</v>
      </c>
      <c r="H54" s="369">
        <v>120</v>
      </c>
      <c r="I54" s="370">
        <f t="shared" si="18"/>
        <v>1226.9230769230771</v>
      </c>
      <c r="J54" s="416"/>
      <c r="K54" s="370">
        <f t="shared" si="16"/>
        <v>1226.9230769230771</v>
      </c>
      <c r="L54" s="369"/>
      <c r="M54" s="370"/>
      <c r="N54" s="369" t="s">
        <v>140</v>
      </c>
      <c r="O54" s="389"/>
      <c r="P54" s="346">
        <f t="shared" si="17"/>
        <v>50</v>
      </c>
      <c r="Q54" s="371" t="s">
        <v>20</v>
      </c>
      <c r="R54" s="389" t="s">
        <v>154</v>
      </c>
      <c r="S54" s="384"/>
      <c r="T54" s="372">
        <f>+SUMIF('PROV.13E MOIS ET BONUS'!$B:$B,H54,'PROV.13E MOIS ET BONUS'!BF:BF)</f>
        <v>1226.9230769230771</v>
      </c>
      <c r="U54" s="372"/>
      <c r="V54" s="390"/>
    </row>
    <row r="55" spans="2:23" ht="24" customHeight="1">
      <c r="B55" s="391">
        <f t="shared" ref="B55:C70" si="20">+B54</f>
        <v>45351</v>
      </c>
      <c r="C55" s="369" t="str">
        <f t="shared" si="20"/>
        <v>SAL00602</v>
      </c>
      <c r="D55" s="369" t="str">
        <f>+D53</f>
        <v>G/L Account</v>
      </c>
      <c r="E55" s="369">
        <f>+E53</f>
        <v>517130</v>
      </c>
      <c r="G55" s="369" t="str">
        <f>+G53</f>
        <v>Accr Expatriate Bonus- BLZ&amp; Chinese Staff Feb 2024</v>
      </c>
      <c r="H55" s="369">
        <v>140</v>
      </c>
      <c r="I55" s="370">
        <f t="shared" si="18"/>
        <v>172.30769230769232</v>
      </c>
      <c r="J55" s="416"/>
      <c r="K55" s="370">
        <f t="shared" si="16"/>
        <v>172.30769230769232</v>
      </c>
      <c r="N55" s="369" t="s">
        <v>140</v>
      </c>
      <c r="O55" s="389"/>
      <c r="P55" s="346">
        <f t="shared" si="17"/>
        <v>50</v>
      </c>
      <c r="Q55" s="371" t="s">
        <v>21</v>
      </c>
      <c r="R55" s="389" t="s">
        <v>156</v>
      </c>
      <c r="S55" s="384"/>
      <c r="T55" s="372">
        <f>+SUMIF('PROV.13E MOIS ET BONUS'!$B:$B,H55,'PROV.13E MOIS ET BONUS'!BF:BF)</f>
        <v>172.30769230769232</v>
      </c>
      <c r="V55" s="390"/>
    </row>
    <row r="56" spans="2:23" ht="24" customHeight="1">
      <c r="B56" s="391">
        <f t="shared" si="20"/>
        <v>45351</v>
      </c>
      <c r="C56" s="369" t="str">
        <f t="shared" si="20"/>
        <v>SAL00602</v>
      </c>
      <c r="D56" s="369" t="str">
        <f t="shared" ref="D56:D73" si="21">+D54</f>
        <v>G/L Account</v>
      </c>
      <c r="E56" s="369">
        <f t="shared" ref="E56:E71" si="22">+E55</f>
        <v>517130</v>
      </c>
      <c r="G56" s="369" t="str">
        <f t="shared" ref="G56:G71" si="23">+G55</f>
        <v>Accr Expatriate Bonus- BLZ&amp; Chinese Staff Feb 2024</v>
      </c>
      <c r="H56" s="369">
        <v>160</v>
      </c>
      <c r="I56" s="370">
        <f t="shared" si="18"/>
        <v>380.07692307692309</v>
      </c>
      <c r="J56" s="416"/>
      <c r="K56" s="370">
        <f t="shared" si="16"/>
        <v>380.07692307692309</v>
      </c>
      <c r="N56" s="369" t="s">
        <v>140</v>
      </c>
      <c r="O56" s="389"/>
      <c r="P56" s="346">
        <f t="shared" si="17"/>
        <v>50</v>
      </c>
      <c r="Q56" s="371" t="s">
        <v>22</v>
      </c>
      <c r="R56" s="389" t="s">
        <v>158</v>
      </c>
      <c r="S56" s="384"/>
      <c r="T56" s="372">
        <f>+SUMIF('PROV.13E MOIS ET BONUS'!$B:$B,H56,'PROV.13E MOIS ET BONUS'!BF:BF)</f>
        <v>380.07692307692309</v>
      </c>
      <c r="V56" s="390"/>
    </row>
    <row r="57" spans="2:23" ht="24" customHeight="1">
      <c r="B57" s="391">
        <f>+B56</f>
        <v>45351</v>
      </c>
      <c r="C57" s="369" t="str">
        <f>+C56</f>
        <v>SAL00602</v>
      </c>
      <c r="D57" s="369" t="str">
        <f>+D56</f>
        <v>G/L Account</v>
      </c>
      <c r="E57" s="369">
        <f>+E56</f>
        <v>517130</v>
      </c>
      <c r="G57" s="369" t="str">
        <f>+G56</f>
        <v>Accr Expatriate Bonus- BLZ&amp; Chinese Staff Feb 2024</v>
      </c>
      <c r="H57" s="369">
        <v>290</v>
      </c>
      <c r="I57" s="370">
        <f t="shared" si="18"/>
        <v>129.23076923076925</v>
      </c>
      <c r="J57" s="416"/>
      <c r="K57" s="370">
        <f t="shared" si="16"/>
        <v>129.23076923076925</v>
      </c>
      <c r="N57" s="369" t="s">
        <v>140</v>
      </c>
      <c r="O57" s="389"/>
      <c r="P57" s="346">
        <f t="shared" si="17"/>
        <v>50</v>
      </c>
      <c r="Q57" s="371" t="s">
        <v>182</v>
      </c>
      <c r="R57" s="389" t="s">
        <v>160</v>
      </c>
      <c r="S57" s="384"/>
      <c r="T57" s="372">
        <f>+SUMIF('PROV.13E MOIS ET BONUS'!$B:$B,H57,'PROV.13E MOIS ET BONUS'!BF:BF)</f>
        <v>129.23076923076925</v>
      </c>
      <c r="V57" s="390"/>
    </row>
    <row r="58" spans="2:23" ht="24" customHeight="1">
      <c r="B58" s="391">
        <f t="shared" si="20"/>
        <v>45351</v>
      </c>
      <c r="C58" s="369" t="str">
        <f t="shared" si="20"/>
        <v>SAL00602</v>
      </c>
      <c r="D58" s="369" t="str">
        <f>+D57</f>
        <v>G/L Account</v>
      </c>
      <c r="E58" s="369">
        <f t="shared" si="22"/>
        <v>517130</v>
      </c>
      <c r="G58" s="369" t="str">
        <f t="shared" si="23"/>
        <v>Accr Expatriate Bonus- BLZ&amp; Chinese Staff Feb 2024</v>
      </c>
      <c r="H58" s="369">
        <v>212</v>
      </c>
      <c r="I58" s="370">
        <f t="shared" si="18"/>
        <v>0</v>
      </c>
      <c r="J58" s="416">
        <f t="shared" si="19"/>
        <v>0</v>
      </c>
      <c r="K58" s="370">
        <f t="shared" si="16"/>
        <v>0</v>
      </c>
      <c r="N58" s="369" t="s">
        <v>140</v>
      </c>
      <c r="O58" s="389"/>
      <c r="P58" s="346">
        <f t="shared" si="17"/>
        <v>50</v>
      </c>
      <c r="Q58" s="371" t="s">
        <v>24</v>
      </c>
      <c r="R58" s="389" t="s">
        <v>162</v>
      </c>
      <c r="S58" s="384"/>
      <c r="T58" s="372">
        <f>+SUMIF('PROV.13E MOIS ET BONUS'!$B:$B,H58,'PROV.13E MOIS ET BONUS'!BF:BF)</f>
        <v>0</v>
      </c>
      <c r="V58" s="390"/>
    </row>
    <row r="59" spans="2:23" ht="24" customHeight="1">
      <c r="B59" s="391">
        <f t="shared" si="20"/>
        <v>45351</v>
      </c>
      <c r="C59" s="369" t="str">
        <f t="shared" si="20"/>
        <v>SAL00602</v>
      </c>
      <c r="D59" s="369" t="str">
        <f t="shared" si="21"/>
        <v>G/L Account</v>
      </c>
      <c r="E59" s="369">
        <f t="shared" si="22"/>
        <v>517130</v>
      </c>
      <c r="G59" s="369" t="str">
        <f t="shared" si="23"/>
        <v>Accr Expatriate Bonus- BLZ&amp; Chinese Staff Feb 2024</v>
      </c>
      <c r="H59" s="369">
        <v>251</v>
      </c>
      <c r="I59" s="370">
        <f t="shared" si="18"/>
        <v>0</v>
      </c>
      <c r="J59" s="416">
        <f t="shared" si="19"/>
        <v>0</v>
      </c>
      <c r="K59" s="370">
        <f t="shared" si="16"/>
        <v>0</v>
      </c>
      <c r="N59" s="369" t="s">
        <v>140</v>
      </c>
      <c r="O59" s="389"/>
      <c r="P59" s="346">
        <f t="shared" si="17"/>
        <v>50</v>
      </c>
      <c r="Q59" s="371" t="s">
        <v>25</v>
      </c>
      <c r="R59" s="389" t="s">
        <v>164</v>
      </c>
      <c r="S59" s="384"/>
      <c r="T59" s="372">
        <f>+SUMIF('PROV.13E MOIS ET BONUS'!$B:$B,H59,'PROV.13E MOIS ET BONUS'!BF:BF)</f>
        <v>0</v>
      </c>
      <c r="V59" s="390"/>
    </row>
    <row r="60" spans="2:23" ht="24" customHeight="1">
      <c r="B60" s="391">
        <f t="shared" si="20"/>
        <v>45351</v>
      </c>
      <c r="C60" s="369" t="str">
        <f t="shared" si="20"/>
        <v>SAL00602</v>
      </c>
      <c r="D60" s="369" t="str">
        <f t="shared" si="21"/>
        <v>G/L Account</v>
      </c>
      <c r="E60" s="369">
        <f t="shared" si="22"/>
        <v>517130</v>
      </c>
      <c r="G60" s="369" t="str">
        <f t="shared" si="23"/>
        <v>Accr Expatriate Bonus- BLZ&amp; Chinese Staff Feb 2024</v>
      </c>
      <c r="H60" s="369">
        <v>281</v>
      </c>
      <c r="I60" s="370">
        <f t="shared" si="18"/>
        <v>0</v>
      </c>
      <c r="J60" s="416">
        <f t="shared" si="19"/>
        <v>0</v>
      </c>
      <c r="K60" s="370">
        <f t="shared" si="16"/>
        <v>0</v>
      </c>
      <c r="N60" s="369" t="s">
        <v>140</v>
      </c>
      <c r="O60" s="389"/>
      <c r="P60" s="346">
        <f t="shared" si="17"/>
        <v>50</v>
      </c>
      <c r="Q60" s="371" t="s">
        <v>26</v>
      </c>
      <c r="R60" s="389" t="s">
        <v>166</v>
      </c>
      <c r="S60" s="384"/>
      <c r="T60" s="372">
        <f>+SUMIF('PROV.13E MOIS ET BONUS'!$B:$B,H60,'PROV.13E MOIS ET BONUS'!BF:BF)</f>
        <v>0</v>
      </c>
      <c r="V60" s="390"/>
    </row>
    <row r="61" spans="2:23" ht="24" customHeight="1">
      <c r="B61" s="391">
        <f t="shared" si="20"/>
        <v>45351</v>
      </c>
      <c r="C61" s="369" t="str">
        <f t="shared" si="20"/>
        <v>SAL00602</v>
      </c>
      <c r="D61" s="369" t="str">
        <f t="shared" si="21"/>
        <v>G/L Account</v>
      </c>
      <c r="E61" s="369">
        <f t="shared" si="22"/>
        <v>517130</v>
      </c>
      <c r="G61" s="369" t="str">
        <f t="shared" si="23"/>
        <v>Accr Expatriate Bonus- BLZ&amp; Chinese Staff Feb 2024</v>
      </c>
      <c r="H61" s="369">
        <v>282</v>
      </c>
      <c r="I61" s="370">
        <f t="shared" si="18"/>
        <v>0</v>
      </c>
      <c r="J61" s="416">
        <f t="shared" si="19"/>
        <v>0</v>
      </c>
      <c r="K61" s="370">
        <f t="shared" si="16"/>
        <v>0</v>
      </c>
      <c r="N61" s="369" t="s">
        <v>140</v>
      </c>
      <c r="O61" s="389"/>
      <c r="P61" s="346">
        <f t="shared" si="17"/>
        <v>50</v>
      </c>
      <c r="Q61" s="371" t="s">
        <v>27</v>
      </c>
      <c r="R61" s="389" t="s">
        <v>168</v>
      </c>
      <c r="S61" s="384"/>
      <c r="T61" s="372">
        <f>+SUMIF('PROV.13E MOIS ET BONUS'!$B:$B,H61,'PROV.13E MOIS ET BONUS'!BF:BF)</f>
        <v>0</v>
      </c>
      <c r="V61" s="390"/>
    </row>
    <row r="62" spans="2:23" ht="24" customHeight="1">
      <c r="B62" s="391">
        <f t="shared" si="20"/>
        <v>45351</v>
      </c>
      <c r="C62" s="369" t="str">
        <f t="shared" si="20"/>
        <v>SAL00602</v>
      </c>
      <c r="D62" s="369" t="str">
        <f t="shared" si="21"/>
        <v>G/L Account</v>
      </c>
      <c r="E62" s="369">
        <f t="shared" si="22"/>
        <v>517130</v>
      </c>
      <c r="G62" s="369" t="str">
        <f t="shared" si="23"/>
        <v>Accr Expatriate Bonus- BLZ&amp; Chinese Staff Feb 2024</v>
      </c>
      <c r="H62" s="369">
        <v>460</v>
      </c>
      <c r="I62" s="370">
        <f t="shared" si="18"/>
        <v>0</v>
      </c>
      <c r="J62" s="416">
        <f t="shared" si="19"/>
        <v>0</v>
      </c>
      <c r="K62" s="370">
        <f t="shared" si="16"/>
        <v>0</v>
      </c>
      <c r="N62" s="369" t="s">
        <v>140</v>
      </c>
      <c r="O62" s="389"/>
      <c r="P62" s="346">
        <f t="shared" si="17"/>
        <v>50</v>
      </c>
      <c r="Q62" s="371" t="s">
        <v>28</v>
      </c>
      <c r="R62" s="389" t="s">
        <v>170</v>
      </c>
      <c r="S62" s="384"/>
      <c r="T62" s="372">
        <f>+SUMIF('PROV.13E MOIS ET BONUS'!$B:$B,H62,'PROV.13E MOIS ET BONUS'!BF:BF)</f>
        <v>0</v>
      </c>
      <c r="V62" s="390"/>
    </row>
    <row r="63" spans="2:23" ht="24" customHeight="1">
      <c r="B63" s="391">
        <f t="shared" si="20"/>
        <v>45351</v>
      </c>
      <c r="C63" s="369" t="str">
        <f t="shared" si="20"/>
        <v>SAL00602</v>
      </c>
      <c r="D63" s="369" t="str">
        <f t="shared" si="21"/>
        <v>G/L Account</v>
      </c>
      <c r="E63" s="369">
        <f t="shared" si="22"/>
        <v>517130</v>
      </c>
      <c r="G63" s="369" t="str">
        <f t="shared" si="23"/>
        <v>Accr Expatriate Bonus- BLZ&amp; Chinese Staff Feb 2024</v>
      </c>
      <c r="H63" s="369">
        <v>610</v>
      </c>
      <c r="I63" s="370">
        <f t="shared" si="18"/>
        <v>107.69230769230769</v>
      </c>
      <c r="J63" s="416"/>
      <c r="K63" s="370">
        <f t="shared" si="16"/>
        <v>107.69230769230769</v>
      </c>
      <c r="N63" s="369" t="s">
        <v>140</v>
      </c>
      <c r="O63" s="389"/>
      <c r="P63" s="346">
        <f t="shared" si="17"/>
        <v>50</v>
      </c>
      <c r="Q63" s="371" t="s">
        <v>29</v>
      </c>
      <c r="R63" s="389" t="s">
        <v>172</v>
      </c>
      <c r="S63" s="384"/>
      <c r="T63" s="372">
        <f>+SUMIF('PROV.13E MOIS ET BONUS'!$B:$B,H63,'PROV.13E MOIS ET BONUS'!BF:BF)</f>
        <v>107.69230769230769</v>
      </c>
      <c r="V63" s="390"/>
    </row>
    <row r="64" spans="2:23" ht="24" customHeight="1">
      <c r="B64" s="391">
        <f t="shared" si="20"/>
        <v>45351</v>
      </c>
      <c r="C64" s="369" t="str">
        <f t="shared" si="20"/>
        <v>SAL00602</v>
      </c>
      <c r="D64" s="369" t="str">
        <f t="shared" si="21"/>
        <v>G/L Account</v>
      </c>
      <c r="E64" s="369">
        <f t="shared" si="22"/>
        <v>517130</v>
      </c>
      <c r="G64" s="369" t="str">
        <f t="shared" si="23"/>
        <v>Accr Expatriate Bonus- BLZ&amp; Chinese Staff Feb 2024</v>
      </c>
      <c r="H64" s="369">
        <v>620</v>
      </c>
      <c r="I64" s="370">
        <f t="shared" si="18"/>
        <v>161.53846153846155</v>
      </c>
      <c r="J64" s="416"/>
      <c r="K64" s="370">
        <f t="shared" si="16"/>
        <v>161.53846153846155</v>
      </c>
      <c r="N64" s="369" t="s">
        <v>140</v>
      </c>
      <c r="O64" s="389"/>
      <c r="P64" s="346">
        <f t="shared" si="17"/>
        <v>50</v>
      </c>
      <c r="Q64" s="371" t="s">
        <v>30</v>
      </c>
      <c r="R64" s="389" t="s">
        <v>174</v>
      </c>
      <c r="S64" s="384"/>
      <c r="T64" s="372">
        <f>+SUMIF('PROV.13E MOIS ET BONUS'!$B:$B,H64,'PROV.13E MOIS ET BONUS'!BF:BF)</f>
        <v>161.53846153846155</v>
      </c>
      <c r="V64" s="390"/>
    </row>
    <row r="65" spans="2:22" ht="24" customHeight="1">
      <c r="B65" s="391">
        <f t="shared" si="20"/>
        <v>45351</v>
      </c>
      <c r="C65" s="369" t="str">
        <f t="shared" si="20"/>
        <v>SAL00602</v>
      </c>
      <c r="D65" s="369" t="str">
        <f t="shared" si="21"/>
        <v>G/L Account</v>
      </c>
      <c r="E65" s="369">
        <f t="shared" si="22"/>
        <v>517130</v>
      </c>
      <c r="G65" s="369" t="str">
        <f t="shared" si="23"/>
        <v>Accr Expatriate Bonus- BLZ&amp; Chinese Staff Feb 2024</v>
      </c>
      <c r="H65" s="369">
        <v>630</v>
      </c>
      <c r="I65" s="370">
        <f t="shared" si="18"/>
        <v>857.81250000000023</v>
      </c>
      <c r="J65" s="416"/>
      <c r="K65" s="370">
        <f t="shared" si="16"/>
        <v>857.81250000000023</v>
      </c>
      <c r="N65" s="369" t="s">
        <v>140</v>
      </c>
      <c r="O65" s="389"/>
      <c r="P65" s="346">
        <f t="shared" si="17"/>
        <v>50</v>
      </c>
      <c r="Q65" s="369"/>
      <c r="R65" s="389"/>
      <c r="S65" s="384"/>
      <c r="T65" s="372">
        <f>+SUMIF('PROV.13E MOIS ET BONUS'!$B:$B,H65,'PROV.13E MOIS ET BONUS'!BF:BF)</f>
        <v>857.81250000000023</v>
      </c>
      <c r="V65" s="390"/>
    </row>
    <row r="66" spans="2:22" ht="24" customHeight="1">
      <c r="B66" s="391">
        <f t="shared" si="20"/>
        <v>45351</v>
      </c>
      <c r="C66" s="369" t="str">
        <f t="shared" si="20"/>
        <v>SAL00602</v>
      </c>
      <c r="D66" s="369" t="str">
        <f t="shared" si="21"/>
        <v>G/L Account</v>
      </c>
      <c r="E66" s="369">
        <f t="shared" si="22"/>
        <v>517130</v>
      </c>
      <c r="G66" s="369" t="str">
        <f t="shared" si="23"/>
        <v>Accr Expatriate Bonus- BLZ&amp; Chinese Staff Feb 2024</v>
      </c>
      <c r="H66" s="369">
        <v>640</v>
      </c>
      <c r="I66" s="370">
        <f t="shared" si="18"/>
        <v>0</v>
      </c>
      <c r="J66" s="416">
        <f t="shared" si="19"/>
        <v>0</v>
      </c>
      <c r="K66" s="370">
        <f t="shared" si="16"/>
        <v>0</v>
      </c>
      <c r="N66" s="369" t="s">
        <v>140</v>
      </c>
      <c r="O66" s="389"/>
      <c r="P66" s="346">
        <f t="shared" si="17"/>
        <v>50</v>
      </c>
      <c r="Q66" s="392"/>
      <c r="S66" s="384"/>
      <c r="T66" s="372">
        <f>+SUMIF('PROV.13E MOIS ET BONUS'!$B:$B,H66,'PROV.13E MOIS ET BONUS'!BF:BF)</f>
        <v>0</v>
      </c>
      <c r="V66" s="390"/>
    </row>
    <row r="67" spans="2:22" ht="24" customHeight="1">
      <c r="B67" s="391">
        <f t="shared" si="20"/>
        <v>45351</v>
      </c>
      <c r="C67" s="369" t="str">
        <f t="shared" si="20"/>
        <v>SAL00602</v>
      </c>
      <c r="D67" s="369" t="str">
        <f t="shared" si="21"/>
        <v>G/L Account</v>
      </c>
      <c r="E67" s="369">
        <f t="shared" si="22"/>
        <v>517130</v>
      </c>
      <c r="G67" s="369" t="str">
        <f t="shared" si="23"/>
        <v>Accr Expatriate Bonus- BLZ&amp; Chinese Staff Feb 2024</v>
      </c>
      <c r="H67" s="369">
        <v>650</v>
      </c>
      <c r="I67" s="370">
        <f t="shared" si="18"/>
        <v>457.5</v>
      </c>
      <c r="J67" s="416"/>
      <c r="K67" s="370">
        <f t="shared" si="16"/>
        <v>457.5</v>
      </c>
      <c r="N67" s="369" t="s">
        <v>140</v>
      </c>
      <c r="O67" s="389"/>
      <c r="P67" s="346">
        <f t="shared" si="17"/>
        <v>50</v>
      </c>
      <c r="Q67" s="392"/>
      <c r="S67" s="384"/>
      <c r="T67" s="372">
        <f>+SUMIF('PROV.13E MOIS ET BONUS'!$B:$B,H67,'PROV.13E MOIS ET BONUS'!BF:BF)</f>
        <v>457.5</v>
      </c>
      <c r="V67" s="390"/>
    </row>
    <row r="68" spans="2:22" ht="24" customHeight="1">
      <c r="B68" s="391">
        <f t="shared" si="20"/>
        <v>45351</v>
      </c>
      <c r="C68" s="369" t="str">
        <f t="shared" si="20"/>
        <v>SAL00602</v>
      </c>
      <c r="D68" s="369" t="str">
        <f t="shared" si="21"/>
        <v>G/L Account</v>
      </c>
      <c r="E68" s="369">
        <f t="shared" si="22"/>
        <v>517130</v>
      </c>
      <c r="G68" s="369" t="str">
        <f t="shared" si="23"/>
        <v>Accr Expatriate Bonus- BLZ&amp; Chinese Staff Feb 2024</v>
      </c>
      <c r="H68" s="369">
        <v>660</v>
      </c>
      <c r="I68" s="370">
        <f t="shared" si="18"/>
        <v>439.90384615384613</v>
      </c>
      <c r="J68" s="416"/>
      <c r="K68" s="370">
        <f t="shared" si="16"/>
        <v>439.90384615384613</v>
      </c>
      <c r="N68" s="369" t="s">
        <v>140</v>
      </c>
      <c r="O68" s="389"/>
      <c r="P68" s="346">
        <f t="shared" si="17"/>
        <v>50</v>
      </c>
      <c r="Q68" s="392"/>
      <c r="S68" s="384"/>
      <c r="T68" s="372">
        <f>+SUMIF('PROV.13E MOIS ET BONUS'!$B:$B,H68,'PROV.13E MOIS ET BONUS'!BF:BF)</f>
        <v>439.90384615384613</v>
      </c>
      <c r="V68" s="390"/>
    </row>
    <row r="69" spans="2:22" ht="24" customHeight="1">
      <c r="B69" s="391">
        <f t="shared" si="20"/>
        <v>45351</v>
      </c>
      <c r="C69" s="369" t="str">
        <f t="shared" si="20"/>
        <v>SAL00602</v>
      </c>
      <c r="D69" s="369" t="str">
        <f t="shared" si="21"/>
        <v>G/L Account</v>
      </c>
      <c r="E69" s="369">
        <f t="shared" si="22"/>
        <v>517130</v>
      </c>
      <c r="G69" s="369" t="str">
        <f t="shared" si="23"/>
        <v>Accr Expatriate Bonus- BLZ&amp; Chinese Staff Feb 2024</v>
      </c>
      <c r="H69" s="369">
        <v>710</v>
      </c>
      <c r="I69" s="370">
        <f t="shared" si="18"/>
        <v>140</v>
      </c>
      <c r="J69" s="416"/>
      <c r="K69" s="370">
        <f t="shared" si="16"/>
        <v>140</v>
      </c>
      <c r="N69" s="369" t="s">
        <v>140</v>
      </c>
      <c r="O69" s="389"/>
      <c r="P69" s="346">
        <f t="shared" si="17"/>
        <v>50</v>
      </c>
      <c r="Q69" s="392"/>
      <c r="T69" s="372">
        <f>+SUMIF('PROV.13E MOIS ET BONUS'!$B:$B,H69,'PROV.13E MOIS ET BONUS'!BF:BF)</f>
        <v>140</v>
      </c>
      <c r="V69" s="390"/>
    </row>
    <row r="70" spans="2:22" ht="24" customHeight="1">
      <c r="B70" s="391">
        <f t="shared" si="20"/>
        <v>45351</v>
      </c>
      <c r="C70" s="369" t="str">
        <f t="shared" si="20"/>
        <v>SAL00602</v>
      </c>
      <c r="D70" s="369" t="str">
        <f t="shared" si="21"/>
        <v>G/L Account</v>
      </c>
      <c r="E70" s="369">
        <f t="shared" si="22"/>
        <v>517130</v>
      </c>
      <c r="G70" s="369" t="str">
        <f t="shared" si="23"/>
        <v>Accr Expatriate Bonus- BLZ&amp; Chinese Staff Feb 2024</v>
      </c>
      <c r="H70" s="369">
        <v>720</v>
      </c>
      <c r="I70" s="370">
        <f t="shared" si="18"/>
        <v>0</v>
      </c>
      <c r="J70" s="416">
        <f t="shared" si="19"/>
        <v>0</v>
      </c>
      <c r="K70" s="370">
        <f t="shared" si="16"/>
        <v>0</v>
      </c>
      <c r="N70" s="369" t="s">
        <v>140</v>
      </c>
      <c r="O70" s="389"/>
      <c r="P70" s="346">
        <f t="shared" si="17"/>
        <v>50</v>
      </c>
      <c r="Q70" s="392"/>
      <c r="T70" s="372">
        <f>+SUMIF('PROV.13E MOIS ET BONUS'!$B:$B,H70,'PROV.13E MOIS ET BONUS'!BF:BF)</f>
        <v>0</v>
      </c>
      <c r="V70" s="390"/>
    </row>
    <row r="71" spans="2:22" ht="24" customHeight="1">
      <c r="B71" s="391">
        <f t="shared" ref="B71:C86" si="24">+B70</f>
        <v>45351</v>
      </c>
      <c r="C71" s="369" t="str">
        <f t="shared" si="24"/>
        <v>SAL00602</v>
      </c>
      <c r="D71" s="369" t="str">
        <f t="shared" si="21"/>
        <v>G/L Account</v>
      </c>
      <c r="E71" s="369">
        <f t="shared" si="22"/>
        <v>517130</v>
      </c>
      <c r="G71" s="369" t="str">
        <f t="shared" si="23"/>
        <v>Accr Expatriate Bonus- BLZ&amp; Chinese Staff Feb 2024</v>
      </c>
      <c r="H71" s="369">
        <v>730</v>
      </c>
      <c r="I71" s="370">
        <f t="shared" si="18"/>
        <v>0</v>
      </c>
      <c r="J71" s="416">
        <f t="shared" si="19"/>
        <v>0</v>
      </c>
      <c r="K71" s="370">
        <f t="shared" si="16"/>
        <v>0</v>
      </c>
      <c r="N71" s="369" t="s">
        <v>140</v>
      </c>
      <c r="O71" s="389"/>
      <c r="P71" s="346">
        <f t="shared" si="17"/>
        <v>50</v>
      </c>
      <c r="Q71" s="392"/>
      <c r="T71" s="372">
        <f>+SUMIF('PROV.13E MOIS ET BONUS'!$B:$B,H71,'PROV.13E MOIS ET BONUS'!BF:BF)</f>
        <v>0</v>
      </c>
      <c r="V71" s="390"/>
    </row>
    <row r="72" spans="2:22" ht="24" customHeight="1">
      <c r="B72" s="391">
        <f t="shared" si="24"/>
        <v>45351</v>
      </c>
      <c r="C72" s="369" t="str">
        <f t="shared" si="24"/>
        <v>SAL00602</v>
      </c>
      <c r="D72" s="369" t="str">
        <f t="shared" si="21"/>
        <v>G/L Account</v>
      </c>
      <c r="E72" s="369">
        <f>+E70</f>
        <v>517130</v>
      </c>
      <c r="G72" s="369" t="str">
        <f>+G70</f>
        <v>Accr Expatriate Bonus- BLZ&amp; Chinese Staff Feb 2024</v>
      </c>
      <c r="H72" s="369">
        <v>810</v>
      </c>
      <c r="I72" s="370">
        <f t="shared" si="18"/>
        <v>603.07692307692309</v>
      </c>
      <c r="J72" s="416"/>
      <c r="K72" s="370">
        <f t="shared" si="16"/>
        <v>603.07692307692309</v>
      </c>
      <c r="N72" s="369" t="s">
        <v>140</v>
      </c>
      <c r="O72" s="389"/>
      <c r="P72" s="346">
        <f t="shared" si="17"/>
        <v>50</v>
      </c>
      <c r="Q72" s="392"/>
      <c r="T72" s="372">
        <f>+SUMIF('PROV.13E MOIS ET BONUS'!$B:$B,H72,'PROV.13E MOIS ET BONUS'!BF:BF)</f>
        <v>603.07692307692309</v>
      </c>
      <c r="V72" s="390"/>
    </row>
    <row r="73" spans="2:22" ht="24" customHeight="1">
      <c r="B73" s="391">
        <f t="shared" si="24"/>
        <v>45351</v>
      </c>
      <c r="C73" s="369" t="str">
        <f t="shared" si="24"/>
        <v>SAL00602</v>
      </c>
      <c r="D73" s="369" t="str">
        <f t="shared" si="21"/>
        <v>G/L Account</v>
      </c>
      <c r="E73" s="393">
        <v>212110</v>
      </c>
      <c r="G73" s="369" t="str">
        <f>+G71&amp;"-HAN YOUCHAI"</f>
        <v>Accr Expatriate Bonus- BLZ&amp; Chinese Staff Feb 2024-HAN YOUCHAI</v>
      </c>
      <c r="H73" s="393">
        <v>960</v>
      </c>
      <c r="I73" s="370">
        <f t="shared" si="18"/>
        <v>0</v>
      </c>
      <c r="J73" s="416">
        <f t="shared" si="19"/>
        <v>0</v>
      </c>
      <c r="K73" s="370">
        <f t="shared" si="16"/>
        <v>0</v>
      </c>
      <c r="N73" s="369" t="s">
        <v>140</v>
      </c>
      <c r="O73" s="389"/>
      <c r="P73" s="346">
        <f t="shared" si="17"/>
        <v>62</v>
      </c>
      <c r="Q73" s="392"/>
      <c r="T73" s="372">
        <f>+SUMIF('PROV.13E MOIS ET BONUS'!$B:$B,H73,'PROV.13E MOIS ET BONUS'!BF:BF)</f>
        <v>0</v>
      </c>
      <c r="V73" s="390"/>
    </row>
    <row r="74" spans="2:22" ht="24" customHeight="1" thickBot="1">
      <c r="B74" s="391">
        <f>+B72</f>
        <v>45351</v>
      </c>
      <c r="C74" s="369" t="str">
        <f>+C72</f>
        <v>SAL00602</v>
      </c>
      <c r="D74" s="369" t="str">
        <f>+D71</f>
        <v>G/L Account</v>
      </c>
      <c r="E74" s="369">
        <f>+E72</f>
        <v>517130</v>
      </c>
      <c r="G74" s="369" t="str">
        <f>+G72</f>
        <v>Accr Expatriate Bonus- BLZ&amp; Chinese Staff Feb 2024</v>
      </c>
      <c r="H74" s="369">
        <v>971</v>
      </c>
      <c r="I74" s="370">
        <f t="shared" si="18"/>
        <v>0</v>
      </c>
      <c r="J74" s="416">
        <f t="shared" si="19"/>
        <v>0</v>
      </c>
      <c r="K74" s="370">
        <f t="shared" si="16"/>
        <v>0</v>
      </c>
      <c r="N74" s="369" t="s">
        <v>140</v>
      </c>
      <c r="O74" s="389"/>
      <c r="P74" s="346">
        <f t="shared" si="17"/>
        <v>50</v>
      </c>
      <c r="Q74" s="392"/>
      <c r="T74" s="372">
        <f>+SUMIF('PROV.13E MOIS ET BONUS'!$B:$B,H74,'PROV.13E MOIS ET BONUS'!BF:BF)</f>
        <v>0</v>
      </c>
      <c r="V74" s="390"/>
    </row>
    <row r="75" spans="2:22" s="415" customFormat="1" ht="24" customHeight="1">
      <c r="B75" s="410">
        <f t="shared" si="24"/>
        <v>45351</v>
      </c>
      <c r="C75" s="411" t="str">
        <f t="shared" si="24"/>
        <v>SAL00602</v>
      </c>
      <c r="D75" s="411" t="str">
        <f>+D72</f>
        <v>G/L Account</v>
      </c>
      <c r="E75" s="411">
        <v>231130</v>
      </c>
      <c r="F75" s="411"/>
      <c r="G75" s="411" t="str">
        <f>+G72</f>
        <v>Accr Expatriate Bonus- BLZ&amp; Chinese Staff Feb 2024</v>
      </c>
      <c r="H75" s="411"/>
      <c r="I75" s="412"/>
      <c r="J75" s="412">
        <f t="shared" si="19"/>
        <v>4676.0625000000009</v>
      </c>
      <c r="K75" s="413">
        <f t="shared" si="16"/>
        <v>-4676.0625000000009</v>
      </c>
      <c r="L75" s="411"/>
      <c r="M75" s="413"/>
      <c r="N75" s="411" t="s">
        <v>140</v>
      </c>
      <c r="O75" s="399"/>
      <c r="P75" s="414">
        <f t="shared" si="17"/>
        <v>50</v>
      </c>
      <c r="Q75" s="401"/>
      <c r="R75" s="402"/>
      <c r="T75" s="403">
        <f>-SUM(T53:T74)</f>
        <v>-4676.0625000000009</v>
      </c>
      <c r="U75" s="403"/>
      <c r="V75" s="418"/>
    </row>
    <row r="76" spans="2:22" ht="24" customHeight="1">
      <c r="B76" s="391">
        <f t="shared" si="24"/>
        <v>45351</v>
      </c>
      <c r="C76" s="369" t="str">
        <f>+C52</f>
        <v>SAL00602</v>
      </c>
      <c r="D76" s="369" t="str">
        <f>+D51</f>
        <v>G/L Account</v>
      </c>
      <c r="E76" s="371">
        <v>541411</v>
      </c>
      <c r="G76" s="371" t="str">
        <f>+"Accr+Reversal Airticket BLZ&amp; Chinese Staff "&amp;$B$3</f>
        <v>Accr+Reversal Airticket BLZ&amp; Chinese Staff Feb 2024</v>
      </c>
      <c r="H76" s="369">
        <v>110</v>
      </c>
      <c r="I76" s="370">
        <f t="shared" ref="I76:I98" si="25">+IF(T76&gt;0,T76,0)</f>
        <v>0</v>
      </c>
      <c r="J76" s="370">
        <f t="shared" si="19"/>
        <v>0</v>
      </c>
      <c r="K76" s="370">
        <f t="shared" si="16"/>
        <v>0</v>
      </c>
      <c r="N76" s="369" t="s">
        <v>140</v>
      </c>
      <c r="O76" s="389"/>
      <c r="P76" s="346">
        <f t="shared" si="17"/>
        <v>51</v>
      </c>
      <c r="Q76" s="371" t="s">
        <v>19</v>
      </c>
      <c r="R76" s="389" t="s">
        <v>183</v>
      </c>
      <c r="S76" s="406"/>
      <c r="T76" s="372">
        <f>+SUMIF('PROVISION VACANCES ET TICKETS'!$D:$D,H76,'PROVISION VACANCES ET TICKETS'!$BW:$BW)</f>
        <v>0</v>
      </c>
      <c r="V76" s="390"/>
    </row>
    <row r="77" spans="2:22" ht="24" customHeight="1">
      <c r="B77" s="391">
        <f t="shared" si="24"/>
        <v>45351</v>
      </c>
      <c r="C77" s="369" t="str">
        <f t="shared" si="24"/>
        <v>SAL00602</v>
      </c>
      <c r="D77" s="369" t="str">
        <f>+D52</f>
        <v>G/L Account</v>
      </c>
      <c r="E77" s="371">
        <v>541411</v>
      </c>
      <c r="G77" s="369" t="str">
        <f>+G76</f>
        <v>Accr+Reversal Airticket BLZ&amp; Chinese Staff Feb 2024</v>
      </c>
      <c r="H77" s="369">
        <v>120</v>
      </c>
      <c r="J77" s="370">
        <f t="shared" si="19"/>
        <v>3583.333333333333</v>
      </c>
      <c r="K77" s="370">
        <f t="shared" si="16"/>
        <v>-3583.333333333333</v>
      </c>
      <c r="N77" s="369" t="s">
        <v>140</v>
      </c>
      <c r="O77" s="389"/>
      <c r="P77" s="346">
        <f t="shared" si="17"/>
        <v>51</v>
      </c>
      <c r="Q77" s="371" t="s">
        <v>20</v>
      </c>
      <c r="R77" s="371" t="s">
        <v>184</v>
      </c>
      <c r="S77" s="406"/>
      <c r="T77" s="372">
        <f>+SUMIF('PROVISION VACANCES ET TICKETS'!$D:$D,H77,'PROVISION VACANCES ET TICKETS'!$BW:$BW)</f>
        <v>-3583.333333333333</v>
      </c>
      <c r="V77" s="390"/>
    </row>
    <row r="78" spans="2:22" ht="24" customHeight="1">
      <c r="B78" s="391">
        <f t="shared" si="24"/>
        <v>45351</v>
      </c>
      <c r="C78" s="369" t="str">
        <f t="shared" si="24"/>
        <v>SAL00602</v>
      </c>
      <c r="D78" s="369" t="str">
        <f t="shared" ref="D78:D97" si="26">+D76</f>
        <v>G/L Account</v>
      </c>
      <c r="E78" s="371">
        <f>+E76</f>
        <v>541411</v>
      </c>
      <c r="G78" s="369" t="str">
        <f>+G77</f>
        <v>Accr+Reversal Airticket BLZ&amp; Chinese Staff Feb 2024</v>
      </c>
      <c r="H78" s="369">
        <v>140</v>
      </c>
      <c r="I78" s="370">
        <f t="shared" si="25"/>
        <v>0</v>
      </c>
      <c r="J78" s="370">
        <f t="shared" si="19"/>
        <v>0</v>
      </c>
      <c r="K78" s="370">
        <f t="shared" si="16"/>
        <v>0</v>
      </c>
      <c r="N78" s="369" t="s">
        <v>140</v>
      </c>
      <c r="O78" s="389"/>
      <c r="P78" s="346">
        <f t="shared" si="17"/>
        <v>51</v>
      </c>
      <c r="Q78" s="371" t="s">
        <v>21</v>
      </c>
      <c r="R78" s="371" t="s">
        <v>185</v>
      </c>
      <c r="S78" s="406"/>
      <c r="T78" s="372">
        <f>+SUMIF('PROVISION VACANCES ET TICKETS'!$D:$D,H78,'PROVISION VACANCES ET TICKETS'!$BW:$BW)</f>
        <v>0</v>
      </c>
      <c r="V78" s="390"/>
    </row>
    <row r="79" spans="2:22" ht="24" customHeight="1">
      <c r="B79" s="391">
        <f t="shared" si="24"/>
        <v>45351</v>
      </c>
      <c r="C79" s="369" t="str">
        <f t="shared" si="24"/>
        <v>SAL00602</v>
      </c>
      <c r="D79" s="369" t="str">
        <f t="shared" si="26"/>
        <v>G/L Account</v>
      </c>
      <c r="E79" s="371">
        <f t="shared" ref="E79:E95" si="27">+E78</f>
        <v>541411</v>
      </c>
      <c r="G79" s="369" t="str">
        <f t="shared" ref="G79:G95" si="28">+G78</f>
        <v>Accr+Reversal Airticket BLZ&amp; Chinese Staff Feb 2024</v>
      </c>
      <c r="H79" s="369">
        <v>160</v>
      </c>
      <c r="I79" s="370">
        <f t="shared" si="25"/>
        <v>0</v>
      </c>
      <c r="J79" s="370">
        <f t="shared" si="19"/>
        <v>0</v>
      </c>
      <c r="K79" s="370">
        <f t="shared" si="16"/>
        <v>0</v>
      </c>
      <c r="N79" s="369" t="s">
        <v>140</v>
      </c>
      <c r="O79" s="389"/>
      <c r="P79" s="346">
        <f t="shared" si="17"/>
        <v>51</v>
      </c>
      <c r="Q79" s="371" t="s">
        <v>22</v>
      </c>
      <c r="R79" s="371" t="s">
        <v>186</v>
      </c>
      <c r="S79" s="406"/>
      <c r="T79" s="372">
        <f>+SUMIF('PROVISION VACANCES ET TICKETS'!$D:$D,H79,'PROVISION VACANCES ET TICKETS'!$BW:$BW)</f>
        <v>0</v>
      </c>
      <c r="V79" s="390"/>
    </row>
    <row r="80" spans="2:22" ht="24" customHeight="1">
      <c r="B80" s="391">
        <f t="shared" si="24"/>
        <v>45351</v>
      </c>
      <c r="C80" s="369" t="str">
        <f>+C77</f>
        <v>SAL00602</v>
      </c>
      <c r="D80" s="369" t="str">
        <f t="shared" si="26"/>
        <v>G/L Account</v>
      </c>
      <c r="E80" s="371">
        <f t="shared" si="27"/>
        <v>541411</v>
      </c>
      <c r="G80" s="369" t="str">
        <f t="shared" si="28"/>
        <v>Accr+Reversal Airticket BLZ&amp; Chinese Staff Feb 2024</v>
      </c>
      <c r="H80" s="369">
        <v>290</v>
      </c>
      <c r="J80" s="370">
        <f t="shared" si="19"/>
        <v>1108.3333333333335</v>
      </c>
      <c r="K80" s="370">
        <f t="shared" si="16"/>
        <v>-1108.3333333333335</v>
      </c>
      <c r="N80" s="369" t="s">
        <v>140</v>
      </c>
      <c r="O80" s="389"/>
      <c r="P80" s="346">
        <f t="shared" si="17"/>
        <v>51</v>
      </c>
      <c r="Q80" s="371" t="s">
        <v>23</v>
      </c>
      <c r="R80" s="371" t="s">
        <v>187</v>
      </c>
      <c r="S80" s="406"/>
      <c r="T80" s="372">
        <f>+SUMIF('PROVISION VACANCES ET TICKETS'!$D:$D,H80,'PROVISION VACANCES ET TICKETS'!$BW:$BW)</f>
        <v>-1108.3333333333335</v>
      </c>
      <c r="V80" s="390"/>
    </row>
    <row r="81" spans="2:22" ht="24" customHeight="1">
      <c r="B81" s="391">
        <f t="shared" si="24"/>
        <v>45351</v>
      </c>
      <c r="C81" s="369" t="str">
        <f t="shared" si="24"/>
        <v>SAL00602</v>
      </c>
      <c r="D81" s="369" t="str">
        <f t="shared" si="26"/>
        <v>G/L Account</v>
      </c>
      <c r="E81" s="371">
        <f t="shared" si="27"/>
        <v>541411</v>
      </c>
      <c r="G81" s="369" t="str">
        <f t="shared" si="28"/>
        <v>Accr+Reversal Airticket BLZ&amp; Chinese Staff Feb 2024</v>
      </c>
      <c r="H81" s="369">
        <v>212</v>
      </c>
      <c r="I81" s="370">
        <f t="shared" si="25"/>
        <v>0</v>
      </c>
      <c r="J81" s="370">
        <f t="shared" si="19"/>
        <v>0</v>
      </c>
      <c r="K81" s="370">
        <f t="shared" si="16"/>
        <v>0</v>
      </c>
      <c r="N81" s="369" t="s">
        <v>140</v>
      </c>
      <c r="O81" s="389"/>
      <c r="P81" s="346">
        <f t="shared" si="17"/>
        <v>51</v>
      </c>
      <c r="Q81" s="371" t="s">
        <v>24</v>
      </c>
      <c r="R81" s="371" t="s">
        <v>188</v>
      </c>
      <c r="S81" s="406"/>
      <c r="T81" s="372">
        <f>+SUMIF('PROVISION VACANCES ET TICKETS'!$D:$D,H81,'PROVISION VACANCES ET TICKETS'!$BW:$BW)</f>
        <v>0</v>
      </c>
      <c r="V81" s="390"/>
    </row>
    <row r="82" spans="2:22" ht="24" customHeight="1">
      <c r="B82" s="391">
        <f t="shared" si="24"/>
        <v>45351</v>
      </c>
      <c r="C82" s="369" t="str">
        <f t="shared" si="24"/>
        <v>SAL00602</v>
      </c>
      <c r="D82" s="369" t="str">
        <f t="shared" si="26"/>
        <v>G/L Account</v>
      </c>
      <c r="E82" s="371">
        <f t="shared" si="27"/>
        <v>541411</v>
      </c>
      <c r="G82" s="369" t="str">
        <f t="shared" si="28"/>
        <v>Accr+Reversal Airticket BLZ&amp; Chinese Staff Feb 2024</v>
      </c>
      <c r="H82" s="369">
        <v>216</v>
      </c>
      <c r="I82" s="370">
        <f t="shared" si="25"/>
        <v>0</v>
      </c>
      <c r="J82" s="370">
        <f t="shared" si="19"/>
        <v>0</v>
      </c>
      <c r="K82" s="370">
        <f t="shared" si="16"/>
        <v>0</v>
      </c>
      <c r="N82" s="369" t="s">
        <v>140</v>
      </c>
      <c r="O82" s="389"/>
      <c r="P82" s="346">
        <f t="shared" si="17"/>
        <v>51</v>
      </c>
      <c r="Q82" s="371" t="s">
        <v>25</v>
      </c>
      <c r="R82" s="371" t="s">
        <v>189</v>
      </c>
      <c r="S82" s="406"/>
      <c r="T82" s="372">
        <f>+SUMIF('PROVISION VACANCES ET TICKETS'!$D:$D,H82,'PROVISION VACANCES ET TICKETS'!$BW:$BW)</f>
        <v>0</v>
      </c>
      <c r="V82" s="390"/>
    </row>
    <row r="83" spans="2:22" ht="24" customHeight="1">
      <c r="B83" s="391">
        <f t="shared" si="24"/>
        <v>45351</v>
      </c>
      <c r="C83" s="369" t="str">
        <f t="shared" si="24"/>
        <v>SAL00602</v>
      </c>
      <c r="D83" s="369" t="str">
        <f t="shared" si="26"/>
        <v>G/L Account</v>
      </c>
      <c r="E83" s="371">
        <f t="shared" si="27"/>
        <v>541411</v>
      </c>
      <c r="G83" s="369" t="str">
        <f t="shared" si="28"/>
        <v>Accr+Reversal Airticket BLZ&amp; Chinese Staff Feb 2024</v>
      </c>
      <c r="H83" s="369">
        <v>251</v>
      </c>
      <c r="I83" s="370">
        <f t="shared" si="25"/>
        <v>0</v>
      </c>
      <c r="J83" s="370">
        <f t="shared" si="19"/>
        <v>0</v>
      </c>
      <c r="K83" s="370">
        <f t="shared" si="16"/>
        <v>0</v>
      </c>
      <c r="N83" s="369" t="s">
        <v>140</v>
      </c>
      <c r="O83" s="389"/>
      <c r="P83" s="346">
        <f t="shared" si="17"/>
        <v>51</v>
      </c>
      <c r="Q83" s="371" t="s">
        <v>26</v>
      </c>
      <c r="R83" s="371" t="s">
        <v>8</v>
      </c>
      <c r="S83" s="406"/>
      <c r="T83" s="372">
        <f>+SUMIF('PROVISION VACANCES ET TICKETS'!$D:$D,H83,'PROVISION VACANCES ET TICKETS'!$BW:$BW)</f>
        <v>0</v>
      </c>
      <c r="V83" s="390"/>
    </row>
    <row r="84" spans="2:22" ht="24" customHeight="1">
      <c r="B84" s="391">
        <f t="shared" si="24"/>
        <v>45351</v>
      </c>
      <c r="C84" s="369" t="str">
        <f t="shared" si="24"/>
        <v>SAL00602</v>
      </c>
      <c r="D84" s="369" t="str">
        <f t="shared" si="26"/>
        <v>G/L Account</v>
      </c>
      <c r="E84" s="371">
        <f t="shared" si="27"/>
        <v>541411</v>
      </c>
      <c r="G84" s="369" t="str">
        <f t="shared" si="28"/>
        <v>Accr+Reversal Airticket BLZ&amp; Chinese Staff Feb 2024</v>
      </c>
      <c r="H84" s="369">
        <v>281</v>
      </c>
      <c r="I84" s="370">
        <f t="shared" si="25"/>
        <v>658.33333333333326</v>
      </c>
      <c r="K84" s="370">
        <f t="shared" si="16"/>
        <v>658.33333333333326</v>
      </c>
      <c r="N84" s="369" t="s">
        <v>140</v>
      </c>
      <c r="O84" s="389"/>
      <c r="P84" s="346">
        <f t="shared" si="17"/>
        <v>51</v>
      </c>
      <c r="Q84" s="371" t="s">
        <v>27</v>
      </c>
      <c r="R84" s="371" t="s">
        <v>190</v>
      </c>
      <c r="S84" s="406"/>
      <c r="T84" s="372">
        <f>+SUMIF('PROVISION VACANCES ET TICKETS'!$D:$D,H84,'PROVISION VACANCES ET TICKETS'!$BW:$BW)</f>
        <v>658.33333333333326</v>
      </c>
      <c r="V84" s="390"/>
    </row>
    <row r="85" spans="2:22" ht="24" customHeight="1">
      <c r="B85" s="391">
        <f t="shared" si="24"/>
        <v>45351</v>
      </c>
      <c r="C85" s="369" t="str">
        <f t="shared" si="24"/>
        <v>SAL00602</v>
      </c>
      <c r="D85" s="369" t="str">
        <f t="shared" si="26"/>
        <v>G/L Account</v>
      </c>
      <c r="E85" s="371">
        <f t="shared" si="27"/>
        <v>541411</v>
      </c>
      <c r="G85" s="369" t="str">
        <f t="shared" si="28"/>
        <v>Accr+Reversal Airticket BLZ&amp; Chinese Staff Feb 2024</v>
      </c>
      <c r="H85" s="369">
        <v>282</v>
      </c>
      <c r="I85" s="370">
        <f t="shared" si="25"/>
        <v>0</v>
      </c>
      <c r="J85" s="370">
        <f t="shared" si="19"/>
        <v>0</v>
      </c>
      <c r="K85" s="370">
        <f t="shared" si="16"/>
        <v>0</v>
      </c>
      <c r="N85" s="369" t="s">
        <v>140</v>
      </c>
      <c r="O85" s="389"/>
      <c r="P85" s="346">
        <f t="shared" si="17"/>
        <v>51</v>
      </c>
      <c r="Q85" s="371" t="s">
        <v>28</v>
      </c>
      <c r="R85" s="371" t="s">
        <v>191</v>
      </c>
      <c r="S85" s="406"/>
      <c r="T85" s="372">
        <f>+SUMIF('PROVISION VACANCES ET TICKETS'!$D:$D,H85,'PROVISION VACANCES ET TICKETS'!$BW:$BW)</f>
        <v>0</v>
      </c>
      <c r="V85" s="390"/>
    </row>
    <row r="86" spans="2:22" ht="24" customHeight="1">
      <c r="B86" s="391">
        <f t="shared" si="24"/>
        <v>45351</v>
      </c>
      <c r="C86" s="369" t="str">
        <f t="shared" si="24"/>
        <v>SAL00602</v>
      </c>
      <c r="D86" s="369" t="str">
        <f t="shared" si="26"/>
        <v>G/L Account</v>
      </c>
      <c r="E86" s="371">
        <f t="shared" si="27"/>
        <v>541411</v>
      </c>
      <c r="G86" s="369" t="str">
        <f t="shared" si="28"/>
        <v>Accr+Reversal Airticket BLZ&amp; Chinese Staff Feb 2024</v>
      </c>
      <c r="H86" s="369">
        <v>460</v>
      </c>
      <c r="I86" s="370">
        <f t="shared" si="25"/>
        <v>0</v>
      </c>
      <c r="J86" s="370">
        <f t="shared" si="19"/>
        <v>0</v>
      </c>
      <c r="K86" s="370">
        <f t="shared" si="16"/>
        <v>0</v>
      </c>
      <c r="N86" s="369" t="s">
        <v>140</v>
      </c>
      <c r="O86" s="389"/>
      <c r="P86" s="346">
        <f t="shared" si="17"/>
        <v>51</v>
      </c>
      <c r="Q86" s="371" t="s">
        <v>29</v>
      </c>
      <c r="R86" s="371" t="s">
        <v>192</v>
      </c>
      <c r="S86" s="406"/>
      <c r="T86" s="372">
        <f>+SUMIF('PROVISION VACANCES ET TICKETS'!$D:$D,H86,'PROVISION VACANCES ET TICKETS'!$BW:$BW)</f>
        <v>0</v>
      </c>
      <c r="V86" s="390"/>
    </row>
    <row r="87" spans="2:22" ht="24" customHeight="1">
      <c r="B87" s="391">
        <f t="shared" ref="B87:C99" si="29">+B86</f>
        <v>45351</v>
      </c>
      <c r="C87" s="369" t="str">
        <f t="shared" si="29"/>
        <v>SAL00602</v>
      </c>
      <c r="D87" s="369" t="str">
        <f t="shared" si="26"/>
        <v>G/L Account</v>
      </c>
      <c r="E87" s="371">
        <f t="shared" si="27"/>
        <v>541411</v>
      </c>
      <c r="G87" s="369" t="str">
        <f t="shared" si="28"/>
        <v>Accr+Reversal Airticket BLZ&amp; Chinese Staff Feb 2024</v>
      </c>
      <c r="H87" s="369">
        <v>610</v>
      </c>
      <c r="I87" s="370">
        <f t="shared" si="25"/>
        <v>416.66666666666663</v>
      </c>
      <c r="K87" s="370">
        <f t="shared" si="16"/>
        <v>416.66666666666663</v>
      </c>
      <c r="N87" s="369" t="s">
        <v>140</v>
      </c>
      <c r="O87" s="389"/>
      <c r="P87" s="346">
        <f t="shared" si="17"/>
        <v>51</v>
      </c>
      <c r="Q87" s="371" t="s">
        <v>30</v>
      </c>
      <c r="R87" s="371" t="s">
        <v>193</v>
      </c>
      <c r="S87" s="406"/>
      <c r="T87" s="372">
        <f>+SUMIF('PROVISION VACANCES ET TICKETS'!$D:$D,H87,'PROVISION VACANCES ET TICKETS'!$BW:$BW)</f>
        <v>416.66666666666663</v>
      </c>
      <c r="V87" s="390"/>
    </row>
    <row r="88" spans="2:22" ht="24" customHeight="1">
      <c r="B88" s="391">
        <f t="shared" si="29"/>
        <v>45351</v>
      </c>
      <c r="C88" s="369" t="str">
        <f t="shared" si="29"/>
        <v>SAL00602</v>
      </c>
      <c r="D88" s="369" t="str">
        <f t="shared" si="26"/>
        <v>G/L Account</v>
      </c>
      <c r="E88" s="371">
        <f t="shared" si="27"/>
        <v>541411</v>
      </c>
      <c r="G88" s="369" t="str">
        <f t="shared" si="28"/>
        <v>Accr+Reversal Airticket BLZ&amp; Chinese Staff Feb 2024</v>
      </c>
      <c r="H88" s="369">
        <v>620</v>
      </c>
      <c r="I88" s="370">
        <f t="shared" si="25"/>
        <v>125</v>
      </c>
      <c r="K88" s="370">
        <f t="shared" si="16"/>
        <v>125</v>
      </c>
      <c r="N88" s="369" t="s">
        <v>140</v>
      </c>
      <c r="O88" s="389"/>
      <c r="P88" s="346">
        <f t="shared" si="17"/>
        <v>51</v>
      </c>
      <c r="Q88" s="369"/>
      <c r="R88" s="369"/>
      <c r="S88" s="406"/>
      <c r="T88" s="372">
        <f>+SUMIF('PROVISION VACANCES ET TICKETS'!$D:$D,H88,'PROVISION VACANCES ET TICKETS'!$BW:$BW)</f>
        <v>125</v>
      </c>
      <c r="V88" s="390"/>
    </row>
    <row r="89" spans="2:22" ht="24" customHeight="1">
      <c r="B89" s="391">
        <f t="shared" si="29"/>
        <v>45351</v>
      </c>
      <c r="C89" s="369" t="str">
        <f t="shared" si="29"/>
        <v>SAL00602</v>
      </c>
      <c r="D89" s="369" t="str">
        <f t="shared" si="26"/>
        <v>G/L Account</v>
      </c>
      <c r="E89" s="371">
        <f t="shared" si="27"/>
        <v>541411</v>
      </c>
      <c r="G89" s="369" t="str">
        <f t="shared" si="28"/>
        <v>Accr+Reversal Airticket BLZ&amp; Chinese Staff Feb 2024</v>
      </c>
      <c r="H89" s="369">
        <v>630</v>
      </c>
      <c r="I89" s="370">
        <f t="shared" si="25"/>
        <v>0</v>
      </c>
      <c r="J89" s="370">
        <f t="shared" si="19"/>
        <v>0</v>
      </c>
      <c r="K89" s="370">
        <f t="shared" si="16"/>
        <v>0</v>
      </c>
      <c r="N89" s="369" t="s">
        <v>140</v>
      </c>
      <c r="O89" s="389"/>
      <c r="P89" s="346">
        <f t="shared" si="17"/>
        <v>51</v>
      </c>
      <c r="Q89" s="392"/>
      <c r="S89" s="406"/>
      <c r="T89" s="372">
        <f>+SUMIF('PROVISION VACANCES ET TICKETS'!$D:$D,H89,'PROVISION VACANCES ET TICKETS'!$BW:$BW)</f>
        <v>0</v>
      </c>
      <c r="V89" s="390"/>
    </row>
    <row r="90" spans="2:22" ht="24" customHeight="1">
      <c r="B90" s="391">
        <f t="shared" si="29"/>
        <v>45351</v>
      </c>
      <c r="C90" s="369" t="str">
        <f t="shared" si="29"/>
        <v>SAL00602</v>
      </c>
      <c r="D90" s="369" t="str">
        <f t="shared" si="26"/>
        <v>G/L Account</v>
      </c>
      <c r="E90" s="371">
        <f t="shared" si="27"/>
        <v>541411</v>
      </c>
      <c r="G90" s="369" t="str">
        <f t="shared" si="28"/>
        <v>Accr+Reversal Airticket BLZ&amp; Chinese Staff Feb 2024</v>
      </c>
      <c r="H90" s="369">
        <v>640</v>
      </c>
      <c r="I90" s="370">
        <f t="shared" si="25"/>
        <v>0</v>
      </c>
      <c r="J90" s="370">
        <f t="shared" si="19"/>
        <v>0</v>
      </c>
      <c r="K90" s="370">
        <f t="shared" si="16"/>
        <v>0</v>
      </c>
      <c r="N90" s="369" t="s">
        <v>140</v>
      </c>
      <c r="O90" s="389"/>
      <c r="P90" s="346">
        <f t="shared" si="17"/>
        <v>51</v>
      </c>
      <c r="Q90" s="392"/>
      <c r="S90" s="406"/>
      <c r="T90" s="372">
        <f>+SUMIF('PROVISION VACANCES ET TICKETS'!$D:$D,H90,'PROVISION VACANCES ET TICKETS'!$BW:$BW)</f>
        <v>0</v>
      </c>
      <c r="V90" s="390"/>
    </row>
    <row r="91" spans="2:22" ht="24" customHeight="1">
      <c r="B91" s="391">
        <f t="shared" si="29"/>
        <v>45351</v>
      </c>
      <c r="C91" s="369" t="str">
        <f t="shared" si="29"/>
        <v>SAL00602</v>
      </c>
      <c r="D91" s="369" t="str">
        <f t="shared" si="26"/>
        <v>G/L Account</v>
      </c>
      <c r="E91" s="371">
        <f t="shared" si="27"/>
        <v>541411</v>
      </c>
      <c r="G91" s="369" t="str">
        <f t="shared" si="28"/>
        <v>Accr+Reversal Airticket BLZ&amp; Chinese Staff Feb 2024</v>
      </c>
      <c r="H91" s="369">
        <v>650</v>
      </c>
      <c r="J91" s="370">
        <f t="shared" si="19"/>
        <v>400.07000000000005</v>
      </c>
      <c r="K91" s="370">
        <f t="shared" si="16"/>
        <v>-400.07000000000005</v>
      </c>
      <c r="N91" s="369" t="s">
        <v>140</v>
      </c>
      <c r="O91" s="389"/>
      <c r="P91" s="346">
        <f t="shared" si="17"/>
        <v>51</v>
      </c>
      <c r="Q91" s="392"/>
      <c r="S91" s="406"/>
      <c r="T91" s="372">
        <f>+SUMIF('PROVISION VACANCES ET TICKETS'!$D:$D,H91,'PROVISION VACANCES ET TICKETS'!$BW:$BW)</f>
        <v>-400.07000000000005</v>
      </c>
      <c r="V91" s="390"/>
    </row>
    <row r="92" spans="2:22" ht="24" customHeight="1">
      <c r="B92" s="391">
        <f t="shared" si="29"/>
        <v>45351</v>
      </c>
      <c r="C92" s="369" t="str">
        <f t="shared" si="29"/>
        <v>SAL00602</v>
      </c>
      <c r="D92" s="369" t="str">
        <f t="shared" si="26"/>
        <v>G/L Account</v>
      </c>
      <c r="E92" s="371">
        <f t="shared" si="27"/>
        <v>541411</v>
      </c>
      <c r="G92" s="369" t="str">
        <f t="shared" si="28"/>
        <v>Accr+Reversal Airticket BLZ&amp; Chinese Staff Feb 2024</v>
      </c>
      <c r="H92" s="369">
        <v>660</v>
      </c>
      <c r="I92" s="370">
        <f t="shared" si="25"/>
        <v>250</v>
      </c>
      <c r="K92" s="370">
        <f t="shared" si="16"/>
        <v>250</v>
      </c>
      <c r="N92" s="369" t="s">
        <v>140</v>
      </c>
      <c r="O92" s="389"/>
      <c r="P92" s="346">
        <f t="shared" si="17"/>
        <v>51</v>
      </c>
      <c r="Q92" s="392"/>
      <c r="T92" s="372">
        <f>+SUMIF('PROVISION VACANCES ET TICKETS'!$D:$D,H92,'PROVISION VACANCES ET TICKETS'!$BW:$BW)</f>
        <v>250</v>
      </c>
      <c r="V92" s="390"/>
    </row>
    <row r="93" spans="2:22" ht="24" customHeight="1">
      <c r="B93" s="391">
        <f t="shared" si="29"/>
        <v>45351</v>
      </c>
      <c r="C93" s="369" t="str">
        <f t="shared" si="29"/>
        <v>SAL00602</v>
      </c>
      <c r="D93" s="369" t="str">
        <f t="shared" si="26"/>
        <v>G/L Account</v>
      </c>
      <c r="E93" s="371">
        <f t="shared" si="27"/>
        <v>541411</v>
      </c>
      <c r="G93" s="369" t="str">
        <f t="shared" si="28"/>
        <v>Accr+Reversal Airticket BLZ&amp; Chinese Staff Feb 2024</v>
      </c>
      <c r="H93" s="369">
        <v>710</v>
      </c>
      <c r="I93" s="370">
        <f t="shared" si="25"/>
        <v>141.66666666666666</v>
      </c>
      <c r="K93" s="370">
        <f t="shared" si="16"/>
        <v>141.66666666666666</v>
      </c>
      <c r="N93" s="369" t="s">
        <v>140</v>
      </c>
      <c r="O93" s="389"/>
      <c r="P93" s="346">
        <f t="shared" si="17"/>
        <v>51</v>
      </c>
      <c r="Q93" s="392"/>
      <c r="T93" s="372">
        <f>+SUMIF('PROVISION VACANCES ET TICKETS'!$D:$D,H93,'PROVISION VACANCES ET TICKETS'!$BW:$BW)</f>
        <v>141.66666666666666</v>
      </c>
      <c r="V93" s="390"/>
    </row>
    <row r="94" spans="2:22" ht="24" customHeight="1">
      <c r="B94" s="391">
        <f t="shared" si="29"/>
        <v>45351</v>
      </c>
      <c r="C94" s="369" t="str">
        <f t="shared" si="29"/>
        <v>SAL00602</v>
      </c>
      <c r="D94" s="369" t="str">
        <f t="shared" si="26"/>
        <v>G/L Account</v>
      </c>
      <c r="E94" s="371">
        <f t="shared" si="27"/>
        <v>541411</v>
      </c>
      <c r="G94" s="369" t="str">
        <f t="shared" si="28"/>
        <v>Accr+Reversal Airticket BLZ&amp; Chinese Staff Feb 2024</v>
      </c>
      <c r="H94" s="369">
        <v>720</v>
      </c>
      <c r="I94" s="370">
        <f t="shared" si="25"/>
        <v>0</v>
      </c>
      <c r="J94" s="370">
        <f t="shared" si="19"/>
        <v>0</v>
      </c>
      <c r="K94" s="370">
        <f t="shared" si="16"/>
        <v>0</v>
      </c>
      <c r="N94" s="369" t="s">
        <v>140</v>
      </c>
      <c r="O94" s="389"/>
      <c r="P94" s="346">
        <f t="shared" si="17"/>
        <v>51</v>
      </c>
      <c r="Q94" s="392"/>
      <c r="T94" s="372">
        <f>+SUMIF('PROVISION VACANCES ET TICKETS'!$D:$D,H94,'PROVISION VACANCES ET TICKETS'!$BW:$BW)</f>
        <v>0</v>
      </c>
      <c r="V94" s="390"/>
    </row>
    <row r="95" spans="2:22" ht="24" customHeight="1">
      <c r="B95" s="391">
        <f t="shared" si="29"/>
        <v>45351</v>
      </c>
      <c r="C95" s="369" t="str">
        <f t="shared" si="29"/>
        <v>SAL00602</v>
      </c>
      <c r="D95" s="369" t="str">
        <f t="shared" si="26"/>
        <v>G/L Account</v>
      </c>
      <c r="E95" s="371">
        <f t="shared" si="27"/>
        <v>541411</v>
      </c>
      <c r="G95" s="369" t="str">
        <f t="shared" si="28"/>
        <v>Accr+Reversal Airticket BLZ&amp; Chinese Staff Feb 2024</v>
      </c>
      <c r="H95" s="369">
        <v>730</v>
      </c>
      <c r="I95" s="370">
        <f t="shared" si="25"/>
        <v>0</v>
      </c>
      <c r="J95" s="370">
        <f t="shared" si="19"/>
        <v>0</v>
      </c>
      <c r="K95" s="370">
        <f t="shared" si="16"/>
        <v>0</v>
      </c>
      <c r="N95" s="369" t="s">
        <v>140</v>
      </c>
      <c r="O95" s="389"/>
      <c r="P95" s="346">
        <f t="shared" si="17"/>
        <v>51</v>
      </c>
      <c r="Q95" s="392"/>
      <c r="T95" s="372">
        <f>+SUMIF('PROVISION VACANCES ET TICKETS'!$D:$D,H95,'PROVISION VACANCES ET TICKETS'!$BW:$BW)</f>
        <v>0</v>
      </c>
      <c r="V95" s="390"/>
    </row>
    <row r="96" spans="2:22" ht="24" customHeight="1">
      <c r="B96" s="391">
        <f t="shared" si="29"/>
        <v>45351</v>
      </c>
      <c r="C96" s="369" t="str">
        <f t="shared" si="29"/>
        <v>SAL00602</v>
      </c>
      <c r="D96" s="369" t="str">
        <f t="shared" si="26"/>
        <v>G/L Account</v>
      </c>
      <c r="E96" s="371">
        <f>+E94</f>
        <v>541411</v>
      </c>
      <c r="G96" s="369" t="str">
        <f>+G94</f>
        <v>Accr+Reversal Airticket BLZ&amp; Chinese Staff Feb 2024</v>
      </c>
      <c r="H96" s="369">
        <v>810</v>
      </c>
      <c r="J96" s="370">
        <f t="shared" si="19"/>
        <v>3161.7184848484853</v>
      </c>
      <c r="K96" s="370">
        <f t="shared" si="16"/>
        <v>-3161.7184848484853</v>
      </c>
      <c r="N96" s="369" t="s">
        <v>140</v>
      </c>
      <c r="O96" s="389"/>
      <c r="P96" s="346">
        <f t="shared" si="17"/>
        <v>51</v>
      </c>
      <c r="Q96" s="392"/>
      <c r="T96" s="372">
        <f>+SUMIF('PROVISION VACANCES ET TICKETS'!$D:$D,H96,'PROVISION VACANCES ET TICKETS'!$BW:$BW)</f>
        <v>-3161.7184848484853</v>
      </c>
      <c r="V96" s="390"/>
    </row>
    <row r="97" spans="2:22" ht="24" customHeight="1">
      <c r="B97" s="391">
        <f t="shared" si="29"/>
        <v>45351</v>
      </c>
      <c r="C97" s="369" t="str">
        <f t="shared" si="29"/>
        <v>SAL00602</v>
      </c>
      <c r="D97" s="369" t="str">
        <f t="shared" si="26"/>
        <v>G/L Account</v>
      </c>
      <c r="E97" s="393">
        <v>212110</v>
      </c>
      <c r="G97" s="369" t="str">
        <f>+G95&amp;"-HAN YOUCHAI"</f>
        <v>Accr+Reversal Airticket BLZ&amp; Chinese Staff Feb 2024-HAN YOUCHAI</v>
      </c>
      <c r="H97" s="393">
        <v>960</v>
      </c>
      <c r="I97" s="370">
        <f t="shared" si="25"/>
        <v>250</v>
      </c>
      <c r="K97" s="370">
        <f t="shared" si="16"/>
        <v>250</v>
      </c>
      <c r="N97" s="369" t="s">
        <v>140</v>
      </c>
      <c r="O97" s="389"/>
      <c r="P97" s="346">
        <f t="shared" si="17"/>
        <v>63</v>
      </c>
      <c r="Q97" s="392"/>
      <c r="T97" s="372">
        <f>+SUMIF('PROVISION VACANCES ET TICKETS'!$D:$D,H97,'PROVISION VACANCES ET TICKETS'!$BW:$BW)</f>
        <v>250</v>
      </c>
      <c r="V97" s="390"/>
    </row>
    <row r="98" spans="2:22" ht="24" customHeight="1" thickBot="1">
      <c r="B98" s="391">
        <f>+B96</f>
        <v>45351</v>
      </c>
      <c r="C98" s="369" t="str">
        <f>+C96</f>
        <v>SAL00602</v>
      </c>
      <c r="D98" s="369" t="str">
        <f>+D95</f>
        <v>G/L Account</v>
      </c>
      <c r="E98" s="371">
        <f>+E96</f>
        <v>541411</v>
      </c>
      <c r="G98" s="369" t="str">
        <f>+G96</f>
        <v>Accr+Reversal Airticket BLZ&amp; Chinese Staff Feb 2024</v>
      </c>
      <c r="H98" s="369">
        <v>971</v>
      </c>
      <c r="I98" s="370">
        <f t="shared" si="25"/>
        <v>250</v>
      </c>
      <c r="K98" s="370">
        <f t="shared" si="16"/>
        <v>250</v>
      </c>
      <c r="N98" s="369" t="s">
        <v>140</v>
      </c>
      <c r="O98" s="389"/>
      <c r="P98" s="346">
        <f t="shared" si="17"/>
        <v>51</v>
      </c>
      <c r="Q98" s="392"/>
      <c r="T98" s="372">
        <f>+SUMIF('PROVISION VACANCES ET TICKETS'!$D:$D,H98,'PROVISION VACANCES ET TICKETS'!$BW:$BW)</f>
        <v>250</v>
      </c>
      <c r="V98" s="390"/>
    </row>
    <row r="99" spans="2:22" s="402" customFormat="1" ht="24" customHeight="1">
      <c r="B99" s="419">
        <f t="shared" si="29"/>
        <v>45351</v>
      </c>
      <c r="C99" s="420" t="str">
        <f t="shared" si="29"/>
        <v>SAL00602</v>
      </c>
      <c r="D99" s="420" t="str">
        <f>+D96</f>
        <v>G/L Account</v>
      </c>
      <c r="E99" s="420">
        <v>231530</v>
      </c>
      <c r="F99" s="420"/>
      <c r="G99" s="420" t="str">
        <f>+G96</f>
        <v>Accr+Reversal Airticket BLZ&amp; Chinese Staff Feb 2024</v>
      </c>
      <c r="H99" s="420"/>
      <c r="I99" s="397"/>
      <c r="J99" s="397">
        <f t="shared" si="19"/>
        <v>-6161.7884848484855</v>
      </c>
      <c r="K99" s="397">
        <f>+IF(I99&lt;&gt;0,I99,-J99)</f>
        <v>6161.7884848484855</v>
      </c>
      <c r="L99" s="420"/>
      <c r="M99" s="397"/>
      <c r="N99" s="420" t="s">
        <v>140</v>
      </c>
      <c r="O99" s="399"/>
      <c r="P99" s="402">
        <f t="shared" si="17"/>
        <v>51</v>
      </c>
      <c r="Q99" s="401"/>
      <c r="T99" s="403">
        <f>-SUM(T76:T98)</f>
        <v>6161.7884848484855</v>
      </c>
      <c r="U99" s="403"/>
      <c r="V99" s="418"/>
    </row>
    <row r="100" spans="2:22" ht="24" customHeight="1">
      <c r="P100" s="346"/>
      <c r="Q100" s="392"/>
      <c r="V100" s="390"/>
    </row>
    <row r="101" spans="2:22" ht="24" customHeight="1">
      <c r="P101" s="346"/>
      <c r="Q101" s="392"/>
      <c r="V101" s="390"/>
    </row>
    <row r="102" spans="2:22" ht="24" customHeight="1">
      <c r="L102" s="346"/>
      <c r="M102" s="408"/>
      <c r="P102" s="346"/>
      <c r="Q102" s="392"/>
      <c r="V102" s="390"/>
    </row>
    <row r="103" spans="2:22" ht="24" customHeight="1">
      <c r="L103" s="346"/>
      <c r="M103" s="408"/>
      <c r="P103" s="346"/>
      <c r="Q103" s="392"/>
      <c r="V103" s="390"/>
    </row>
    <row r="104" spans="2:22" ht="24" customHeight="1">
      <c r="P104" s="346"/>
      <c r="Q104" s="392"/>
      <c r="V104" s="390"/>
    </row>
    <row r="105" spans="2:22" ht="24" customHeight="1">
      <c r="P105" s="346"/>
      <c r="Q105" s="392"/>
      <c r="V105" s="390"/>
    </row>
    <row r="106" spans="2:22" ht="24" customHeight="1">
      <c r="P106" s="346"/>
      <c r="Q106" s="392"/>
      <c r="V106" s="390"/>
    </row>
    <row r="107" spans="2:22" ht="24" customHeight="1">
      <c r="P107" s="346"/>
      <c r="Q107" s="392"/>
      <c r="V107" s="390"/>
    </row>
    <row r="108" spans="2:22" ht="24" customHeight="1">
      <c r="P108" s="346"/>
      <c r="Q108" s="392"/>
      <c r="V108" s="390"/>
    </row>
    <row r="109" spans="2:22" ht="24" customHeight="1">
      <c r="P109" s="346"/>
      <c r="Q109" s="392"/>
      <c r="V109" s="390"/>
    </row>
    <row r="110" spans="2:22" ht="24" customHeight="1">
      <c r="P110" s="346"/>
      <c r="Q110" s="392"/>
      <c r="V110" s="390"/>
    </row>
    <row r="111" spans="2:22" ht="24" customHeight="1">
      <c r="P111" s="346"/>
      <c r="Q111" s="392"/>
      <c r="V111" s="390"/>
    </row>
    <row r="112" spans="2:22" ht="24" customHeight="1">
      <c r="P112" s="346"/>
      <c r="Q112" s="392"/>
      <c r="V112" s="390"/>
    </row>
    <row r="113" spans="16:22" ht="24" customHeight="1">
      <c r="P113" s="346"/>
      <c r="Q113" s="392"/>
      <c r="V113" s="390"/>
    </row>
    <row r="114" spans="16:22" ht="24" customHeight="1">
      <c r="P114" s="346"/>
      <c r="Q114" s="392"/>
      <c r="V114" s="390"/>
    </row>
    <row r="115" spans="16:22" ht="24" customHeight="1">
      <c r="P115" s="346"/>
      <c r="Q115" s="392"/>
      <c r="V115" s="390"/>
    </row>
    <row r="116" spans="16:22" ht="24" customHeight="1">
      <c r="P116" s="346"/>
      <c r="Q116" s="392"/>
      <c r="V116" s="390"/>
    </row>
    <row r="117" spans="16:22" ht="24" customHeight="1">
      <c r="P117" s="346"/>
      <c r="Q117" s="392"/>
      <c r="V117" s="390"/>
    </row>
    <row r="118" spans="16:22" ht="24" customHeight="1">
      <c r="P118" s="346"/>
      <c r="Q118" s="392"/>
      <c r="V118" s="390"/>
    </row>
    <row r="119" spans="16:22" ht="24" customHeight="1">
      <c r="P119" s="346"/>
      <c r="Q119" s="392"/>
      <c r="V119" s="390"/>
    </row>
    <row r="120" spans="16:22" ht="24" customHeight="1">
      <c r="P120" s="346"/>
      <c r="Q120" s="392"/>
      <c r="V120" s="390"/>
    </row>
    <row r="121" spans="16:22" ht="24" customHeight="1">
      <c r="P121" s="346"/>
      <c r="Q121" s="392"/>
      <c r="V121" s="390"/>
    </row>
    <row r="122" spans="16:22" ht="24" customHeight="1">
      <c r="P122" s="346"/>
      <c r="Q122" s="392"/>
      <c r="V122" s="390"/>
    </row>
    <row r="123" spans="16:22" ht="24" customHeight="1">
      <c r="P123" s="346"/>
      <c r="Q123" s="392"/>
      <c r="V123" s="390"/>
    </row>
    <row r="124" spans="16:22" ht="24" customHeight="1">
      <c r="P124" s="346"/>
      <c r="Q124" s="392"/>
      <c r="V124" s="390"/>
    </row>
    <row r="125" spans="16:22" ht="24" customHeight="1">
      <c r="P125" s="346"/>
      <c r="Q125" s="392"/>
      <c r="V125" s="390"/>
    </row>
    <row r="126" spans="16:22" ht="24" customHeight="1">
      <c r="P126" s="346"/>
      <c r="Q126" s="392"/>
      <c r="V126" s="390"/>
    </row>
    <row r="127" spans="16:22" ht="24" customHeight="1">
      <c r="P127" s="346"/>
      <c r="Q127" s="392"/>
      <c r="V127" s="390"/>
    </row>
    <row r="128" spans="16:22" ht="24" customHeight="1">
      <c r="P128" s="346"/>
      <c r="Q128" s="392"/>
      <c r="V128" s="390"/>
    </row>
    <row r="129" spans="16:22" ht="24" customHeight="1">
      <c r="P129" s="346"/>
      <c r="Q129" s="392"/>
      <c r="V129" s="390"/>
    </row>
    <row r="130" spans="16:22" ht="24" customHeight="1">
      <c r="P130" s="346"/>
      <c r="Q130" s="392"/>
      <c r="V130" s="390"/>
    </row>
    <row r="131" spans="16:22" ht="24" customHeight="1">
      <c r="P131" s="346"/>
      <c r="Q131" s="392"/>
      <c r="V131" s="390"/>
    </row>
    <row r="132" spans="16:22" ht="24" customHeight="1">
      <c r="P132" s="346"/>
      <c r="Q132" s="392"/>
      <c r="V132" s="390"/>
    </row>
    <row r="133" spans="16:22" ht="24" customHeight="1">
      <c r="P133" s="346"/>
      <c r="Q133" s="392"/>
      <c r="V133" s="390"/>
    </row>
    <row r="134" spans="16:22" ht="24" customHeight="1">
      <c r="P134" s="346"/>
      <c r="Q134" s="392"/>
      <c r="V134" s="390"/>
    </row>
    <row r="135" spans="16:22" ht="24" customHeight="1">
      <c r="P135" s="346"/>
      <c r="Q135" s="392"/>
      <c r="V135" s="390"/>
    </row>
    <row r="136" spans="16:22" ht="24" customHeight="1">
      <c r="P136" s="346"/>
      <c r="Q136" s="392"/>
      <c r="V136" s="390"/>
    </row>
    <row r="137" spans="16:22" ht="24" customHeight="1">
      <c r="P137" s="346"/>
      <c r="Q137" s="392"/>
      <c r="V137" s="390"/>
    </row>
    <row r="138" spans="16:22" ht="24" customHeight="1">
      <c r="P138" s="346"/>
      <c r="Q138" s="392"/>
      <c r="V138" s="390"/>
    </row>
    <row r="139" spans="16:22" ht="24" customHeight="1">
      <c r="P139" s="346"/>
      <c r="Q139" s="392"/>
      <c r="V139" s="390"/>
    </row>
    <row r="140" spans="16:22" ht="24" customHeight="1">
      <c r="P140" s="346"/>
      <c r="Q140" s="392"/>
      <c r="V140" s="390"/>
    </row>
    <row r="141" spans="16:22" ht="24" customHeight="1">
      <c r="P141" s="346"/>
      <c r="Q141" s="392"/>
      <c r="V141" s="390"/>
    </row>
    <row r="142" spans="16:22" ht="24" customHeight="1">
      <c r="P142" s="346"/>
      <c r="Q142" s="392"/>
      <c r="V142" s="390"/>
    </row>
    <row r="143" spans="16:22" ht="24" customHeight="1">
      <c r="P143" s="346"/>
      <c r="Q143" s="392"/>
      <c r="V143" s="390"/>
    </row>
    <row r="144" spans="16:22" ht="24" customHeight="1">
      <c r="P144" s="346"/>
      <c r="Q144" s="392"/>
      <c r="V144" s="390"/>
    </row>
    <row r="145" spans="16:22" ht="24" customHeight="1">
      <c r="P145" s="346"/>
      <c r="Q145" s="392"/>
      <c r="V145" s="390"/>
    </row>
    <row r="146" spans="16:22" ht="24" customHeight="1">
      <c r="P146" s="346"/>
      <c r="Q146" s="392"/>
      <c r="V146" s="390"/>
    </row>
    <row r="147" spans="16:22" ht="24" customHeight="1">
      <c r="P147" s="346"/>
      <c r="Q147" s="392"/>
      <c r="V147" s="390"/>
    </row>
    <row r="148" spans="16:22" ht="24" customHeight="1">
      <c r="P148" s="346"/>
      <c r="Q148" s="392"/>
      <c r="V148" s="390"/>
    </row>
    <row r="149" spans="16:22" ht="24" customHeight="1">
      <c r="P149" s="346"/>
      <c r="Q149" s="392"/>
      <c r="V149" s="390"/>
    </row>
    <row r="150" spans="16:22" ht="24" customHeight="1">
      <c r="P150" s="346"/>
      <c r="Q150" s="392"/>
      <c r="V150" s="390"/>
    </row>
    <row r="151" spans="16:22" ht="24" customHeight="1">
      <c r="P151" s="346"/>
      <c r="Q151" s="392"/>
      <c r="V151" s="390"/>
    </row>
    <row r="152" spans="16:22" ht="24" customHeight="1">
      <c r="P152" s="346"/>
      <c r="Q152" s="392"/>
      <c r="V152" s="390"/>
    </row>
    <row r="153" spans="16:22" ht="24" customHeight="1">
      <c r="P153" s="346"/>
      <c r="Q153" s="392"/>
      <c r="V153" s="390"/>
    </row>
    <row r="154" spans="16:22" ht="24" customHeight="1">
      <c r="P154" s="346"/>
      <c r="Q154" s="392"/>
      <c r="V154" s="390"/>
    </row>
    <row r="155" spans="16:22" ht="24" customHeight="1">
      <c r="P155" s="346"/>
      <c r="Q155" s="392"/>
      <c r="V155" s="390"/>
    </row>
    <row r="156" spans="16:22" ht="24" customHeight="1">
      <c r="P156" s="346"/>
      <c r="Q156" s="392"/>
      <c r="V156" s="390"/>
    </row>
    <row r="157" spans="16:22" ht="24" customHeight="1">
      <c r="P157" s="346"/>
      <c r="Q157" s="392"/>
      <c r="V157" s="390"/>
    </row>
    <row r="158" spans="16:22" ht="24" customHeight="1">
      <c r="P158" s="346"/>
      <c r="Q158" s="392"/>
      <c r="V158" s="390"/>
    </row>
    <row r="159" spans="16:22" ht="24" customHeight="1">
      <c r="P159" s="346"/>
      <c r="Q159" s="392"/>
      <c r="V159" s="390"/>
    </row>
    <row r="160" spans="16:22" ht="24" customHeight="1">
      <c r="P160" s="346"/>
      <c r="Q160" s="392"/>
      <c r="V160" s="390"/>
    </row>
    <row r="161" spans="16:22" ht="24" customHeight="1">
      <c r="P161" s="346"/>
      <c r="Q161" s="392"/>
      <c r="V161" s="390"/>
    </row>
    <row r="162" spans="16:22" ht="24" customHeight="1">
      <c r="P162" s="346"/>
      <c r="Q162" s="392"/>
      <c r="V162" s="390"/>
    </row>
    <row r="163" spans="16:22" ht="24" customHeight="1">
      <c r="P163" s="346"/>
      <c r="Q163" s="392"/>
      <c r="V163" s="390"/>
    </row>
    <row r="164" spans="16:22" ht="24" customHeight="1">
      <c r="P164" s="346"/>
      <c r="Q164" s="392"/>
      <c r="V164" s="390"/>
    </row>
    <row r="165" spans="16:22" ht="24" customHeight="1">
      <c r="P165" s="346"/>
      <c r="Q165" s="392"/>
      <c r="V165" s="390"/>
    </row>
    <row r="166" spans="16:22" ht="24" customHeight="1">
      <c r="P166" s="346"/>
      <c r="Q166" s="392"/>
      <c r="V166" s="390"/>
    </row>
    <row r="167" spans="16:22" ht="24" customHeight="1">
      <c r="P167" s="346"/>
      <c r="Q167" s="392"/>
      <c r="V167" s="390"/>
    </row>
    <row r="168" spans="16:22" ht="24" customHeight="1">
      <c r="P168" s="346"/>
      <c r="Q168" s="392"/>
      <c r="V168" s="390"/>
    </row>
    <row r="169" spans="16:22" ht="24" customHeight="1">
      <c r="P169" s="346"/>
      <c r="Q169" s="392"/>
      <c r="V169" s="390"/>
    </row>
    <row r="170" spans="16:22" ht="24" customHeight="1">
      <c r="P170" s="346"/>
      <c r="Q170" s="392"/>
      <c r="V170" s="390"/>
    </row>
    <row r="171" spans="16:22" ht="24" customHeight="1">
      <c r="P171" s="346"/>
      <c r="Q171" s="392"/>
      <c r="V171" s="390"/>
    </row>
    <row r="172" spans="16:22" ht="24" customHeight="1">
      <c r="P172" s="346"/>
      <c r="Q172" s="392"/>
      <c r="V172" s="390"/>
    </row>
    <row r="173" spans="16:22" ht="24" customHeight="1">
      <c r="P173" s="346"/>
      <c r="Q173" s="392"/>
      <c r="V173" s="390"/>
    </row>
    <row r="174" spans="16:22" ht="24" customHeight="1">
      <c r="P174" s="346"/>
      <c r="Q174" s="392"/>
      <c r="V174" s="390"/>
    </row>
    <row r="175" spans="16:22" ht="24" customHeight="1">
      <c r="P175" s="346"/>
      <c r="Q175" s="392"/>
      <c r="V175" s="390"/>
    </row>
    <row r="176" spans="16:22" ht="24" customHeight="1">
      <c r="P176" s="346"/>
      <c r="Q176" s="392"/>
      <c r="V176" s="390"/>
    </row>
    <row r="177" spans="16:22" ht="24" customHeight="1">
      <c r="P177" s="346"/>
      <c r="Q177" s="392"/>
      <c r="V177" s="390"/>
    </row>
    <row r="178" spans="16:22" ht="24" customHeight="1">
      <c r="P178" s="346"/>
      <c r="Q178" s="392"/>
      <c r="V178" s="390"/>
    </row>
    <row r="179" spans="16:22" ht="24" customHeight="1">
      <c r="P179" s="346"/>
      <c r="Q179" s="392"/>
      <c r="V179" s="390"/>
    </row>
    <row r="180" spans="16:22" ht="24" customHeight="1">
      <c r="P180" s="346"/>
      <c r="Q180" s="392"/>
      <c r="V180" s="390"/>
    </row>
    <row r="181" spans="16:22" ht="24" customHeight="1">
      <c r="P181" s="346"/>
      <c r="Q181" s="392"/>
      <c r="V181" s="390"/>
    </row>
    <row r="182" spans="16:22" ht="24" customHeight="1">
      <c r="P182" s="346"/>
      <c r="Q182" s="392"/>
      <c r="V182" s="390"/>
    </row>
    <row r="183" spans="16:22" ht="24" customHeight="1">
      <c r="P183" s="346"/>
      <c r="Q183" s="392"/>
      <c r="V183" s="390"/>
    </row>
    <row r="184" spans="16:22" ht="24" customHeight="1">
      <c r="P184" s="346"/>
      <c r="Q184" s="392"/>
      <c r="V184" s="390"/>
    </row>
    <row r="185" spans="16:22" ht="24" customHeight="1">
      <c r="P185" s="346"/>
      <c r="Q185" s="392"/>
      <c r="V185" s="390"/>
    </row>
    <row r="186" spans="16:22" ht="24" customHeight="1">
      <c r="P186" s="346"/>
      <c r="Q186" s="392"/>
      <c r="V186" s="390"/>
    </row>
    <row r="187" spans="16:22" ht="24" customHeight="1">
      <c r="P187" s="346"/>
      <c r="Q187" s="392"/>
      <c r="V187" s="390"/>
    </row>
    <row r="188" spans="16:22" ht="24" customHeight="1">
      <c r="P188" s="346"/>
      <c r="Q188" s="392"/>
      <c r="V188" s="390"/>
    </row>
    <row r="189" spans="16:22" ht="24" customHeight="1">
      <c r="P189" s="346"/>
      <c r="Q189" s="392"/>
      <c r="V189" s="390"/>
    </row>
    <row r="190" spans="16:22" ht="24" customHeight="1">
      <c r="P190" s="346"/>
      <c r="Q190" s="392"/>
      <c r="V190" s="390"/>
    </row>
    <row r="191" spans="16:22" ht="24" customHeight="1">
      <c r="P191" s="346"/>
      <c r="Q191" s="392"/>
      <c r="V191" s="390"/>
    </row>
    <row r="192" spans="16:22" ht="24" customHeight="1">
      <c r="P192" s="346"/>
      <c r="Q192" s="392"/>
      <c r="V192" s="390"/>
    </row>
    <row r="193" spans="16:22" ht="24" customHeight="1">
      <c r="P193" s="346"/>
      <c r="Q193" s="392"/>
      <c r="V193" s="390"/>
    </row>
    <row r="194" spans="16:22" ht="24" customHeight="1">
      <c r="P194" s="346"/>
      <c r="Q194" s="392"/>
      <c r="V194" s="390"/>
    </row>
    <row r="195" spans="16:22" ht="24" customHeight="1">
      <c r="P195" s="346"/>
      <c r="Q195" s="392"/>
      <c r="V195" s="390"/>
    </row>
    <row r="196" spans="16:22" ht="24" customHeight="1">
      <c r="P196" s="346"/>
      <c r="Q196" s="392"/>
      <c r="V196" s="390"/>
    </row>
    <row r="197" spans="16:22" ht="24" customHeight="1">
      <c r="P197" s="346"/>
      <c r="Q197" s="392"/>
      <c r="V197" s="390"/>
    </row>
    <row r="198" spans="16:22" ht="24" customHeight="1">
      <c r="P198" s="346"/>
      <c r="Q198" s="392"/>
      <c r="V198" s="390"/>
    </row>
    <row r="199" spans="16:22" ht="24" customHeight="1">
      <c r="P199" s="346"/>
      <c r="Q199" s="392"/>
      <c r="V199" s="390"/>
    </row>
    <row r="200" spans="16:22" ht="24" customHeight="1">
      <c r="P200" s="346"/>
      <c r="Q200" s="392"/>
      <c r="V200" s="390"/>
    </row>
    <row r="201" spans="16:22" ht="24" customHeight="1">
      <c r="P201" s="346"/>
      <c r="Q201" s="392"/>
      <c r="V201" s="390"/>
    </row>
    <row r="202" spans="16:22" ht="24" customHeight="1">
      <c r="P202" s="346"/>
      <c r="Q202" s="392"/>
      <c r="V202" s="390"/>
    </row>
    <row r="203" spans="16:22" ht="24" customHeight="1">
      <c r="P203" s="346"/>
      <c r="Q203" s="392"/>
      <c r="V203" s="390"/>
    </row>
    <row r="204" spans="16:22" ht="24" customHeight="1">
      <c r="P204" s="346"/>
      <c r="Q204" s="392"/>
      <c r="V204" s="390"/>
    </row>
    <row r="205" spans="16:22" ht="24" customHeight="1">
      <c r="P205" s="346"/>
      <c r="Q205" s="392"/>
      <c r="V205" s="390"/>
    </row>
    <row r="206" spans="16:22" ht="24" customHeight="1">
      <c r="P206" s="346"/>
      <c r="Q206" s="392"/>
      <c r="V206" s="390"/>
    </row>
    <row r="207" spans="16:22" ht="24" customHeight="1">
      <c r="P207" s="346"/>
      <c r="Q207" s="392"/>
      <c r="V207" s="390"/>
    </row>
    <row r="208" spans="16:22" ht="24" customHeight="1">
      <c r="P208" s="346"/>
      <c r="Q208" s="392"/>
      <c r="V208" s="390"/>
    </row>
    <row r="209" spans="16:22" ht="24" customHeight="1">
      <c r="P209" s="346"/>
      <c r="Q209" s="392"/>
      <c r="V209" s="390"/>
    </row>
    <row r="210" spans="16:22" ht="24" customHeight="1">
      <c r="P210" s="346"/>
      <c r="Q210" s="392"/>
      <c r="V210" s="390"/>
    </row>
    <row r="211" spans="16:22" ht="24" customHeight="1">
      <c r="P211" s="346"/>
      <c r="Q211" s="392"/>
      <c r="V211" s="390"/>
    </row>
    <row r="212" spans="16:22" ht="24" customHeight="1">
      <c r="P212" s="346"/>
      <c r="Q212" s="392"/>
      <c r="V212" s="390"/>
    </row>
    <row r="213" spans="16:22" ht="24" customHeight="1">
      <c r="P213" s="346"/>
      <c r="Q213" s="392"/>
      <c r="V213" s="390"/>
    </row>
    <row r="214" spans="16:22" ht="24" customHeight="1">
      <c r="P214" s="346"/>
      <c r="Q214" s="392"/>
      <c r="V214" s="390"/>
    </row>
    <row r="215" spans="16:22" ht="24" customHeight="1">
      <c r="P215" s="346"/>
      <c r="Q215" s="392"/>
      <c r="V215" s="390"/>
    </row>
    <row r="216" spans="16:22" ht="24" customHeight="1">
      <c r="P216" s="346"/>
      <c r="Q216" s="392"/>
      <c r="V216" s="390"/>
    </row>
    <row r="217" spans="16:22" ht="24" customHeight="1">
      <c r="P217" s="346"/>
      <c r="Q217" s="392"/>
      <c r="V217" s="390"/>
    </row>
    <row r="218" spans="16:22" ht="24" customHeight="1">
      <c r="P218" s="346"/>
      <c r="Q218" s="392"/>
      <c r="V218" s="390"/>
    </row>
    <row r="219" spans="16:22" ht="24" customHeight="1">
      <c r="P219" s="346"/>
      <c r="Q219" s="392"/>
      <c r="V219" s="390"/>
    </row>
    <row r="220" spans="16:22" ht="24" customHeight="1">
      <c r="P220" s="346"/>
      <c r="Q220" s="392"/>
      <c r="V220" s="390"/>
    </row>
    <row r="221" spans="16:22" ht="24" customHeight="1">
      <c r="P221" s="346"/>
      <c r="Q221" s="392"/>
      <c r="V221" s="390"/>
    </row>
    <row r="222" spans="16:22" ht="24" customHeight="1">
      <c r="P222" s="346"/>
      <c r="Q222" s="392"/>
      <c r="V222" s="390"/>
    </row>
    <row r="223" spans="16:22" ht="24" customHeight="1">
      <c r="P223" s="346"/>
      <c r="Q223" s="392"/>
      <c r="V223" s="390"/>
    </row>
    <row r="224" spans="16:22" ht="24" customHeight="1">
      <c r="P224" s="346"/>
      <c r="Q224" s="392"/>
      <c r="V224" s="390"/>
    </row>
    <row r="225" spans="16:22" ht="24" customHeight="1">
      <c r="P225" s="346"/>
      <c r="Q225" s="392"/>
      <c r="V225" s="390"/>
    </row>
    <row r="226" spans="16:22" ht="24" customHeight="1">
      <c r="P226" s="346"/>
      <c r="Q226" s="392"/>
      <c r="V226" s="390"/>
    </row>
    <row r="227" spans="16:22" ht="24" customHeight="1">
      <c r="P227" s="346"/>
      <c r="Q227" s="392"/>
      <c r="V227" s="390"/>
    </row>
    <row r="228" spans="16:22" ht="24" customHeight="1">
      <c r="P228" s="346"/>
      <c r="Q228" s="392"/>
      <c r="V228" s="390"/>
    </row>
    <row r="229" spans="16:22" ht="24" customHeight="1">
      <c r="P229" s="346"/>
      <c r="Q229" s="392"/>
      <c r="V229" s="390"/>
    </row>
    <row r="230" spans="16:22" ht="24" customHeight="1">
      <c r="P230" s="346"/>
      <c r="Q230" s="392"/>
      <c r="V230" s="390"/>
    </row>
    <row r="231" spans="16:22" ht="24" customHeight="1">
      <c r="P231" s="346"/>
      <c r="Q231" s="392"/>
      <c r="V231" s="390"/>
    </row>
    <row r="232" spans="16:22" ht="24" customHeight="1">
      <c r="P232" s="346"/>
      <c r="Q232" s="392"/>
      <c r="V232" s="390"/>
    </row>
    <row r="233" spans="16:22" ht="24" customHeight="1">
      <c r="P233" s="346"/>
      <c r="Q233" s="392"/>
      <c r="V233" s="390"/>
    </row>
    <row r="234" spans="16:22" ht="24" customHeight="1">
      <c r="P234" s="346"/>
      <c r="Q234" s="392"/>
      <c r="V234" s="390"/>
    </row>
    <row r="235" spans="16:22" ht="24" customHeight="1">
      <c r="P235" s="346"/>
      <c r="Q235" s="392"/>
      <c r="V235" s="390"/>
    </row>
    <row r="236" spans="16:22" ht="24" customHeight="1">
      <c r="P236" s="346"/>
      <c r="Q236" s="392"/>
      <c r="V236" s="390"/>
    </row>
    <row r="237" spans="16:22" ht="24" customHeight="1">
      <c r="P237" s="346"/>
      <c r="Q237" s="392"/>
      <c r="V237" s="390"/>
    </row>
    <row r="238" spans="16:22" ht="24" customHeight="1">
      <c r="P238" s="346"/>
      <c r="Q238" s="392"/>
      <c r="V238" s="390"/>
    </row>
    <row r="239" spans="16:22" ht="24" customHeight="1">
      <c r="P239" s="346"/>
      <c r="Q239" s="392"/>
      <c r="V239" s="390"/>
    </row>
    <row r="240" spans="16:22" ht="24" customHeight="1">
      <c r="P240" s="346"/>
      <c r="Q240" s="392"/>
      <c r="V240" s="390"/>
    </row>
    <row r="241" spans="16:22" ht="24" customHeight="1">
      <c r="P241" s="346"/>
      <c r="Q241" s="392"/>
      <c r="V241" s="390"/>
    </row>
    <row r="242" spans="16:22" ht="24" customHeight="1">
      <c r="P242" s="346"/>
      <c r="Q242" s="392"/>
      <c r="V242" s="390"/>
    </row>
    <row r="243" spans="16:22" ht="24" customHeight="1">
      <c r="P243" s="346"/>
      <c r="Q243" s="392"/>
      <c r="V243" s="390"/>
    </row>
    <row r="244" spans="16:22" ht="24" customHeight="1">
      <c r="P244" s="346"/>
      <c r="Q244" s="392"/>
      <c r="V244" s="390"/>
    </row>
    <row r="245" spans="16:22" ht="24" customHeight="1">
      <c r="P245" s="346"/>
      <c r="Q245" s="392"/>
      <c r="V245" s="390"/>
    </row>
    <row r="246" spans="16:22" ht="24" customHeight="1">
      <c r="P246" s="346"/>
      <c r="Q246" s="392"/>
      <c r="V246" s="390"/>
    </row>
    <row r="247" spans="16:22" ht="24" customHeight="1">
      <c r="P247" s="346"/>
      <c r="Q247" s="392"/>
      <c r="V247" s="390"/>
    </row>
    <row r="248" spans="16:22" ht="24" customHeight="1">
      <c r="P248" s="346"/>
      <c r="Q248" s="392"/>
      <c r="V248" s="390"/>
    </row>
    <row r="249" spans="16:22" ht="24" customHeight="1">
      <c r="P249" s="346"/>
      <c r="Q249" s="392"/>
      <c r="V249" s="390"/>
    </row>
    <row r="250" spans="16:22" ht="24" customHeight="1">
      <c r="P250" s="346"/>
      <c r="Q250" s="392"/>
      <c r="V250" s="390"/>
    </row>
    <row r="251" spans="16:22" ht="24" customHeight="1">
      <c r="P251" s="346"/>
      <c r="Q251" s="392"/>
      <c r="V251" s="390"/>
    </row>
    <row r="252" spans="16:22" ht="24" customHeight="1">
      <c r="P252" s="346"/>
      <c r="Q252" s="392"/>
      <c r="V252" s="390"/>
    </row>
    <row r="253" spans="16:22" ht="24" customHeight="1">
      <c r="P253" s="346"/>
      <c r="Q253" s="392"/>
      <c r="V253" s="390"/>
    </row>
    <row r="254" spans="16:22" ht="24" customHeight="1">
      <c r="P254" s="346"/>
      <c r="Q254" s="392"/>
      <c r="V254" s="390"/>
    </row>
    <row r="255" spans="16:22" ht="24" customHeight="1">
      <c r="P255" s="346"/>
      <c r="Q255" s="392"/>
      <c r="V255" s="390"/>
    </row>
    <row r="256" spans="16:22" ht="24" customHeight="1">
      <c r="P256" s="346"/>
      <c r="Q256" s="392"/>
      <c r="V256" s="390"/>
    </row>
    <row r="257" spans="16:22" ht="24" customHeight="1">
      <c r="P257" s="346"/>
      <c r="Q257" s="392"/>
      <c r="V257" s="390"/>
    </row>
    <row r="258" spans="16:22" ht="24" customHeight="1">
      <c r="P258" s="346"/>
      <c r="Q258" s="392"/>
      <c r="V258" s="390"/>
    </row>
    <row r="259" spans="16:22" ht="24" customHeight="1">
      <c r="P259" s="346"/>
      <c r="Q259" s="392"/>
      <c r="V259" s="390"/>
    </row>
    <row r="260" spans="16:22" ht="24" customHeight="1">
      <c r="P260" s="346"/>
      <c r="Q260" s="392"/>
      <c r="V260" s="390"/>
    </row>
    <row r="261" spans="16:22" ht="24" customHeight="1">
      <c r="P261" s="346"/>
      <c r="Q261" s="392"/>
      <c r="V261" s="390"/>
    </row>
    <row r="262" spans="16:22" ht="24" customHeight="1">
      <c r="P262" s="346"/>
      <c r="Q262" s="392"/>
      <c r="V262" s="390"/>
    </row>
    <row r="263" spans="16:22" ht="24" customHeight="1">
      <c r="P263" s="346"/>
      <c r="Q263" s="392"/>
      <c r="V263" s="390"/>
    </row>
    <row r="264" spans="16:22" ht="24" customHeight="1">
      <c r="P264" s="346"/>
      <c r="Q264" s="392"/>
      <c r="V264" s="390"/>
    </row>
    <row r="265" spans="16:22" ht="24" customHeight="1">
      <c r="P265" s="346"/>
      <c r="Q265" s="392"/>
      <c r="V265" s="390"/>
    </row>
    <row r="266" spans="16:22" ht="24" customHeight="1">
      <c r="P266" s="346"/>
      <c r="Q266" s="392"/>
      <c r="V266" s="390"/>
    </row>
    <row r="267" spans="16:22" ht="24" customHeight="1">
      <c r="P267" s="346"/>
      <c r="Q267" s="392"/>
      <c r="V267" s="390"/>
    </row>
    <row r="268" spans="16:22" ht="24" customHeight="1">
      <c r="P268" s="346"/>
      <c r="Q268" s="392"/>
      <c r="V268" s="390"/>
    </row>
    <row r="269" spans="16:22" ht="24" customHeight="1">
      <c r="P269" s="346"/>
      <c r="Q269" s="392"/>
      <c r="V269" s="390"/>
    </row>
    <row r="270" spans="16:22" ht="24" customHeight="1">
      <c r="P270" s="346"/>
      <c r="Q270" s="392"/>
      <c r="V270" s="390"/>
    </row>
    <row r="271" spans="16:22" ht="24" customHeight="1">
      <c r="P271" s="346"/>
      <c r="Q271" s="392"/>
      <c r="V271" s="390"/>
    </row>
    <row r="272" spans="16:22" ht="24" customHeight="1">
      <c r="P272" s="346"/>
      <c r="Q272" s="392"/>
      <c r="V272" s="390"/>
    </row>
    <row r="273" spans="16:22" ht="24" customHeight="1">
      <c r="P273" s="346"/>
      <c r="Q273" s="392"/>
      <c r="V273" s="390"/>
    </row>
    <row r="274" spans="16:22" ht="24" customHeight="1">
      <c r="P274" s="346"/>
      <c r="Q274" s="392"/>
      <c r="V274" s="390"/>
    </row>
    <row r="275" spans="16:22" ht="24" customHeight="1">
      <c r="P275" s="346"/>
      <c r="Q275" s="392"/>
      <c r="V275" s="390"/>
    </row>
    <row r="276" spans="16:22" ht="24" customHeight="1">
      <c r="P276" s="346"/>
      <c r="Q276" s="392"/>
      <c r="V276" s="390"/>
    </row>
    <row r="277" spans="16:22" ht="24" customHeight="1">
      <c r="P277" s="346"/>
      <c r="Q277" s="392"/>
      <c r="V277" s="390"/>
    </row>
    <row r="278" spans="16:22" ht="24" customHeight="1">
      <c r="P278" s="346"/>
      <c r="Q278" s="392"/>
      <c r="V278" s="390"/>
    </row>
    <row r="279" spans="16:22" ht="24" customHeight="1">
      <c r="P279" s="346"/>
      <c r="Q279" s="392"/>
      <c r="V279" s="390"/>
    </row>
    <row r="280" spans="16:22" ht="24" customHeight="1">
      <c r="P280" s="346"/>
      <c r="Q280" s="392"/>
      <c r="V280" s="390"/>
    </row>
    <row r="281" spans="16:22" ht="24" customHeight="1">
      <c r="P281" s="346"/>
      <c r="Q281" s="392"/>
      <c r="V281" s="390"/>
    </row>
    <row r="282" spans="16:22" ht="24" customHeight="1">
      <c r="P282" s="346"/>
      <c r="Q282" s="392"/>
      <c r="V282" s="390"/>
    </row>
    <row r="283" spans="16:22" ht="24" customHeight="1">
      <c r="P283" s="346"/>
      <c r="Q283" s="392"/>
      <c r="V283" s="390"/>
    </row>
    <row r="284" spans="16:22" ht="24" customHeight="1">
      <c r="P284" s="346"/>
      <c r="Q284" s="392"/>
      <c r="V284" s="390"/>
    </row>
    <row r="285" spans="16:22" ht="24" customHeight="1">
      <c r="P285" s="346"/>
      <c r="Q285" s="392"/>
      <c r="V285" s="390"/>
    </row>
    <row r="286" spans="16:22" ht="24" customHeight="1">
      <c r="P286" s="346"/>
      <c r="Q286" s="392"/>
      <c r="V286" s="390"/>
    </row>
    <row r="287" spans="16:22" ht="24" customHeight="1">
      <c r="P287" s="346"/>
      <c r="Q287" s="392"/>
      <c r="V287" s="390"/>
    </row>
    <row r="288" spans="16:22" ht="24" customHeight="1">
      <c r="P288" s="346"/>
      <c r="Q288" s="392"/>
      <c r="V288" s="390"/>
    </row>
    <row r="289" spans="16:22" ht="24" customHeight="1">
      <c r="P289" s="346"/>
      <c r="Q289" s="392"/>
      <c r="V289" s="390"/>
    </row>
    <row r="290" spans="16:22" ht="24" customHeight="1">
      <c r="P290" s="346"/>
      <c r="Q290" s="392"/>
      <c r="V290" s="390"/>
    </row>
    <row r="291" spans="16:22" ht="24" customHeight="1">
      <c r="P291" s="346"/>
      <c r="Q291" s="392"/>
      <c r="V291" s="390"/>
    </row>
    <row r="292" spans="16:22" ht="24" customHeight="1">
      <c r="P292" s="346"/>
      <c r="Q292" s="392"/>
      <c r="V292" s="390"/>
    </row>
    <row r="293" spans="16:22" ht="24" customHeight="1">
      <c r="P293" s="346"/>
      <c r="Q293" s="392"/>
      <c r="V293" s="390"/>
    </row>
    <row r="294" spans="16:22" ht="24" customHeight="1">
      <c r="P294" s="346"/>
      <c r="Q294" s="392"/>
      <c r="V294" s="390"/>
    </row>
    <row r="295" spans="16:22" ht="24" customHeight="1">
      <c r="P295" s="346"/>
      <c r="Q295" s="392"/>
      <c r="V295" s="390"/>
    </row>
    <row r="296" spans="16:22" ht="24" customHeight="1">
      <c r="P296" s="346"/>
      <c r="Q296" s="392"/>
      <c r="V296" s="390"/>
    </row>
    <row r="297" spans="16:22" ht="24" customHeight="1">
      <c r="P297" s="346"/>
      <c r="Q297" s="392"/>
      <c r="V297" s="390"/>
    </row>
    <row r="298" spans="16:22" ht="24" customHeight="1">
      <c r="P298" s="346"/>
      <c r="Q298" s="392"/>
      <c r="V298" s="390"/>
    </row>
    <row r="299" spans="16:22" ht="24" customHeight="1">
      <c r="P299" s="346"/>
      <c r="Q299" s="392"/>
      <c r="V299" s="390"/>
    </row>
    <row r="300" spans="16:22" ht="24" customHeight="1">
      <c r="P300" s="346"/>
      <c r="Q300" s="392"/>
      <c r="V300" s="390"/>
    </row>
    <row r="301" spans="16:22" ht="24" customHeight="1">
      <c r="P301" s="346"/>
      <c r="Q301" s="392"/>
      <c r="V301" s="390"/>
    </row>
    <row r="302" spans="16:22" ht="24" customHeight="1">
      <c r="P302" s="346"/>
      <c r="Q302" s="392"/>
      <c r="V302" s="390"/>
    </row>
    <row r="303" spans="16:22" ht="24" customHeight="1">
      <c r="P303" s="346"/>
      <c r="Q303" s="392"/>
      <c r="V303" s="390"/>
    </row>
    <row r="304" spans="16:22" ht="24" customHeight="1">
      <c r="P304" s="346"/>
      <c r="Q304" s="392"/>
      <c r="V304" s="390"/>
    </row>
    <row r="305" spans="16:22" ht="24" customHeight="1">
      <c r="P305" s="346"/>
      <c r="Q305" s="392"/>
      <c r="V305" s="390"/>
    </row>
    <row r="306" spans="16:22" ht="24" customHeight="1">
      <c r="P306" s="346"/>
      <c r="Q306" s="392"/>
      <c r="V306" s="390"/>
    </row>
    <row r="307" spans="16:22" ht="24" customHeight="1">
      <c r="P307" s="346"/>
      <c r="Q307" s="392"/>
      <c r="V307" s="390"/>
    </row>
    <row r="308" spans="16:22" ht="24" customHeight="1">
      <c r="P308" s="346"/>
      <c r="Q308" s="392"/>
      <c r="V308" s="390"/>
    </row>
    <row r="309" spans="16:22" ht="24" customHeight="1">
      <c r="P309" s="346"/>
      <c r="Q309" s="392"/>
      <c r="V309" s="390"/>
    </row>
    <row r="310" spans="16:22" ht="24" customHeight="1">
      <c r="P310" s="346"/>
      <c r="Q310" s="392"/>
      <c r="V310" s="390"/>
    </row>
    <row r="311" spans="16:22" ht="24" customHeight="1">
      <c r="P311" s="346"/>
      <c r="Q311" s="392"/>
      <c r="V311" s="390"/>
    </row>
    <row r="312" spans="16:22" ht="24" customHeight="1">
      <c r="P312" s="346"/>
      <c r="Q312" s="392"/>
      <c r="V312" s="390"/>
    </row>
    <row r="313" spans="16:22" ht="24" customHeight="1">
      <c r="P313" s="346"/>
      <c r="Q313" s="392"/>
      <c r="V313" s="390"/>
    </row>
    <row r="314" spans="16:22" ht="24" customHeight="1">
      <c r="P314" s="346"/>
      <c r="Q314" s="392"/>
      <c r="V314" s="390"/>
    </row>
    <row r="315" spans="16:22" ht="24" customHeight="1">
      <c r="P315" s="346"/>
      <c r="Q315" s="392"/>
      <c r="V315" s="390"/>
    </row>
    <row r="316" spans="16:22" ht="24" customHeight="1">
      <c r="P316" s="346"/>
      <c r="Q316" s="392"/>
      <c r="V316" s="390"/>
    </row>
    <row r="317" spans="16:22" ht="24" customHeight="1">
      <c r="P317" s="346"/>
      <c r="Q317" s="392"/>
      <c r="V317" s="390"/>
    </row>
    <row r="318" spans="16:22" ht="24" customHeight="1">
      <c r="P318" s="346"/>
      <c r="Q318" s="392"/>
      <c r="V318" s="390"/>
    </row>
    <row r="319" spans="16:22" ht="24" customHeight="1">
      <c r="P319" s="346"/>
      <c r="Q319" s="392"/>
      <c r="V319" s="390"/>
    </row>
    <row r="320" spans="16:22" ht="24" customHeight="1">
      <c r="P320" s="346"/>
      <c r="Q320" s="392"/>
      <c r="V320" s="390"/>
    </row>
    <row r="321" spans="16:22" ht="24" customHeight="1">
      <c r="P321" s="346"/>
      <c r="Q321" s="392"/>
      <c r="V321" s="390"/>
    </row>
    <row r="322" spans="16:22" ht="24" customHeight="1">
      <c r="P322" s="346"/>
      <c r="Q322" s="392"/>
      <c r="V322" s="390"/>
    </row>
    <row r="323" spans="16:22" ht="24" customHeight="1">
      <c r="P323" s="346"/>
      <c r="Q323" s="392"/>
      <c r="V323" s="390"/>
    </row>
    <row r="324" spans="16:22" ht="24" customHeight="1">
      <c r="P324" s="346"/>
      <c r="Q324" s="392"/>
      <c r="V324" s="390"/>
    </row>
    <row r="325" spans="16:22" ht="24" customHeight="1">
      <c r="P325" s="346"/>
      <c r="Q325" s="392"/>
      <c r="V325" s="390"/>
    </row>
    <row r="326" spans="16:22" ht="24" customHeight="1">
      <c r="P326" s="346"/>
      <c r="Q326" s="392"/>
      <c r="V326" s="390"/>
    </row>
    <row r="327" spans="16:22" ht="24" customHeight="1">
      <c r="P327" s="346"/>
      <c r="Q327" s="392"/>
      <c r="V327" s="390"/>
    </row>
    <row r="328" spans="16:22" ht="24" customHeight="1">
      <c r="P328" s="346"/>
      <c r="Q328" s="392"/>
      <c r="V328" s="390"/>
    </row>
    <row r="329" spans="16:22" ht="24" customHeight="1">
      <c r="P329" s="346"/>
      <c r="Q329" s="392"/>
      <c r="V329" s="390"/>
    </row>
    <row r="330" spans="16:22" ht="24" customHeight="1">
      <c r="P330" s="346"/>
      <c r="Q330" s="392"/>
      <c r="V330" s="390"/>
    </row>
    <row r="331" spans="16:22" ht="24" customHeight="1">
      <c r="P331" s="346"/>
      <c r="Q331" s="392"/>
      <c r="V331" s="390"/>
    </row>
    <row r="332" spans="16:22" ht="24" customHeight="1">
      <c r="P332" s="346"/>
      <c r="Q332" s="392"/>
      <c r="V332" s="390"/>
    </row>
    <row r="333" spans="16:22" ht="24" customHeight="1">
      <c r="P333" s="346"/>
      <c r="Q333" s="392"/>
      <c r="V333" s="390"/>
    </row>
    <row r="334" spans="16:22" ht="24" customHeight="1">
      <c r="P334" s="346"/>
      <c r="Q334" s="392"/>
      <c r="V334" s="390"/>
    </row>
    <row r="335" spans="16:22" ht="24" customHeight="1">
      <c r="P335" s="346"/>
      <c r="Q335" s="392"/>
      <c r="V335" s="390"/>
    </row>
    <row r="336" spans="16:22" ht="24" customHeight="1">
      <c r="P336" s="346"/>
      <c r="Q336" s="392"/>
      <c r="V336" s="390"/>
    </row>
    <row r="337" spans="16:22" ht="24" customHeight="1">
      <c r="P337" s="346"/>
      <c r="Q337" s="392"/>
      <c r="V337" s="390"/>
    </row>
    <row r="338" spans="16:22" ht="24" customHeight="1">
      <c r="P338" s="346"/>
      <c r="Q338" s="392"/>
      <c r="V338" s="390"/>
    </row>
    <row r="339" spans="16:22" ht="24" customHeight="1">
      <c r="P339" s="346"/>
      <c r="Q339" s="392"/>
      <c r="V339" s="390"/>
    </row>
    <row r="340" spans="16:22" ht="24" customHeight="1">
      <c r="P340" s="346"/>
      <c r="Q340" s="392"/>
      <c r="V340" s="390"/>
    </row>
    <row r="341" spans="16:22" ht="24" customHeight="1">
      <c r="P341" s="346"/>
      <c r="Q341" s="392"/>
      <c r="V341" s="390"/>
    </row>
    <row r="342" spans="16:22" ht="24" customHeight="1">
      <c r="P342" s="346"/>
      <c r="Q342" s="392"/>
      <c r="V342" s="390"/>
    </row>
    <row r="343" spans="16:22" ht="24" customHeight="1">
      <c r="P343" s="346"/>
      <c r="Q343" s="392"/>
      <c r="V343" s="390"/>
    </row>
    <row r="344" spans="16:22" ht="24" customHeight="1">
      <c r="P344" s="346"/>
      <c r="Q344" s="392"/>
      <c r="V344" s="390"/>
    </row>
    <row r="345" spans="16:22" ht="24" customHeight="1">
      <c r="P345" s="346"/>
      <c r="Q345" s="392"/>
      <c r="V345" s="390"/>
    </row>
    <row r="346" spans="16:22" ht="24" customHeight="1">
      <c r="P346" s="346"/>
      <c r="Q346" s="392"/>
      <c r="V346" s="390"/>
    </row>
    <row r="347" spans="16:22" ht="24" customHeight="1">
      <c r="P347" s="346"/>
      <c r="Q347" s="392"/>
      <c r="V347" s="390"/>
    </row>
    <row r="348" spans="16:22" ht="24" customHeight="1">
      <c r="P348" s="346"/>
      <c r="Q348" s="392"/>
      <c r="V348" s="390"/>
    </row>
    <row r="349" spans="16:22" ht="24" customHeight="1">
      <c r="P349" s="346"/>
      <c r="Q349" s="392"/>
      <c r="V349" s="390"/>
    </row>
    <row r="350" spans="16:22" ht="24" customHeight="1">
      <c r="P350" s="346"/>
      <c r="Q350" s="392"/>
      <c r="V350" s="390"/>
    </row>
    <row r="351" spans="16:22" ht="24" customHeight="1">
      <c r="P351" s="346"/>
      <c r="Q351" s="392"/>
      <c r="V351" s="390"/>
    </row>
    <row r="352" spans="16:22" ht="24" customHeight="1">
      <c r="P352" s="346"/>
      <c r="Q352" s="392"/>
      <c r="V352" s="390"/>
    </row>
    <row r="353" spans="16:22" ht="24" customHeight="1">
      <c r="P353" s="346"/>
      <c r="Q353" s="392"/>
      <c r="V353" s="390"/>
    </row>
    <row r="354" spans="16:22" ht="24" customHeight="1">
      <c r="P354" s="346"/>
      <c r="Q354" s="392"/>
      <c r="V354" s="390"/>
    </row>
    <row r="355" spans="16:22" ht="24" customHeight="1">
      <c r="P355" s="346"/>
      <c r="Q355" s="392"/>
      <c r="V355" s="390"/>
    </row>
    <row r="356" spans="16:22" ht="24" customHeight="1">
      <c r="P356" s="346"/>
      <c r="Q356" s="392"/>
      <c r="V356" s="390"/>
    </row>
    <row r="357" spans="16:22" ht="24" customHeight="1">
      <c r="P357" s="346"/>
      <c r="Q357" s="392"/>
      <c r="V357" s="390"/>
    </row>
    <row r="358" spans="16:22" ht="24" customHeight="1">
      <c r="P358" s="346"/>
      <c r="Q358" s="392"/>
      <c r="V358" s="390"/>
    </row>
    <row r="359" spans="16:22" ht="24" customHeight="1">
      <c r="P359" s="346"/>
      <c r="Q359" s="392"/>
      <c r="V359" s="390"/>
    </row>
    <row r="360" spans="16:22" ht="24" customHeight="1">
      <c r="P360" s="346"/>
      <c r="Q360" s="392"/>
      <c r="V360" s="390"/>
    </row>
    <row r="361" spans="16:22" ht="24" customHeight="1">
      <c r="P361" s="346"/>
      <c r="Q361" s="392"/>
      <c r="V361" s="390"/>
    </row>
  </sheetData>
  <autoFilter ref="B4:U99" xr:uid="{00000000-0009-0000-0000-000017000000}"/>
  <mergeCells count="1">
    <mergeCell ref="B2:N2"/>
  </mergeCells>
  <pageMargins left="0.7" right="0.7" top="0.75" bottom="0.75" header="0.3" footer="0.3"/>
  <pageSetup paperSize="9" scale="34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PROVISION VACANCES ET TICKETS</vt:lpstr>
      <vt:lpstr>PROV.13E MOIS ET BONUS</vt:lpstr>
      <vt:lpstr>JV PROVISIONS</vt:lpstr>
      <vt:lpstr>'JV PROVISIONS'!Print_Area</vt:lpstr>
      <vt:lpstr>'PROV.13E MOIS ET BONUS'!Print_Area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Kambau</dc:creator>
  <cp:lastModifiedBy>Sylvie Kambau</cp:lastModifiedBy>
  <dcterms:created xsi:type="dcterms:W3CDTF">2024-03-02T15:24:13Z</dcterms:created>
  <dcterms:modified xsi:type="dcterms:W3CDTF">2024-03-02T15:48:20Z</dcterms:modified>
</cp:coreProperties>
</file>