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32407f599f6fdf4/Documents/"/>
    </mc:Choice>
  </mc:AlternateContent>
  <xr:revisionPtr revIDLastSave="0" documentId="8_{2D225780-5AAB-4FD1-9174-A8E59C163A3E}" xr6:coauthVersionLast="47" xr6:coauthVersionMax="47" xr10:uidLastSave="{00000000-0000-0000-0000-000000000000}"/>
  <bookViews>
    <workbookView xWindow="-120" yWindow="-120" windowWidth="21840" windowHeight="13140" activeTab="7" xr2:uid="{46F95A0A-D028-4743-8F4B-3F285D551829}"/>
  </bookViews>
  <sheets>
    <sheet name="Feuil1" sheetId="1" r:id="rId1"/>
    <sheet name="Feuil2" sheetId="2" r:id="rId2"/>
    <sheet name="Feuil3" sheetId="3" r:id="rId3"/>
    <sheet name="Feuil4" sheetId="4" r:id="rId4"/>
    <sheet name="Feuil5" sheetId="5" r:id="rId5"/>
    <sheet name="Feuil6" sheetId="6" r:id="rId6"/>
    <sheet name="Feuil7" sheetId="7" r:id="rId7"/>
    <sheet name="Feuil7 (2)" sheetId="8" r:id="rId8"/>
    <sheet name="Feuil9" sheetId="9" r:id="rId9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9" l="1"/>
  <c r="F3" i="8"/>
  <c r="D11" i="8"/>
  <c r="H22" i="8" s="1"/>
  <c r="H11" i="8"/>
  <c r="J29" i="8"/>
  <c r="K30" i="7"/>
  <c r="M30" i="7"/>
  <c r="D21" i="7"/>
  <c r="L32" i="7" s="1"/>
  <c r="L30" i="7"/>
  <c r="H29" i="7"/>
  <c r="J30" i="7"/>
  <c r="J29" i="7"/>
  <c r="K32" i="7" s="1"/>
  <c r="D21" i="8"/>
  <c r="H29" i="8"/>
  <c r="G21" i="8"/>
  <c r="L30" i="8"/>
  <c r="L32" i="8"/>
  <c r="L29" i="8" s="1"/>
  <c r="J30" i="8"/>
  <c r="I21" i="8"/>
  <c r="F19" i="7"/>
  <c r="F16" i="7"/>
  <c r="F12" i="7"/>
  <c r="D19" i="7"/>
  <c r="D18" i="7"/>
  <c r="D16" i="7"/>
  <c r="D15" i="7"/>
  <c r="H11" i="7"/>
  <c r="F19" i="6"/>
  <c r="E29" i="6" s="1"/>
  <c r="F29" i="6" s="1"/>
  <c r="D31" i="6"/>
  <c r="D30" i="6"/>
  <c r="E19" i="6"/>
  <c r="D29" i="6"/>
  <c r="F28" i="6"/>
  <c r="F27" i="6"/>
  <c r="K25" i="7"/>
  <c r="H27" i="5"/>
  <c r="C12" i="5"/>
  <c r="C21" i="5" s="1"/>
  <c r="E27" i="6"/>
  <c r="D27" i="6"/>
  <c r="F22" i="6"/>
  <c r="B19" i="6"/>
  <c r="B24" i="6"/>
  <c r="B25" i="6" s="1"/>
  <c r="E20" i="6"/>
  <c r="F20" i="6" s="1"/>
  <c r="L12" i="8"/>
  <c r="L12" i="7"/>
  <c r="D11" i="7"/>
  <c r="D13" i="7" s="1"/>
  <c r="G13" i="7" s="1"/>
  <c r="L33" i="7" l="1"/>
  <c r="L29" i="7"/>
  <c r="K33" i="7"/>
  <c r="L33" i="8"/>
  <c r="L28" i="8"/>
  <c r="M32" i="8"/>
  <c r="F27" i="7"/>
  <c r="A27" i="6"/>
  <c r="C27" i="6" s="1"/>
  <c r="C29" i="6" s="1"/>
  <c r="B26" i="6"/>
  <c r="B27" i="6" s="1"/>
  <c r="D15" i="8"/>
  <c r="G11" i="8"/>
  <c r="D12" i="8"/>
  <c r="F12" i="8" s="1"/>
  <c r="D13" i="8"/>
  <c r="G13" i="8" s="1"/>
  <c r="D12" i="7"/>
  <c r="G11" i="7"/>
  <c r="C9" i="5"/>
  <c r="E3" i="5" s="1"/>
  <c r="E16" i="5" s="1"/>
  <c r="E13" i="6"/>
  <c r="F13" i="6" s="1"/>
  <c r="G26" i="5"/>
  <c r="C13" i="4"/>
  <c r="G23" i="5"/>
  <c r="G27" i="5"/>
  <c r="G24" i="5"/>
  <c r="G22" i="5"/>
  <c r="F13" i="4"/>
  <c r="K11" i="5"/>
  <c r="K10" i="5"/>
  <c r="K4" i="5"/>
  <c r="L29" i="4"/>
  <c r="L28" i="4"/>
  <c r="L22" i="4"/>
  <c r="G23" i="4"/>
  <c r="C27" i="4"/>
  <c r="E21" i="4" s="1"/>
  <c r="E29" i="4"/>
  <c r="E28" i="4"/>
  <c r="E22" i="4"/>
  <c r="J10" i="4"/>
  <c r="L12" i="4"/>
  <c r="L11" i="4"/>
  <c r="J8" i="4"/>
  <c r="L8" i="4" s="1"/>
  <c r="J6" i="4"/>
  <c r="L6" i="4" s="1"/>
  <c r="J7" i="4" s="1"/>
  <c r="J5" i="4"/>
  <c r="L5" i="4" s="1"/>
  <c r="E12" i="4"/>
  <c r="E11" i="4"/>
  <c r="C8" i="4"/>
  <c r="E8" i="4" s="1"/>
  <c r="C6" i="4"/>
  <c r="E6" i="4" s="1"/>
  <c r="C7" i="4" s="1"/>
  <c r="C5" i="4"/>
  <c r="E5" i="4" s="1"/>
  <c r="C9" i="3"/>
  <c r="F9" i="3" s="1"/>
  <c r="E8" i="3"/>
  <c r="E14" i="3" s="1"/>
  <c r="M13" i="2"/>
  <c r="M15" i="2" s="1"/>
  <c r="L15" i="2"/>
  <c r="M10" i="2"/>
  <c r="L9" i="2"/>
  <c r="D17" i="2"/>
  <c r="F15" i="2"/>
  <c r="E12" i="2"/>
  <c r="E6" i="2"/>
  <c r="E7" i="2"/>
  <c r="E5" i="2"/>
  <c r="F10" i="2"/>
  <c r="G12" i="2" s="1"/>
  <c r="M3" i="1"/>
  <c r="L3" i="1"/>
  <c r="J7" i="1"/>
  <c r="K5" i="1"/>
  <c r="A7" i="1"/>
  <c r="A6" i="1"/>
  <c r="D5" i="1"/>
  <c r="B13" i="1"/>
  <c r="M32" i="7" l="1"/>
  <c r="M29" i="7"/>
  <c r="L28" i="7"/>
  <c r="D16" i="8"/>
  <c r="F16" i="8" s="1"/>
  <c r="D18" i="8"/>
  <c r="G18" i="8" s="1"/>
  <c r="G15" i="8"/>
  <c r="G15" i="7"/>
  <c r="I9" i="5"/>
  <c r="L9" i="5" s="1"/>
  <c r="L16" i="5" s="1"/>
  <c r="F9" i="5"/>
  <c r="F12" i="5" s="1"/>
  <c r="C25" i="4"/>
  <c r="E25" i="4" s="1"/>
  <c r="E32" i="4" s="1"/>
  <c r="C23" i="4"/>
  <c r="E23" i="4" s="1"/>
  <c r="J25" i="4"/>
  <c r="L25" i="4" s="1"/>
  <c r="J23" i="4"/>
  <c r="L23" i="4" s="1"/>
  <c r="C10" i="4"/>
  <c r="E15" i="4"/>
  <c r="L15" i="4"/>
  <c r="C12" i="3"/>
  <c r="F12" i="3" s="1"/>
  <c r="F14" i="3"/>
  <c r="D16" i="3" s="1"/>
  <c r="K17" i="2"/>
  <c r="E9" i="2"/>
  <c r="E15" i="2" s="1"/>
  <c r="D19" i="8" l="1"/>
  <c r="F19" i="8" s="1"/>
  <c r="F27" i="8" s="1"/>
  <c r="K21" i="8"/>
  <c r="J21" i="8"/>
  <c r="G18" i="7"/>
  <c r="G21" i="7"/>
  <c r="K21" i="7"/>
  <c r="J21" i="7"/>
  <c r="K3" i="5"/>
  <c r="I5" i="5" s="1"/>
  <c r="K5" i="5" s="1"/>
  <c r="J27" i="4"/>
  <c r="L32" i="4"/>
  <c r="F27" i="4"/>
  <c r="F10" i="4"/>
  <c r="M10" i="4"/>
  <c r="G27" i="8" l="1"/>
  <c r="E29" i="8" s="1"/>
  <c r="K22" i="8"/>
  <c r="K23" i="8" s="1"/>
  <c r="J23" i="8"/>
  <c r="G27" i="7"/>
  <c r="E29" i="7" s="1"/>
  <c r="L27" i="7" s="1"/>
  <c r="K22" i="7"/>
  <c r="K23" i="7" s="1"/>
  <c r="J23" i="7"/>
  <c r="F16" i="5"/>
  <c r="D18" i="5" s="1"/>
  <c r="F21" i="5" s="1"/>
  <c r="D21" i="5"/>
  <c r="I7" i="5"/>
  <c r="K7" i="5" s="1"/>
  <c r="K16" i="5" s="1"/>
  <c r="J18" i="5" s="1"/>
  <c r="G32" i="4"/>
  <c r="G34" i="4" s="1"/>
  <c r="F15" i="4"/>
  <c r="D17" i="4" s="1"/>
  <c r="J13" i="4"/>
  <c r="M13" i="4" s="1"/>
  <c r="M15" i="4" s="1"/>
  <c r="K17" i="4" s="1"/>
  <c r="K32" i="8" l="1"/>
  <c r="K33" i="8" s="1"/>
  <c r="L27" i="8"/>
  <c r="F32" i="4"/>
  <c r="D34" i="4" s="1"/>
  <c r="M27" i="4"/>
  <c r="J30" i="4" l="1"/>
  <c r="M30" i="4" s="1"/>
  <c r="M32" i="4" s="1"/>
  <c r="K34" i="4" s="1"/>
  <c r="E13" i="9"/>
  <c r="H13" i="9" s="1"/>
  <c r="E12" i="9"/>
  <c r="G12" i="9" s="1"/>
  <c r="H11" i="9"/>
  <c r="E15" i="9"/>
  <c r="E16" i="9" s="1"/>
  <c r="G16" i="9" s="1"/>
  <c r="H15" i="9" l="1"/>
  <c r="E18" i="9"/>
  <c r="E21" i="9"/>
  <c r="H21" i="9" s="1"/>
  <c r="E19" i="9" l="1"/>
  <c r="G19" i="9" s="1"/>
  <c r="G27" i="9" s="1"/>
  <c r="H18" i="9"/>
  <c r="H27" i="9" s="1"/>
  <c r="F29" i="9" l="1"/>
</calcChain>
</file>

<file path=xl/sharedStrings.xml><?xml version="1.0" encoding="utf-8"?>
<sst xmlns="http://schemas.openxmlformats.org/spreadsheetml/2006/main" count="269" uniqueCount="71">
  <si>
    <t>LIBELLE</t>
  </si>
  <si>
    <t>GAINS</t>
  </si>
  <si>
    <t>RETENUES</t>
  </si>
  <si>
    <t>Salaire de base</t>
  </si>
  <si>
    <t>CNSS</t>
  </si>
  <si>
    <t>IPR</t>
  </si>
  <si>
    <t xml:space="preserve">BASE </t>
  </si>
  <si>
    <t>TAUX</t>
  </si>
  <si>
    <t>Prime de rendement</t>
  </si>
  <si>
    <t>Indemnités d'ancienneté</t>
  </si>
  <si>
    <t>Indemnités postes</t>
  </si>
  <si>
    <t>Indemnités divers</t>
  </si>
  <si>
    <t>Indemnités logements</t>
  </si>
  <si>
    <t>Indemnités transports</t>
  </si>
  <si>
    <t>Salaire unique</t>
  </si>
  <si>
    <t>NET A PAYER</t>
  </si>
  <si>
    <t>Sur salaire</t>
  </si>
  <si>
    <t>BARÈME SALARIAL MENSUEL 2022</t>
  </si>
  <si>
    <t>(%)</t>
  </si>
  <si>
    <t>TRANCHES</t>
  </si>
  <si>
    <t>ÉCARTS</t>
  </si>
  <si>
    <t>IMPÔT</t>
  </si>
  <si>
    <t>PAR TRANCHE</t>
  </si>
  <si>
    <t>IMPÔTS</t>
  </si>
  <si>
    <t>CUMULES</t>
  </si>
  <si>
    <t>Pression</t>
  </si>
  <si>
    <t>fiscale (%)</t>
  </si>
  <si>
    <t>De</t>
  </si>
  <si>
    <t> à</t>
  </si>
  <si>
    <t>                        –</t>
  </si>
  <si>
    <t>      162 000,00</t>
  </si>
  <si>
    <t>                                   162 000,00</t>
  </si>
  <si>
    <t>        4 860,00</t>
  </si>
  <si>
    <t>        –</t>
  </si>
  <si>
    <t>      162 001,00</t>
  </si>
  <si>
    <t>   1 800 000,00</t>
  </si>
  <si>
    <t>                                1 638 000,00</t>
  </si>
  <si>
    <t>   245 700,00</t>
  </si>
  <si>
    <t>    250 560,00</t>
  </si>
  <si>
    <t>   1 800 001,00</t>
  </si>
  <si>
    <t>   3 600 000,00</t>
  </si>
  <si>
    <t>                                1 800 000,00</t>
  </si>
  <si>
    <t>   540 000,00</t>
  </si>
  <si>
    <t>    785 700,00</t>
  </si>
  <si>
    <t>   3 600 001,00</t>
  </si>
  <si>
    <t> et plus</t>
  </si>
  <si>
    <t>Z</t>
  </si>
  <si>
    <t>Y</t>
  </si>
  <si>
    <t>X</t>
  </si>
  <si>
    <t>NET IMPOSABLE</t>
  </si>
  <si>
    <t>Z+Y=X</t>
  </si>
  <si>
    <t>((NET IMPOSABLE - 1800000)*0.30+250560)</t>
  </si>
  <si>
    <t>((0,3x-1800000*0,3)+250560)</t>
  </si>
  <si>
    <t>0,3x-289440</t>
  </si>
  <si>
    <t>(2138130+0,3x-289440)=x</t>
  </si>
  <si>
    <t>1848690=0,7x</t>
  </si>
  <si>
    <t>X =</t>
  </si>
  <si>
    <t>BASE NET IMPOSABLE</t>
  </si>
  <si>
    <t>Heures Suppl 130</t>
  </si>
  <si>
    <t>Heures Suppl 160</t>
  </si>
  <si>
    <t>All familiale</t>
  </si>
  <si>
    <t>CNSS COTI EMPL</t>
  </si>
  <si>
    <t>CNSS EMPL</t>
  </si>
  <si>
    <t>INPP COTI EMPL</t>
  </si>
  <si>
    <t>INPP EMPL</t>
  </si>
  <si>
    <t>Z+((X-162000)* 0.15) + 4860-(X-162000)* 0.15) + 4860*2%*9)=X</t>
  </si>
  <si>
    <t>1659188,25+((X-162000)* 0.15) + 4860-(X-162000)* 0.15) + 4860*2%*9)=X</t>
  </si>
  <si>
    <t>0,15X</t>
  </si>
  <si>
    <t>X-0,15X</t>
  </si>
  <si>
    <t>0,3X-1800000*0,3</t>
  </si>
  <si>
    <t>0,3X=X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</si>
</sst>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.00\ _€_-;\-* #,##0.00\ _€_-;_-* &quot;-&quot;??\ _€_-;_-@_-"/>
    <numFmt numFmtId="169" formatCode="0.0%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3E4555"/>
      <name val="Inherit"/>
    </font>
    <font>
      <sz val="7"/>
      <color rgb="FF697391"/>
      <name val="Arial"/>
      <family val="2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8">
    <xf numFmtId="0" fontId="0" fillId="0" borderId="0" xfId="0"/>
    <xf numFmtId="43" fontId="0" fillId="0" borderId="0" xfId="1" applyFont="1"/>
    <xf numFmtId="164" fontId="0" fillId="0" borderId="0" xfId="0" applyNumberFormat="1"/>
    <xf numFmtId="9" fontId="0" fillId="0" borderId="0" xfId="1" applyNumberFormat="1" applyFont="1"/>
    <xf numFmtId="2" fontId="0" fillId="0" borderId="0" xfId="1" applyNumberFormat="1" applyFont="1"/>
    <xf numFmtId="10" fontId="0" fillId="0" borderId="0" xfId="1" applyNumberFormat="1" applyFont="1"/>
    <xf numFmtId="2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 applyAlignment="1"/>
    <xf numFmtId="0" fontId="0" fillId="0" borderId="0" xfId="0" applyAlignment="1"/>
    <xf numFmtId="43" fontId="0" fillId="0" borderId="0" xfId="0" applyNumberFormat="1"/>
    <xf numFmtId="43" fontId="0" fillId="0" borderId="0" xfId="1" applyFont="1" applyAlignment="1">
      <alignment horizontal="center"/>
    </xf>
    <xf numFmtId="0" fontId="0" fillId="2" borderId="0" xfId="0" applyFill="1"/>
    <xf numFmtId="43" fontId="0" fillId="2" borderId="0" xfId="1" applyFont="1" applyFill="1"/>
    <xf numFmtId="9" fontId="0" fillId="2" borderId="0" xfId="1" applyNumberFormat="1" applyFont="1" applyFill="1"/>
    <xf numFmtId="0" fontId="0" fillId="3" borderId="0" xfId="0" applyFill="1"/>
    <xf numFmtId="43" fontId="0" fillId="3" borderId="0" xfId="1" applyFont="1" applyFill="1"/>
    <xf numFmtId="9" fontId="0" fillId="3" borderId="0" xfId="1" applyNumberFormat="1" applyFont="1" applyFill="1"/>
    <xf numFmtId="0" fontId="2" fillId="0" borderId="0" xfId="0" applyFont="1" applyAlignment="1">
      <alignment horizontal="center"/>
    </xf>
    <xf numFmtId="43" fontId="0" fillId="4" borderId="0" xfId="1" applyFont="1" applyFill="1"/>
    <xf numFmtId="0" fontId="3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4" fillId="5" borderId="0" xfId="0" applyFont="1" applyFill="1" applyAlignment="1">
      <alignment horizontal="left" vertical="center" wrapText="1"/>
    </xf>
    <xf numFmtId="0" fontId="0" fillId="0" borderId="0" xfId="0" applyAlignment="1">
      <alignment vertical="center" wrapText="1"/>
    </xf>
    <xf numFmtId="2" fontId="0" fillId="0" borderId="0" xfId="0" applyNumberFormat="1" applyAlignment="1">
      <alignment vertical="center" wrapText="1"/>
    </xf>
    <xf numFmtId="43" fontId="0" fillId="2" borderId="0" xfId="1" applyNumberFormat="1" applyFont="1" applyFill="1"/>
    <xf numFmtId="9" fontId="0" fillId="0" borderId="0" xfId="0" applyNumberFormat="1"/>
    <xf numFmtId="169" fontId="0" fillId="2" borderId="0" xfId="1" applyNumberFormat="1" applyFont="1" applyFill="1"/>
  </cellXfs>
  <cellStyles count="2">
    <cellStyle name="Millier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76D5B-EB83-4FE0-AFB5-445CB21FB7E7}">
  <dimension ref="A3:M13"/>
  <sheetViews>
    <sheetView workbookViewId="0">
      <selection activeCell="L3" sqref="L3"/>
    </sheetView>
  </sheetViews>
  <sheetFormatPr baseColWidth="10" defaultRowHeight="14.5"/>
  <cols>
    <col min="2" max="2" width="12.453125" style="1" bestFit="1" customWidth="1"/>
    <col min="4" max="4" width="13.90625" bestFit="1" customWidth="1"/>
    <col min="10" max="10" width="10.90625" style="1"/>
    <col min="12" max="12" width="10.90625" style="1"/>
    <col min="13" max="13" width="11.453125" bestFit="1" customWidth="1"/>
  </cols>
  <sheetData>
    <row r="3" spans="1:13">
      <c r="D3">
        <v>245669</v>
      </c>
      <c r="J3" s="1">
        <v>30000</v>
      </c>
      <c r="L3" s="1">
        <f>1-J5</f>
        <v>0.77</v>
      </c>
      <c r="M3" s="2">
        <f>+L3*36000</f>
        <v>27720</v>
      </c>
    </row>
    <row r="4" spans="1:13">
      <c r="B4" s="1">
        <v>1073559</v>
      </c>
      <c r="D4" s="1">
        <v>1073559</v>
      </c>
    </row>
    <row r="5" spans="1:13">
      <c r="D5" s="1">
        <f>SUM(D3:D4)</f>
        <v>1319228</v>
      </c>
      <c r="J5" s="5">
        <v>0.23</v>
      </c>
      <c r="K5" s="2">
        <f>23%*J3</f>
        <v>6900</v>
      </c>
    </row>
    <row r="6" spans="1:13">
      <c r="A6" s="2">
        <f>+B6/B4</f>
        <v>-4.6795751328059285E-2</v>
      </c>
      <c r="B6" s="1">
        <v>-50238</v>
      </c>
      <c r="D6" s="1">
        <v>-50238</v>
      </c>
    </row>
    <row r="7" spans="1:13">
      <c r="A7" s="2">
        <f>+B7/B4</f>
        <v>-0.100878479897239</v>
      </c>
      <c r="B7" s="1">
        <v>-108299</v>
      </c>
      <c r="D7" s="1">
        <v>-108299</v>
      </c>
      <c r="J7" s="1">
        <f>+J3-K5</f>
        <v>23100</v>
      </c>
      <c r="L7" s="1">
        <v>27720</v>
      </c>
    </row>
    <row r="8" spans="1:13">
      <c r="D8" s="1"/>
    </row>
    <row r="9" spans="1:13">
      <c r="B9" s="1">
        <v>400000</v>
      </c>
      <c r="D9" s="1">
        <v>400000</v>
      </c>
    </row>
    <row r="10" spans="1:13">
      <c r="B10" s="1">
        <v>91514</v>
      </c>
      <c r="D10" s="1">
        <v>91514</v>
      </c>
    </row>
    <row r="13" spans="1:13">
      <c r="B13" s="1">
        <f>SUM(B1:B12)</f>
        <v>1406536</v>
      </c>
      <c r="D13" s="2">
        <v>1500000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24F80-C4D9-4504-9235-0358B501700D}">
  <dimension ref="B3:M17"/>
  <sheetViews>
    <sheetView workbookViewId="0">
      <selection activeCell="B3" sqref="B3:G17"/>
    </sheetView>
  </sheetViews>
  <sheetFormatPr baseColWidth="10" defaultRowHeight="14.5"/>
  <cols>
    <col min="2" max="2" width="21.54296875" bestFit="1" customWidth="1"/>
    <col min="3" max="3" width="11.453125" bestFit="1" customWidth="1"/>
    <col min="7" max="7" width="11.453125" bestFit="1" customWidth="1"/>
    <col min="9" max="9" width="21.54296875" bestFit="1" customWidth="1"/>
  </cols>
  <sheetData>
    <row r="3" spans="2:13">
      <c r="B3" t="s">
        <v>0</v>
      </c>
      <c r="C3" t="s">
        <v>6</v>
      </c>
      <c r="D3" t="s">
        <v>7</v>
      </c>
      <c r="E3" t="s">
        <v>1</v>
      </c>
      <c r="F3" t="s">
        <v>2</v>
      </c>
      <c r="I3" t="s">
        <v>0</v>
      </c>
      <c r="J3" t="s">
        <v>6</v>
      </c>
      <c r="K3" t="s">
        <v>7</v>
      </c>
      <c r="L3" t="s">
        <v>1</v>
      </c>
      <c r="M3" t="s">
        <v>2</v>
      </c>
    </row>
    <row r="4" spans="2:13">
      <c r="B4" t="s">
        <v>3</v>
      </c>
      <c r="C4" s="1"/>
      <c r="D4" s="1"/>
      <c r="E4" s="1">
        <v>60739.61</v>
      </c>
      <c r="F4" s="1"/>
      <c r="I4" t="s">
        <v>3</v>
      </c>
      <c r="J4" s="1"/>
      <c r="K4" s="1"/>
      <c r="L4" s="1">
        <v>99684.61</v>
      </c>
      <c r="M4" s="1"/>
    </row>
    <row r="5" spans="2:13">
      <c r="B5" t="s">
        <v>8</v>
      </c>
      <c r="C5" s="1">
        <v>60739.61</v>
      </c>
      <c r="D5" s="3">
        <v>0.1</v>
      </c>
      <c r="E5" s="1">
        <f>+C5*D5</f>
        <v>6073.9610000000002</v>
      </c>
      <c r="F5" s="1"/>
      <c r="J5" s="1"/>
      <c r="K5" s="3"/>
      <c r="L5" s="1"/>
      <c r="M5" s="1"/>
    </row>
    <row r="6" spans="2:13">
      <c r="B6" t="s">
        <v>9</v>
      </c>
      <c r="C6" s="1">
        <v>60739.61</v>
      </c>
      <c r="D6" s="3">
        <v>0.05</v>
      </c>
      <c r="E6" s="1">
        <f t="shared" ref="E6:E7" si="0">+C6*D6</f>
        <v>3036.9805000000001</v>
      </c>
      <c r="F6" s="1"/>
      <c r="J6" s="1"/>
      <c r="K6" s="3"/>
      <c r="L6" s="1"/>
      <c r="M6" s="1"/>
    </row>
    <row r="7" spans="2:13">
      <c r="B7" t="s">
        <v>10</v>
      </c>
      <c r="C7" s="1">
        <v>100</v>
      </c>
      <c r="D7" s="1">
        <v>22</v>
      </c>
      <c r="E7" s="1">
        <f t="shared" si="0"/>
        <v>2200</v>
      </c>
      <c r="F7" s="1"/>
      <c r="J7" s="1"/>
      <c r="K7" s="1"/>
      <c r="L7" s="1"/>
      <c r="M7" s="1"/>
    </row>
    <row r="8" spans="2:13">
      <c r="B8" t="s">
        <v>11</v>
      </c>
      <c r="C8" s="1"/>
      <c r="D8" s="1"/>
      <c r="E8" s="1">
        <v>6000</v>
      </c>
      <c r="F8" s="1"/>
      <c r="J8" s="1"/>
      <c r="K8" s="1"/>
      <c r="L8" s="1"/>
      <c r="M8" s="1"/>
    </row>
    <row r="9" spans="2:13">
      <c r="C9" s="1"/>
      <c r="D9" s="1"/>
      <c r="E9" s="1">
        <f>SUM(E4:E8)</f>
        <v>78050.551500000001</v>
      </c>
      <c r="F9" s="1"/>
      <c r="J9" s="1"/>
      <c r="K9" s="1"/>
      <c r="L9" s="1">
        <f>SUM(L4:L8)</f>
        <v>99684.61</v>
      </c>
      <c r="M9" s="1"/>
    </row>
    <row r="10" spans="2:13">
      <c r="B10" t="s">
        <v>4</v>
      </c>
      <c r="C10" s="1">
        <v>78050.551500000001</v>
      </c>
      <c r="D10" s="3">
        <v>0.09</v>
      </c>
      <c r="E10" s="1"/>
      <c r="F10" s="1">
        <f>+C10*D10</f>
        <v>7024.5496350000003</v>
      </c>
      <c r="I10" t="s">
        <v>4</v>
      </c>
      <c r="J10" s="1">
        <v>99684.61</v>
      </c>
      <c r="K10" s="3">
        <v>0.09</v>
      </c>
      <c r="L10" s="1"/>
      <c r="M10" s="1">
        <f>+J10*K10</f>
        <v>8971.6149000000005</v>
      </c>
    </row>
    <row r="11" spans="2:13">
      <c r="B11" t="s">
        <v>12</v>
      </c>
      <c r="C11" s="1">
        <v>500</v>
      </c>
      <c r="D11" s="4">
        <v>22</v>
      </c>
      <c r="E11" s="1">
        <v>11000</v>
      </c>
      <c r="F11" s="1"/>
      <c r="I11" t="s">
        <v>12</v>
      </c>
      <c r="J11" s="1"/>
      <c r="K11" s="4"/>
      <c r="L11" s="1"/>
      <c r="M11" s="1"/>
    </row>
    <row r="12" spans="2:13">
      <c r="B12" t="s">
        <v>13</v>
      </c>
      <c r="C12" s="1">
        <v>200</v>
      </c>
      <c r="D12" s="4">
        <v>22</v>
      </c>
      <c r="E12" s="1">
        <f>C12*D12</f>
        <v>4400</v>
      </c>
      <c r="F12" s="1"/>
      <c r="G12" s="2">
        <f>C10-F10+E11+E12</f>
        <v>86426.001864999998</v>
      </c>
      <c r="I12" t="s">
        <v>13</v>
      </c>
      <c r="J12" s="1"/>
      <c r="K12" s="4"/>
      <c r="L12" s="1"/>
      <c r="M12" s="1"/>
    </row>
    <row r="13" spans="2:13">
      <c r="B13" t="s">
        <v>5</v>
      </c>
      <c r="C13" s="1">
        <v>86420</v>
      </c>
      <c r="D13" s="1"/>
      <c r="E13" s="1"/>
      <c r="F13" s="1">
        <v>19426</v>
      </c>
      <c r="G13" s="1">
        <v>19426</v>
      </c>
      <c r="I13" t="s">
        <v>5</v>
      </c>
      <c r="J13" s="1">
        <v>90710</v>
      </c>
      <c r="K13" s="3">
        <v>1</v>
      </c>
      <c r="L13" s="1"/>
      <c r="M13" s="1">
        <f>(+J13-30000)*0.3+2500</f>
        <v>20713</v>
      </c>
    </row>
    <row r="14" spans="2:13">
      <c r="B14" t="s">
        <v>14</v>
      </c>
      <c r="E14" s="1">
        <v>3000</v>
      </c>
      <c r="I14" t="s">
        <v>14</v>
      </c>
      <c r="L14" s="1"/>
    </row>
    <row r="15" spans="2:13">
      <c r="C15" s="8"/>
      <c r="D15" s="9"/>
      <c r="E15" s="10">
        <f>SUM(E9:E14)</f>
        <v>96450.551500000001</v>
      </c>
      <c r="F15" s="10">
        <f>SUM(F10:F14)</f>
        <v>26450.549634999999</v>
      </c>
      <c r="J15" s="8"/>
      <c r="K15" s="9"/>
      <c r="L15" s="10">
        <f>SUM(L9)</f>
        <v>99684.61</v>
      </c>
      <c r="M15" s="10">
        <f>SUM(M10:M14)</f>
        <v>29684.6149</v>
      </c>
    </row>
    <row r="17" spans="2:13">
      <c r="B17" s="7" t="s">
        <v>15</v>
      </c>
      <c r="C17" s="7"/>
      <c r="D17" s="11">
        <f>+E15-F15</f>
        <v>70000.001864999998</v>
      </c>
      <c r="E17" s="11"/>
      <c r="F17" s="11"/>
      <c r="I17" s="7" t="s">
        <v>15</v>
      </c>
      <c r="J17" s="7"/>
      <c r="K17" s="11">
        <f>+L15-M15</f>
        <v>69999.9951</v>
      </c>
      <c r="L17" s="11"/>
      <c r="M17" s="11"/>
    </row>
  </sheetData>
  <mergeCells count="4">
    <mergeCell ref="B17:C17"/>
    <mergeCell ref="D17:F17"/>
    <mergeCell ref="I17:J17"/>
    <mergeCell ref="K17:M1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29FA9-6F5A-4921-9DA8-89CDE3A7CB78}">
  <dimension ref="B2:F16"/>
  <sheetViews>
    <sheetView workbookViewId="0">
      <selection activeCell="C9" sqref="C9"/>
    </sheetView>
  </sheetViews>
  <sheetFormatPr baseColWidth="10" defaultRowHeight="14.5"/>
  <cols>
    <col min="2" max="2" width="19.36328125" bestFit="1" customWidth="1"/>
  </cols>
  <sheetData>
    <row r="2" spans="2:6">
      <c r="B2" t="s">
        <v>0</v>
      </c>
      <c r="C2" t="s">
        <v>6</v>
      </c>
      <c r="D2" t="s">
        <v>7</v>
      </c>
      <c r="E2" t="s">
        <v>1</v>
      </c>
      <c r="F2" t="s">
        <v>2</v>
      </c>
    </row>
    <row r="3" spans="2:6">
      <c r="B3" t="s">
        <v>3</v>
      </c>
      <c r="C3" s="1"/>
      <c r="D3" s="1"/>
      <c r="E3" s="1">
        <v>0</v>
      </c>
      <c r="F3" s="1"/>
    </row>
    <row r="4" spans="2:6">
      <c r="C4" s="1"/>
      <c r="D4" s="3"/>
      <c r="E4" s="1"/>
      <c r="F4" s="1"/>
    </row>
    <row r="5" spans="2:6">
      <c r="C5" s="1"/>
      <c r="D5" s="3"/>
      <c r="E5" s="1"/>
      <c r="F5" s="1"/>
    </row>
    <row r="6" spans="2:6">
      <c r="C6" s="1"/>
      <c r="D6" s="1"/>
      <c r="E6" s="1"/>
      <c r="F6" s="1"/>
    </row>
    <row r="7" spans="2:6">
      <c r="C7" s="1"/>
      <c r="D7" s="1"/>
      <c r="E7" s="1"/>
      <c r="F7" s="1"/>
    </row>
    <row r="8" spans="2:6">
      <c r="C8" s="1"/>
      <c r="D8" s="1"/>
      <c r="E8" s="1">
        <f>SUM(E3:E7)</f>
        <v>0</v>
      </c>
      <c r="F8" s="1"/>
    </row>
    <row r="9" spans="2:6">
      <c r="B9" t="s">
        <v>4</v>
      </c>
      <c r="C9" s="1">
        <f>+E3</f>
        <v>0</v>
      </c>
      <c r="D9" s="3">
        <v>0.09</v>
      </c>
      <c r="E9" s="1"/>
      <c r="F9" s="1">
        <f>+C9*D9</f>
        <v>0</v>
      </c>
    </row>
    <row r="10" spans="2:6">
      <c r="B10" t="s">
        <v>12</v>
      </c>
      <c r="C10" s="1"/>
      <c r="D10" s="4"/>
      <c r="E10" s="1"/>
      <c r="F10" s="1"/>
    </row>
    <row r="11" spans="2:6">
      <c r="B11" t="s">
        <v>13</v>
      </c>
      <c r="C11" s="1"/>
      <c r="D11" s="4"/>
      <c r="E11" s="1"/>
      <c r="F11" s="1"/>
    </row>
    <row r="12" spans="2:6">
      <c r="B12" t="s">
        <v>5</v>
      </c>
      <c r="C12" s="1">
        <f>+C9-F9</f>
        <v>0</v>
      </c>
      <c r="D12" s="3">
        <v>1</v>
      </c>
      <c r="E12" s="1"/>
      <c r="F12" s="1">
        <f>(+C12-30000)*0.3+2500</f>
        <v>-6500</v>
      </c>
    </row>
    <row r="13" spans="2:6">
      <c r="B13" t="s">
        <v>14</v>
      </c>
      <c r="E13" s="1"/>
    </row>
    <row r="14" spans="2:6">
      <c r="C14" s="8"/>
      <c r="D14" s="9"/>
      <c r="E14" s="10">
        <f>SUM(E8)</f>
        <v>0</v>
      </c>
      <c r="F14" s="10">
        <f>SUM(F9:F13)</f>
        <v>-6500</v>
      </c>
    </row>
    <row r="16" spans="2:6">
      <c r="B16" s="7" t="s">
        <v>15</v>
      </c>
      <c r="C16" s="7"/>
      <c r="D16" s="11">
        <f>+E14-F14</f>
        <v>6500</v>
      </c>
      <c r="E16" s="11"/>
      <c r="F16" s="11"/>
    </row>
  </sheetData>
  <mergeCells count="2">
    <mergeCell ref="B16:C16"/>
    <mergeCell ref="D16:F1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6956A-F193-486E-8CF9-99E334A45963}">
  <dimension ref="B2:M34"/>
  <sheetViews>
    <sheetView topLeftCell="C13" workbookViewId="0">
      <selection activeCell="J30" sqref="J30"/>
    </sheetView>
  </sheetViews>
  <sheetFormatPr baseColWidth="10" defaultRowHeight="14.5"/>
  <cols>
    <col min="2" max="2" width="21.54296875" bestFit="1" customWidth="1"/>
    <col min="6" max="6" width="26.08984375" customWidth="1"/>
    <col min="7" max="7" width="11.453125" bestFit="1" customWidth="1"/>
    <col min="9" max="9" width="21.54296875" bestFit="1" customWidth="1"/>
  </cols>
  <sheetData>
    <row r="2" spans="2:13">
      <c r="I2" t="s">
        <v>0</v>
      </c>
      <c r="J2" t="s">
        <v>6</v>
      </c>
      <c r="K2" t="s">
        <v>7</v>
      </c>
      <c r="L2" t="s">
        <v>1</v>
      </c>
      <c r="M2" t="s">
        <v>2</v>
      </c>
    </row>
    <row r="3" spans="2:13">
      <c r="B3" t="s">
        <v>0</v>
      </c>
      <c r="C3" t="s">
        <v>6</v>
      </c>
      <c r="D3" t="s">
        <v>7</v>
      </c>
      <c r="E3" t="s">
        <v>1</v>
      </c>
      <c r="F3" t="s">
        <v>2</v>
      </c>
      <c r="I3" t="s">
        <v>16</v>
      </c>
      <c r="L3">
        <v>13008.894317389722</v>
      </c>
    </row>
    <row r="4" spans="2:13">
      <c r="B4" t="s">
        <v>3</v>
      </c>
      <c r="C4" s="1"/>
      <c r="D4" s="1"/>
      <c r="E4" s="1">
        <v>125805.31936568812</v>
      </c>
      <c r="F4" s="1"/>
      <c r="I4" t="s">
        <v>3</v>
      </c>
      <c r="J4" s="1"/>
      <c r="K4" s="1"/>
      <c r="L4" s="1">
        <v>125805.32</v>
      </c>
      <c r="M4" s="1"/>
    </row>
    <row r="5" spans="2:13">
      <c r="B5" t="s">
        <v>8</v>
      </c>
      <c r="C5" s="1">
        <f>ROUND(E4,2)</f>
        <v>125805.32</v>
      </c>
      <c r="D5" s="3">
        <v>0.1</v>
      </c>
      <c r="E5" s="1">
        <f>ROUND(C5*D5,2)</f>
        <v>12580.53</v>
      </c>
      <c r="F5" s="1"/>
      <c r="I5" t="s">
        <v>8</v>
      </c>
      <c r="J5" s="1">
        <f>ROUND(L4,2)</f>
        <v>125805.32</v>
      </c>
      <c r="K5" s="3">
        <v>0.1</v>
      </c>
      <c r="L5" s="1">
        <f>ROUND(J5*K5,2)</f>
        <v>12580.53</v>
      </c>
      <c r="M5" s="1"/>
    </row>
    <row r="6" spans="2:13">
      <c r="B6" t="s">
        <v>9</v>
      </c>
      <c r="C6" s="1">
        <f>ROUND(E4,2)</f>
        <v>125805.32</v>
      </c>
      <c r="D6" s="3">
        <v>0.05</v>
      </c>
      <c r="E6" s="1">
        <f>ROUND(C6*D6,2)</f>
        <v>6290.27</v>
      </c>
      <c r="F6" s="1"/>
      <c r="I6" t="s">
        <v>9</v>
      </c>
      <c r="J6" s="1">
        <f>ROUND(L4,2)</f>
        <v>125805.32</v>
      </c>
      <c r="K6" s="3">
        <v>0.05</v>
      </c>
      <c r="L6" s="1">
        <f>ROUND(J6*K6,2)</f>
        <v>6290.27</v>
      </c>
      <c r="M6" s="1"/>
    </row>
    <row r="7" spans="2:13">
      <c r="B7" t="s">
        <v>10</v>
      </c>
      <c r="C7" s="1">
        <f t="shared" ref="C7" si="0">ROUND(E6,2)</f>
        <v>6290.27</v>
      </c>
      <c r="D7" s="1"/>
      <c r="E7" s="1">
        <v>3000</v>
      </c>
      <c r="F7" s="1"/>
      <c r="I7" t="s">
        <v>10</v>
      </c>
      <c r="J7" s="1">
        <f t="shared" ref="J7:J9" si="1">ROUND(L6,2)</f>
        <v>6290.27</v>
      </c>
      <c r="K7" s="1"/>
      <c r="L7" s="1">
        <v>3000</v>
      </c>
      <c r="M7" s="1"/>
    </row>
    <row r="8" spans="2:13">
      <c r="B8" t="s">
        <v>11</v>
      </c>
      <c r="C8" s="1">
        <f>ROUND(E4,2)</f>
        <v>125805.32</v>
      </c>
      <c r="D8" s="3">
        <v>0.2</v>
      </c>
      <c r="E8" s="1">
        <f>ROUND(C8*D8,2)</f>
        <v>25161.06</v>
      </c>
      <c r="F8" s="1"/>
      <c r="I8" t="s">
        <v>11</v>
      </c>
      <c r="J8" s="1">
        <f>ROUND(L4,2)</f>
        <v>125805.32</v>
      </c>
      <c r="K8" s="3">
        <v>0.2</v>
      </c>
      <c r="L8" s="1">
        <f>ROUND(J8*K8,2)</f>
        <v>25161.06</v>
      </c>
      <c r="M8" s="1"/>
    </row>
    <row r="9" spans="2:13">
      <c r="C9" s="1"/>
      <c r="D9" s="1"/>
      <c r="E9" s="1"/>
      <c r="F9" s="1"/>
      <c r="J9" s="1"/>
      <c r="K9" s="1"/>
      <c r="L9" s="1"/>
      <c r="M9" s="1"/>
    </row>
    <row r="10" spans="2:13" s="12" customFormat="1">
      <c r="B10" s="12" t="s">
        <v>4</v>
      </c>
      <c r="C10" s="13">
        <f>ROUND(SUM(E4:E8),2)</f>
        <v>172837.18</v>
      </c>
      <c r="D10" s="14">
        <v>0.09</v>
      </c>
      <c r="F10" s="13">
        <f>ROUND(C10*D10,2)</f>
        <v>15555.35</v>
      </c>
      <c r="I10" s="12" t="s">
        <v>4</v>
      </c>
      <c r="J10" s="13">
        <f>ROUND(SUM(L3:L8),2)</f>
        <v>185846.07</v>
      </c>
      <c r="K10" s="14">
        <v>0.09</v>
      </c>
      <c r="M10" s="13">
        <f>ROUND(J10*K10,2)</f>
        <v>16726.150000000001</v>
      </c>
    </row>
    <row r="11" spans="2:13">
      <c r="B11" t="s">
        <v>12</v>
      </c>
      <c r="C11" s="1">
        <v>200</v>
      </c>
      <c r="D11" s="4">
        <v>22</v>
      </c>
      <c r="E11" s="1">
        <f>+C11*D11</f>
        <v>4400</v>
      </c>
      <c r="F11" s="1"/>
      <c r="I11" t="s">
        <v>12</v>
      </c>
      <c r="J11" s="1">
        <v>200</v>
      </c>
      <c r="K11" s="4">
        <v>22</v>
      </c>
      <c r="L11" s="1">
        <f>+J11*K11</f>
        <v>4400</v>
      </c>
      <c r="M11" s="1"/>
    </row>
    <row r="12" spans="2:13">
      <c r="B12" t="s">
        <v>13</v>
      </c>
      <c r="C12" s="1">
        <v>400</v>
      </c>
      <c r="D12" s="4">
        <v>22</v>
      </c>
      <c r="E12" s="1">
        <f>+C12*D12</f>
        <v>8800</v>
      </c>
      <c r="F12" s="1"/>
      <c r="G12" s="2"/>
      <c r="I12" t="s">
        <v>13</v>
      </c>
      <c r="J12" s="1">
        <v>400</v>
      </c>
      <c r="K12" s="4">
        <v>22</v>
      </c>
      <c r="L12" s="1">
        <f>+J12*K12</f>
        <v>8800</v>
      </c>
      <c r="M12" s="1"/>
    </row>
    <row r="13" spans="2:13" s="15" customFormat="1">
      <c r="B13" s="15" t="s">
        <v>5</v>
      </c>
      <c r="C13" s="16">
        <f>ROUND(C10-F10+E11+E12,2)</f>
        <v>170481.83</v>
      </c>
      <c r="D13" s="17">
        <v>1</v>
      </c>
      <c r="E13" s="16"/>
      <c r="F13" s="16">
        <f>IF(FLOOR(C13,10)&gt;=120000,(FLOOR(C13,10)-120000)*0.35+29500,IF(FLOOR(C13,10)&gt;=35000,(FLOOR(C13,10)-30000)*0.3+2500,IF(FLOOR(C13,10)&gt;30000,((FLOOR(C13,10)-30000)*0.3+2500)*8/3-(20000/3),IF(FLOOR(C13,10)&lt;=30000,0))))</f>
        <v>47168</v>
      </c>
      <c r="G13" s="16"/>
      <c r="I13" s="15" t="s">
        <v>5</v>
      </c>
      <c r="J13" s="16">
        <f>ROUND(J10-M10+L11+L12,2)</f>
        <v>182319.92</v>
      </c>
      <c r="K13" s="17">
        <v>1</v>
      </c>
      <c r="L13" s="16"/>
      <c r="M13" s="16">
        <f>IF(FLOOR(J13,10)&gt;=120000,(FLOOR(J13,10)-120000)*0.35+29500,IF(FLOOR(J13,10)&gt;=35000,(FLOOR(J13,10)-30000)*0.3+2500,IF(FLOOR(J13,10)&gt;30000,((FLOOR(J13,10)-30000)*0.3+2500)*8/3-(20000/3),IF(FLOOR(J13,10)&lt;=30000,0))))</f>
        <v>51308.5</v>
      </c>
    </row>
    <row r="14" spans="2:13">
      <c r="B14" t="s">
        <v>14</v>
      </c>
      <c r="E14" s="1">
        <v>2000</v>
      </c>
      <c r="I14" t="s">
        <v>14</v>
      </c>
      <c r="L14" s="1">
        <v>2000</v>
      </c>
    </row>
    <row r="15" spans="2:13">
      <c r="C15" s="8"/>
      <c r="D15" s="9"/>
      <c r="E15" s="10">
        <f>SUM(E4:E14)</f>
        <v>188037.17936568812</v>
      </c>
      <c r="F15" s="10">
        <f>SUM(F4:F13)</f>
        <v>62723.35</v>
      </c>
      <c r="J15" s="8"/>
      <c r="K15" s="9"/>
      <c r="L15" s="10">
        <f>SUM(L4:L14)</f>
        <v>188037.18</v>
      </c>
      <c r="M15" s="10">
        <f>SUM(M4:M13)</f>
        <v>68034.649999999994</v>
      </c>
    </row>
    <row r="17" spans="2:13">
      <c r="B17" s="7" t="s">
        <v>15</v>
      </c>
      <c r="C17" s="7"/>
      <c r="D17" s="11">
        <f>+E15-F15</f>
        <v>125313.82936568811</v>
      </c>
      <c r="E17" s="11"/>
      <c r="F17" s="11"/>
      <c r="I17" s="7" t="s">
        <v>15</v>
      </c>
      <c r="J17" s="7"/>
      <c r="K17" s="11">
        <f>+L15-M15</f>
        <v>120002.53</v>
      </c>
      <c r="L17" s="11"/>
      <c r="M17" s="11"/>
    </row>
    <row r="20" spans="2:13">
      <c r="B20" s="18" t="s">
        <v>0</v>
      </c>
      <c r="C20" s="18" t="s">
        <v>6</v>
      </c>
      <c r="D20" s="18" t="s">
        <v>7</v>
      </c>
      <c r="E20" s="18" t="s">
        <v>1</v>
      </c>
      <c r="F20" s="18" t="s">
        <v>2</v>
      </c>
      <c r="I20" s="18" t="s">
        <v>0</v>
      </c>
      <c r="J20" s="18" t="s">
        <v>6</v>
      </c>
      <c r="K20" s="18" t="s">
        <v>7</v>
      </c>
      <c r="L20" s="18" t="s">
        <v>1</v>
      </c>
      <c r="M20" s="18" t="s">
        <v>2</v>
      </c>
    </row>
    <row r="21" spans="2:13">
      <c r="B21" t="s">
        <v>3</v>
      </c>
      <c r="C21" s="1"/>
      <c r="D21" s="1"/>
      <c r="E21" s="1">
        <f>(C27-E24-E22)/1.15</f>
        <v>60000.000000000007</v>
      </c>
      <c r="F21" s="1"/>
      <c r="G21" s="19">
        <v>69457</v>
      </c>
      <c r="I21" t="s">
        <v>3</v>
      </c>
      <c r="J21" s="1"/>
      <c r="K21" s="1"/>
      <c r="L21" s="1">
        <v>59999.999809153909</v>
      </c>
      <c r="M21" s="1"/>
    </row>
    <row r="22" spans="2:13">
      <c r="B22" t="s">
        <v>8</v>
      </c>
      <c r="C22" s="1">
        <v>100</v>
      </c>
      <c r="D22" s="4">
        <v>22</v>
      </c>
      <c r="E22" s="1">
        <f>ROUND(C22*D22,2)</f>
        <v>2200</v>
      </c>
      <c r="F22" s="1"/>
      <c r="I22" t="s">
        <v>8</v>
      </c>
      <c r="J22" s="1">
        <v>100</v>
      </c>
      <c r="K22" s="4">
        <v>22</v>
      </c>
      <c r="L22" s="1">
        <f>ROUND(J22*K22,2)</f>
        <v>2200</v>
      </c>
      <c r="M22" s="1"/>
    </row>
    <row r="23" spans="2:13">
      <c r="B23" t="s">
        <v>9</v>
      </c>
      <c r="C23" s="1">
        <f>ROUND(E21,2)</f>
        <v>60000</v>
      </c>
      <c r="D23" s="3">
        <v>0.05</v>
      </c>
      <c r="E23" s="1">
        <f>ROUND(C23*D23,2)</f>
        <v>3000</v>
      </c>
      <c r="F23" s="1"/>
      <c r="G23" s="10">
        <f>+G21-3000</f>
        <v>66457</v>
      </c>
      <c r="I23" t="s">
        <v>9</v>
      </c>
      <c r="J23" s="1">
        <f>ROUND(L21,2)</f>
        <v>60000</v>
      </c>
      <c r="K23" s="3">
        <v>0.05</v>
      </c>
      <c r="L23" s="1">
        <f>ROUND(J23*K23,2)</f>
        <v>3000</v>
      </c>
      <c r="M23" s="1"/>
    </row>
    <row r="24" spans="2:13">
      <c r="B24" t="s">
        <v>10</v>
      </c>
      <c r="C24" s="1"/>
      <c r="D24" s="1"/>
      <c r="E24" s="1">
        <v>6000</v>
      </c>
      <c r="F24" s="1"/>
      <c r="I24" t="s">
        <v>10</v>
      </c>
      <c r="J24" s="1"/>
      <c r="K24" s="1"/>
      <c r="L24" s="1">
        <v>6000</v>
      </c>
      <c r="M24" s="1"/>
    </row>
    <row r="25" spans="2:13">
      <c r="B25" t="s">
        <v>11</v>
      </c>
      <c r="C25" s="1">
        <f>ROUND(E21,2)</f>
        <v>60000</v>
      </c>
      <c r="D25" s="3">
        <v>0.1</v>
      </c>
      <c r="E25" s="1">
        <f>ROUND(C25*D25,2)</f>
        <v>6000</v>
      </c>
      <c r="F25" s="1"/>
      <c r="I25" t="s">
        <v>11</v>
      </c>
      <c r="J25" s="1">
        <f>ROUND(L21,2)</f>
        <v>60000</v>
      </c>
      <c r="K25" s="3">
        <v>0.1</v>
      </c>
      <c r="L25" s="1">
        <f>ROUND(J25*K25,2)</f>
        <v>6000</v>
      </c>
      <c r="M25" s="1"/>
    </row>
    <row r="26" spans="2:13">
      <c r="C26" s="1"/>
      <c r="D26" s="1"/>
      <c r="E26" s="1"/>
      <c r="F26" s="1"/>
      <c r="J26" s="1"/>
      <c r="K26" s="1"/>
      <c r="L26" s="1"/>
      <c r="M26" s="1"/>
    </row>
    <row r="27" spans="2:13">
      <c r="B27" s="12" t="s">
        <v>4</v>
      </c>
      <c r="C27" s="13">
        <f>(C30-E29-E28)/(1-D27)</f>
        <v>77200</v>
      </c>
      <c r="D27" s="14">
        <v>0.09</v>
      </c>
      <c r="E27" s="12"/>
      <c r="F27" s="13">
        <f>ROUND(C27*D27,2)</f>
        <v>6948</v>
      </c>
      <c r="I27" s="12" t="s">
        <v>4</v>
      </c>
      <c r="J27" s="13">
        <f>ROUND(SUM(L20:L25),2)</f>
        <v>77200</v>
      </c>
      <c r="K27" s="14">
        <v>0.09</v>
      </c>
      <c r="L27" s="12"/>
      <c r="M27" s="13">
        <f>ROUND(J27*K27,2)</f>
        <v>6948</v>
      </c>
    </row>
    <row r="28" spans="2:13">
      <c r="B28" t="s">
        <v>12</v>
      </c>
      <c r="C28" s="1">
        <v>200</v>
      </c>
      <c r="D28" s="4">
        <v>22</v>
      </c>
      <c r="E28" s="1">
        <f>+C28*D28</f>
        <v>4400</v>
      </c>
      <c r="F28" s="1"/>
      <c r="I28" t="s">
        <v>12</v>
      </c>
      <c r="J28" s="1">
        <v>200</v>
      </c>
      <c r="K28" s="4">
        <v>22</v>
      </c>
      <c r="L28" s="1">
        <f>+J28*K28</f>
        <v>4400</v>
      </c>
      <c r="M28" s="1"/>
    </row>
    <row r="29" spans="2:13">
      <c r="B29" t="s">
        <v>13</v>
      </c>
      <c r="C29" s="1">
        <v>500</v>
      </c>
      <c r="D29" s="4">
        <v>22</v>
      </c>
      <c r="E29" s="1">
        <f>+C29*D29</f>
        <v>11000</v>
      </c>
      <c r="F29" s="1"/>
      <c r="I29" t="s">
        <v>13</v>
      </c>
      <c r="J29" s="1">
        <v>500</v>
      </c>
      <c r="K29" s="4">
        <v>22</v>
      </c>
      <c r="L29" s="1">
        <f>+J29*K29</f>
        <v>11000</v>
      </c>
      <c r="M29" s="1"/>
    </row>
    <row r="30" spans="2:13">
      <c r="B30" s="15" t="s">
        <v>5</v>
      </c>
      <c r="C30" s="16">
        <v>85652</v>
      </c>
      <c r="D30" s="17">
        <v>1</v>
      </c>
      <c r="E30" s="16"/>
      <c r="F30" s="16">
        <v>15595</v>
      </c>
      <c r="G30" s="2">
        <v>15595</v>
      </c>
      <c r="H30">
        <v>19195</v>
      </c>
      <c r="I30" s="15" t="s">
        <v>5</v>
      </c>
      <c r="J30" s="16">
        <f>ROUND(J27-M27+L28+L29,2)</f>
        <v>85652</v>
      </c>
      <c r="K30" s="17">
        <v>1</v>
      </c>
      <c r="L30" s="16"/>
      <c r="M30" s="16">
        <f>IF(FLOOR(J30,10)&gt;=120000,(FLOOR(J30,10)-120000)*0.35+29500,IF(FLOOR(J30,10)&gt;=35000,(FLOOR(J30,10)-30000)*0.3+2500,IF(FLOOR(J30,10)&gt;30000,((FLOOR(J30,10)-30000)*0.3+2500)*8/3-(20000/3),IF(FLOOR(J30,10)&lt;=30000,0))))</f>
        <v>19195</v>
      </c>
    </row>
    <row r="31" spans="2:13">
      <c r="B31" t="s">
        <v>14</v>
      </c>
      <c r="E31" s="1">
        <v>3000</v>
      </c>
      <c r="I31" t="s">
        <v>14</v>
      </c>
      <c r="L31" s="1">
        <v>3000</v>
      </c>
    </row>
    <row r="32" spans="2:13">
      <c r="C32" s="8"/>
      <c r="D32" s="9"/>
      <c r="E32" s="10">
        <f>SUM(E21:E31)</f>
        <v>95600</v>
      </c>
      <c r="F32" s="10">
        <f>SUM(F21:F30)</f>
        <v>22543</v>
      </c>
      <c r="G32" s="2">
        <f>+F27+G30</f>
        <v>22543</v>
      </c>
      <c r="J32" s="8"/>
      <c r="K32" s="9"/>
      <c r="L32" s="10">
        <f>SUM(L21:L31)</f>
        <v>95599.999809153902</v>
      </c>
      <c r="M32" s="10">
        <f>SUM(M21:M30)</f>
        <v>26143</v>
      </c>
    </row>
    <row r="34" spans="2:13">
      <c r="B34" s="7" t="s">
        <v>15</v>
      </c>
      <c r="C34" s="7"/>
      <c r="D34" s="11">
        <f>+E32-F32</f>
        <v>73057</v>
      </c>
      <c r="E34" s="11"/>
      <c r="F34" s="11"/>
      <c r="G34" s="2">
        <f>+E32-G32</f>
        <v>73057</v>
      </c>
      <c r="I34" s="7" t="s">
        <v>15</v>
      </c>
      <c r="J34" s="7"/>
      <c r="K34" s="11">
        <f>+L32-M32</f>
        <v>69456.999809153902</v>
      </c>
      <c r="L34" s="11"/>
      <c r="M34" s="11"/>
    </row>
  </sheetData>
  <mergeCells count="8">
    <mergeCell ref="B17:C17"/>
    <mergeCell ref="D17:F17"/>
    <mergeCell ref="I17:J17"/>
    <mergeCell ref="K17:M17"/>
    <mergeCell ref="B34:C34"/>
    <mergeCell ref="D34:F34"/>
    <mergeCell ref="I34:J34"/>
    <mergeCell ref="K34:M3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E2283-FBE2-4E58-BDF3-EF724B6EEA5F}">
  <dimension ref="B2:L31"/>
  <sheetViews>
    <sheetView topLeftCell="B22" zoomScale="232" zoomScaleNormal="232" workbookViewId="0">
      <selection activeCell="D31" sqref="D31"/>
    </sheetView>
  </sheetViews>
  <sheetFormatPr baseColWidth="10" defaultRowHeight="14.5"/>
  <cols>
    <col min="2" max="2" width="21.54296875" bestFit="1" customWidth="1"/>
    <col min="3" max="3" width="15.6328125" customWidth="1"/>
    <col min="4" max="4" width="22.90625" customWidth="1"/>
    <col min="6" max="6" width="16.36328125" customWidth="1"/>
    <col min="7" max="7" width="16.1796875" customWidth="1"/>
    <col min="8" max="8" width="21.54296875" bestFit="1" customWidth="1"/>
  </cols>
  <sheetData>
    <row r="2" spans="2:12">
      <c r="B2" s="18" t="s">
        <v>0</v>
      </c>
      <c r="C2" s="18" t="s">
        <v>6</v>
      </c>
      <c r="D2" s="18" t="s">
        <v>7</v>
      </c>
      <c r="E2" s="18" t="s">
        <v>1</v>
      </c>
      <c r="F2" s="18" t="s">
        <v>2</v>
      </c>
      <c r="H2" s="18" t="s">
        <v>0</v>
      </c>
      <c r="I2" s="18" t="s">
        <v>6</v>
      </c>
      <c r="J2" s="18" t="s">
        <v>7</v>
      </c>
      <c r="K2" s="18" t="s">
        <v>1</v>
      </c>
      <c r="L2" s="18" t="s">
        <v>2</v>
      </c>
    </row>
    <row r="3" spans="2:12">
      <c r="B3" t="s">
        <v>3</v>
      </c>
      <c r="C3" s="1"/>
      <c r="D3" s="1"/>
      <c r="E3" s="1">
        <f>C9-E7</f>
        <v>960.62406015037618</v>
      </c>
      <c r="F3" s="1"/>
      <c r="H3" t="s">
        <v>3</v>
      </c>
      <c r="I3" s="1"/>
      <c r="J3" s="1"/>
      <c r="K3" s="1">
        <f>(I9-K6-K4)/1.15</f>
        <v>60000.000000000007</v>
      </c>
      <c r="L3" s="1"/>
    </row>
    <row r="4" spans="2:12">
      <c r="B4" t="s">
        <v>8</v>
      </c>
      <c r="C4" s="1"/>
      <c r="D4" s="4"/>
      <c r="E4" s="1"/>
      <c r="F4" s="1"/>
      <c r="H4" t="s">
        <v>8</v>
      </c>
      <c r="I4" s="1">
        <v>100</v>
      </c>
      <c r="J4" s="4">
        <v>22</v>
      </c>
      <c r="K4" s="1">
        <f>ROUND(I4*J4,2)</f>
        <v>2200</v>
      </c>
      <c r="L4" s="1"/>
    </row>
    <row r="5" spans="2:12">
      <c r="B5" t="s">
        <v>9</v>
      </c>
      <c r="C5" s="1"/>
      <c r="D5" s="3"/>
      <c r="E5" s="1"/>
      <c r="F5" s="1"/>
      <c r="H5" t="s">
        <v>9</v>
      </c>
      <c r="I5" s="1">
        <f>ROUND(K3,2)</f>
        <v>60000</v>
      </c>
      <c r="J5" s="3">
        <v>0.05</v>
      </c>
      <c r="K5" s="1">
        <f>ROUND(I5*J5,2)</f>
        <v>3000</v>
      </c>
      <c r="L5" s="1"/>
    </row>
    <row r="6" spans="2:12">
      <c r="B6" t="s">
        <v>10</v>
      </c>
      <c r="C6" s="1"/>
      <c r="D6" s="1"/>
      <c r="E6" s="1"/>
      <c r="F6" s="1"/>
      <c r="H6" t="s">
        <v>10</v>
      </c>
      <c r="I6" s="1"/>
      <c r="J6" s="1"/>
      <c r="K6" s="1">
        <v>6000</v>
      </c>
      <c r="L6" s="1"/>
    </row>
    <row r="7" spans="2:12">
      <c r="B7" t="s">
        <v>11</v>
      </c>
      <c r="C7" s="1"/>
      <c r="D7" s="3"/>
      <c r="E7" s="1">
        <v>69</v>
      </c>
      <c r="F7" s="1"/>
      <c r="H7" t="s">
        <v>11</v>
      </c>
      <c r="I7" s="1">
        <f>ROUND(K3,2)</f>
        <v>60000</v>
      </c>
      <c r="J7" s="3">
        <v>0.1</v>
      </c>
      <c r="K7" s="1">
        <f>ROUND(I7*J7,2)</f>
        <v>6000</v>
      </c>
      <c r="L7" s="1"/>
    </row>
    <row r="8" spans="2:12">
      <c r="C8" s="1"/>
      <c r="D8" s="1"/>
      <c r="E8" s="1"/>
      <c r="F8" s="1"/>
      <c r="I8" s="1"/>
      <c r="J8" s="1"/>
      <c r="K8" s="1"/>
      <c r="L8" s="1"/>
    </row>
    <row r="9" spans="2:12">
      <c r="B9" s="12" t="s">
        <v>4</v>
      </c>
      <c r="C9" s="25">
        <f>+C12/2700/(1-D9)</f>
        <v>1029.6240601503762</v>
      </c>
      <c r="D9" s="14">
        <v>0.05</v>
      </c>
      <c r="E9" s="12"/>
      <c r="F9" s="13">
        <f>ROUND(C9*D9,2)</f>
        <v>51.48</v>
      </c>
      <c r="H9" s="12" t="s">
        <v>4</v>
      </c>
      <c r="I9" s="13">
        <f>(I12-K11-K10)/(1-J9)</f>
        <v>77200</v>
      </c>
      <c r="J9" s="14">
        <v>0.09</v>
      </c>
      <c r="K9" s="12"/>
      <c r="L9" s="13">
        <f>ROUND(I9*J9,2)</f>
        <v>6948</v>
      </c>
    </row>
    <row r="10" spans="2:12">
      <c r="C10" s="26"/>
      <c r="H10" t="s">
        <v>12</v>
      </c>
      <c r="I10" s="1">
        <v>200</v>
      </c>
      <c r="J10" s="4">
        <v>22</v>
      </c>
      <c r="K10" s="1">
        <f>+I10*J10</f>
        <v>4400</v>
      </c>
      <c r="L10" s="1"/>
    </row>
    <row r="11" spans="2:12">
      <c r="H11" t="s">
        <v>13</v>
      </c>
      <c r="I11" s="1">
        <v>500</v>
      </c>
      <c r="J11" s="4">
        <v>22</v>
      </c>
      <c r="K11" s="1">
        <f>+I11*J11</f>
        <v>11000</v>
      </c>
      <c r="L11" s="1"/>
    </row>
    <row r="12" spans="2:12">
      <c r="B12" s="15" t="s">
        <v>5</v>
      </c>
      <c r="C12" s="10">
        <f>Feuil6!B19</f>
        <v>2640985.7142857146</v>
      </c>
      <c r="D12" s="17"/>
      <c r="E12" s="16"/>
      <c r="F12" s="16">
        <f>IF(FLOOR(C12,10)&gt;3600000,"(((PLANCHER((C12;10)-3600000) * 0,40) + 790560)",IF(FLOOR(C12,10)&gt;=1800000,((((FLOOR(C12,10)-1800000) * 0.3) + 250560)/2700),IF(FLOOR(C12,10)&gt;162000,((((FLOOR(C12,10)-162000) * 0.15) + 4860)/2700),IF(FLOOR(C12,10)&lt;=162000,,(((FLOOR(C12,10)* 0.03))/2700)))))</f>
        <v>186.24222222222221</v>
      </c>
      <c r="H12" s="15" t="s">
        <v>5</v>
      </c>
      <c r="I12" s="16">
        <v>85652</v>
      </c>
      <c r="J12" s="17">
        <v>1</v>
      </c>
      <c r="K12" s="16"/>
      <c r="L12" s="16">
        <v>15595</v>
      </c>
    </row>
    <row r="13" spans="2:12">
      <c r="B13" t="s">
        <v>12</v>
      </c>
      <c r="C13" s="1"/>
      <c r="D13" s="4"/>
      <c r="E13" s="1">
        <v>288.19</v>
      </c>
      <c r="F13" s="1"/>
      <c r="H13" s="15"/>
      <c r="I13" s="16"/>
      <c r="J13" s="17"/>
      <c r="K13" s="16"/>
      <c r="L13" s="16"/>
    </row>
    <row r="14" spans="2:12">
      <c r="B14" t="s">
        <v>13</v>
      </c>
      <c r="C14" s="1"/>
      <c r="D14" s="4"/>
      <c r="E14" s="1">
        <v>44</v>
      </c>
      <c r="F14" s="1"/>
      <c r="H14" s="15"/>
      <c r="I14" s="16"/>
      <c r="J14" s="17"/>
      <c r="K14" s="16"/>
      <c r="L14" s="16"/>
    </row>
    <row r="15" spans="2:12">
      <c r="B15" t="s">
        <v>14</v>
      </c>
      <c r="E15" s="1"/>
      <c r="H15" t="s">
        <v>14</v>
      </c>
      <c r="K15" s="1">
        <v>3000</v>
      </c>
    </row>
    <row r="16" spans="2:12">
      <c r="C16" s="8"/>
      <c r="D16" s="9"/>
      <c r="E16" s="10">
        <f>SUM(E3:E15)</f>
        <v>1361.8140601503762</v>
      </c>
      <c r="F16" s="10">
        <f>SUM(F3:F12)</f>
        <v>237.7222222222222</v>
      </c>
      <c r="I16" s="8"/>
      <c r="J16" s="9"/>
      <c r="K16" s="10">
        <f>SUM(K3:K15)</f>
        <v>95600</v>
      </c>
      <c r="L16" s="10">
        <f>SUM(L3:L12)</f>
        <v>22543</v>
      </c>
    </row>
    <row r="18" spans="2:12">
      <c r="B18" s="7" t="s">
        <v>15</v>
      </c>
      <c r="C18" s="7"/>
      <c r="D18" s="11">
        <f>+E16-F16</f>
        <v>1124.0918379281541</v>
      </c>
      <c r="E18" s="11"/>
      <c r="F18" s="11"/>
      <c r="H18" s="7" t="s">
        <v>15</v>
      </c>
      <c r="I18" s="7"/>
      <c r="J18" s="11">
        <f>+K16-L16</f>
        <v>73057</v>
      </c>
      <c r="K18" s="11"/>
      <c r="L18" s="11"/>
    </row>
    <row r="21" spans="2:12">
      <c r="C21" s="2">
        <f>(((C12-1800000) * 0.3) + 250560)</f>
        <v>502855.71428571432</v>
      </c>
      <c r="D21" s="2">
        <f>C21/2700</f>
        <v>186.24285714285716</v>
      </c>
      <c r="F21">
        <f>FLOOR(D18,10)</f>
        <v>1120</v>
      </c>
      <c r="G21">
        <v>1124.088888888889</v>
      </c>
    </row>
    <row r="22" spans="2:12">
      <c r="C22" s="1">
        <v>2640982.5693452349</v>
      </c>
      <c r="G22" s="2">
        <f>+G21-E13-E14</f>
        <v>791.89888888888891</v>
      </c>
    </row>
    <row r="23" spans="2:12">
      <c r="G23" s="1">
        <f>G22*2700</f>
        <v>2138127</v>
      </c>
    </row>
    <row r="24" spans="2:12">
      <c r="G24" s="1">
        <f>1800000*0.3</f>
        <v>540000</v>
      </c>
    </row>
    <row r="25" spans="2:12">
      <c r="G25" s="1">
        <v>250560</v>
      </c>
    </row>
    <row r="26" spans="2:12">
      <c r="D26" t="s">
        <v>50</v>
      </c>
      <c r="G26" s="2">
        <f>+G23-G24+G25</f>
        <v>1848687</v>
      </c>
    </row>
    <row r="27" spans="2:12">
      <c r="G27">
        <f>+G26/0.7</f>
        <v>2640981.4285714286</v>
      </c>
      <c r="H27" s="2">
        <f>G26/G27</f>
        <v>0.7</v>
      </c>
    </row>
    <row r="28" spans="2:12">
      <c r="B28" t="s">
        <v>46</v>
      </c>
      <c r="C28" t="s">
        <v>15</v>
      </c>
      <c r="D28">
        <v>1124.0899999999999</v>
      </c>
    </row>
    <row r="29" spans="2:12">
      <c r="B29" t="s">
        <v>47</v>
      </c>
      <c r="C29" t="s">
        <v>5</v>
      </c>
    </row>
    <row r="30" spans="2:12">
      <c r="B30" t="s">
        <v>48</v>
      </c>
      <c r="C30" t="s">
        <v>49</v>
      </c>
    </row>
    <row r="31" spans="2:12">
      <c r="D31" t="s">
        <v>69</v>
      </c>
    </row>
  </sheetData>
  <mergeCells count="4">
    <mergeCell ref="B18:C18"/>
    <mergeCell ref="D18:F18"/>
    <mergeCell ref="H18:I18"/>
    <mergeCell ref="J18:L1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D82D0-A425-4077-A2E3-0ABE2B25C32F}">
  <dimension ref="A2:G31"/>
  <sheetViews>
    <sheetView topLeftCell="A21" zoomScale="166" zoomScaleNormal="166" workbookViewId="0">
      <selection activeCell="D27" sqref="D27"/>
    </sheetView>
  </sheetViews>
  <sheetFormatPr baseColWidth="10" defaultColWidth="27.08984375" defaultRowHeight="14.5"/>
  <cols>
    <col min="1" max="1" width="14.6328125" customWidth="1"/>
    <col min="4" max="4" width="37.26953125" bestFit="1" customWidth="1"/>
  </cols>
  <sheetData>
    <row r="2" spans="1:7" ht="15.5">
      <c r="A2" s="20" t="s">
        <v>17</v>
      </c>
    </row>
    <row r="4" spans="1:7">
      <c r="A4" s="21"/>
      <c r="B4" s="21"/>
      <c r="C4" s="21"/>
      <c r="D4" s="21"/>
      <c r="E4" s="21"/>
      <c r="F4" s="21"/>
      <c r="G4" s="21"/>
    </row>
    <row r="5" spans="1:7">
      <c r="A5" s="21" t="s">
        <v>7</v>
      </c>
      <c r="B5" s="23" t="s">
        <v>19</v>
      </c>
      <c r="C5" s="23"/>
      <c r="D5" s="23" t="s">
        <v>20</v>
      </c>
      <c r="E5" s="21" t="s">
        <v>21</v>
      </c>
      <c r="F5" s="21" t="s">
        <v>23</v>
      </c>
      <c r="G5" s="21" t="s">
        <v>25</v>
      </c>
    </row>
    <row r="6" spans="1:7">
      <c r="A6" s="21" t="s">
        <v>18</v>
      </c>
      <c r="B6" s="21" t="s">
        <v>27</v>
      </c>
      <c r="C6" s="21" t="s">
        <v>28</v>
      </c>
      <c r="D6" s="23"/>
      <c r="E6" s="21" t="s">
        <v>22</v>
      </c>
      <c r="F6" s="21" t="s">
        <v>24</v>
      </c>
      <c r="G6" s="21" t="s">
        <v>26</v>
      </c>
    </row>
    <row r="7" spans="1:7">
      <c r="A7" s="21">
        <v>3</v>
      </c>
      <c r="B7" s="21" t="s">
        <v>29</v>
      </c>
      <c r="C7" s="21" t="s">
        <v>30</v>
      </c>
      <c r="D7" s="21" t="s">
        <v>31</v>
      </c>
      <c r="E7" s="24" t="s">
        <v>32</v>
      </c>
      <c r="F7" s="21" t="s">
        <v>32</v>
      </c>
      <c r="G7" s="21" t="s">
        <v>33</v>
      </c>
    </row>
    <row r="8" spans="1:7">
      <c r="A8" s="21">
        <v>15</v>
      </c>
      <c r="B8" s="21" t="s">
        <v>34</v>
      </c>
      <c r="C8" s="21" t="s">
        <v>35</v>
      </c>
      <c r="D8" s="21" t="s">
        <v>36</v>
      </c>
      <c r="E8" s="24" t="s">
        <v>37</v>
      </c>
      <c r="F8" s="21" t="s">
        <v>38</v>
      </c>
      <c r="G8" s="21"/>
    </row>
    <row r="9" spans="1:7">
      <c r="A9" s="21">
        <v>30</v>
      </c>
      <c r="B9" s="21" t="s">
        <v>39</v>
      </c>
      <c r="C9" s="21" t="s">
        <v>40</v>
      </c>
      <c r="D9" s="21" t="s">
        <v>41</v>
      </c>
      <c r="E9" s="24" t="s">
        <v>42</v>
      </c>
      <c r="F9" s="21" t="s">
        <v>43</v>
      </c>
      <c r="G9" s="21"/>
    </row>
    <row r="10" spans="1:7">
      <c r="A10" s="22">
        <v>40</v>
      </c>
      <c r="B10" s="22" t="s">
        <v>44</v>
      </c>
      <c r="C10" s="22" t="s">
        <v>45</v>
      </c>
    </row>
    <row r="11" spans="1:7">
      <c r="E11" s="1">
        <v>288.19</v>
      </c>
    </row>
    <row r="12" spans="1:7">
      <c r="A12" t="s">
        <v>50</v>
      </c>
      <c r="E12" s="1">
        <v>44</v>
      </c>
    </row>
    <row r="13" spans="1:7">
      <c r="B13" t="s">
        <v>46</v>
      </c>
      <c r="C13" t="s">
        <v>15</v>
      </c>
      <c r="D13">
        <v>1124.0899999999999</v>
      </c>
      <c r="E13" s="2">
        <f>+D13-E11-E12</f>
        <v>791.89999999999986</v>
      </c>
      <c r="F13" s="1">
        <f>+E13*2700</f>
        <v>2138129.9999999995</v>
      </c>
    </row>
    <row r="14" spans="1:7">
      <c r="B14" t="s">
        <v>47</v>
      </c>
      <c r="C14" t="s">
        <v>5</v>
      </c>
      <c r="D14" t="s">
        <v>51</v>
      </c>
      <c r="E14" s="2" t="s">
        <v>52</v>
      </c>
      <c r="F14" s="2" t="s">
        <v>53</v>
      </c>
      <c r="G14">
        <v>289440</v>
      </c>
    </row>
    <row r="15" spans="1:7">
      <c r="B15" t="s">
        <v>48</v>
      </c>
      <c r="C15" t="s">
        <v>57</v>
      </c>
    </row>
    <row r="17" spans="1:6">
      <c r="A17" s="7" t="s">
        <v>54</v>
      </c>
      <c r="B17" s="7"/>
    </row>
    <row r="18" spans="1:6">
      <c r="A18" s="7" t="s">
        <v>55</v>
      </c>
      <c r="B18" s="7"/>
      <c r="C18" s="9"/>
      <c r="D18" s="9"/>
    </row>
    <row r="19" spans="1:6">
      <c r="A19" s="9" t="s">
        <v>56</v>
      </c>
      <c r="B19" s="2">
        <f>1848690/0.7</f>
        <v>2640985.7142857146</v>
      </c>
      <c r="D19">
        <v>1160.1600000000001</v>
      </c>
      <c r="E19" s="2">
        <f>+D19-E23-E24</f>
        <v>793.56000000000006</v>
      </c>
      <c r="F19" s="2">
        <f>D19*2684.51</f>
        <v>3114461.1216000007</v>
      </c>
    </row>
    <row r="20" spans="1:6">
      <c r="E20">
        <f>+D19</f>
        <v>1160.1600000000001</v>
      </c>
      <c r="F20" s="2">
        <f>E20*2684.51</f>
        <v>3114461.1216000007</v>
      </c>
    </row>
    <row r="21" spans="1:6">
      <c r="A21" s="7" t="s">
        <v>65</v>
      </c>
      <c r="B21" s="7"/>
    </row>
    <row r="22" spans="1:6">
      <c r="A22" s="7" t="s">
        <v>66</v>
      </c>
      <c r="B22" s="7"/>
      <c r="E22">
        <v>1401.3</v>
      </c>
      <c r="F22" s="2">
        <f>(E22-E23-E24-E25)*2684.51</f>
        <v>2306530.9920000001</v>
      </c>
    </row>
    <row r="23" spans="1:6">
      <c r="B23" t="s">
        <v>67</v>
      </c>
      <c r="E23" s="1">
        <v>171.6</v>
      </c>
    </row>
    <row r="24" spans="1:6">
      <c r="B24">
        <f>(-1800000)* 0.3</f>
        <v>-540000</v>
      </c>
      <c r="D24" s="6">
        <v>0</v>
      </c>
      <c r="E24" s="1">
        <v>195</v>
      </c>
    </row>
    <row r="25" spans="1:6">
      <c r="B25">
        <f>B24+4860</f>
        <v>-535140</v>
      </c>
      <c r="E25" s="1">
        <v>175.5</v>
      </c>
    </row>
    <row r="26" spans="1:6">
      <c r="B26">
        <f>+B25*2%*9</f>
        <v>-96325.200000000012</v>
      </c>
    </row>
    <row r="27" spans="1:6">
      <c r="A27" s="2">
        <f>+F19</f>
        <v>3114461.1216000007</v>
      </c>
      <c r="B27">
        <f>+B25-B26</f>
        <v>-438814.8</v>
      </c>
      <c r="C27">
        <f>A27+B24</f>
        <v>2574461.1216000007</v>
      </c>
      <c r="D27">
        <f>(-1800000*0.3)+250560</f>
        <v>-289440</v>
      </c>
      <c r="E27" s="2">
        <f>F22+D27</f>
        <v>2017090.9920000001</v>
      </c>
      <c r="F27">
        <f>+E27/0.85</f>
        <v>2373048.2258823533</v>
      </c>
    </row>
    <row r="28" spans="1:6">
      <c r="B28" t="s">
        <v>68</v>
      </c>
      <c r="F28">
        <f t="shared" ref="F28:F29" si="0">+E28/0.85</f>
        <v>0</v>
      </c>
    </row>
    <row r="29" spans="1:6">
      <c r="B29" t="s">
        <v>56</v>
      </c>
      <c r="C29" s="1">
        <f>+C27/0.85</f>
        <v>3028777.790117648</v>
      </c>
      <c r="D29">
        <f>(-1800000*0.3)+250560</f>
        <v>-289440</v>
      </c>
      <c r="E29" s="2">
        <f>+F19+D31</f>
        <v>2877120.3216000008</v>
      </c>
      <c r="F29">
        <f>+E29/0.7</f>
        <v>4110171.8880000017</v>
      </c>
    </row>
    <row r="30" spans="1:6">
      <c r="D30">
        <f>((-1800000*0.3)+250560)*2%*9</f>
        <v>-52099.200000000004</v>
      </c>
    </row>
    <row r="31" spans="1:6">
      <c r="D31">
        <f>D29-D30</f>
        <v>-237340.79999999999</v>
      </c>
    </row>
  </sheetData>
  <mergeCells count="6">
    <mergeCell ref="A21:B21"/>
    <mergeCell ref="A22:B22"/>
    <mergeCell ref="B5:C5"/>
    <mergeCell ref="D5:D6"/>
    <mergeCell ref="A17:B17"/>
    <mergeCell ref="A18:B1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410D8-7B97-4CB6-AE2D-411C91F5F725}">
  <dimension ref="C2:M33"/>
  <sheetViews>
    <sheetView topLeftCell="A13" zoomScale="160" zoomScaleNormal="160" workbookViewId="0">
      <selection activeCell="D21" sqref="D21"/>
    </sheetView>
  </sheetViews>
  <sheetFormatPr baseColWidth="10" defaultRowHeight="14.5"/>
  <cols>
    <col min="3" max="3" width="21.54296875" bestFit="1" customWidth="1"/>
    <col min="4" max="4" width="12.453125" bestFit="1" customWidth="1"/>
    <col min="7" max="7" width="13.453125" customWidth="1"/>
    <col min="10" max="12" width="13.90625" bestFit="1" customWidth="1"/>
    <col min="13" max="13" width="14.7265625" customWidth="1"/>
  </cols>
  <sheetData>
    <row r="2" spans="3:12">
      <c r="C2" s="18" t="s">
        <v>0</v>
      </c>
      <c r="D2" s="18" t="s">
        <v>6</v>
      </c>
      <c r="E2" s="18" t="s">
        <v>7</v>
      </c>
      <c r="F2" s="18" t="s">
        <v>1</v>
      </c>
      <c r="G2" s="18" t="s">
        <v>2</v>
      </c>
    </row>
    <row r="3" spans="3:12">
      <c r="C3" t="s">
        <v>3</v>
      </c>
      <c r="D3" s="1"/>
      <c r="E3" s="1"/>
      <c r="F3" s="1">
        <v>432</v>
      </c>
      <c r="G3" s="1"/>
    </row>
    <row r="4" spans="3:12">
      <c r="C4" t="s">
        <v>8</v>
      </c>
      <c r="D4" s="1"/>
      <c r="E4" s="4"/>
      <c r="F4" s="1">
        <v>0</v>
      </c>
      <c r="G4" s="1"/>
    </row>
    <row r="5" spans="3:12">
      <c r="C5" t="s">
        <v>9</v>
      </c>
      <c r="D5" s="1"/>
      <c r="E5" s="3"/>
      <c r="F5" s="1">
        <v>50</v>
      </c>
      <c r="G5" s="1"/>
    </row>
    <row r="6" spans="3:12">
      <c r="C6" t="s">
        <v>10</v>
      </c>
      <c r="D6" s="1"/>
      <c r="E6" s="1"/>
      <c r="F6" s="1">
        <v>90</v>
      </c>
      <c r="G6" s="1"/>
    </row>
    <row r="7" spans="3:12">
      <c r="C7" t="s">
        <v>11</v>
      </c>
      <c r="D7" s="1"/>
      <c r="E7" s="3"/>
      <c r="F7" s="1">
        <v>0</v>
      </c>
      <c r="G7" s="1"/>
    </row>
    <row r="8" spans="3:12">
      <c r="C8" t="s">
        <v>58</v>
      </c>
      <c r="D8" s="1"/>
      <c r="E8" s="3"/>
      <c r="F8" s="1">
        <v>34.96</v>
      </c>
      <c r="G8" s="1"/>
    </row>
    <row r="9" spans="3:12">
      <c r="C9" t="s">
        <v>59</v>
      </c>
      <c r="D9" s="1"/>
      <c r="E9" s="3"/>
      <c r="F9" s="1">
        <v>132.46</v>
      </c>
      <c r="G9" s="1"/>
    </row>
    <row r="10" spans="3:12">
      <c r="D10" s="1"/>
      <c r="E10" s="1"/>
      <c r="F10" s="1"/>
      <c r="G10" s="1"/>
    </row>
    <row r="11" spans="3:12">
      <c r="C11" s="12" t="s">
        <v>4</v>
      </c>
      <c r="D11" s="25">
        <f>SUM(F3:F9)</f>
        <v>739.42000000000007</v>
      </c>
      <c r="E11" s="14">
        <v>0.05</v>
      </c>
      <c r="F11" s="12"/>
      <c r="G11" s="13">
        <f>ROUND(D11*E11,2)</f>
        <v>36.97</v>
      </c>
      <c r="H11" s="2">
        <f>(D21/2684.51)/(1-E11)</f>
        <v>739.42105263157907</v>
      </c>
    </row>
    <row r="12" spans="3:12">
      <c r="C12" s="12" t="s">
        <v>61</v>
      </c>
      <c r="D12" s="25">
        <f>+D11</f>
        <v>739.42000000000007</v>
      </c>
      <c r="E12" s="14">
        <v>0.13</v>
      </c>
      <c r="F12" s="13">
        <f>ROUND(D12*E12,2)</f>
        <v>96.12</v>
      </c>
      <c r="G12" s="13"/>
      <c r="H12" s="2"/>
      <c r="L12" s="16">
        <f>IF(FLOOR(I12,10)&gt;3600000,"(((PLANCHER((C12;10)-3600000) * 0,40) + 790560)",IF(FLOOR(I12,10)&gt;=1800000,((((FLOOR(I12,10)-1800000) * 0.3) + 250560)/2684.51),IF(FLOOR(I12,10)&gt;162000,((((FLOOR(I12,10)-162000) * 0.15) + 4860)/2700),IF(FLOOR(I12,10)&lt;=162000,,(((FLOOR(I12,10)* 0.03))/2700)))))</f>
        <v>0</v>
      </c>
    </row>
    <row r="13" spans="3:12">
      <c r="C13" s="12" t="s">
        <v>62</v>
      </c>
      <c r="D13" s="25">
        <f>+D11</f>
        <v>739.42000000000007</v>
      </c>
      <c r="E13" s="14">
        <v>0.13</v>
      </c>
      <c r="F13" s="12"/>
      <c r="G13" s="13">
        <f>ROUND(D13*E13,2)</f>
        <v>96.12</v>
      </c>
      <c r="L13" s="16"/>
    </row>
    <row r="14" spans="3:12">
      <c r="D14" s="26"/>
      <c r="L14" s="16"/>
    </row>
    <row r="15" spans="3:12">
      <c r="C15" s="12" t="s">
        <v>63</v>
      </c>
      <c r="D15" s="25">
        <f>+D11</f>
        <v>739.42000000000007</v>
      </c>
      <c r="E15" s="14">
        <v>0.03</v>
      </c>
      <c r="F15" s="12"/>
      <c r="G15" s="13">
        <f>ROUND(D15*E15,2)</f>
        <v>22.18</v>
      </c>
      <c r="L15" s="16"/>
    </row>
    <row r="16" spans="3:12">
      <c r="C16" s="12" t="s">
        <v>64</v>
      </c>
      <c r="D16" s="25">
        <f>+D11</f>
        <v>739.42000000000007</v>
      </c>
      <c r="E16" s="14">
        <v>0.03</v>
      </c>
      <c r="F16" s="13">
        <f>ROUND(D16*E16,2)</f>
        <v>22.18</v>
      </c>
      <c r="G16" s="13"/>
      <c r="L16" s="16"/>
    </row>
    <row r="17" spans="3:13">
      <c r="D17" s="26"/>
      <c r="L17" s="16"/>
    </row>
    <row r="18" spans="3:13">
      <c r="C18" s="12" t="s">
        <v>63</v>
      </c>
      <c r="D18" s="25">
        <f>+D11</f>
        <v>739.42000000000007</v>
      </c>
      <c r="E18" s="27">
        <v>2E-3</v>
      </c>
      <c r="F18" s="12"/>
      <c r="G18" s="13">
        <f>ROUND(D18*E18,2)</f>
        <v>1.48</v>
      </c>
      <c r="L18" s="16"/>
    </row>
    <row r="19" spans="3:13">
      <c r="C19" s="12" t="s">
        <v>64</v>
      </c>
      <c r="D19" s="25">
        <f>+D11</f>
        <v>739.42000000000007</v>
      </c>
      <c r="E19" s="27">
        <v>2E-3</v>
      </c>
      <c r="F19" s="13">
        <f>ROUND(D19*E19,2)</f>
        <v>1.48</v>
      </c>
      <c r="G19" s="13"/>
      <c r="L19" s="16"/>
    </row>
    <row r="21" spans="3:13">
      <c r="C21" s="15" t="s">
        <v>5</v>
      </c>
      <c r="D21" s="10">
        <f>((D11-G11)*2684.51)</f>
        <v>1885734.0495000002</v>
      </c>
      <c r="E21" s="17"/>
      <c r="F21" s="16"/>
      <c r="G21" s="16">
        <f>IF(FLOOR(D21,10)&gt;3600000,"(((PLANCHER((C12;10)-3600000) * 0,40) + 790560)",IF(FLOOR(D21,10)&gt;=1800000,(((((FLOOR(D21,10)-1800000) * 0.3) + 250560)-((((D21-1800000)*0.3)+250560)*2%*9))/2684.51),IF(FLOOR(D21,10)&gt;162000,((((FLOOR(D21,10)-162000) * 0.15) + 4860)/2700),IF(FLOOR(D21,10)&lt;=162000,,(((FLOOR(D21,10)* 0.03))/2700)))))</f>
        <v>84.391029024663709</v>
      </c>
      <c r="J21" s="2">
        <f>(((D21-1800000)*0.3)+250560)</f>
        <v>276280.21485000005</v>
      </c>
      <c r="K21" s="2">
        <f>(((D21-1800000)*0.3)+250560)*2%*9</f>
        <v>49730.438673000004</v>
      </c>
    </row>
    <row r="22" spans="3:13">
      <c r="C22" t="s">
        <v>12</v>
      </c>
      <c r="D22" s="1"/>
      <c r="E22" s="4"/>
      <c r="F22" s="1">
        <v>171.6</v>
      </c>
      <c r="G22" s="1"/>
      <c r="K22" s="2">
        <f>+J21-K21</f>
        <v>226549.77617700005</v>
      </c>
    </row>
    <row r="23" spans="3:13">
      <c r="C23" t="s">
        <v>13</v>
      </c>
      <c r="D23" s="1"/>
      <c r="E23" s="4"/>
      <c r="F23" s="1">
        <v>195</v>
      </c>
      <c r="G23" s="1"/>
      <c r="J23">
        <f>+J21/2684.51</f>
        <v>102.91644093335469</v>
      </c>
      <c r="K23">
        <f>+K22/2684.51</f>
        <v>84.391481565350858</v>
      </c>
    </row>
    <row r="24" spans="3:13">
      <c r="C24" t="s">
        <v>60</v>
      </c>
      <c r="F24" s="1">
        <v>175.5</v>
      </c>
    </row>
    <row r="25" spans="3:13">
      <c r="F25" s="1"/>
      <c r="K25" s="2">
        <f>D21/0.85</f>
        <v>2218510.6464705886</v>
      </c>
    </row>
    <row r="26" spans="3:13">
      <c r="F26" s="1"/>
    </row>
    <row r="27" spans="3:13">
      <c r="D27" s="8"/>
      <c r="E27" s="9"/>
      <c r="F27" s="10">
        <f>SUM(F3:F24)</f>
        <v>1401.3</v>
      </c>
      <c r="G27" s="10">
        <f>SUM(G3:G21)</f>
        <v>241.14102902466371</v>
      </c>
      <c r="L27" s="2">
        <f>E29-L28</f>
        <v>560.62541190869092</v>
      </c>
    </row>
    <row r="28" spans="3:13">
      <c r="L28" s="2">
        <f>L29/I29</f>
        <v>599.53355906664524</v>
      </c>
    </row>
    <row r="29" spans="3:13">
      <c r="C29" s="7" t="s">
        <v>15</v>
      </c>
      <c r="D29" s="7"/>
      <c r="E29" s="11">
        <f>+F27-G27</f>
        <v>1160.1589709753362</v>
      </c>
      <c r="F29" s="11"/>
      <c r="G29" s="11"/>
      <c r="H29" s="2">
        <f>1160.16-F22-F23-F24</f>
        <v>618.06000000000006</v>
      </c>
      <c r="I29">
        <v>2684.51</v>
      </c>
      <c r="J29" s="2">
        <f>H29*I29</f>
        <v>1659188.2506000004</v>
      </c>
      <c r="L29" s="2">
        <f>L32+L30-L31</f>
        <v>1609453.8346500001</v>
      </c>
      <c r="M29" s="2">
        <f>L29-J29</f>
        <v>-49734.415950000286</v>
      </c>
    </row>
    <row r="30" spans="3:13">
      <c r="J30" s="1">
        <f>1800000*0.3</f>
        <v>540000</v>
      </c>
      <c r="K30">
        <f>(((-1800000)*0.3)+250560)*2%*10</f>
        <v>-57888</v>
      </c>
      <c r="L30" s="1">
        <f>1800000*0.3</f>
        <v>540000</v>
      </c>
      <c r="M30" s="2">
        <f>+K30-M29</f>
        <v>-8153.5840499997139</v>
      </c>
    </row>
    <row r="31" spans="3:13">
      <c r="J31" s="1">
        <v>250560</v>
      </c>
      <c r="L31" s="1">
        <v>250560</v>
      </c>
    </row>
    <row r="32" spans="3:13">
      <c r="J32" t="s">
        <v>48</v>
      </c>
      <c r="K32" s="1">
        <f>J29-J30+J31+K30</f>
        <v>1311860.2506000004</v>
      </c>
      <c r="L32" s="1">
        <f>+D21*0.7</f>
        <v>1320013.8346500001</v>
      </c>
      <c r="M32" s="2">
        <f>L29-L30+L31</f>
        <v>1320013.8346500001</v>
      </c>
    </row>
    <row r="33" spans="11:12">
      <c r="K33" s="1">
        <f>+K32/0.7</f>
        <v>1874086.072285715</v>
      </c>
      <c r="L33" s="1">
        <f>+L32/0.7</f>
        <v>1885734.0495000002</v>
      </c>
    </row>
  </sheetData>
  <mergeCells count="2">
    <mergeCell ref="C29:D29"/>
    <mergeCell ref="E29:G29"/>
  </mergeCells>
  <phoneticPr fontId="5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436C3-0070-439A-AB5D-6BC00FA527CF}">
  <dimension ref="C2:M33"/>
  <sheetViews>
    <sheetView tabSelected="1" zoomScale="238" zoomScaleNormal="238" workbookViewId="0">
      <selection activeCell="C2" sqref="C2:G29"/>
    </sheetView>
  </sheetViews>
  <sheetFormatPr baseColWidth="10" defaultRowHeight="14.5"/>
  <cols>
    <col min="2" max="2" width="4.6328125" customWidth="1"/>
    <col min="3" max="3" width="21.54296875" bestFit="1" customWidth="1"/>
    <col min="4" max="4" width="12.90625" bestFit="1" customWidth="1"/>
    <col min="7" max="7" width="13.453125" customWidth="1"/>
    <col min="10" max="10" width="13.90625" bestFit="1" customWidth="1"/>
    <col min="11" max="11" width="12.90625" bestFit="1" customWidth="1"/>
    <col min="12" max="12" width="14.453125" bestFit="1" customWidth="1"/>
    <col min="13" max="13" width="13.90625" bestFit="1" customWidth="1"/>
  </cols>
  <sheetData>
    <row r="2" spans="3:12">
      <c r="C2" s="18" t="s">
        <v>0</v>
      </c>
      <c r="D2" s="18" t="s">
        <v>6</v>
      </c>
      <c r="E2" s="18" t="s">
        <v>7</v>
      </c>
      <c r="F2" s="18" t="s">
        <v>1</v>
      </c>
      <c r="G2" s="18" t="s">
        <v>2</v>
      </c>
    </row>
    <row r="3" spans="3:12">
      <c r="C3" t="s">
        <v>3</v>
      </c>
      <c r="D3" s="1"/>
      <c r="E3" s="1"/>
      <c r="F3" s="1">
        <f>D11-F5-F6</f>
        <v>935.00540344697492</v>
      </c>
      <c r="G3" s="1"/>
    </row>
    <row r="4" spans="3:12">
      <c r="C4" t="s">
        <v>8</v>
      </c>
      <c r="D4" s="1"/>
      <c r="E4" s="4"/>
      <c r="F4" s="1">
        <v>0</v>
      </c>
      <c r="G4" s="1"/>
    </row>
    <row r="5" spans="3:12">
      <c r="C5" t="s">
        <v>9</v>
      </c>
      <c r="D5" s="1"/>
      <c r="E5" s="3"/>
      <c r="F5" s="1">
        <v>105</v>
      </c>
      <c r="G5" s="1"/>
    </row>
    <row r="6" spans="3:12">
      <c r="C6" t="s">
        <v>10</v>
      </c>
      <c r="D6" s="1"/>
      <c r="E6" s="1"/>
      <c r="F6" s="1">
        <v>63</v>
      </c>
      <c r="G6" s="1"/>
    </row>
    <row r="7" spans="3:12">
      <c r="C7" t="s">
        <v>11</v>
      </c>
      <c r="D7" s="1"/>
      <c r="E7" s="3"/>
      <c r="F7" s="1">
        <v>0</v>
      </c>
      <c r="G7" s="1"/>
    </row>
    <row r="8" spans="3:12">
      <c r="C8" t="s">
        <v>58</v>
      </c>
      <c r="D8" s="1"/>
      <c r="E8" s="3"/>
      <c r="F8" s="1">
        <v>0</v>
      </c>
      <c r="G8" s="1"/>
    </row>
    <row r="9" spans="3:12">
      <c r="C9" t="s">
        <v>59</v>
      </c>
      <c r="D9" s="1"/>
      <c r="E9" s="3"/>
      <c r="F9" s="1">
        <v>0</v>
      </c>
      <c r="G9" s="1"/>
    </row>
    <row r="10" spans="3:12">
      <c r="D10" s="1"/>
      <c r="E10" s="1"/>
      <c r="F10" s="1"/>
      <c r="G10" s="1"/>
    </row>
    <row r="11" spans="3:12">
      <c r="C11" s="12" t="s">
        <v>4</v>
      </c>
      <c r="D11" s="25">
        <f>H11</f>
        <v>1103.0054034469749</v>
      </c>
      <c r="E11" s="14">
        <v>0.05</v>
      </c>
      <c r="F11" s="12"/>
      <c r="G11" s="13">
        <f>ROUND(D11*E11,2)</f>
        <v>55.15</v>
      </c>
      <c r="H11" s="2">
        <f>(D21/I29)/(1-E11)</f>
        <v>1103.0054034469749</v>
      </c>
    </row>
    <row r="12" spans="3:12">
      <c r="C12" s="12" t="s">
        <v>61</v>
      </c>
      <c r="D12" s="25">
        <f>+D11</f>
        <v>1103.0054034469749</v>
      </c>
      <c r="E12" s="14">
        <v>0.13</v>
      </c>
      <c r="F12" s="13">
        <f>ROUND(D12*E12,2)</f>
        <v>143.38999999999999</v>
      </c>
      <c r="G12" s="13"/>
      <c r="L12" s="16">
        <f>IF(FLOOR(I12,10)&gt;3600000,"(((PLANCHER((C12;10)-3600000) * 0,40) + 790560)",IF(FLOOR(I12,10)&gt;=1800000,((((FLOOR(I12,10)-1800000) * 0.3) + 250560)/2684.51),IF(FLOOR(I12,10)&gt;162000,((((FLOOR(I12,10)-162000) * 0.15) + 4860)/2700),IF(FLOOR(I12,10)&lt;=162000,,(((FLOOR(I12,10)* 0.03))/2700)))))</f>
        <v>0</v>
      </c>
    </row>
    <row r="13" spans="3:12">
      <c r="C13" s="12" t="s">
        <v>62</v>
      </c>
      <c r="D13" s="25">
        <f>+D11</f>
        <v>1103.0054034469749</v>
      </c>
      <c r="E13" s="14">
        <v>0.13</v>
      </c>
      <c r="F13" s="12"/>
      <c r="G13" s="13">
        <f>ROUND(D13*E13,2)</f>
        <v>143.38999999999999</v>
      </c>
      <c r="L13" s="16"/>
    </row>
    <row r="14" spans="3:12">
      <c r="D14" s="26"/>
      <c r="L14" s="16"/>
    </row>
    <row r="15" spans="3:12">
      <c r="C15" s="12" t="s">
        <v>63</v>
      </c>
      <c r="D15" s="25">
        <f>+D11</f>
        <v>1103.0054034469749</v>
      </c>
      <c r="E15" s="14">
        <v>0.03</v>
      </c>
      <c r="F15" s="12"/>
      <c r="G15" s="13">
        <f>ROUND(D15*E15,2)</f>
        <v>33.090000000000003</v>
      </c>
      <c r="L15" s="16"/>
    </row>
    <row r="16" spans="3:12">
      <c r="C16" s="12" t="s">
        <v>64</v>
      </c>
      <c r="D16" s="25">
        <f>+D15</f>
        <v>1103.0054034469749</v>
      </c>
      <c r="E16" s="14">
        <v>0.03</v>
      </c>
      <c r="F16" s="13">
        <f>ROUND(D16*E16,2)</f>
        <v>33.090000000000003</v>
      </c>
      <c r="G16" s="13"/>
      <c r="L16" s="16"/>
    </row>
    <row r="17" spans="3:13">
      <c r="D17" s="26"/>
      <c r="L17" s="16"/>
    </row>
    <row r="18" spans="3:13">
      <c r="C18" s="12" t="s">
        <v>63</v>
      </c>
      <c r="D18" s="25">
        <f>+D15</f>
        <v>1103.0054034469749</v>
      </c>
      <c r="E18" s="27">
        <v>2E-3</v>
      </c>
      <c r="F18" s="12"/>
      <c r="G18" s="13">
        <f>ROUND(D18*E18,2)</f>
        <v>2.21</v>
      </c>
      <c r="L18" s="16"/>
    </row>
    <row r="19" spans="3:13">
      <c r="C19" s="12" t="s">
        <v>64</v>
      </c>
      <c r="D19" s="25">
        <f>+D18</f>
        <v>1103.0054034469749</v>
      </c>
      <c r="E19" s="27">
        <v>2E-3</v>
      </c>
      <c r="F19" s="13">
        <f>ROUND(D19*E19,2)</f>
        <v>2.21</v>
      </c>
      <c r="G19" s="13"/>
      <c r="L19" s="16"/>
    </row>
    <row r="21" spans="3:13">
      <c r="C21" s="15" t="s">
        <v>5</v>
      </c>
      <c r="D21" s="10">
        <f>+K33</f>
        <v>2714709.7294285716</v>
      </c>
      <c r="E21" s="17"/>
      <c r="F21" s="16"/>
      <c r="G21" s="16">
        <f>IF(FLOOR(D21,10)&gt;3600000,"(((PLANCHER((C12;10)-3600000) * 0,40) + 790560)",IF(FLOOR(D21,10)&gt;=1800000,(((((FLOOR(D21,10)-1800000) * 0.3) + 250560)-((((D21-1800000)*0)+250560)*2%*0))/2590.73),IF(FLOOR(D21,10)&gt;162000,((((FLOOR(D21,10)-162000) * 0.15) + 4860)/2700),IF(FLOOR(D21,10)&lt;=162000,,(((FLOOR(D21,10)* 0.03))/2700)))))</f>
        <v>202.63400663133558</v>
      </c>
      <c r="I21" s="16">
        <f>IF(FLOOR(F21,10)&gt;3600000,"(((PLANCHER((C12;10)-3600000) * 0,40) + 790560)",IF(FLOOR(F21,10)&gt;=1800000,(((((FLOOR(F21,10)-1800000) * 0.3) + 250560)-((((F21-1800000)*0.3)+250560)*2%*9))/2684.51),IF(FLOOR(F21,10)&gt;162000,((((FLOOR(F21,10)-162000) * 0.15) + 4860)/2700),IF(FLOOR(F21,10)&lt;=162000,,(((FLOOR(F21,10)* 0.03))/2700)))))</f>
        <v>0</v>
      </c>
      <c r="J21" s="2">
        <f>(((D21-1800000)*0.3)+250560)</f>
        <v>524972.91882857145</v>
      </c>
      <c r="K21" s="2">
        <f>(((D21-1800000)*0.3)+250560)*2%*9</f>
        <v>94495.125389142864</v>
      </c>
    </row>
    <row r="22" spans="3:13">
      <c r="C22" t="s">
        <v>12</v>
      </c>
      <c r="D22" s="1"/>
      <c r="E22" s="4"/>
      <c r="F22" s="1">
        <v>330.9</v>
      </c>
      <c r="G22" s="1"/>
      <c r="H22" s="2">
        <f>+D11*30%</f>
        <v>330.90162103409244</v>
      </c>
      <c r="K22" s="2">
        <f>+J21-K21</f>
        <v>430477.79343942855</v>
      </c>
    </row>
    <row r="23" spans="3:13">
      <c r="C23" t="s">
        <v>13</v>
      </c>
      <c r="D23" s="1"/>
      <c r="E23" s="4"/>
      <c r="F23" s="1">
        <v>195</v>
      </c>
      <c r="G23" s="1"/>
      <c r="J23">
        <f>+J21/2684.51</f>
        <v>195.55632827911663</v>
      </c>
      <c r="K23">
        <f>+K22/2684.51</f>
        <v>160.35618918887562</v>
      </c>
    </row>
    <row r="24" spans="3:13">
      <c r="C24" t="s">
        <v>60</v>
      </c>
      <c r="F24" s="1">
        <v>0</v>
      </c>
    </row>
    <row r="25" spans="3:13">
      <c r="F25" s="1"/>
    </row>
    <row r="26" spans="3:13">
      <c r="F26" s="1"/>
      <c r="J26" t="s">
        <v>70</v>
      </c>
    </row>
    <row r="27" spans="3:13">
      <c r="D27" s="8"/>
      <c r="E27" s="9"/>
      <c r="F27" s="10">
        <f>SUM(F3:F24)</f>
        <v>1807.5954034469746</v>
      </c>
      <c r="G27" s="10">
        <f>SUM(G3:G21)</f>
        <v>436.47400663133556</v>
      </c>
      <c r="L27" s="10">
        <f>+E29-L28</f>
        <v>525.90139681563892</v>
      </c>
    </row>
    <row r="28" spans="3:13">
      <c r="L28">
        <f>+L29/I29</f>
        <v>845.22</v>
      </c>
    </row>
    <row r="29" spans="3:13">
      <c r="C29" s="7" t="s">
        <v>15</v>
      </c>
      <c r="D29" s="7"/>
      <c r="E29" s="11">
        <f>+F27-G27</f>
        <v>1371.1213968156389</v>
      </c>
      <c r="F29" s="11"/>
      <c r="G29" s="11"/>
      <c r="H29" s="2">
        <f>1371.12-F23-F22</f>
        <v>845.21999999999991</v>
      </c>
      <c r="I29">
        <v>2590.73</v>
      </c>
      <c r="J29" s="1">
        <f>+H29*I29</f>
        <v>2189736.8106</v>
      </c>
      <c r="L29" s="2">
        <f>+L32-L31+L30</f>
        <v>2189736.8106</v>
      </c>
    </row>
    <row r="30" spans="3:13">
      <c r="J30" s="1">
        <f>1800000*0.3</f>
        <v>540000</v>
      </c>
      <c r="L30" s="1">
        <f>1800000*0.3</f>
        <v>540000</v>
      </c>
    </row>
    <row r="31" spans="3:13">
      <c r="J31" s="1">
        <v>250560</v>
      </c>
      <c r="L31" s="1">
        <v>250560</v>
      </c>
    </row>
    <row r="32" spans="3:13">
      <c r="J32" t="s">
        <v>48</v>
      </c>
      <c r="K32" s="1">
        <f>J29-J30+J31</f>
        <v>1900296.8106</v>
      </c>
      <c r="L32" s="1">
        <f>+D21*0.7</f>
        <v>1900296.8106</v>
      </c>
      <c r="M32" s="2">
        <f>+L29-L30+L31</f>
        <v>1900296.8106</v>
      </c>
    </row>
    <row r="33" spans="11:12">
      <c r="K33" s="1">
        <f>+K32/0.7</f>
        <v>2714709.7294285716</v>
      </c>
      <c r="L33" s="1">
        <f>+L32/0.7</f>
        <v>2714709.7294285716</v>
      </c>
    </row>
  </sheetData>
  <mergeCells count="2">
    <mergeCell ref="C29:D29"/>
    <mergeCell ref="E29:G29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47712-222B-4018-B3BE-CA84F9725741}">
  <dimension ref="D2:I29"/>
  <sheetViews>
    <sheetView topLeftCell="C16" zoomScale="190" zoomScaleNormal="190" workbookViewId="0">
      <selection activeCell="G22" sqref="G22:G23"/>
    </sheetView>
  </sheetViews>
  <sheetFormatPr baseColWidth="10" defaultRowHeight="14.5"/>
  <cols>
    <col min="4" max="4" width="21.54296875" bestFit="1" customWidth="1"/>
    <col min="5" max="5" width="12.54296875" bestFit="1" customWidth="1"/>
  </cols>
  <sheetData>
    <row r="2" spans="4:8">
      <c r="D2" s="18" t="s">
        <v>0</v>
      </c>
      <c r="E2" s="18" t="s">
        <v>6</v>
      </c>
      <c r="F2" s="18" t="s">
        <v>7</v>
      </c>
      <c r="G2" s="18" t="s">
        <v>1</v>
      </c>
      <c r="H2" s="18" t="s">
        <v>2</v>
      </c>
    </row>
    <row r="3" spans="4:8">
      <c r="D3" t="s">
        <v>3</v>
      </c>
      <c r="E3" s="1"/>
      <c r="F3" s="1"/>
      <c r="G3" s="1">
        <v>935</v>
      </c>
      <c r="H3" s="1"/>
    </row>
    <row r="4" spans="4:8">
      <c r="D4" t="s">
        <v>8</v>
      </c>
      <c r="E4" s="1"/>
      <c r="F4" s="4"/>
      <c r="G4" s="1">
        <v>0</v>
      </c>
      <c r="H4" s="1"/>
    </row>
    <row r="5" spans="4:8">
      <c r="D5" t="s">
        <v>9</v>
      </c>
      <c r="E5" s="1"/>
      <c r="F5" s="3"/>
      <c r="G5" s="1">
        <v>105</v>
      </c>
      <c r="H5" s="1"/>
    </row>
    <row r="6" spans="4:8">
      <c r="D6" t="s">
        <v>10</v>
      </c>
      <c r="E6" s="1"/>
      <c r="F6" s="1"/>
      <c r="G6" s="1">
        <v>63</v>
      </c>
      <c r="H6" s="1"/>
    </row>
    <row r="7" spans="4:8">
      <c r="D7" t="s">
        <v>11</v>
      </c>
      <c r="E7" s="1"/>
      <c r="F7" s="3"/>
      <c r="G7" s="1">
        <v>193.80807873978105</v>
      </c>
      <c r="H7" s="1"/>
    </row>
    <row r="8" spans="4:8">
      <c r="D8" t="s">
        <v>58</v>
      </c>
      <c r="E8" s="1"/>
      <c r="F8" s="3"/>
      <c r="G8" s="1">
        <v>0</v>
      </c>
      <c r="H8" s="1"/>
    </row>
    <row r="9" spans="4:8">
      <c r="D9" t="s">
        <v>59</v>
      </c>
      <c r="E9" s="1"/>
      <c r="F9" s="3"/>
      <c r="G9" s="1">
        <v>0</v>
      </c>
      <c r="H9" s="1"/>
    </row>
    <row r="10" spans="4:8">
      <c r="E10" s="1"/>
      <c r="F10" s="1"/>
      <c r="G10" s="1"/>
      <c r="H10" s="1"/>
    </row>
    <row r="11" spans="4:8">
      <c r="D11" s="12" t="s">
        <v>4</v>
      </c>
      <c r="E11" s="25">
        <f>G3+G5+G6+G7</f>
        <v>1296.808078739781</v>
      </c>
      <c r="F11" s="14">
        <v>0.05</v>
      </c>
      <c r="G11" s="12"/>
      <c r="H11" s="13">
        <f>ROUND(E11*F11,2)</f>
        <v>64.84</v>
      </c>
    </row>
    <row r="12" spans="4:8">
      <c r="D12" s="12" t="s">
        <v>61</v>
      </c>
      <c r="E12" s="25">
        <f>+E11</f>
        <v>1296.808078739781</v>
      </c>
      <c r="F12" s="14">
        <v>0.13</v>
      </c>
      <c r="G12" s="13">
        <f>ROUND(E12*F12,2)</f>
        <v>168.59</v>
      </c>
      <c r="H12" s="13"/>
    </row>
    <row r="13" spans="4:8">
      <c r="D13" s="12" t="s">
        <v>62</v>
      </c>
      <c r="E13" s="25">
        <f>+E11</f>
        <v>1296.808078739781</v>
      </c>
      <c r="F13" s="14">
        <v>0.13</v>
      </c>
      <c r="G13" s="12"/>
      <c r="H13" s="13">
        <f>ROUND(E13*F13,2)</f>
        <v>168.59</v>
      </c>
    </row>
    <row r="14" spans="4:8">
      <c r="E14" s="26"/>
    </row>
    <row r="15" spans="4:8">
      <c r="D15" s="12" t="s">
        <v>63</v>
      </c>
      <c r="E15" s="25">
        <f>+E11</f>
        <v>1296.808078739781</v>
      </c>
      <c r="F15" s="14">
        <v>0.03</v>
      </c>
      <c r="G15" s="12"/>
      <c r="H15" s="13">
        <f>ROUND(E15*F15,2)</f>
        <v>38.9</v>
      </c>
    </row>
    <row r="16" spans="4:8">
      <c r="D16" s="12" t="s">
        <v>64</v>
      </c>
      <c r="E16" s="25">
        <f>+E15</f>
        <v>1296.808078739781</v>
      </c>
      <c r="F16" s="14">
        <v>0.03</v>
      </c>
      <c r="G16" s="13">
        <f>ROUND(E16*F16,2)</f>
        <v>38.9</v>
      </c>
      <c r="H16" s="13"/>
    </row>
    <row r="17" spans="4:9">
      <c r="E17" s="26"/>
    </row>
    <row r="18" spans="4:9">
      <c r="D18" s="12" t="s">
        <v>63</v>
      </c>
      <c r="E18" s="25">
        <f>+E15</f>
        <v>1296.808078739781</v>
      </c>
      <c r="F18" s="27">
        <v>2E-3</v>
      </c>
      <c r="G18" s="12"/>
      <c r="H18" s="13">
        <f>ROUND(E18*F18,2)</f>
        <v>2.59</v>
      </c>
    </row>
    <row r="19" spans="4:9">
      <c r="D19" s="12" t="s">
        <v>64</v>
      </c>
      <c r="E19" s="25">
        <f>+E18</f>
        <v>1296.808078739781</v>
      </c>
      <c r="F19" s="27">
        <v>2E-3</v>
      </c>
      <c r="G19" s="13">
        <f>ROUND(E19*F19,2)</f>
        <v>2.59</v>
      </c>
      <c r="H19" s="13"/>
    </row>
    <row r="21" spans="4:9">
      <c r="D21" s="15" t="s">
        <v>5</v>
      </c>
      <c r="E21" s="10">
        <f>(E11-H11)*'Feuil7 (2)'!I29</f>
        <v>3191696.6606335128</v>
      </c>
      <c r="F21" s="17"/>
      <c r="G21" s="16"/>
      <c r="H21" s="16">
        <f>IF(FLOOR(E21,10)&gt;3600000,"(((PLANCHER((C12;10)-3600000) * 0,40) + 790560)",IF(FLOOR(E21,10)&gt;=1800000,(((((FLOOR(E21,10)-1800000) * 0.3) + 250560)-((((E21-1800000)*0)+250560)*2%*0))/2590.73),IF(FLOOR(E21,10)&gt;162000,((((FLOOR(E21,10)-162000) * 0.15) + 4860)/2700),IF(FLOOR(E21,10)&lt;=162000,,(((FLOOR(E21,10)* 0.03))/2700)))))</f>
        <v>257.86824562961016</v>
      </c>
    </row>
    <row r="22" spans="4:9">
      <c r="D22" t="s">
        <v>12</v>
      </c>
      <c r="E22" s="1"/>
      <c r="F22" s="4"/>
      <c r="G22" s="1">
        <v>330.9</v>
      </c>
      <c r="H22" s="1"/>
    </row>
    <row r="23" spans="4:9">
      <c r="D23" t="s">
        <v>13</v>
      </c>
      <c r="E23" s="1"/>
      <c r="F23" s="4"/>
      <c r="G23" s="1">
        <v>195</v>
      </c>
      <c r="H23" s="1"/>
    </row>
    <row r="24" spans="4:9">
      <c r="D24" t="s">
        <v>60</v>
      </c>
      <c r="G24" s="1">
        <v>0</v>
      </c>
    </row>
    <row r="25" spans="4:9">
      <c r="G25" s="1"/>
    </row>
    <row r="26" spans="4:9">
      <c r="G26" s="1"/>
    </row>
    <row r="27" spans="4:9">
      <c r="E27" s="8"/>
      <c r="F27" s="9"/>
      <c r="G27" s="10">
        <f>SUM(G3:G24)</f>
        <v>2032.7880787397808</v>
      </c>
      <c r="H27" s="10">
        <f>SUM(H3:H21)</f>
        <v>532.78824562961017</v>
      </c>
    </row>
    <row r="29" spans="4:9">
      <c r="D29" s="7" t="s">
        <v>15</v>
      </c>
      <c r="E29" s="7"/>
      <c r="F29" s="11">
        <f>+G27-H27</f>
        <v>1499.9998331101706</v>
      </c>
      <c r="G29" s="11"/>
      <c r="H29" s="11"/>
      <c r="I29">
        <v>1500</v>
      </c>
    </row>
  </sheetData>
  <mergeCells count="2">
    <mergeCell ref="D29:E29"/>
    <mergeCell ref="F29:H29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yracuseOfficeCustomData>{"createMode":"plain_doc","forceRefresh":"0"}</SyracuseOfficeCustomData>
</file>

<file path=customXml/itemProps1.xml><?xml version="1.0" encoding="utf-8"?>
<ds:datastoreItem xmlns:ds="http://schemas.openxmlformats.org/officeDocument/2006/customXml" ds:itemID="{BAA515FA-FD24-4BDB-875A-F000955A41AB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9</vt:i4>
      </vt:variant>
    </vt:vector>
  </HeadingPairs>
  <TitlesOfParts>
    <vt:vector size="9" baseType="lpstr">
      <vt:lpstr>Feuil1</vt:lpstr>
      <vt:lpstr>Feuil2</vt:lpstr>
      <vt:lpstr>Feuil3</vt:lpstr>
      <vt:lpstr>Feuil4</vt:lpstr>
      <vt:lpstr>Feuil5</vt:lpstr>
      <vt:lpstr>Feuil6</vt:lpstr>
      <vt:lpstr>Feuil7</vt:lpstr>
      <vt:lpstr>Feuil7 (2)</vt:lpstr>
      <vt:lpstr>Feuil9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ntambwe</dc:creator>
  <cp:lastModifiedBy>patrick ntambwe</cp:lastModifiedBy>
  <dcterms:created xsi:type="dcterms:W3CDTF">2024-03-07T11:16:42Z</dcterms:created>
  <dcterms:modified xsi:type="dcterms:W3CDTF">2024-03-13T11:51:02Z</dcterms:modified>
</cp:coreProperties>
</file>